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5F8C561E-F6CB-40CB-8515-203E17CF90E0}" xr6:coauthVersionLast="45" xr6:coauthVersionMax="45" xr10:uidLastSave="{00000000-0000-0000-0000-000000000000}"/>
  <bookViews>
    <workbookView xWindow="-120" yWindow="-120" windowWidth="29040" windowHeight="15840" tabRatio="500" firstSheet="6" activeTab="8" xr2:uid="{00000000-000D-0000-FFFF-FFFF00000000}"/>
  </bookViews>
  <sheets>
    <sheet name="Banderas" sheetId="12" r:id="rId1"/>
    <sheet name="Planning_Entrenamiento" sheetId="5" r:id="rId2"/>
    <sheet name="Liga" sheetId="4" r:id="rId3"/>
    <sheet name="Goles" sheetId="21" r:id="rId4"/>
    <sheet name="Hall_of_Fame" sheetId="1" r:id="rId5"/>
    <sheet name="Fites" sheetId="22" r:id="rId6"/>
    <sheet name="PLANTILLA" sheetId="2" r:id="rId7"/>
    <sheet name="JUVENILES" sheetId="3" r:id="rId8"/>
    <sheet name="ECONOMIA" sheetId="20" r:id="rId9"/>
    <sheet name="Capitán" sheetId="7" r:id="rId10"/>
    <sheet name="CA_Calcutator" sheetId="8" r:id="rId11"/>
    <sheet name="EstudioConversion" sheetId="9" r:id="rId12"/>
    <sheet name="ESTADIO" sheetId="10" r:id="rId13"/>
    <sheet name="Evaluacion Jugadores" sheetId="13" r:id="rId14"/>
    <sheet name="LAT" sheetId="14" r:id="rId15"/>
    <sheet name="Entrenador" sheetId="11" r:id="rId16"/>
    <sheet name="Inner" sheetId="19" r:id="rId17"/>
    <sheet name="Delantero" sheetId="15" r:id="rId18"/>
    <sheet name="PorteroTitular" sheetId="16" r:id="rId19"/>
    <sheet name="PorteroSuplente" sheetId="17" r:id="rId20"/>
  </sheets>
  <definedNames>
    <definedName name="_xlnm._FilterDatabase" localSheetId="11" hidden="1">EstudioConversion!$A$1:$H$159</definedName>
  </definedNames>
  <calcPr calcId="191029"/>
  <pivotCaches>
    <pivotCache cacheId="0" r:id="rId21"/>
    <pivotCache cacheId="1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604475" val="976" rev="124" rev64="64" revOS="3" revMin="124" revMax="0"/>
      <pm:docPrefs xmlns:pm="smNativeData" id="1595604475" fixedDigits="0" showNotice="1" showFrameBounds="1" autoChart="1" recalcOnPrint="1" recalcOnCopy="1" finalRounding="1" compatTextArt="1" tab="567" useDefinedPrintRange="1" printArea="currentSheet"/>
      <pm:compatibility xmlns:pm="smNativeData" id="1595604475" overlapCells="1"/>
      <pm:defCurrency xmlns:pm="smNativeData" id="1595604475"/>
    </ext>
  </extLst>
</workbook>
</file>

<file path=xl/calcChain.xml><?xml version="1.0" encoding="utf-8"?>
<calcChain xmlns="http://schemas.openxmlformats.org/spreadsheetml/2006/main">
  <c r="N7" i="20" l="1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M7" i="20"/>
  <c r="AH10" i="20"/>
  <c r="AG10" i="20"/>
  <c r="AH9" i="20"/>
  <c r="AG9" i="20"/>
  <c r="AH8" i="20"/>
  <c r="AG8" i="20"/>
  <c r="AH7" i="20"/>
  <c r="AG7" i="20"/>
  <c r="AH6" i="20"/>
  <c r="AH5" i="20"/>
  <c r="AG5" i="20"/>
  <c r="AG3" i="20"/>
  <c r="K47" i="20"/>
  <c r="K46" i="20"/>
  <c r="L31" i="20"/>
  <c r="K50" i="20"/>
  <c r="M50" i="20" s="1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33" i="20"/>
  <c r="N15" i="20"/>
  <c r="O15" i="20" s="1"/>
  <c r="P15" i="20" s="1"/>
  <c r="Q15" i="20" s="1"/>
  <c r="R15" i="20" s="1"/>
  <c r="S15" i="20" s="1"/>
  <c r="T15" i="20" s="1"/>
  <c r="U15" i="20" s="1"/>
  <c r="V15" i="20" s="1"/>
  <c r="W15" i="20" s="1"/>
  <c r="X15" i="20" s="1"/>
  <c r="Y15" i="20" s="1"/>
  <c r="Z15" i="20" s="1"/>
  <c r="AA15" i="20" s="1"/>
  <c r="AB15" i="20" s="1"/>
  <c r="N10" i="20"/>
  <c r="O10" i="20" s="1"/>
  <c r="P10" i="20" s="1"/>
  <c r="Q10" i="20" s="1"/>
  <c r="R10" i="20" s="1"/>
  <c r="S10" i="20" s="1"/>
  <c r="T10" i="20" s="1"/>
  <c r="U10" i="20" s="1"/>
  <c r="V10" i="20" s="1"/>
  <c r="W10" i="20" s="1"/>
  <c r="X10" i="20" s="1"/>
  <c r="Y10" i="20" s="1"/>
  <c r="Z10" i="20" s="1"/>
  <c r="AA10" i="20" s="1"/>
  <c r="AB10" i="20" s="1"/>
  <c r="K31" i="20" l="1"/>
  <c r="M31" i="20"/>
  <c r="C13" i="20" s="1"/>
  <c r="A4" i="8"/>
  <c r="A5" i="8"/>
  <c r="A6" i="8"/>
  <c r="A7" i="8"/>
  <c r="A8" i="8"/>
  <c r="A9" i="8"/>
  <c r="A10" i="8"/>
  <c r="A11" i="8"/>
  <c r="B11" i="8"/>
  <c r="C11" i="8"/>
  <c r="D11" i="8"/>
  <c r="E11" i="8" s="1"/>
  <c r="A12" i="8"/>
  <c r="A13" i="8"/>
  <c r="A14" i="8"/>
  <c r="A15" i="8"/>
  <c r="A16" i="8"/>
  <c r="A17" i="8"/>
  <c r="A18" i="8"/>
  <c r="A19" i="8"/>
  <c r="B19" i="8"/>
  <c r="C19" i="8"/>
  <c r="D19" i="8"/>
  <c r="E19" i="8" s="1"/>
  <c r="A4" i="7"/>
  <c r="B4" i="7"/>
  <c r="C4" i="7"/>
  <c r="G4" i="7" s="1"/>
  <c r="D4" i="7"/>
  <c r="E4" i="7" s="1"/>
  <c r="F4" i="7" s="1"/>
  <c r="A5" i="7"/>
  <c r="B5" i="7"/>
  <c r="C5" i="7"/>
  <c r="G5" i="7" s="1"/>
  <c r="D5" i="7"/>
  <c r="E5" i="7" s="1"/>
  <c r="F5" i="7" s="1"/>
  <c r="A6" i="7"/>
  <c r="B6" i="7"/>
  <c r="C6" i="7"/>
  <c r="D6" i="7"/>
  <c r="E6" i="7" s="1"/>
  <c r="F6" i="7" s="1"/>
  <c r="G6" i="7"/>
  <c r="H6" i="7" s="1"/>
  <c r="J6" i="7" s="1"/>
  <c r="A7" i="7"/>
  <c r="B7" i="7"/>
  <c r="C7" i="7"/>
  <c r="D7" i="7"/>
  <c r="E7" i="7"/>
  <c r="F7" i="7" s="1"/>
  <c r="G7" i="7"/>
  <c r="H7" i="7" s="1"/>
  <c r="J7" i="7" s="1"/>
  <c r="A8" i="7"/>
  <c r="B8" i="7"/>
  <c r="C8" i="7"/>
  <c r="G8" i="7" s="1"/>
  <c r="D8" i="7"/>
  <c r="E8" i="7"/>
  <c r="F8" i="7" s="1"/>
  <c r="A9" i="7"/>
  <c r="B9" i="7"/>
  <c r="C9" i="7"/>
  <c r="G9" i="7" s="1"/>
  <c r="D9" i="7"/>
  <c r="E9" i="7"/>
  <c r="F9" i="7"/>
  <c r="A10" i="7"/>
  <c r="B10" i="7"/>
  <c r="C10" i="7"/>
  <c r="D10" i="7"/>
  <c r="E10" i="7" s="1"/>
  <c r="F10" i="7" s="1"/>
  <c r="G10" i="7"/>
  <c r="H10" i="7" s="1"/>
  <c r="J10" i="7" s="1"/>
  <c r="A11" i="7"/>
  <c r="B11" i="7"/>
  <c r="C11" i="7"/>
  <c r="D11" i="7"/>
  <c r="E11" i="7"/>
  <c r="F11" i="7" s="1"/>
  <c r="G11" i="7"/>
  <c r="H11" i="7" s="1"/>
  <c r="A12" i="7"/>
  <c r="B12" i="7"/>
  <c r="C12" i="7"/>
  <c r="G12" i="7" s="1"/>
  <c r="D12" i="7"/>
  <c r="E12" i="7"/>
  <c r="F12" i="7" s="1"/>
  <c r="A13" i="7"/>
  <c r="B13" i="7"/>
  <c r="C13" i="7"/>
  <c r="G13" i="7" s="1"/>
  <c r="D13" i="7"/>
  <c r="E13" i="7"/>
  <c r="F13" i="7"/>
  <c r="A14" i="7"/>
  <c r="B14" i="7"/>
  <c r="C14" i="7"/>
  <c r="D14" i="7"/>
  <c r="E14" i="7" s="1"/>
  <c r="F14" i="7" s="1"/>
  <c r="G14" i="7"/>
  <c r="H14" i="7" s="1"/>
  <c r="A15" i="7"/>
  <c r="B15" i="7"/>
  <c r="C15" i="7"/>
  <c r="D15" i="7"/>
  <c r="E15" i="7"/>
  <c r="F15" i="7" s="1"/>
  <c r="G15" i="7"/>
  <c r="H15" i="7" s="1"/>
  <c r="J15" i="7" s="1"/>
  <c r="A16" i="7"/>
  <c r="B16" i="7"/>
  <c r="C16" i="7"/>
  <c r="G16" i="7" s="1"/>
  <c r="D16" i="7"/>
  <c r="E16" i="7"/>
  <c r="F16" i="7" s="1"/>
  <c r="A17" i="7"/>
  <c r="B17" i="7"/>
  <c r="C17" i="7"/>
  <c r="G17" i="7" s="1"/>
  <c r="D17" i="7"/>
  <c r="E17" i="7"/>
  <c r="F17" i="7"/>
  <c r="A18" i="7"/>
  <c r="B18" i="7"/>
  <c r="C18" i="7"/>
  <c r="D18" i="7"/>
  <c r="E18" i="7" s="1"/>
  <c r="F18" i="7" s="1"/>
  <c r="G18" i="7"/>
  <c r="H18" i="7" s="1"/>
  <c r="J18" i="7" s="1"/>
  <c r="A19" i="7"/>
  <c r="B19" i="7"/>
  <c r="C19" i="7"/>
  <c r="D19" i="7"/>
  <c r="E19" i="7"/>
  <c r="F19" i="7" s="1"/>
  <c r="G19" i="7"/>
  <c r="H19" i="7" s="1"/>
  <c r="J19" i="7" s="1"/>
  <c r="F19" i="8" l="1"/>
  <c r="F11" i="8"/>
  <c r="H5" i="7"/>
  <c r="J5" i="7" s="1"/>
  <c r="I5" i="7"/>
  <c r="I8" i="7"/>
  <c r="H8" i="7"/>
  <c r="J8" i="7" s="1"/>
  <c r="I12" i="7"/>
  <c r="H12" i="7"/>
  <c r="J12" i="7" s="1"/>
  <c r="I17" i="7"/>
  <c r="H17" i="7"/>
  <c r="J17" i="7" s="1"/>
  <c r="H9" i="7"/>
  <c r="J9" i="7" s="1"/>
  <c r="I9" i="7"/>
  <c r="I4" i="7"/>
  <c r="H4" i="7"/>
  <c r="J4" i="7" s="1"/>
  <c r="I16" i="7"/>
  <c r="H16" i="7"/>
  <c r="J16" i="7" s="1"/>
  <c r="J14" i="7"/>
  <c r="H13" i="7"/>
  <c r="J13" i="7" s="1"/>
  <c r="I13" i="7"/>
  <c r="J11" i="7"/>
  <c r="I15" i="7"/>
  <c r="I11" i="7"/>
  <c r="I7" i="7"/>
  <c r="I19" i="7"/>
  <c r="I18" i="7"/>
  <c r="I14" i="7"/>
  <c r="I10" i="7"/>
  <c r="I6" i="7"/>
  <c r="U18" i="2"/>
  <c r="AQ18" i="2"/>
  <c r="W18" i="2"/>
  <c r="R18" i="2"/>
  <c r="S18" i="2"/>
  <c r="P18" i="2"/>
  <c r="N18" i="2"/>
  <c r="J18" i="2"/>
  <c r="K18" i="2"/>
  <c r="L18" i="2"/>
  <c r="AI18" i="2" l="1"/>
  <c r="C16" i="8"/>
  <c r="B16" i="8"/>
  <c r="AK18" i="2"/>
  <c r="AL18" i="2"/>
  <c r="AM18" i="2"/>
  <c r="AF18" i="2"/>
  <c r="AH18" i="2"/>
  <c r="AG18" i="2"/>
  <c r="AJ18" i="2"/>
  <c r="P23" i="15"/>
  <c r="Q23" i="15"/>
  <c r="R23" i="15"/>
  <c r="T23" i="15"/>
  <c r="V23" i="15" s="1"/>
  <c r="U23" i="15"/>
  <c r="X23" i="15"/>
  <c r="Z23" i="15" s="1"/>
  <c r="Y23" i="15"/>
  <c r="O23" i="15"/>
  <c r="S23" i="15"/>
  <c r="W23" i="15"/>
  <c r="P22" i="15"/>
  <c r="Q22" i="15"/>
  <c r="R22" i="15"/>
  <c r="T22" i="15"/>
  <c r="V22" i="15"/>
  <c r="U22" i="15"/>
  <c r="X22" i="15"/>
  <c r="Z22" i="15" s="1"/>
  <c r="Y22" i="15"/>
  <c r="O22" i="15"/>
  <c r="S22" i="15"/>
  <c r="W22" i="15"/>
  <c r="P21" i="15"/>
  <c r="Q21" i="15"/>
  <c r="R21" i="15"/>
  <c r="T21" i="15"/>
  <c r="V21" i="15"/>
  <c r="U21" i="15"/>
  <c r="X21" i="15"/>
  <c r="Z21" i="15" s="1"/>
  <c r="Y21" i="15"/>
  <c r="O21" i="15"/>
  <c r="S21" i="15"/>
  <c r="W21" i="15"/>
  <c r="D16" i="8" l="1"/>
  <c r="F16" i="8" s="1"/>
  <c r="P20" i="15"/>
  <c r="Q20" i="15"/>
  <c r="R20" i="15"/>
  <c r="T20" i="15"/>
  <c r="V20" i="15" s="1"/>
  <c r="U20" i="15"/>
  <c r="X20" i="15"/>
  <c r="Z20" i="15" s="1"/>
  <c r="Y20" i="15"/>
  <c r="O20" i="15"/>
  <c r="S20" i="15"/>
  <c r="W20" i="15"/>
  <c r="E16" i="8" l="1"/>
  <c r="P19" i="15"/>
  <c r="Q19" i="15"/>
  <c r="R19" i="15"/>
  <c r="T19" i="15"/>
  <c r="V19" i="15" s="1"/>
  <c r="U19" i="15"/>
  <c r="X19" i="15"/>
  <c r="Z19" i="15" s="1"/>
  <c r="Y19" i="15"/>
  <c r="O19" i="15"/>
  <c r="S19" i="15"/>
  <c r="W19" i="15"/>
  <c r="AF15" i="15"/>
  <c r="AH15" i="15" s="1"/>
  <c r="P15" i="15"/>
  <c r="Q15" i="15"/>
  <c r="R15" i="15"/>
  <c r="T15" i="15"/>
  <c r="V15" i="15" s="1"/>
  <c r="U15" i="15"/>
  <c r="X15" i="15"/>
  <c r="Z15" i="15" s="1"/>
  <c r="Y15" i="15"/>
  <c r="O15" i="15"/>
  <c r="S15" i="15"/>
  <c r="W15" i="15"/>
  <c r="AF12" i="15"/>
  <c r="AH12" i="15" s="1"/>
  <c r="P12" i="15"/>
  <c r="Q12" i="15"/>
  <c r="R12" i="15"/>
  <c r="T12" i="15"/>
  <c r="V12" i="15" s="1"/>
  <c r="U12" i="15"/>
  <c r="X12" i="15"/>
  <c r="Z12" i="15" s="1"/>
  <c r="Y12" i="15"/>
  <c r="O12" i="15"/>
  <c r="S12" i="15"/>
  <c r="W12" i="15"/>
  <c r="P18" i="15"/>
  <c r="Q18" i="15"/>
  <c r="R18" i="15"/>
  <c r="T18" i="15"/>
  <c r="V18" i="15" s="1"/>
  <c r="U18" i="15"/>
  <c r="X18" i="15"/>
  <c r="Z18" i="15" s="1"/>
  <c r="Y18" i="15"/>
  <c r="O18" i="15"/>
  <c r="S18" i="15"/>
  <c r="W18" i="15"/>
  <c r="S62" i="10" l="1"/>
  <c r="S66" i="10" s="1"/>
  <c r="S67" i="10" s="1"/>
  <c r="S68" i="10" s="1"/>
  <c r="S63" i="10"/>
  <c r="S64" i="10"/>
  <c r="S65" i="10"/>
  <c r="S57" i="10"/>
  <c r="S52" i="10"/>
  <c r="S53" i="10"/>
  <c r="S54" i="10"/>
  <c r="S56" i="10" s="1"/>
  <c r="S55" i="10"/>
  <c r="AD16" i="2" l="1"/>
  <c r="AD12" i="2"/>
  <c r="AD11" i="2"/>
  <c r="Z11" i="2"/>
  <c r="AD6" i="2"/>
  <c r="AD7" i="2"/>
  <c r="AD8" i="2"/>
  <c r="AF13" i="15" l="1"/>
  <c r="AH13" i="15" s="1"/>
  <c r="P13" i="15"/>
  <c r="Q13" i="15"/>
  <c r="R13" i="15"/>
  <c r="T13" i="15"/>
  <c r="V13" i="15" s="1"/>
  <c r="U13" i="15"/>
  <c r="X13" i="15"/>
  <c r="Z13" i="15" s="1"/>
  <c r="Y13" i="15"/>
  <c r="O13" i="15"/>
  <c r="S13" i="15"/>
  <c r="W13" i="15"/>
  <c r="AF17" i="15"/>
  <c r="AH17" i="15" s="1"/>
  <c r="P17" i="15"/>
  <c r="Q17" i="15"/>
  <c r="R17" i="15"/>
  <c r="T17" i="15"/>
  <c r="V17" i="15" s="1"/>
  <c r="U17" i="15"/>
  <c r="X17" i="15"/>
  <c r="Z17" i="15" s="1"/>
  <c r="Y17" i="15"/>
  <c r="O17" i="15"/>
  <c r="S17" i="15"/>
  <c r="W17" i="15"/>
  <c r="AF16" i="15" l="1"/>
  <c r="AH16" i="15" s="1"/>
  <c r="AE14" i="15"/>
  <c r="AG14" i="15" s="1"/>
  <c r="AF14" i="15"/>
  <c r="AH14" i="15" s="1"/>
  <c r="AE11" i="15" l="1"/>
  <c r="AG11" i="15" s="1"/>
  <c r="AF11" i="15"/>
  <c r="AH11" i="15" s="1"/>
  <c r="AE10" i="15" l="1"/>
  <c r="AG10" i="15" s="1"/>
  <c r="AF10" i="15"/>
  <c r="AH10" i="15" s="1"/>
  <c r="AB9" i="15"/>
  <c r="AE9" i="15" s="1"/>
  <c r="AG9" i="15" s="1"/>
  <c r="AF9" i="15" l="1"/>
  <c r="AH9" i="15" s="1"/>
  <c r="R66" i="10" l="1"/>
  <c r="R67" i="10" s="1"/>
  <c r="R65" i="10"/>
  <c r="R64" i="10"/>
  <c r="R63" i="10"/>
  <c r="R62" i="10"/>
  <c r="R55" i="10"/>
  <c r="R56" i="10" s="1"/>
  <c r="R57" i="10" s="1"/>
  <c r="R54" i="10"/>
  <c r="R53" i="10"/>
  <c r="R52" i="10"/>
  <c r="Q63" i="10"/>
  <c r="Q64" i="10"/>
  <c r="Q65" i="10"/>
  <c r="Q62" i="10"/>
  <c r="R68" i="10" l="1"/>
  <c r="Q51" i="10"/>
  <c r="Q59" i="10"/>
  <c r="Q60" i="10"/>
  <c r="Q61" i="10"/>
  <c r="Q58" i="10"/>
  <c r="R39" i="10"/>
  <c r="R40" i="10"/>
  <c r="R41" i="10"/>
  <c r="R3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B21" i="10"/>
  <c r="B20" i="10"/>
  <c r="B19" i="10"/>
  <c r="B18" i="10"/>
  <c r="D16" i="10"/>
  <c r="E16" i="10" s="1"/>
  <c r="F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AG16" i="10" s="1"/>
  <c r="AH16" i="10" s="1"/>
  <c r="AI16" i="10" s="1"/>
  <c r="AJ16" i="10" s="1"/>
  <c r="C16" i="10"/>
  <c r="C52" i="10"/>
  <c r="D52" i="10"/>
  <c r="E52" i="10"/>
  <c r="E56" i="10" s="1"/>
  <c r="F52" i="10"/>
  <c r="G52" i="10"/>
  <c r="H52" i="10"/>
  <c r="I52" i="10"/>
  <c r="J52" i="10"/>
  <c r="K52" i="10"/>
  <c r="L52" i="10"/>
  <c r="M52" i="10"/>
  <c r="M56" i="10" s="1"/>
  <c r="N52" i="10"/>
  <c r="O52" i="10"/>
  <c r="P52" i="10"/>
  <c r="Q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C55" i="10"/>
  <c r="D55" i="10"/>
  <c r="D56" i="10" s="1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B55" i="10"/>
  <c r="B54" i="10"/>
  <c r="B53" i="10"/>
  <c r="B52" i="10"/>
  <c r="B37" i="10"/>
  <c r="K56" i="10" l="1"/>
  <c r="P56" i="10"/>
  <c r="J56" i="10"/>
  <c r="G56" i="10"/>
  <c r="N56" i="10"/>
  <c r="Q56" i="10"/>
  <c r="I56" i="10"/>
  <c r="O56" i="10"/>
  <c r="C56" i="10"/>
  <c r="L56" i="10"/>
  <c r="H56" i="10"/>
  <c r="F56" i="10"/>
  <c r="B56" i="10"/>
  <c r="B57" i="10" s="1"/>
  <c r="K19" i="13"/>
  <c r="L19" i="13"/>
  <c r="M19" i="13"/>
  <c r="N19" i="13"/>
  <c r="O19" i="13"/>
  <c r="P19" i="13"/>
  <c r="Q19" i="13"/>
  <c r="J19" i="13"/>
  <c r="G19" i="13"/>
  <c r="H19" i="13"/>
  <c r="B19" i="13"/>
  <c r="C19" i="13"/>
  <c r="D19" i="13"/>
  <c r="A19" i="13"/>
  <c r="U19" i="13" l="1"/>
  <c r="S19" i="13"/>
  <c r="R19" i="13"/>
  <c r="AO19" i="13" s="1"/>
  <c r="T19" i="13"/>
  <c r="CE19" i="13"/>
  <c r="BT19" i="13"/>
  <c r="BL19" i="13"/>
  <c r="BD19" i="13"/>
  <c r="AU19" i="13"/>
  <c r="AL19" i="13"/>
  <c r="AC19" i="13"/>
  <c r="BS19" i="13"/>
  <c r="BK19" i="13"/>
  <c r="AT19" i="13"/>
  <c r="AV19" i="13" s="1"/>
  <c r="AK19" i="13"/>
  <c r="BY19" i="13"/>
  <c r="CA19" i="13" s="1"/>
  <c r="BQ19" i="13"/>
  <c r="AI19" i="13"/>
  <c r="Z19" i="13"/>
  <c r="AB19" i="13" s="1"/>
  <c r="BX19" i="13"/>
  <c r="BP19" i="13"/>
  <c r="BH19" i="13"/>
  <c r="AZ19" i="13"/>
  <c r="AQ19" i="13"/>
  <c r="AH19" i="13"/>
  <c r="X19" i="13"/>
  <c r="BR19" i="13"/>
  <c r="AS19" i="13"/>
  <c r="BI19" i="13"/>
  <c r="BW19" i="13"/>
  <c r="BO19" i="13"/>
  <c r="BG19" i="13"/>
  <c r="AP19" i="13"/>
  <c r="AR19" i="13" s="1"/>
  <c r="AG19" i="13"/>
  <c r="W19" i="13"/>
  <c r="Y19" i="13" s="1"/>
  <c r="BJ19" i="13"/>
  <c r="AA19" i="13"/>
  <c r="CB19" i="13"/>
  <c r="CD19" i="13" s="1"/>
  <c r="BV19" i="13"/>
  <c r="BN19" i="13"/>
  <c r="BF19" i="13"/>
  <c r="AN19" i="13"/>
  <c r="AE19" i="13"/>
  <c r="V19" i="13"/>
  <c r="CC19" i="13"/>
  <c r="BB19" i="13"/>
  <c r="AJ19" i="13"/>
  <c r="BA19" i="13"/>
  <c r="BC19" i="13" s="1"/>
  <c r="AX19" i="13"/>
  <c r="BU19" i="13"/>
  <c r="BM19" i="13"/>
  <c r="BE19" i="13"/>
  <c r="AW19" i="13"/>
  <c r="AY19" i="13" s="1"/>
  <c r="AM19" i="13"/>
  <c r="AD19" i="13"/>
  <c r="AF19" i="13" s="1"/>
  <c r="BZ19" i="13"/>
  <c r="C57" i="10"/>
  <c r="D57" i="10" l="1"/>
  <c r="E57" i="10" s="1"/>
  <c r="AQ16" i="2"/>
  <c r="U16" i="2"/>
  <c r="W16" i="2"/>
  <c r="R16" i="2"/>
  <c r="S16" i="2"/>
  <c r="P16" i="2"/>
  <c r="N16" i="2"/>
  <c r="J16" i="2"/>
  <c r="K16" i="2"/>
  <c r="L16" i="2"/>
  <c r="B14" i="8" l="1"/>
  <c r="C14" i="8"/>
  <c r="AF16" i="2"/>
  <c r="F57" i="10"/>
  <c r="AI16" i="2"/>
  <c r="AG16" i="2"/>
  <c r="AM16" i="2"/>
  <c r="AK16" i="2"/>
  <c r="AH16" i="2"/>
  <c r="AL16" i="2"/>
  <c r="AJ16" i="2"/>
  <c r="D14" i="8" l="1"/>
  <c r="G57" i="10"/>
  <c r="AA12" i="2"/>
  <c r="E14" i="8" l="1"/>
  <c r="F14" i="8"/>
  <c r="H57" i="10"/>
  <c r="AA9" i="2"/>
  <c r="AA8" i="2"/>
  <c r="AA7" i="2"/>
  <c r="AA20" i="2"/>
  <c r="AA14" i="2"/>
  <c r="AA11" i="2"/>
  <c r="AA13" i="2"/>
  <c r="Y14" i="2"/>
  <c r="Y8" i="2"/>
  <c r="Y13" i="2"/>
  <c r="Y11" i="2"/>
  <c r="Y10" i="2"/>
  <c r="I57" i="10" l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2" i="21"/>
  <c r="S2" i="1"/>
  <c r="S27" i="1"/>
  <c r="T27" i="1"/>
  <c r="S28" i="1"/>
  <c r="T28" i="1"/>
  <c r="S29" i="1"/>
  <c r="T29" i="1"/>
  <c r="S30" i="1"/>
  <c r="T30" i="1"/>
  <c r="S32" i="1"/>
  <c r="T32" i="1"/>
  <c r="S33" i="1"/>
  <c r="T33" i="1"/>
  <c r="S20" i="1"/>
  <c r="S34" i="1"/>
  <c r="T34" i="1"/>
  <c r="S31" i="1"/>
  <c r="S35" i="1"/>
  <c r="T35" i="1"/>
  <c r="S37" i="1"/>
  <c r="T37" i="1"/>
  <c r="S38" i="1"/>
  <c r="T38" i="1"/>
  <c r="S39" i="1"/>
  <c r="T39" i="1"/>
  <c r="S41" i="1"/>
  <c r="T41" i="1"/>
  <c r="S42" i="1"/>
  <c r="T42" i="1"/>
  <c r="S43" i="1"/>
  <c r="T43" i="1"/>
  <c r="S44" i="1"/>
  <c r="T44" i="1"/>
  <c r="S45" i="1"/>
  <c r="T45" i="1"/>
  <c r="S46" i="1"/>
  <c r="T46" i="1"/>
  <c r="S40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8" i="1"/>
  <c r="T58" i="1"/>
  <c r="S59" i="1"/>
  <c r="T59" i="1"/>
  <c r="S60" i="1"/>
  <c r="T60" i="1"/>
  <c r="S61" i="1"/>
  <c r="T61" i="1"/>
  <c r="S36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57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3" i="1"/>
  <c r="T3" i="1"/>
  <c r="S4" i="1"/>
  <c r="S6" i="1"/>
  <c r="T6" i="1"/>
  <c r="S7" i="1"/>
  <c r="T7" i="1"/>
  <c r="S8" i="1"/>
  <c r="T8" i="1"/>
  <c r="S5" i="1"/>
  <c r="S10" i="1"/>
  <c r="T10" i="1"/>
  <c r="S9" i="1"/>
  <c r="S11" i="1"/>
  <c r="T11" i="1"/>
  <c r="S12" i="1"/>
  <c r="S14" i="1"/>
  <c r="T14" i="1"/>
  <c r="S16" i="1"/>
  <c r="T16" i="1"/>
  <c r="S13" i="1"/>
  <c r="S17" i="1"/>
  <c r="T17" i="1"/>
  <c r="S18" i="1"/>
  <c r="T18" i="1"/>
  <c r="S15" i="1"/>
  <c r="S21" i="1"/>
  <c r="T21" i="1"/>
  <c r="S22" i="1"/>
  <c r="T22" i="1"/>
  <c r="S23" i="1"/>
  <c r="T23" i="1"/>
  <c r="S24" i="1"/>
  <c r="T24" i="1"/>
  <c r="S25" i="1"/>
  <c r="T25" i="1"/>
  <c r="S19" i="1"/>
  <c r="S26" i="1"/>
  <c r="T26" i="1"/>
  <c r="J57" i="10" l="1"/>
  <c r="U3" i="1"/>
  <c r="K57" i="10" l="1"/>
  <c r="O6" i="20"/>
  <c r="L57" i="10" l="1"/>
  <c r="AA10" i="2"/>
  <c r="AA6" i="2"/>
  <c r="M57" i="10" l="1"/>
  <c r="N57" i="10" l="1"/>
  <c r="AK18" i="10"/>
  <c r="AK19" i="10"/>
  <c r="AK21" i="10"/>
  <c r="O57" i="10" l="1"/>
  <c r="C25" i="20"/>
  <c r="C20" i="20"/>
  <c r="C8" i="20"/>
  <c r="P57" i="10" l="1"/>
  <c r="Y12" i="2"/>
  <c r="Y6" i="2"/>
  <c r="Y4" i="2"/>
  <c r="Q57" i="10" l="1"/>
  <c r="Z19" i="2"/>
  <c r="Z20" i="2"/>
  <c r="Z14" i="2"/>
  <c r="Z10" i="2"/>
  <c r="Z13" i="2"/>
  <c r="Z12" i="2"/>
  <c r="Z6" i="2"/>
  <c r="Z9" i="2"/>
  <c r="Z7" i="2"/>
  <c r="Z8" i="2"/>
  <c r="M6" i="20" l="1"/>
  <c r="N50" i="20" l="1"/>
  <c r="E16" i="3"/>
  <c r="G3" i="20" l="1"/>
  <c r="X24" i="3" l="1"/>
  <c r="W24" i="3"/>
  <c r="E24" i="3"/>
  <c r="X23" i="3"/>
  <c r="W23" i="3"/>
  <c r="E23" i="3"/>
  <c r="U9" i="4" l="1"/>
  <c r="U8" i="4"/>
  <c r="U7" i="4"/>
  <c r="U6" i="4"/>
  <c r="U5" i="4"/>
  <c r="U4" i="4"/>
  <c r="U3" i="4"/>
  <c r="U2" i="4"/>
  <c r="AA19" i="2" l="1"/>
  <c r="Y5" i="2"/>
  <c r="N48" i="20" l="1"/>
  <c r="N46" i="20"/>
  <c r="N44" i="20"/>
  <c r="N42" i="20"/>
  <c r="N40" i="20"/>
  <c r="N41" i="20"/>
  <c r="N43" i="20"/>
  <c r="N45" i="20"/>
  <c r="N47" i="20"/>
  <c r="N49" i="20"/>
  <c r="N39" i="20"/>
  <c r="N38" i="20"/>
  <c r="C11" i="20"/>
  <c r="N34" i="20"/>
  <c r="N35" i="20"/>
  <c r="N36" i="20"/>
  <c r="N37" i="20"/>
  <c r="N33" i="20"/>
  <c r="N16" i="20"/>
  <c r="O16" i="20" s="1"/>
  <c r="P16" i="20" s="1"/>
  <c r="Q16" i="20" s="1"/>
  <c r="R16" i="20" s="1"/>
  <c r="S16" i="20" s="1"/>
  <c r="T16" i="20" s="1"/>
  <c r="U16" i="20" s="1"/>
  <c r="V16" i="20" s="1"/>
  <c r="W16" i="20" s="1"/>
  <c r="X16" i="20" s="1"/>
  <c r="Y16" i="20" s="1"/>
  <c r="Z16" i="20" s="1"/>
  <c r="AA16" i="20" s="1"/>
  <c r="AB16" i="20" s="1"/>
  <c r="Z6" i="20"/>
  <c r="X6" i="20"/>
  <c r="V6" i="20"/>
  <c r="T6" i="20"/>
  <c r="R6" i="20"/>
  <c r="N3" i="20"/>
  <c r="O3" i="20" s="1"/>
  <c r="P3" i="20" s="1"/>
  <c r="Q3" i="20" s="1"/>
  <c r="R3" i="20" s="1"/>
  <c r="S3" i="20" s="1"/>
  <c r="T3" i="20" s="1"/>
  <c r="U3" i="20" s="1"/>
  <c r="V3" i="20" s="1"/>
  <c r="W3" i="20" s="1"/>
  <c r="X3" i="20" s="1"/>
  <c r="Y3" i="20" s="1"/>
  <c r="Z3" i="20" s="1"/>
  <c r="AA3" i="20" s="1"/>
  <c r="AB3" i="20" s="1"/>
  <c r="M28" i="20"/>
  <c r="N28" i="20" s="1"/>
  <c r="O28" i="20" s="1"/>
  <c r="P28" i="20" s="1"/>
  <c r="Q28" i="20" s="1"/>
  <c r="R28" i="20" s="1"/>
  <c r="S28" i="20" s="1"/>
  <c r="T28" i="20" s="1"/>
  <c r="U28" i="20" s="1"/>
  <c r="V28" i="20" s="1"/>
  <c r="W28" i="20" s="1"/>
  <c r="X28" i="20" s="1"/>
  <c r="Y28" i="20" s="1"/>
  <c r="Z28" i="20" s="1"/>
  <c r="AA28" i="20" s="1"/>
  <c r="AB28" i="20" s="1"/>
  <c r="AA24" i="20"/>
  <c r="AB24" i="20" s="1"/>
  <c r="N24" i="20"/>
  <c r="O24" i="20" s="1"/>
  <c r="K24" i="20"/>
  <c r="AA23" i="20"/>
  <c r="AB23" i="20" s="1"/>
  <c r="N23" i="20"/>
  <c r="O23" i="20" s="1"/>
  <c r="AA21" i="20"/>
  <c r="AB21" i="20" s="1"/>
  <c r="N21" i="20"/>
  <c r="Q21" i="20" s="1"/>
  <c r="R21" i="20" s="1"/>
  <c r="S21" i="20" s="1"/>
  <c r="T21" i="20" s="1"/>
  <c r="U21" i="20" s="1"/>
  <c r="V21" i="20" s="1"/>
  <c r="W21" i="20" s="1"/>
  <c r="X21" i="20" s="1"/>
  <c r="Y21" i="20" s="1"/>
  <c r="X20" i="20"/>
  <c r="Y20" i="20" s="1"/>
  <c r="O20" i="20"/>
  <c r="P20" i="20" s="1"/>
  <c r="Q20" i="20" s="1"/>
  <c r="N19" i="20"/>
  <c r="O19" i="20" s="1"/>
  <c r="P19" i="20" s="1"/>
  <c r="K19" i="20"/>
  <c r="N18" i="20"/>
  <c r="O18" i="20" s="1"/>
  <c r="K18" i="20"/>
  <c r="L17" i="20"/>
  <c r="C4" i="20" s="1"/>
  <c r="K16" i="20"/>
  <c r="K15" i="20"/>
  <c r="M14" i="20"/>
  <c r="O13" i="20"/>
  <c r="P13" i="20" s="1"/>
  <c r="Q13" i="20" s="1"/>
  <c r="R13" i="20" s="1"/>
  <c r="S13" i="20" s="1"/>
  <c r="T13" i="20" s="1"/>
  <c r="U13" i="20" s="1"/>
  <c r="V13" i="20" s="1"/>
  <c r="W13" i="20" s="1"/>
  <c r="X13" i="20" s="1"/>
  <c r="Y13" i="20" s="1"/>
  <c r="Z13" i="20" s="1"/>
  <c r="AA13" i="20" s="1"/>
  <c r="AB13" i="20" s="1"/>
  <c r="L12" i="20"/>
  <c r="C16" i="20" s="1"/>
  <c r="L9" i="20"/>
  <c r="C23" i="20" s="1"/>
  <c r="G9" i="20" s="1"/>
  <c r="L8" i="20"/>
  <c r="C22" i="20" s="1"/>
  <c r="M5" i="20"/>
  <c r="M4" i="20"/>
  <c r="M26" i="20" s="1"/>
  <c r="N4" i="20" s="1"/>
  <c r="N1" i="20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N31" i="20" l="1"/>
  <c r="C12" i="20" s="1"/>
  <c r="C10" i="20" s="1"/>
  <c r="N26" i="20"/>
  <c r="O4" i="20" s="1"/>
  <c r="AB11" i="20"/>
  <c r="L11" i="20" s="1"/>
  <c r="C15" i="20" s="1"/>
  <c r="L7" i="20"/>
  <c r="C18" i="20" s="1"/>
  <c r="G8" i="20" s="1"/>
  <c r="N14" i="20"/>
  <c r="P14" i="20"/>
  <c r="N25" i="20"/>
  <c r="Q19" i="20"/>
  <c r="R19" i="20" s="1"/>
  <c r="S19" i="20" s="1"/>
  <c r="T19" i="20" s="1"/>
  <c r="U19" i="20" s="1"/>
  <c r="V19" i="20" s="1"/>
  <c r="W19" i="20" s="1"/>
  <c r="X19" i="20" s="1"/>
  <c r="Y19" i="20" s="1"/>
  <c r="Z19" i="20" s="1"/>
  <c r="AA19" i="20" s="1"/>
  <c r="AB19" i="20" s="1"/>
  <c r="L19" i="20" s="1"/>
  <c r="G18" i="20" s="1"/>
  <c r="R22" i="20"/>
  <c r="S22" i="20" s="1"/>
  <c r="P24" i="20"/>
  <c r="Q24" i="20" s="1"/>
  <c r="R24" i="20" s="1"/>
  <c r="S24" i="20" s="1"/>
  <c r="T24" i="20" s="1"/>
  <c r="U24" i="20" s="1"/>
  <c r="V24" i="20" s="1"/>
  <c r="W24" i="20" s="1"/>
  <c r="X24" i="20" s="1"/>
  <c r="Y24" i="20" s="1"/>
  <c r="P23" i="20"/>
  <c r="Q23" i="20" s="1"/>
  <c r="R23" i="20" s="1"/>
  <c r="S23" i="20" s="1"/>
  <c r="T23" i="20" s="1"/>
  <c r="U23" i="20" s="1"/>
  <c r="V23" i="20" s="1"/>
  <c r="W23" i="20" s="1"/>
  <c r="X23" i="20" s="1"/>
  <c r="Y23" i="20" s="1"/>
  <c r="P18" i="20"/>
  <c r="Q18" i="20" s="1"/>
  <c r="R18" i="20" s="1"/>
  <c r="S18" i="20" s="1"/>
  <c r="T18" i="20" s="1"/>
  <c r="U18" i="20" s="1"/>
  <c r="V18" i="20" s="1"/>
  <c r="W18" i="20" s="1"/>
  <c r="X18" i="20" s="1"/>
  <c r="Y18" i="20" s="1"/>
  <c r="Z18" i="20" s="1"/>
  <c r="AA18" i="20" s="1"/>
  <c r="AB18" i="20" s="1"/>
  <c r="R20" i="20"/>
  <c r="S20" i="20" s="1"/>
  <c r="M25" i="20"/>
  <c r="L21" i="20"/>
  <c r="C5" i="20" s="1"/>
  <c r="C3" i="20" s="1"/>
  <c r="L6" i="20"/>
  <c r="C17" i="20" s="1"/>
  <c r="L16" i="20"/>
  <c r="G15" i="20" s="1"/>
  <c r="T22" i="20" l="1"/>
  <c r="U22" i="20" s="1"/>
  <c r="O26" i="20"/>
  <c r="P4" i="20" s="1"/>
  <c r="O14" i="20"/>
  <c r="Q14" i="20"/>
  <c r="L18" i="20"/>
  <c r="G17" i="20" s="1"/>
  <c r="L23" i="20"/>
  <c r="C21" i="20" s="1"/>
  <c r="L20" i="20"/>
  <c r="G21" i="20" s="1"/>
  <c r="L24" i="20"/>
  <c r="G20" i="20" s="1"/>
  <c r="O25" i="20"/>
  <c r="M27" i="20"/>
  <c r="N5" i="20" s="1"/>
  <c r="N27" i="20" s="1"/>
  <c r="O5" i="20" s="1"/>
  <c r="V22" i="20" l="1"/>
  <c r="W22" i="20" s="1"/>
  <c r="X22" i="20" s="1"/>
  <c r="Y22" i="20" s="1"/>
  <c r="Z22" i="20" s="1"/>
  <c r="AA22" i="20" s="1"/>
  <c r="AB22" i="20" s="1"/>
  <c r="L22" i="20"/>
  <c r="G19" i="20" s="1"/>
  <c r="R14" i="20"/>
  <c r="L26" i="20"/>
  <c r="C9" i="20" s="1"/>
  <c r="C7" i="20" s="1"/>
  <c r="P26" i="20"/>
  <c r="Q4" i="20" s="1"/>
  <c r="Q26" i="20" s="1"/>
  <c r="R4" i="20" s="1"/>
  <c r="O27" i="20"/>
  <c r="P5" i="20" s="1"/>
  <c r="P25" i="20"/>
  <c r="AB6" i="2"/>
  <c r="AB11" i="2"/>
  <c r="AB8" i="2"/>
  <c r="AB7" i="2"/>
  <c r="AB9" i="2"/>
  <c r="R26" i="20" l="1"/>
  <c r="S4" i="20" s="1"/>
  <c r="P27" i="20"/>
  <c r="Q5" i="20" s="1"/>
  <c r="Q25" i="20"/>
  <c r="S14" i="20" l="1"/>
  <c r="S26" i="20"/>
  <c r="T4" i="20" s="1"/>
  <c r="Q27" i="20"/>
  <c r="R5" i="20" s="1"/>
  <c r="T14" i="20"/>
  <c r="R25" i="20"/>
  <c r="O3" i="19"/>
  <c r="Q3" i="19" s="1"/>
  <c r="P3" i="19"/>
  <c r="R3" i="19"/>
  <c r="S3" i="19"/>
  <c r="U3" i="19" s="1"/>
  <c r="T3" i="19"/>
  <c r="V3" i="19"/>
  <c r="X3" i="19" s="1"/>
  <c r="W3" i="19"/>
  <c r="Y3" i="19"/>
  <c r="Z3" i="19"/>
  <c r="AB3" i="19" s="1"/>
  <c r="AA3" i="19"/>
  <c r="O4" i="19"/>
  <c r="Q4" i="19" s="1"/>
  <c r="P4" i="19"/>
  <c r="R4" i="19"/>
  <c r="S4" i="19"/>
  <c r="U4" i="19" s="1"/>
  <c r="T4" i="19"/>
  <c r="V4" i="19"/>
  <c r="X4" i="19" s="1"/>
  <c r="W4" i="19"/>
  <c r="Y4" i="19"/>
  <c r="Z4" i="19"/>
  <c r="AB4" i="19" s="1"/>
  <c r="AA4" i="19"/>
  <c r="O5" i="19"/>
  <c r="Q5" i="19" s="1"/>
  <c r="P5" i="19"/>
  <c r="R5" i="19"/>
  <c r="S5" i="19"/>
  <c r="U5" i="19" s="1"/>
  <c r="T5" i="19"/>
  <c r="V5" i="19"/>
  <c r="X5" i="19" s="1"/>
  <c r="W5" i="19"/>
  <c r="Y5" i="19"/>
  <c r="Z5" i="19"/>
  <c r="AB5" i="19" s="1"/>
  <c r="AA5" i="19"/>
  <c r="O6" i="19"/>
  <c r="Q6" i="19" s="1"/>
  <c r="P6" i="19"/>
  <c r="R6" i="19"/>
  <c r="S6" i="19"/>
  <c r="U6" i="19" s="1"/>
  <c r="T6" i="19"/>
  <c r="V6" i="19"/>
  <c r="X6" i="19" s="1"/>
  <c r="W6" i="19"/>
  <c r="Y6" i="19"/>
  <c r="Z6" i="19"/>
  <c r="AB6" i="19" s="1"/>
  <c r="AA6" i="19"/>
  <c r="O7" i="19"/>
  <c r="Q7" i="19" s="1"/>
  <c r="P7" i="19"/>
  <c r="R7" i="19"/>
  <c r="S7" i="19"/>
  <c r="U7" i="19" s="1"/>
  <c r="T7" i="19"/>
  <c r="V7" i="19"/>
  <c r="X7" i="19" s="1"/>
  <c r="W7" i="19"/>
  <c r="Y7" i="19"/>
  <c r="Z7" i="19"/>
  <c r="AB7" i="19" s="1"/>
  <c r="AA7" i="19"/>
  <c r="O8" i="19"/>
  <c r="Q8" i="19" s="1"/>
  <c r="P8" i="19"/>
  <c r="R8" i="19"/>
  <c r="S8" i="19"/>
  <c r="U8" i="19" s="1"/>
  <c r="T8" i="19"/>
  <c r="V8" i="19"/>
  <c r="X8" i="19" s="1"/>
  <c r="W8" i="19"/>
  <c r="Y8" i="19"/>
  <c r="Z8" i="19"/>
  <c r="AB8" i="19" s="1"/>
  <c r="AA8" i="19"/>
  <c r="O9" i="19"/>
  <c r="Q9" i="19" s="1"/>
  <c r="P9" i="19"/>
  <c r="R9" i="19"/>
  <c r="S9" i="19"/>
  <c r="U9" i="19" s="1"/>
  <c r="T9" i="19"/>
  <c r="V9" i="19"/>
  <c r="X9" i="19" s="1"/>
  <c r="W9" i="19"/>
  <c r="Y9" i="19"/>
  <c r="Z9" i="19"/>
  <c r="AB9" i="19" s="1"/>
  <c r="AA9" i="19"/>
  <c r="O10" i="19"/>
  <c r="Q10" i="19" s="1"/>
  <c r="P10" i="19"/>
  <c r="R10" i="19"/>
  <c r="S10" i="19"/>
  <c r="U10" i="19" s="1"/>
  <c r="T10" i="19"/>
  <c r="V10" i="19"/>
  <c r="X10" i="19" s="1"/>
  <c r="W10" i="19"/>
  <c r="Y10" i="19"/>
  <c r="Z10" i="19"/>
  <c r="AB10" i="19" s="1"/>
  <c r="AA10" i="19"/>
  <c r="O11" i="19"/>
  <c r="Q11" i="19" s="1"/>
  <c r="P11" i="19"/>
  <c r="R11" i="19"/>
  <c r="S11" i="19"/>
  <c r="U11" i="19" s="1"/>
  <c r="T11" i="19"/>
  <c r="V11" i="19"/>
  <c r="X11" i="19" s="1"/>
  <c r="W11" i="19"/>
  <c r="Y11" i="19"/>
  <c r="Z11" i="19"/>
  <c r="AB11" i="19" s="1"/>
  <c r="AA11" i="19"/>
  <c r="O12" i="19"/>
  <c r="Q12" i="19" s="1"/>
  <c r="P12" i="19"/>
  <c r="R12" i="19"/>
  <c r="S12" i="19"/>
  <c r="U12" i="19" s="1"/>
  <c r="T12" i="19"/>
  <c r="V12" i="19"/>
  <c r="X12" i="19" s="1"/>
  <c r="W12" i="19"/>
  <c r="Y12" i="19"/>
  <c r="Z12" i="19"/>
  <c r="AB12" i="19" s="1"/>
  <c r="AA12" i="19"/>
  <c r="O13" i="19"/>
  <c r="Q13" i="19" s="1"/>
  <c r="P13" i="19"/>
  <c r="R13" i="19"/>
  <c r="S13" i="19"/>
  <c r="U13" i="19" s="1"/>
  <c r="T13" i="19"/>
  <c r="V13" i="19"/>
  <c r="X13" i="19" s="1"/>
  <c r="W13" i="19"/>
  <c r="Y13" i="19"/>
  <c r="Z13" i="19"/>
  <c r="AB13" i="19" s="1"/>
  <c r="AA13" i="19"/>
  <c r="O14" i="19"/>
  <c r="Q14" i="19" s="1"/>
  <c r="P14" i="19"/>
  <c r="R14" i="19"/>
  <c r="S14" i="19"/>
  <c r="U14" i="19" s="1"/>
  <c r="T14" i="19"/>
  <c r="V14" i="19"/>
  <c r="X14" i="19" s="1"/>
  <c r="W14" i="19"/>
  <c r="Y14" i="19"/>
  <c r="Z14" i="19"/>
  <c r="AB14" i="19" s="1"/>
  <c r="AA14" i="19"/>
  <c r="T26" i="20" l="1"/>
  <c r="U4" i="20" s="1"/>
  <c r="R27" i="20"/>
  <c r="S5" i="20" s="1"/>
  <c r="U14" i="20"/>
  <c r="S25" i="20"/>
  <c r="AG14" i="19"/>
  <c r="AI14" i="19" s="1"/>
  <c r="AH14" i="19"/>
  <c r="AJ14" i="19" s="1"/>
  <c r="AG13" i="19"/>
  <c r="AI13" i="19" s="1"/>
  <c r="AH13" i="19"/>
  <c r="AJ13" i="19" s="1"/>
  <c r="AG11" i="19"/>
  <c r="AI11" i="19" s="1"/>
  <c r="AG10" i="19"/>
  <c r="AI10" i="19" s="1"/>
  <c r="AH10" i="19"/>
  <c r="AJ10" i="19" s="1"/>
  <c r="AG9" i="19"/>
  <c r="AI9" i="19" s="1"/>
  <c r="AG8" i="19"/>
  <c r="AI8" i="19" s="1"/>
  <c r="AH8" i="19"/>
  <c r="AJ8" i="19" s="1"/>
  <c r="AG7" i="19"/>
  <c r="AI7" i="19" s="1"/>
  <c r="AH7" i="19"/>
  <c r="AJ7" i="19" s="1"/>
  <c r="AG6" i="19"/>
  <c r="AI6" i="19" s="1"/>
  <c r="AH6" i="19"/>
  <c r="AJ6" i="19" s="1"/>
  <c r="AG5" i="19"/>
  <c r="AI5" i="19" s="1"/>
  <c r="AH5" i="19"/>
  <c r="AJ5" i="19" s="1"/>
  <c r="AG4" i="19"/>
  <c r="AI4" i="19" s="1"/>
  <c r="AH4" i="19"/>
  <c r="AJ4" i="19" s="1"/>
  <c r="AG3" i="19"/>
  <c r="AI3" i="19" s="1"/>
  <c r="AH3" i="19"/>
  <c r="AJ3" i="19" s="1"/>
  <c r="U26" i="20" l="1"/>
  <c r="V4" i="20" s="1"/>
  <c r="S27" i="20"/>
  <c r="T5" i="20" s="1"/>
  <c r="V14" i="20"/>
  <c r="T25" i="20"/>
  <c r="AH12" i="19"/>
  <c r="AJ12" i="19" s="1"/>
  <c r="AG12" i="19"/>
  <c r="AI12" i="19" s="1"/>
  <c r="V26" i="20" l="1"/>
  <c r="W4" i="20" s="1"/>
  <c r="T27" i="20"/>
  <c r="U5" i="20" s="1"/>
  <c r="U25" i="20"/>
  <c r="W14" i="20"/>
  <c r="W26" i="20" l="1"/>
  <c r="X4" i="20" s="1"/>
  <c r="U27" i="20"/>
  <c r="V5" i="20" s="1"/>
  <c r="X14" i="20"/>
  <c r="V25" i="20"/>
  <c r="X26" i="20" l="1"/>
  <c r="Y4" i="20" s="1"/>
  <c r="V27" i="20"/>
  <c r="W5" i="20" s="1"/>
  <c r="Y14" i="20"/>
  <c r="W25" i="20"/>
  <c r="AS15" i="2"/>
  <c r="Y26" i="20" l="1"/>
  <c r="Z4" i="20" s="1"/>
  <c r="W27" i="20"/>
  <c r="X5" i="20" s="1"/>
  <c r="X25" i="20"/>
  <c r="Z14" i="20"/>
  <c r="Z26" i="20" l="1"/>
  <c r="AA4" i="20" s="1"/>
  <c r="X27" i="20"/>
  <c r="Y5" i="20" s="1"/>
  <c r="AA14" i="20"/>
  <c r="Y25" i="20"/>
  <c r="F10" i="10"/>
  <c r="F11" i="10"/>
  <c r="F12" i="10"/>
  <c r="F9" i="10"/>
  <c r="AA26" i="20" l="1"/>
  <c r="AB4" i="20" s="1"/>
  <c r="AB26" i="20" s="1"/>
  <c r="Y27" i="20"/>
  <c r="Z5" i="20" s="1"/>
  <c r="Z25" i="20"/>
  <c r="AB14" i="20"/>
  <c r="L14" i="20" s="1"/>
  <c r="L10" i="20"/>
  <c r="C19" i="20" s="1"/>
  <c r="AC13" i="2"/>
  <c r="C14" i="20" l="1"/>
  <c r="Z27" i="20"/>
  <c r="AA5" i="20" s="1"/>
  <c r="AA25" i="20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AA27" i="20" l="1"/>
  <c r="AB5" i="20" s="1"/>
  <c r="AB25" i="20"/>
  <c r="L25" i="20" s="1"/>
  <c r="L15" i="20"/>
  <c r="G16" i="20" s="1"/>
  <c r="R21" i="10" l="1"/>
  <c r="R19" i="10"/>
  <c r="R18" i="10"/>
  <c r="G14" i="20"/>
  <c r="AB27" i="20"/>
  <c r="S18" i="10" l="1"/>
  <c r="S21" i="10"/>
  <c r="S19" i="10"/>
  <c r="L27" i="20"/>
  <c r="C26" i="20" s="1"/>
  <c r="U17" i="2"/>
  <c r="T18" i="10" l="1"/>
  <c r="T21" i="10"/>
  <c r="T19" i="10"/>
  <c r="C24" i="20"/>
  <c r="U19" i="10" l="1"/>
  <c r="U18" i="10"/>
  <c r="U21" i="10"/>
  <c r="C2" i="20"/>
  <c r="P9" i="15"/>
  <c r="Q9" i="15"/>
  <c r="R9" i="15"/>
  <c r="T9" i="15"/>
  <c r="V9" i="15" s="1"/>
  <c r="U9" i="15"/>
  <c r="X9" i="15"/>
  <c r="Z9" i="15" s="1"/>
  <c r="Y9" i="15"/>
  <c r="O9" i="15"/>
  <c r="S9" i="15"/>
  <c r="W9" i="15"/>
  <c r="V18" i="10" l="1"/>
  <c r="V21" i="10"/>
  <c r="V19" i="10"/>
  <c r="D24" i="20"/>
  <c r="D9" i="20"/>
  <c r="D13" i="20"/>
  <c r="D22" i="20"/>
  <c r="D7" i="20"/>
  <c r="D23" i="20"/>
  <c r="D20" i="20"/>
  <c r="D18" i="20"/>
  <c r="D17" i="20"/>
  <c r="D16" i="20"/>
  <c r="D10" i="20"/>
  <c r="D21" i="20"/>
  <c r="D15" i="20"/>
  <c r="D19" i="20"/>
  <c r="D12" i="20"/>
  <c r="D14" i="20"/>
  <c r="D26" i="20"/>
  <c r="P16" i="15"/>
  <c r="Q16" i="15"/>
  <c r="R16" i="15"/>
  <c r="T16" i="15"/>
  <c r="V16" i="15" s="1"/>
  <c r="U16" i="15"/>
  <c r="X16" i="15"/>
  <c r="Z16" i="15" s="1"/>
  <c r="Y16" i="15"/>
  <c r="O16" i="15"/>
  <c r="S16" i="15"/>
  <c r="W16" i="15"/>
  <c r="P3" i="15"/>
  <c r="Q3" i="15"/>
  <c r="R3" i="15"/>
  <c r="T3" i="15"/>
  <c r="V3" i="15" s="1"/>
  <c r="U3" i="15"/>
  <c r="X3" i="15"/>
  <c r="Z3" i="15" s="1"/>
  <c r="Y3" i="15"/>
  <c r="O3" i="15"/>
  <c r="S3" i="15"/>
  <c r="W3" i="15"/>
  <c r="P4" i="15"/>
  <c r="Q4" i="15"/>
  <c r="R4" i="15"/>
  <c r="T4" i="15"/>
  <c r="V4" i="15" s="1"/>
  <c r="U4" i="15"/>
  <c r="X4" i="15"/>
  <c r="Z4" i="15" s="1"/>
  <c r="Y4" i="15"/>
  <c r="O4" i="15"/>
  <c r="S4" i="15"/>
  <c r="W4" i="15"/>
  <c r="W21" i="10" l="1"/>
  <c r="W18" i="10"/>
  <c r="W19" i="10"/>
  <c r="A4" i="13"/>
  <c r="B4" i="13"/>
  <c r="D4" i="13"/>
  <c r="E4" i="13"/>
  <c r="F4" i="13"/>
  <c r="G4" i="13" s="1"/>
  <c r="J4" i="13"/>
  <c r="K4" i="13"/>
  <c r="M4" i="13"/>
  <c r="N4" i="13"/>
  <c r="O4" i="13"/>
  <c r="P4" i="13"/>
  <c r="Q4" i="13"/>
  <c r="A5" i="13"/>
  <c r="B5" i="13"/>
  <c r="D5" i="13"/>
  <c r="E5" i="13"/>
  <c r="F5" i="13"/>
  <c r="G5" i="13" s="1"/>
  <c r="J5" i="13"/>
  <c r="K5" i="13"/>
  <c r="L5" i="13"/>
  <c r="M5" i="13"/>
  <c r="N5" i="13"/>
  <c r="O5" i="13"/>
  <c r="P5" i="13"/>
  <c r="Q5" i="13"/>
  <c r="A6" i="13"/>
  <c r="B6" i="13"/>
  <c r="D6" i="13"/>
  <c r="E6" i="13"/>
  <c r="F6" i="13"/>
  <c r="G6" i="13" s="1"/>
  <c r="J6" i="13"/>
  <c r="K6" i="13"/>
  <c r="L6" i="13"/>
  <c r="M6" i="13"/>
  <c r="N6" i="13"/>
  <c r="O6" i="13"/>
  <c r="P6" i="13"/>
  <c r="Q6" i="13"/>
  <c r="A7" i="13"/>
  <c r="B7" i="13"/>
  <c r="D7" i="13"/>
  <c r="E7" i="13"/>
  <c r="F7" i="13"/>
  <c r="H7" i="13" s="1"/>
  <c r="J7" i="13"/>
  <c r="K7" i="13"/>
  <c r="M7" i="13"/>
  <c r="N7" i="13"/>
  <c r="O7" i="13"/>
  <c r="P7" i="13"/>
  <c r="A8" i="13"/>
  <c r="B8" i="13"/>
  <c r="D8" i="13"/>
  <c r="E8" i="13"/>
  <c r="F8" i="13"/>
  <c r="J8" i="13"/>
  <c r="K8" i="13"/>
  <c r="L8" i="13"/>
  <c r="M8" i="13"/>
  <c r="N8" i="13"/>
  <c r="O8" i="13"/>
  <c r="P8" i="13"/>
  <c r="A9" i="13"/>
  <c r="B9" i="13"/>
  <c r="D9" i="13"/>
  <c r="E9" i="13"/>
  <c r="F9" i="13"/>
  <c r="G9" i="13" s="1"/>
  <c r="J9" i="13"/>
  <c r="K9" i="13"/>
  <c r="L9" i="13"/>
  <c r="M9" i="13"/>
  <c r="N9" i="13"/>
  <c r="O9" i="13"/>
  <c r="Q9" i="13"/>
  <c r="A10" i="13"/>
  <c r="B10" i="13"/>
  <c r="D10" i="13"/>
  <c r="E10" i="13"/>
  <c r="F10" i="13"/>
  <c r="H10" i="13" s="1"/>
  <c r="J10" i="13"/>
  <c r="K10" i="13"/>
  <c r="L10" i="13"/>
  <c r="M10" i="13"/>
  <c r="N10" i="13"/>
  <c r="O10" i="13"/>
  <c r="A11" i="13"/>
  <c r="B11" i="13"/>
  <c r="D11" i="13"/>
  <c r="E11" i="13"/>
  <c r="F11" i="13"/>
  <c r="H11" i="13" s="1"/>
  <c r="J11" i="13"/>
  <c r="K11" i="13"/>
  <c r="L11" i="13"/>
  <c r="M11" i="13"/>
  <c r="N11" i="13"/>
  <c r="O11" i="13"/>
  <c r="A12" i="13"/>
  <c r="B12" i="13"/>
  <c r="D12" i="13"/>
  <c r="E12" i="13"/>
  <c r="F12" i="13"/>
  <c r="G12" i="13" s="1"/>
  <c r="I12" i="13"/>
  <c r="J12" i="13"/>
  <c r="K12" i="13"/>
  <c r="L12" i="13"/>
  <c r="M12" i="13"/>
  <c r="N12" i="13"/>
  <c r="P12" i="13"/>
  <c r="Q12" i="13"/>
  <c r="A13" i="13"/>
  <c r="B13" i="13"/>
  <c r="D13" i="13"/>
  <c r="E13" i="13"/>
  <c r="F13" i="13"/>
  <c r="H13" i="13" s="1"/>
  <c r="J13" i="13"/>
  <c r="K13" i="13"/>
  <c r="L13" i="13"/>
  <c r="M13" i="13"/>
  <c r="N13" i="13"/>
  <c r="O13" i="13"/>
  <c r="P13" i="13"/>
  <c r="Q13" i="13"/>
  <c r="A14" i="13"/>
  <c r="B14" i="13"/>
  <c r="D14" i="13"/>
  <c r="E14" i="13"/>
  <c r="F14" i="13"/>
  <c r="H14" i="13" s="1"/>
  <c r="J14" i="13"/>
  <c r="K14" i="13"/>
  <c r="L14" i="13"/>
  <c r="M14" i="13"/>
  <c r="N14" i="13"/>
  <c r="O14" i="13"/>
  <c r="P14" i="13"/>
  <c r="Q14" i="13"/>
  <c r="A15" i="13"/>
  <c r="B15" i="13"/>
  <c r="D15" i="13"/>
  <c r="E15" i="13"/>
  <c r="F15" i="13"/>
  <c r="G15" i="13" s="1"/>
  <c r="J15" i="13"/>
  <c r="K15" i="13"/>
  <c r="L15" i="13"/>
  <c r="M15" i="13"/>
  <c r="N15" i="13"/>
  <c r="O15" i="13"/>
  <c r="P15" i="13"/>
  <c r="Q15" i="13"/>
  <c r="A16" i="13"/>
  <c r="B16" i="13"/>
  <c r="D16" i="13"/>
  <c r="E16" i="13"/>
  <c r="F16" i="13"/>
  <c r="J16" i="13"/>
  <c r="K16" i="13"/>
  <c r="L16" i="13"/>
  <c r="M16" i="13"/>
  <c r="N16" i="13"/>
  <c r="O16" i="13"/>
  <c r="P16" i="13"/>
  <c r="Q16" i="13"/>
  <c r="A17" i="13"/>
  <c r="B17" i="13"/>
  <c r="D17" i="13"/>
  <c r="E17" i="13"/>
  <c r="F17" i="13"/>
  <c r="G17" i="13" s="1"/>
  <c r="J17" i="13"/>
  <c r="K17" i="13"/>
  <c r="L17" i="13"/>
  <c r="M17" i="13"/>
  <c r="N17" i="13"/>
  <c r="O17" i="13"/>
  <c r="P17" i="13"/>
  <c r="Q17" i="13"/>
  <c r="A18" i="13"/>
  <c r="B18" i="13"/>
  <c r="D18" i="13"/>
  <c r="E18" i="13"/>
  <c r="F18" i="13"/>
  <c r="H18" i="13" s="1"/>
  <c r="J18" i="13"/>
  <c r="K18" i="13"/>
  <c r="L18" i="13"/>
  <c r="M18" i="13"/>
  <c r="N18" i="13"/>
  <c r="O18" i="13"/>
  <c r="P18" i="13"/>
  <c r="Q18" i="13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X19" i="10" l="1"/>
  <c r="X18" i="10"/>
  <c r="X21" i="10"/>
  <c r="R8" i="13"/>
  <c r="AN12" i="13"/>
  <c r="S16" i="13"/>
  <c r="R17" i="13"/>
  <c r="S4" i="13"/>
  <c r="R11" i="13"/>
  <c r="T16" i="13"/>
  <c r="S18" i="13"/>
  <c r="S15" i="13"/>
  <c r="H5" i="13"/>
  <c r="H6" i="13"/>
  <c r="G18" i="13"/>
  <c r="T12" i="13"/>
  <c r="X12" i="13"/>
  <c r="R6" i="13"/>
  <c r="S17" i="13"/>
  <c r="AM12" i="13"/>
  <c r="U12" i="13"/>
  <c r="V12" i="13" s="1"/>
  <c r="BN12" i="13"/>
  <c r="BJ12" i="13"/>
  <c r="H15" i="13"/>
  <c r="G14" i="13"/>
  <c r="G13" i="13"/>
  <c r="H12" i="13"/>
  <c r="BI12" i="13"/>
  <c r="AK12" i="13"/>
  <c r="BE12" i="13"/>
  <c r="AH12" i="13"/>
  <c r="AE12" i="13"/>
  <c r="CE12" i="13"/>
  <c r="AW12" i="13"/>
  <c r="AY12" i="13" s="1"/>
  <c r="AD12" i="13"/>
  <c r="AF12" i="13" s="1"/>
  <c r="BT12" i="13"/>
  <c r="AQ12" i="13"/>
  <c r="AA12" i="13"/>
  <c r="BO12" i="13"/>
  <c r="AP12" i="13"/>
  <c r="AR12" i="13" s="1"/>
  <c r="G7" i="13"/>
  <c r="H17" i="13"/>
  <c r="S13" i="13"/>
  <c r="T17" i="13"/>
  <c r="R13" i="13"/>
  <c r="AJ12" i="13"/>
  <c r="AZ12" i="13"/>
  <c r="AS12" i="13"/>
  <c r="BK12" i="13"/>
  <c r="AC12" i="13"/>
  <c r="BU12" i="13"/>
  <c r="BP12" i="13"/>
  <c r="BX12" i="13"/>
  <c r="AG12" i="13"/>
  <c r="H8" i="13"/>
  <c r="G8" i="13"/>
  <c r="T14" i="13"/>
  <c r="R18" i="13"/>
  <c r="R15" i="13"/>
  <c r="BF12" i="13"/>
  <c r="G16" i="13"/>
  <c r="H16" i="13"/>
  <c r="T9" i="13"/>
  <c r="S14" i="13"/>
  <c r="R5" i="13"/>
  <c r="T5" i="13"/>
  <c r="T15" i="13"/>
  <c r="T18" i="13"/>
  <c r="R14" i="13"/>
  <c r="T13" i="13"/>
  <c r="R16" i="13"/>
  <c r="S12" i="13"/>
  <c r="T6" i="13"/>
  <c r="S6" i="13"/>
  <c r="G11" i="13"/>
  <c r="Z12" i="13"/>
  <c r="AB12" i="13" s="1"/>
  <c r="AI12" i="13"/>
  <c r="BS12" i="13"/>
  <c r="AL12" i="13"/>
  <c r="BD12" i="13"/>
  <c r="W12" i="13"/>
  <c r="Y12" i="13" s="1"/>
  <c r="AX12" i="13"/>
  <c r="H9" i="13"/>
  <c r="R9" i="13"/>
  <c r="R10" i="13"/>
  <c r="G10" i="13"/>
  <c r="S5" i="13"/>
  <c r="H4" i="13"/>
  <c r="Y19" i="10" l="1"/>
  <c r="Y18" i="10"/>
  <c r="Y21" i="10"/>
  <c r="N12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N10" i="9"/>
  <c r="N11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N9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A3" i="8"/>
  <c r="H4" i="8"/>
  <c r="O12" i="7"/>
  <c r="O11" i="7"/>
  <c r="S11" i="7"/>
  <c r="Q11" i="7"/>
  <c r="O13" i="7"/>
  <c r="Q13" i="7"/>
  <c r="O8" i="7"/>
  <c r="S8" i="7"/>
  <c r="O9" i="7"/>
  <c r="S9" i="7"/>
  <c r="Q9" i="7"/>
  <c r="O3" i="7"/>
  <c r="O7" i="7"/>
  <c r="R7" i="7"/>
  <c r="O6" i="7"/>
  <c r="Q6" i="7"/>
  <c r="O10" i="7"/>
  <c r="R10" i="7"/>
  <c r="Q10" i="7"/>
  <c r="O4" i="7"/>
  <c r="R4" i="7"/>
  <c r="Z21" i="10" l="1"/>
  <c r="Z19" i="10"/>
  <c r="Z18" i="10"/>
  <c r="S13" i="7"/>
  <c r="R13" i="7"/>
  <c r="S6" i="7"/>
  <c r="R6" i="7"/>
  <c r="Q3" i="7"/>
  <c r="P3" i="7"/>
  <c r="S3" i="7"/>
  <c r="R3" i="7"/>
  <c r="S12" i="7"/>
  <c r="R12" i="7"/>
  <c r="R9" i="7"/>
  <c r="R11" i="7"/>
  <c r="R8" i="7"/>
  <c r="P10" i="7"/>
  <c r="P11" i="7"/>
  <c r="P13" i="7"/>
  <c r="P12" i="7"/>
  <c r="Q12" i="7"/>
  <c r="Q8" i="7"/>
  <c r="P8" i="7"/>
  <c r="P9" i="7"/>
  <c r="P6" i="7"/>
  <c r="Q7" i="7"/>
  <c r="P7" i="7"/>
  <c r="Q4" i="7"/>
  <c r="P4" i="7"/>
  <c r="S7" i="7"/>
  <c r="AA18" i="10" l="1"/>
  <c r="AA21" i="10"/>
  <c r="AA19" i="10"/>
  <c r="S10" i="7"/>
  <c r="S4" i="7"/>
  <c r="AB18" i="10" l="1"/>
  <c r="AB21" i="10"/>
  <c r="AB19" i="10"/>
  <c r="U10" i="17"/>
  <c r="T10" i="17"/>
  <c r="S10" i="17"/>
  <c r="T9" i="17"/>
  <c r="S9" i="17"/>
  <c r="T8" i="17"/>
  <c r="S8" i="17"/>
  <c r="T7" i="17"/>
  <c r="S7" i="17"/>
  <c r="T6" i="17"/>
  <c r="S6" i="17"/>
  <c r="T5" i="17"/>
  <c r="S5" i="17"/>
  <c r="R4" i="17"/>
  <c r="Q4" i="17"/>
  <c r="P4" i="17"/>
  <c r="O4" i="17"/>
  <c r="N4" i="17"/>
  <c r="L4" i="17"/>
  <c r="K4" i="17"/>
  <c r="F4" i="17"/>
  <c r="G4" i="17" s="1"/>
  <c r="A4" i="17"/>
  <c r="R3" i="17"/>
  <c r="Q3" i="17"/>
  <c r="P3" i="17"/>
  <c r="O3" i="17"/>
  <c r="N3" i="17"/>
  <c r="L3" i="17"/>
  <c r="K3" i="17"/>
  <c r="F3" i="17"/>
  <c r="G3" i="17" s="1"/>
  <c r="A3" i="17"/>
  <c r="V10" i="16"/>
  <c r="V9" i="16"/>
  <c r="V8" i="16"/>
  <c r="V7" i="16"/>
  <c r="G7" i="16"/>
  <c r="V6" i="16"/>
  <c r="V5" i="16"/>
  <c r="G5" i="16"/>
  <c r="V4" i="16"/>
  <c r="O4" i="16"/>
  <c r="N4" i="16"/>
  <c r="M4" i="16"/>
  <c r="L4" i="16"/>
  <c r="K4" i="16"/>
  <c r="I4" i="16"/>
  <c r="H4" i="16"/>
  <c r="G4" i="16"/>
  <c r="A4" i="16"/>
  <c r="V3" i="16"/>
  <c r="O3" i="16"/>
  <c r="N3" i="16"/>
  <c r="M3" i="16"/>
  <c r="L3" i="16"/>
  <c r="K3" i="16"/>
  <c r="I3" i="16"/>
  <c r="H3" i="16"/>
  <c r="G3" i="16"/>
  <c r="A3" i="16"/>
  <c r="AF7" i="15"/>
  <c r="AH7" i="15" s="1"/>
  <c r="AE7" i="15"/>
  <c r="AG7" i="15" s="1"/>
  <c r="Y7" i="15"/>
  <c r="X7" i="15"/>
  <c r="Z7" i="15" s="1"/>
  <c r="W7" i="15"/>
  <c r="U7" i="15"/>
  <c r="T7" i="15"/>
  <c r="V7" i="15" s="1"/>
  <c r="S7" i="15"/>
  <c r="R7" i="15"/>
  <c r="Q7" i="15"/>
  <c r="P7" i="15"/>
  <c r="O7" i="15"/>
  <c r="AF8" i="15"/>
  <c r="AH8" i="15" s="1"/>
  <c r="AE8" i="15"/>
  <c r="AG8" i="15" s="1"/>
  <c r="Y8" i="15"/>
  <c r="X8" i="15"/>
  <c r="Z8" i="15" s="1"/>
  <c r="W8" i="15"/>
  <c r="U8" i="15"/>
  <c r="T8" i="15"/>
  <c r="V8" i="15" s="1"/>
  <c r="S8" i="15"/>
  <c r="R8" i="15"/>
  <c r="Q8" i="15"/>
  <c r="P8" i="15"/>
  <c r="O8" i="15"/>
  <c r="Y6" i="15"/>
  <c r="X6" i="15"/>
  <c r="Z6" i="15" s="1"/>
  <c r="W6" i="15"/>
  <c r="U6" i="15"/>
  <c r="T6" i="15"/>
  <c r="V6" i="15" s="1"/>
  <c r="S6" i="15"/>
  <c r="R6" i="15"/>
  <c r="Q6" i="15"/>
  <c r="P6" i="15"/>
  <c r="O6" i="15"/>
  <c r="Y10" i="15"/>
  <c r="X10" i="15"/>
  <c r="Z10" i="15" s="1"/>
  <c r="W10" i="15"/>
  <c r="U10" i="15"/>
  <c r="T10" i="15"/>
  <c r="V10" i="15" s="1"/>
  <c r="S10" i="15"/>
  <c r="R10" i="15"/>
  <c r="Q10" i="15"/>
  <c r="P10" i="15"/>
  <c r="O10" i="15"/>
  <c r="Y14" i="15"/>
  <c r="X14" i="15"/>
  <c r="Z14" i="15" s="1"/>
  <c r="W14" i="15"/>
  <c r="U14" i="15"/>
  <c r="T14" i="15"/>
  <c r="V14" i="15" s="1"/>
  <c r="S14" i="15"/>
  <c r="R14" i="15"/>
  <c r="Q14" i="15"/>
  <c r="P14" i="15"/>
  <c r="O14" i="15"/>
  <c r="Y5" i="15"/>
  <c r="X5" i="15"/>
  <c r="Z5" i="15" s="1"/>
  <c r="W5" i="15"/>
  <c r="U5" i="15"/>
  <c r="T5" i="15"/>
  <c r="V5" i="15" s="1"/>
  <c r="S5" i="15"/>
  <c r="R5" i="15"/>
  <c r="Q5" i="15"/>
  <c r="P5" i="15"/>
  <c r="O5" i="15"/>
  <c r="Y11" i="15"/>
  <c r="X11" i="15"/>
  <c r="Z11" i="15" s="1"/>
  <c r="W11" i="15"/>
  <c r="U11" i="15"/>
  <c r="T11" i="15"/>
  <c r="V11" i="15" s="1"/>
  <c r="S11" i="15"/>
  <c r="R11" i="15"/>
  <c r="Q11" i="15"/>
  <c r="P11" i="15"/>
  <c r="O11" i="15"/>
  <c r="K19" i="14"/>
  <c r="J19" i="14"/>
  <c r="G19" i="14"/>
  <c r="F19" i="14"/>
  <c r="E19" i="14"/>
  <c r="C19" i="14"/>
  <c r="B19" i="14"/>
  <c r="A19" i="14"/>
  <c r="K18" i="14"/>
  <c r="J18" i="14"/>
  <c r="I18" i="14"/>
  <c r="H18" i="14"/>
  <c r="G18" i="14"/>
  <c r="F18" i="14"/>
  <c r="E18" i="14"/>
  <c r="C18" i="14"/>
  <c r="B18" i="14"/>
  <c r="A18" i="14"/>
  <c r="K17" i="14"/>
  <c r="J17" i="14"/>
  <c r="I17" i="14"/>
  <c r="H17" i="14"/>
  <c r="G17" i="14"/>
  <c r="F17" i="14"/>
  <c r="E17" i="14"/>
  <c r="C17" i="14"/>
  <c r="B17" i="14"/>
  <c r="A17" i="14"/>
  <c r="K16" i="14"/>
  <c r="J16" i="14"/>
  <c r="I16" i="14"/>
  <c r="H16" i="14"/>
  <c r="G16" i="14"/>
  <c r="F16" i="14"/>
  <c r="E16" i="14"/>
  <c r="C16" i="14"/>
  <c r="B16" i="14"/>
  <c r="A16" i="14"/>
  <c r="R15" i="14"/>
  <c r="Q15" i="14"/>
  <c r="P15" i="14"/>
  <c r="O15" i="14"/>
  <c r="N15" i="14"/>
  <c r="L15" i="14"/>
  <c r="T15" i="14" s="1"/>
  <c r="K15" i="14"/>
  <c r="J15" i="14"/>
  <c r="I15" i="14"/>
  <c r="G15" i="14"/>
  <c r="E15" i="14"/>
  <c r="C15" i="14"/>
  <c r="B15" i="14"/>
  <c r="A15" i="14"/>
  <c r="L14" i="14"/>
  <c r="R14" i="14" s="1"/>
  <c r="K14" i="14"/>
  <c r="G14" i="14"/>
  <c r="E14" i="14"/>
  <c r="C14" i="14"/>
  <c r="B14" i="14"/>
  <c r="A14" i="14"/>
  <c r="P13" i="14"/>
  <c r="L13" i="14"/>
  <c r="G13" i="14"/>
  <c r="E13" i="14"/>
  <c r="C13" i="14"/>
  <c r="B13" i="14"/>
  <c r="A13" i="14"/>
  <c r="L12" i="14"/>
  <c r="S12" i="14" s="1"/>
  <c r="G12" i="14"/>
  <c r="E12" i="14"/>
  <c r="C12" i="14"/>
  <c r="B12" i="14"/>
  <c r="A12" i="14"/>
  <c r="T11" i="14"/>
  <c r="S11" i="14"/>
  <c r="R11" i="14"/>
  <c r="M11" i="14"/>
  <c r="L11" i="14"/>
  <c r="P11" i="14" s="1"/>
  <c r="K11" i="14"/>
  <c r="G11" i="14"/>
  <c r="E11" i="14"/>
  <c r="C11" i="14"/>
  <c r="B11" i="14"/>
  <c r="A11" i="14"/>
  <c r="J10" i="14"/>
  <c r="H10" i="14"/>
  <c r="G10" i="14"/>
  <c r="E10" i="14"/>
  <c r="C10" i="14"/>
  <c r="B10" i="14"/>
  <c r="A10" i="14"/>
  <c r="U9" i="14"/>
  <c r="L9" i="14"/>
  <c r="N9" i="14" s="1"/>
  <c r="J9" i="14"/>
  <c r="H9" i="14"/>
  <c r="G9" i="14"/>
  <c r="E9" i="14"/>
  <c r="C9" i="14"/>
  <c r="B9" i="14"/>
  <c r="A9" i="14"/>
  <c r="L8" i="14"/>
  <c r="O8" i="14" s="1"/>
  <c r="U8" i="14" s="1"/>
  <c r="K8" i="14"/>
  <c r="J8" i="14"/>
  <c r="G8" i="14"/>
  <c r="E8" i="14"/>
  <c r="C8" i="14"/>
  <c r="B8" i="14"/>
  <c r="A8" i="14"/>
  <c r="O7" i="14"/>
  <c r="U7" i="14" s="1"/>
  <c r="L7" i="14"/>
  <c r="N7" i="14" s="1"/>
  <c r="K7" i="14"/>
  <c r="J7" i="14"/>
  <c r="G7" i="14"/>
  <c r="E7" i="14"/>
  <c r="C7" i="14"/>
  <c r="B7" i="14"/>
  <c r="A7" i="14"/>
  <c r="L6" i="14"/>
  <c r="O6" i="14" s="1"/>
  <c r="U6" i="14" s="1"/>
  <c r="J6" i="14"/>
  <c r="G6" i="14"/>
  <c r="E6" i="14"/>
  <c r="C6" i="14"/>
  <c r="B6" i="14"/>
  <c r="A6" i="14"/>
  <c r="K5" i="14"/>
  <c r="J5" i="14"/>
  <c r="I5" i="14"/>
  <c r="H5" i="14"/>
  <c r="G5" i="14"/>
  <c r="E5" i="14"/>
  <c r="C5" i="14"/>
  <c r="B5" i="14"/>
  <c r="A5" i="14"/>
  <c r="K4" i="14"/>
  <c r="J4" i="14"/>
  <c r="I4" i="14"/>
  <c r="H4" i="14"/>
  <c r="G4" i="14"/>
  <c r="E4" i="14"/>
  <c r="C4" i="14"/>
  <c r="B4" i="14"/>
  <c r="A4" i="14"/>
  <c r="K3" i="14"/>
  <c r="J3" i="14"/>
  <c r="I3" i="14"/>
  <c r="H3" i="14"/>
  <c r="G3" i="14"/>
  <c r="F3" i="14"/>
  <c r="E3" i="14"/>
  <c r="Q3" i="13"/>
  <c r="P3" i="13"/>
  <c r="O3" i="13"/>
  <c r="N3" i="13"/>
  <c r="M3" i="13"/>
  <c r="K3" i="13"/>
  <c r="J3" i="13"/>
  <c r="F3" i="13"/>
  <c r="H3" i="13" s="1"/>
  <c r="E3" i="13"/>
  <c r="D3" i="13"/>
  <c r="B3" i="13"/>
  <c r="A3" i="13"/>
  <c r="T76" i="11"/>
  <c r="S76" i="11"/>
  <c r="O76" i="11"/>
  <c r="Q76" i="11" s="1"/>
  <c r="T75" i="11"/>
  <c r="S75" i="11"/>
  <c r="O75" i="11"/>
  <c r="Q75" i="11" s="1"/>
  <c r="T74" i="11"/>
  <c r="S74" i="11"/>
  <c r="U74" i="11" s="1"/>
  <c r="O74" i="11"/>
  <c r="Q74" i="11" s="1"/>
  <c r="T73" i="11"/>
  <c r="S73" i="11"/>
  <c r="O73" i="11"/>
  <c r="Q73" i="11" s="1"/>
  <c r="T72" i="11"/>
  <c r="S72" i="11"/>
  <c r="O72" i="11"/>
  <c r="Q72" i="11" s="1"/>
  <c r="T71" i="11"/>
  <c r="S71" i="11"/>
  <c r="U71" i="11" s="1"/>
  <c r="O71" i="11"/>
  <c r="Q71" i="11" s="1"/>
  <c r="T70" i="11"/>
  <c r="S70" i="11"/>
  <c r="O70" i="11"/>
  <c r="Q70" i="11" s="1"/>
  <c r="T69" i="11"/>
  <c r="S69" i="11"/>
  <c r="U69" i="11" s="1"/>
  <c r="O69" i="11"/>
  <c r="Q69" i="11" s="1"/>
  <c r="T68" i="11"/>
  <c r="U68" i="11" s="1"/>
  <c r="S68" i="11"/>
  <c r="O68" i="11"/>
  <c r="Q68" i="11" s="1"/>
  <c r="T67" i="11"/>
  <c r="S67" i="11"/>
  <c r="O67" i="11"/>
  <c r="Q67" i="11" s="1"/>
  <c r="T66" i="11"/>
  <c r="U66" i="11" s="1"/>
  <c r="S66" i="11"/>
  <c r="O66" i="11"/>
  <c r="Q66" i="11" s="1"/>
  <c r="T65" i="11"/>
  <c r="S65" i="11"/>
  <c r="Q65" i="11"/>
  <c r="O65" i="11"/>
  <c r="T64" i="11"/>
  <c r="S64" i="11"/>
  <c r="U64" i="11" s="1"/>
  <c r="O64" i="11"/>
  <c r="Q64" i="11" s="1"/>
  <c r="T63" i="11"/>
  <c r="S63" i="11"/>
  <c r="U63" i="11" s="1"/>
  <c r="O63" i="11"/>
  <c r="Q63" i="11" s="1"/>
  <c r="T62" i="11"/>
  <c r="S62" i="11"/>
  <c r="U62" i="11" s="1"/>
  <c r="Q62" i="11"/>
  <c r="O62" i="11"/>
  <c r="T61" i="11"/>
  <c r="S61" i="11"/>
  <c r="U61" i="11" s="1"/>
  <c r="O61" i="11"/>
  <c r="Q61" i="11" s="1"/>
  <c r="T60" i="11"/>
  <c r="S60" i="11"/>
  <c r="Q60" i="11"/>
  <c r="O60" i="11"/>
  <c r="T59" i="11"/>
  <c r="S59" i="11"/>
  <c r="U59" i="11" s="1"/>
  <c r="O59" i="11"/>
  <c r="Q59" i="11" s="1"/>
  <c r="T58" i="11"/>
  <c r="S58" i="11"/>
  <c r="U58" i="11" s="1"/>
  <c r="O58" i="11"/>
  <c r="Q58" i="11" s="1"/>
  <c r="T57" i="11"/>
  <c r="S57" i="11"/>
  <c r="Q57" i="11"/>
  <c r="O57" i="11"/>
  <c r="T56" i="11"/>
  <c r="S56" i="11"/>
  <c r="O56" i="11"/>
  <c r="Q56" i="11" s="1"/>
  <c r="U55" i="11"/>
  <c r="T55" i="11"/>
  <c r="S55" i="11"/>
  <c r="O55" i="11"/>
  <c r="Q55" i="11" s="1"/>
  <c r="T54" i="11"/>
  <c r="S54" i="11"/>
  <c r="U54" i="11" s="1"/>
  <c r="O54" i="11"/>
  <c r="Q54" i="11" s="1"/>
  <c r="T53" i="11"/>
  <c r="S53" i="11"/>
  <c r="Q53" i="11"/>
  <c r="O53" i="11"/>
  <c r="T52" i="11"/>
  <c r="S52" i="11"/>
  <c r="U52" i="11" s="1"/>
  <c r="Q52" i="11"/>
  <c r="O52" i="11"/>
  <c r="T51" i="11"/>
  <c r="S51" i="11"/>
  <c r="U51" i="11" s="1"/>
  <c r="O51" i="11"/>
  <c r="Q51" i="11" s="1"/>
  <c r="T50" i="11"/>
  <c r="S50" i="11"/>
  <c r="U50" i="11" s="1"/>
  <c r="O50" i="11"/>
  <c r="Q50" i="11" s="1"/>
  <c r="T49" i="11"/>
  <c r="S49" i="11"/>
  <c r="Q49" i="11"/>
  <c r="O49" i="11"/>
  <c r="T48" i="11"/>
  <c r="S48" i="11"/>
  <c r="O48" i="11"/>
  <c r="Q48" i="11" s="1"/>
  <c r="U47" i="11"/>
  <c r="T47" i="11"/>
  <c r="S47" i="11"/>
  <c r="O47" i="11"/>
  <c r="Q47" i="11" s="1"/>
  <c r="T46" i="11"/>
  <c r="S46" i="11"/>
  <c r="U46" i="11" s="1"/>
  <c r="O46" i="11"/>
  <c r="Q46" i="11" s="1"/>
  <c r="T45" i="11"/>
  <c r="S45" i="11"/>
  <c r="Q45" i="11"/>
  <c r="O45" i="11"/>
  <c r="T44" i="11"/>
  <c r="U44" i="11" s="1"/>
  <c r="S44" i="11"/>
  <c r="O44" i="11"/>
  <c r="Q44" i="11" s="1"/>
  <c r="T43" i="11"/>
  <c r="S43" i="11"/>
  <c r="Q43" i="11"/>
  <c r="O43" i="11"/>
  <c r="T42" i="11"/>
  <c r="S42" i="11"/>
  <c r="U42" i="11" s="1"/>
  <c r="O42" i="11"/>
  <c r="Q42" i="11" s="1"/>
  <c r="T41" i="11"/>
  <c r="S41" i="11"/>
  <c r="Q41" i="11"/>
  <c r="O41" i="11"/>
  <c r="T40" i="11"/>
  <c r="S40" i="11"/>
  <c r="O40" i="11"/>
  <c r="Q40" i="11" s="1"/>
  <c r="U39" i="11"/>
  <c r="T39" i="11"/>
  <c r="S39" i="11"/>
  <c r="O39" i="11"/>
  <c r="Q39" i="11" s="1"/>
  <c r="T38" i="11"/>
  <c r="S38" i="11"/>
  <c r="U38" i="11" s="1"/>
  <c r="O38" i="11"/>
  <c r="Q38" i="11" s="1"/>
  <c r="T37" i="11"/>
  <c r="S37" i="11"/>
  <c r="O37" i="11"/>
  <c r="Q37" i="11" s="1"/>
  <c r="T36" i="11"/>
  <c r="S36" i="11"/>
  <c r="U36" i="11" s="1"/>
  <c r="O36" i="11"/>
  <c r="Q36" i="11" s="1"/>
  <c r="T35" i="11"/>
  <c r="S35" i="11"/>
  <c r="O35" i="11"/>
  <c r="Q35" i="11" s="1"/>
  <c r="T34" i="11"/>
  <c r="S34" i="11"/>
  <c r="U34" i="11" s="1"/>
  <c r="O34" i="11"/>
  <c r="Q34" i="11" s="1"/>
  <c r="T33" i="11"/>
  <c r="S33" i="11"/>
  <c r="O33" i="11"/>
  <c r="Q33" i="11" s="1"/>
  <c r="B33" i="11"/>
  <c r="T32" i="11"/>
  <c r="S32" i="11"/>
  <c r="O32" i="11"/>
  <c r="Q32" i="11" s="1"/>
  <c r="T31" i="11"/>
  <c r="S31" i="11"/>
  <c r="Q31" i="11"/>
  <c r="O31" i="11"/>
  <c r="B31" i="11"/>
  <c r="B32" i="11" s="1"/>
  <c r="T30" i="11"/>
  <c r="S30" i="11"/>
  <c r="U30" i="11" s="1"/>
  <c r="O30" i="11"/>
  <c r="Q30" i="11" s="1"/>
  <c r="T29" i="11"/>
  <c r="S29" i="11"/>
  <c r="U29" i="11" s="1"/>
  <c r="O29" i="11"/>
  <c r="Q29" i="11" s="1"/>
  <c r="T28" i="11"/>
  <c r="S28" i="11"/>
  <c r="U28" i="11" s="1"/>
  <c r="Q28" i="11"/>
  <c r="O28" i="11"/>
  <c r="T27" i="11"/>
  <c r="U27" i="11" s="1"/>
  <c r="S27" i="11"/>
  <c r="Q27" i="11"/>
  <c r="O27" i="11"/>
  <c r="T26" i="11"/>
  <c r="S26" i="11"/>
  <c r="O26" i="11"/>
  <c r="Q26" i="11" s="1"/>
  <c r="T25" i="11"/>
  <c r="U25" i="11" s="1"/>
  <c r="S25" i="11"/>
  <c r="O25" i="11"/>
  <c r="Q25" i="11" s="1"/>
  <c r="T24" i="11"/>
  <c r="S24" i="11"/>
  <c r="Q24" i="11"/>
  <c r="O24" i="11"/>
  <c r="T23" i="11"/>
  <c r="S23" i="11"/>
  <c r="U23" i="11" s="1"/>
  <c r="O23" i="11"/>
  <c r="Q23" i="11" s="1"/>
  <c r="T22" i="11"/>
  <c r="S22" i="11"/>
  <c r="U22" i="11" s="1"/>
  <c r="O22" i="11"/>
  <c r="Q22" i="11" s="1"/>
  <c r="T21" i="11"/>
  <c r="S21" i="11"/>
  <c r="U21" i="11" s="1"/>
  <c r="O21" i="11"/>
  <c r="Q21" i="11" s="1"/>
  <c r="T20" i="11"/>
  <c r="S20" i="11"/>
  <c r="U20" i="11" s="1"/>
  <c r="O20" i="11"/>
  <c r="Q20" i="11" s="1"/>
  <c r="T19" i="11"/>
  <c r="U19" i="11" s="1"/>
  <c r="S19" i="11"/>
  <c r="O19" i="11"/>
  <c r="Q19" i="11" s="1"/>
  <c r="T18" i="11"/>
  <c r="S18" i="11"/>
  <c r="U18" i="11" s="1"/>
  <c r="O18" i="11"/>
  <c r="Q18" i="11" s="1"/>
  <c r="T17" i="11"/>
  <c r="S17" i="11"/>
  <c r="U17" i="11" s="1"/>
  <c r="O17" i="11"/>
  <c r="Q17" i="11" s="1"/>
  <c r="T16" i="11"/>
  <c r="S16" i="11"/>
  <c r="U16" i="11" s="1"/>
  <c r="Q16" i="11"/>
  <c r="O16" i="11"/>
  <c r="T15" i="11"/>
  <c r="S15" i="11"/>
  <c r="U15" i="11" s="1"/>
  <c r="O15" i="11"/>
  <c r="Q15" i="11" s="1"/>
  <c r="T14" i="11"/>
  <c r="S14" i="11"/>
  <c r="U14" i="11" s="1"/>
  <c r="O14" i="11"/>
  <c r="Q14" i="11" s="1"/>
  <c r="T13" i="11"/>
  <c r="S13" i="11"/>
  <c r="Q13" i="11"/>
  <c r="O13" i="11"/>
  <c r="T12" i="11"/>
  <c r="S12" i="11"/>
  <c r="U12" i="11" s="1"/>
  <c r="Q12" i="11"/>
  <c r="O12" i="11"/>
  <c r="T11" i="11"/>
  <c r="S11" i="11"/>
  <c r="O11" i="11"/>
  <c r="Q11" i="11" s="1"/>
  <c r="T10" i="11"/>
  <c r="S10" i="11"/>
  <c r="U10" i="11" s="1"/>
  <c r="O10" i="11"/>
  <c r="Q10" i="11" s="1"/>
  <c r="T9" i="11"/>
  <c r="S9" i="11"/>
  <c r="U9" i="11" s="1"/>
  <c r="O9" i="11"/>
  <c r="Q9" i="11" s="1"/>
  <c r="K9" i="11"/>
  <c r="T8" i="11"/>
  <c r="S8" i="11"/>
  <c r="Q8" i="11"/>
  <c r="O8" i="11"/>
  <c r="T7" i="11"/>
  <c r="S7" i="11"/>
  <c r="U7" i="11" s="1"/>
  <c r="O7" i="11"/>
  <c r="Q7" i="11" s="1"/>
  <c r="T6" i="11"/>
  <c r="S6" i="11"/>
  <c r="U6" i="11" s="1"/>
  <c r="O6" i="11"/>
  <c r="Q6" i="11" s="1"/>
  <c r="T5" i="11"/>
  <c r="S5" i="11"/>
  <c r="Q5" i="11"/>
  <c r="O5" i="11"/>
  <c r="T4" i="11"/>
  <c r="S4" i="11"/>
  <c r="O4" i="11"/>
  <c r="Q4" i="11" s="1"/>
  <c r="U3" i="11"/>
  <c r="T3" i="11"/>
  <c r="S3" i="11"/>
  <c r="O3" i="11"/>
  <c r="Q3" i="11" s="1"/>
  <c r="T2" i="11"/>
  <c r="S2" i="11"/>
  <c r="U2" i="11" s="1"/>
  <c r="O2" i="11"/>
  <c r="Q2" i="11" s="1"/>
  <c r="AJ29" i="10"/>
  <c r="AH29" i="10"/>
  <c r="AF29" i="10"/>
  <c r="AJ28" i="10"/>
  <c r="AH28" i="10"/>
  <c r="AF28" i="10"/>
  <c r="AJ27" i="10"/>
  <c r="AH27" i="10"/>
  <c r="AF27" i="10"/>
  <c r="AJ26" i="10"/>
  <c r="AH26" i="10"/>
  <c r="AF26" i="10"/>
  <c r="B25" i="10"/>
  <c r="B29" i="10" s="1"/>
  <c r="B23" i="10"/>
  <c r="B27" i="10" s="1"/>
  <c r="C23" i="10"/>
  <c r="Q13" i="10"/>
  <c r="L7" i="10" s="1"/>
  <c r="O13" i="10"/>
  <c r="L5" i="10" s="1"/>
  <c r="N13" i="10"/>
  <c r="P12" i="10"/>
  <c r="E12" i="10"/>
  <c r="B61" i="10" s="1"/>
  <c r="D61" i="10" s="1"/>
  <c r="E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P11" i="10"/>
  <c r="E11" i="10"/>
  <c r="B60" i="10" s="1"/>
  <c r="D60" i="10" s="1"/>
  <c r="E60" i="10" s="1"/>
  <c r="F60" i="10" s="1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P10" i="10"/>
  <c r="E10" i="10"/>
  <c r="B59" i="10" s="1"/>
  <c r="D59" i="10" s="1"/>
  <c r="E59" i="10" s="1"/>
  <c r="F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P9" i="10"/>
  <c r="H9" i="10"/>
  <c r="I11" i="10" s="1"/>
  <c r="E9" i="10"/>
  <c r="B58" i="10" s="1"/>
  <c r="P8" i="10"/>
  <c r="P7" i="10"/>
  <c r="K7" i="10"/>
  <c r="J7" i="10"/>
  <c r="I7" i="10"/>
  <c r="G7" i="10"/>
  <c r="E7" i="10"/>
  <c r="P6" i="10"/>
  <c r="K6" i="10"/>
  <c r="J6" i="10"/>
  <c r="I6" i="10"/>
  <c r="G6" i="10"/>
  <c r="E6" i="10"/>
  <c r="P5" i="10"/>
  <c r="K5" i="10"/>
  <c r="J5" i="10"/>
  <c r="I5" i="10"/>
  <c r="G5" i="10"/>
  <c r="E5" i="10"/>
  <c r="P4" i="10"/>
  <c r="L4" i="10"/>
  <c r="K4" i="10"/>
  <c r="J4" i="10"/>
  <c r="I4" i="10"/>
  <c r="G4" i="10"/>
  <c r="E4" i="10"/>
  <c r="P3" i="10"/>
  <c r="C3" i="10"/>
  <c r="C8" i="10" s="1"/>
  <c r="B3" i="10"/>
  <c r="P2" i="10"/>
  <c r="P13" i="10" s="1"/>
  <c r="L6" i="10" s="1"/>
  <c r="H86" i="9"/>
  <c r="E86" i="9"/>
  <c r="H85" i="9"/>
  <c r="E85" i="9"/>
  <c r="H84" i="9"/>
  <c r="E84" i="9"/>
  <c r="H83" i="9"/>
  <c r="E83" i="9"/>
  <c r="H82" i="9"/>
  <c r="E82" i="9"/>
  <c r="H81" i="9"/>
  <c r="E81" i="9"/>
  <c r="H80" i="9"/>
  <c r="E80" i="9"/>
  <c r="H79" i="9"/>
  <c r="E79" i="9"/>
  <c r="H78" i="9"/>
  <c r="E78" i="9"/>
  <c r="H77" i="9"/>
  <c r="E77" i="9"/>
  <c r="H76" i="9"/>
  <c r="E76" i="9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67" i="9"/>
  <c r="E67" i="9"/>
  <c r="H66" i="9"/>
  <c r="E66" i="9"/>
  <c r="H65" i="9"/>
  <c r="E65" i="9"/>
  <c r="H64" i="9"/>
  <c r="E64" i="9"/>
  <c r="H63" i="9"/>
  <c r="E63" i="9"/>
  <c r="H62" i="9"/>
  <c r="E62" i="9"/>
  <c r="H61" i="9"/>
  <c r="E61" i="9"/>
  <c r="H60" i="9"/>
  <c r="E60" i="9"/>
  <c r="H59" i="9"/>
  <c r="E59" i="9"/>
  <c r="H58" i="9"/>
  <c r="E58" i="9"/>
  <c r="H57" i="9"/>
  <c r="E57" i="9"/>
  <c r="H56" i="9"/>
  <c r="E56" i="9"/>
  <c r="H55" i="9"/>
  <c r="E55" i="9"/>
  <c r="H54" i="9"/>
  <c r="E54" i="9"/>
  <c r="H53" i="9"/>
  <c r="E53" i="9"/>
  <c r="H52" i="9"/>
  <c r="E52" i="9"/>
  <c r="H51" i="9"/>
  <c r="E51" i="9"/>
  <c r="H50" i="9"/>
  <c r="E50" i="9"/>
  <c r="H49" i="9"/>
  <c r="E49" i="9"/>
  <c r="H48" i="9"/>
  <c r="E48" i="9"/>
  <c r="H47" i="9"/>
  <c r="E47" i="9"/>
  <c r="H46" i="9"/>
  <c r="E46" i="9"/>
  <c r="H45" i="9"/>
  <c r="E45" i="9"/>
  <c r="H44" i="9"/>
  <c r="E44" i="9"/>
  <c r="H43" i="9"/>
  <c r="E43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H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N8" i="9"/>
  <c r="H8" i="9"/>
  <c r="E8" i="9"/>
  <c r="N7" i="9"/>
  <c r="H7" i="9"/>
  <c r="E7" i="9"/>
  <c r="N6" i="9"/>
  <c r="H6" i="9"/>
  <c r="E6" i="9"/>
  <c r="N5" i="9"/>
  <c r="H5" i="9"/>
  <c r="E5" i="9"/>
  <c r="N4" i="9"/>
  <c r="H4" i="9"/>
  <c r="E4" i="9"/>
  <c r="N3" i="9"/>
  <c r="H3" i="9"/>
  <c r="E3" i="9"/>
  <c r="N2" i="9"/>
  <c r="H2" i="9"/>
  <c r="E2" i="9"/>
  <c r="R12" i="8"/>
  <c r="H15" i="8"/>
  <c r="O15" i="8" s="1"/>
  <c r="H3" i="8"/>
  <c r="H14" i="8" s="1"/>
  <c r="O14" i="8" s="1"/>
  <c r="H6" i="8"/>
  <c r="H17" i="8" s="1"/>
  <c r="H5" i="8"/>
  <c r="O5" i="8" s="1"/>
  <c r="O4" i="8"/>
  <c r="H2" i="8"/>
  <c r="H13" i="8" s="1"/>
  <c r="O13" i="8" s="1"/>
  <c r="A2" i="8"/>
  <c r="O2" i="8" s="1"/>
  <c r="K1" i="8"/>
  <c r="R1" i="8" s="1"/>
  <c r="P18" i="7"/>
  <c r="D3" i="7"/>
  <c r="E3" i="7" s="1"/>
  <c r="C3" i="7"/>
  <c r="G3" i="7" s="1"/>
  <c r="R5" i="7" s="1"/>
  <c r="B3" i="7"/>
  <c r="A3" i="7"/>
  <c r="O5" i="7" s="1"/>
  <c r="AH30" i="5"/>
  <c r="AE30" i="5"/>
  <c r="J30" i="5"/>
  <c r="AD30" i="5" s="1"/>
  <c r="AH29" i="5"/>
  <c r="AE29" i="5"/>
  <c r="AD29" i="5"/>
  <c r="AH28" i="5"/>
  <c r="AE28" i="5"/>
  <c r="O28" i="5"/>
  <c r="J28" i="5"/>
  <c r="AD28" i="5" s="1"/>
  <c r="H28" i="5"/>
  <c r="AB28" i="5" s="1"/>
  <c r="AN27" i="5"/>
  <c r="AM27" i="5"/>
  <c r="AL27" i="5"/>
  <c r="AK27" i="5"/>
  <c r="AJ27" i="5"/>
  <c r="AH27" i="5"/>
  <c r="AF27" i="5"/>
  <c r="AE27" i="5"/>
  <c r="AD27" i="5"/>
  <c r="AC27" i="5"/>
  <c r="AB27" i="5"/>
  <c r="Z27" i="5"/>
  <c r="Y27" i="5"/>
  <c r="N27" i="5"/>
  <c r="AO26" i="5"/>
  <c r="AH26" i="5"/>
  <c r="AG26" i="5"/>
  <c r="AE26" i="5"/>
  <c r="D26" i="5"/>
  <c r="AH25" i="5"/>
  <c r="AE25" i="5"/>
  <c r="J25" i="5"/>
  <c r="AD25" i="5" s="1"/>
  <c r="H25" i="5"/>
  <c r="AB25" i="5" s="1"/>
  <c r="AH24" i="5"/>
  <c r="AE24" i="5"/>
  <c r="AD24" i="5"/>
  <c r="J24" i="5"/>
  <c r="AS23" i="5"/>
  <c r="AH23" i="5"/>
  <c r="AE23" i="5"/>
  <c r="N23" i="5"/>
  <c r="AS22" i="5"/>
  <c r="AH22" i="5"/>
  <c r="AE22" i="5"/>
  <c r="D22" i="5"/>
  <c r="AH21" i="5"/>
  <c r="AE21" i="5"/>
  <c r="D21" i="5"/>
  <c r="AH20" i="5"/>
  <c r="N20" i="5"/>
  <c r="D20" i="5"/>
  <c r="AH19" i="5"/>
  <c r="AE19" i="5"/>
  <c r="D19" i="5"/>
  <c r="AN18" i="5"/>
  <c r="AH18" i="5"/>
  <c r="D18" i="5"/>
  <c r="Z17" i="5"/>
  <c r="Y17" i="5"/>
  <c r="F17" i="5"/>
  <c r="E17" i="5"/>
  <c r="D17" i="5"/>
  <c r="AO15" i="5"/>
  <c r="U30" i="5" s="1"/>
  <c r="AO30" i="5" s="1"/>
  <c r="AN15" i="5"/>
  <c r="T30" i="5" s="1"/>
  <c r="AN30" i="5" s="1"/>
  <c r="AM15" i="5"/>
  <c r="S30" i="5" s="1"/>
  <c r="AM30" i="5" s="1"/>
  <c r="AL15" i="5"/>
  <c r="R30" i="5" s="1"/>
  <c r="AL30" i="5" s="1"/>
  <c r="AK15" i="5"/>
  <c r="Q30" i="5" s="1"/>
  <c r="AK30" i="5" s="1"/>
  <c r="AJ15" i="5"/>
  <c r="P30" i="5" s="1"/>
  <c r="AJ30" i="5" s="1"/>
  <c r="AI15" i="5"/>
  <c r="AH15" i="5"/>
  <c r="N30" i="5" s="1"/>
  <c r="AD15" i="5"/>
  <c r="AB15" i="5"/>
  <c r="H30" i="5" s="1"/>
  <c r="AB30" i="5" s="1"/>
  <c r="V15" i="5"/>
  <c r="N15" i="5"/>
  <c r="M15" i="5"/>
  <c r="AG15" i="5" s="1"/>
  <c r="M30" i="5" s="1"/>
  <c r="L15" i="5"/>
  <c r="AF15" i="5" s="1"/>
  <c r="L30" i="5" s="1"/>
  <c r="AF30" i="5" s="1"/>
  <c r="K15" i="5"/>
  <c r="AE15" i="5" s="1"/>
  <c r="K30" i="5" s="1"/>
  <c r="J15" i="5"/>
  <c r="I15" i="5"/>
  <c r="AC15" i="5" s="1"/>
  <c r="I30" i="5" s="1"/>
  <c r="AC30" i="5" s="1"/>
  <c r="G15" i="5"/>
  <c r="AA15" i="5" s="1"/>
  <c r="G30" i="5" s="1"/>
  <c r="AA30" i="5" s="1"/>
  <c r="E15" i="5"/>
  <c r="Y15" i="5" s="1"/>
  <c r="E30" i="5" s="1"/>
  <c r="Y30" i="5" s="1"/>
  <c r="AO14" i="5"/>
  <c r="U29" i="5" s="1"/>
  <c r="AO29" i="5" s="1"/>
  <c r="AN14" i="5"/>
  <c r="T29" i="5" s="1"/>
  <c r="AN29" i="5" s="1"/>
  <c r="AK14" i="5"/>
  <c r="Q29" i="5" s="1"/>
  <c r="AK29" i="5" s="1"/>
  <c r="AJ14" i="5"/>
  <c r="P29" i="5" s="1"/>
  <c r="AJ29" i="5" s="1"/>
  <c r="AI14" i="5"/>
  <c r="O29" i="5" s="1"/>
  <c r="AH14" i="5"/>
  <c r="N29" i="5" s="1"/>
  <c r="AD14" i="5"/>
  <c r="J29" i="5" s="1"/>
  <c r="AB14" i="5"/>
  <c r="H29" i="5" s="1"/>
  <c r="AB29" i="5" s="1"/>
  <c r="V14" i="5"/>
  <c r="AM14" i="5"/>
  <c r="S29" i="5" s="1"/>
  <c r="AM29" i="5" s="1"/>
  <c r="AL14" i="5"/>
  <c r="R29" i="5" s="1"/>
  <c r="AL29" i="5" s="1"/>
  <c r="N14" i="5"/>
  <c r="I14" i="5"/>
  <c r="AC14" i="5" s="1"/>
  <c r="I29" i="5" s="1"/>
  <c r="AC29" i="5" s="1"/>
  <c r="G14" i="5"/>
  <c r="AA14" i="5" s="1"/>
  <c r="G29" i="5" s="1"/>
  <c r="AA29" i="5" s="1"/>
  <c r="E14" i="5"/>
  <c r="Y14" i="5" s="1"/>
  <c r="E29" i="5" s="1"/>
  <c r="Y29" i="5" s="1"/>
  <c r="AO13" i="5"/>
  <c r="U28" i="5" s="1"/>
  <c r="AO28" i="5" s="1"/>
  <c r="AN13" i="5"/>
  <c r="T28" i="5" s="1"/>
  <c r="AN28" i="5" s="1"/>
  <c r="AM13" i="5"/>
  <c r="S28" i="5" s="1"/>
  <c r="AM28" i="5" s="1"/>
  <c r="AL13" i="5"/>
  <c r="R28" i="5" s="1"/>
  <c r="AL28" i="5" s="1"/>
  <c r="AK13" i="5"/>
  <c r="Q28" i="5" s="1"/>
  <c r="AK28" i="5" s="1"/>
  <c r="AJ13" i="5"/>
  <c r="P28" i="5" s="1"/>
  <c r="AJ28" i="5" s="1"/>
  <c r="AI13" i="5"/>
  <c r="AH13" i="5"/>
  <c r="N28" i="5" s="1"/>
  <c r="AB13" i="5"/>
  <c r="V13" i="5"/>
  <c r="N13" i="5"/>
  <c r="M13" i="5"/>
  <c r="AG13" i="5" s="1"/>
  <c r="M28" i="5" s="1"/>
  <c r="I13" i="5"/>
  <c r="AC13" i="5" s="1"/>
  <c r="I28" i="5" s="1"/>
  <c r="AC28" i="5" s="1"/>
  <c r="G13" i="5"/>
  <c r="AA13" i="5" s="1"/>
  <c r="G28" i="5" s="1"/>
  <c r="AA28" i="5" s="1"/>
  <c r="E13" i="5"/>
  <c r="Y13" i="5" s="1"/>
  <c r="E28" i="5" s="1"/>
  <c r="Y28" i="5" s="1"/>
  <c r="AO12" i="5"/>
  <c r="AN12" i="5"/>
  <c r="AM12" i="5"/>
  <c r="AL12" i="5"/>
  <c r="AK12" i="5"/>
  <c r="AI12" i="5"/>
  <c r="AG12" i="5"/>
  <c r="AF12" i="5"/>
  <c r="AE12" i="5"/>
  <c r="AD12" i="5"/>
  <c r="AC12" i="5"/>
  <c r="AB12" i="5"/>
  <c r="AA12" i="5"/>
  <c r="G27" i="5" s="1"/>
  <c r="AA27" i="5" s="1"/>
  <c r="V12" i="5"/>
  <c r="AP11" i="5"/>
  <c r="AO11" i="5"/>
  <c r="U26" i="5" s="1"/>
  <c r="AN11" i="5"/>
  <c r="T26" i="5" s="1"/>
  <c r="AN26" i="5" s="1"/>
  <c r="AM11" i="5"/>
  <c r="S26" i="5" s="1"/>
  <c r="AM26" i="5" s="1"/>
  <c r="AL11" i="5"/>
  <c r="R26" i="5" s="1"/>
  <c r="AL26" i="5" s="1"/>
  <c r="AK11" i="5"/>
  <c r="Q26" i="5" s="1"/>
  <c r="AK26" i="5" s="1"/>
  <c r="AJ11" i="5"/>
  <c r="P26" i="5" s="1"/>
  <c r="AJ26" i="5" s="1"/>
  <c r="AI11" i="5"/>
  <c r="O26" i="5" s="1"/>
  <c r="V11" i="5"/>
  <c r="N11" i="5"/>
  <c r="AH11" i="5" s="1"/>
  <c r="M11" i="5"/>
  <c r="AG11" i="5" s="1"/>
  <c r="M26" i="5" s="1"/>
  <c r="L11" i="5"/>
  <c r="AF11" i="5" s="1"/>
  <c r="L26" i="5" s="1"/>
  <c r="AF26" i="5" s="1"/>
  <c r="J11" i="5"/>
  <c r="AD11" i="5" s="1"/>
  <c r="J26" i="5" s="1"/>
  <c r="AD26" i="5" s="1"/>
  <c r="I11" i="5"/>
  <c r="AC11" i="5" s="1"/>
  <c r="I26" i="5" s="1"/>
  <c r="AC26" i="5" s="1"/>
  <c r="G11" i="5"/>
  <c r="AA11" i="5" s="1"/>
  <c r="G26" i="5" s="1"/>
  <c r="AA26" i="5" s="1"/>
  <c r="E11" i="5"/>
  <c r="Y11" i="5" s="1"/>
  <c r="E26" i="5" s="1"/>
  <c r="Y26" i="5" s="1"/>
  <c r="AO10" i="5"/>
  <c r="U25" i="5" s="1"/>
  <c r="AO25" i="5" s="1"/>
  <c r="AN10" i="5"/>
  <c r="T25" i="5" s="1"/>
  <c r="AN25" i="5" s="1"/>
  <c r="AM10" i="5"/>
  <c r="S25" i="5" s="1"/>
  <c r="AM25" i="5" s="1"/>
  <c r="AK10" i="5"/>
  <c r="Q25" i="5" s="1"/>
  <c r="AK25" i="5" s="1"/>
  <c r="AJ10" i="5"/>
  <c r="P25" i="5" s="1"/>
  <c r="AJ25" i="5" s="1"/>
  <c r="AI10" i="5"/>
  <c r="O25" i="5" s="1"/>
  <c r="AH10" i="5"/>
  <c r="N25" i="5" s="1"/>
  <c r="V10" i="5"/>
  <c r="AL10" i="5"/>
  <c r="R25" i="5" s="1"/>
  <c r="AL25" i="5" s="1"/>
  <c r="N10" i="5"/>
  <c r="I10" i="5"/>
  <c r="AC10" i="5" s="1"/>
  <c r="I25" i="5" s="1"/>
  <c r="AC25" i="5" s="1"/>
  <c r="G10" i="5"/>
  <c r="AA10" i="5" s="1"/>
  <c r="G25" i="5" s="1"/>
  <c r="AA25" i="5" s="1"/>
  <c r="E10" i="5"/>
  <c r="Y10" i="5" s="1"/>
  <c r="E25" i="5" s="1"/>
  <c r="Y25" i="5" s="1"/>
  <c r="AO9" i="5"/>
  <c r="U24" i="5" s="1"/>
  <c r="AO24" i="5" s="1"/>
  <c r="AN9" i="5"/>
  <c r="T24" i="5" s="1"/>
  <c r="AN24" i="5" s="1"/>
  <c r="AM9" i="5"/>
  <c r="S24" i="5" s="1"/>
  <c r="AM24" i="5" s="1"/>
  <c r="AL9" i="5"/>
  <c r="R24" i="5" s="1"/>
  <c r="AL24" i="5" s="1"/>
  <c r="AK9" i="5"/>
  <c r="Q24" i="5" s="1"/>
  <c r="AK24" i="5" s="1"/>
  <c r="AJ9" i="5"/>
  <c r="P24" i="5" s="1"/>
  <c r="AJ24" i="5" s="1"/>
  <c r="AI9" i="5"/>
  <c r="AH9" i="5"/>
  <c r="N24" i="5" s="1"/>
  <c r="AB9" i="5"/>
  <c r="H24" i="5" s="1"/>
  <c r="AB24" i="5" s="1"/>
  <c r="V9" i="5"/>
  <c r="N9" i="5"/>
  <c r="M9" i="5"/>
  <c r="AG9" i="5" s="1"/>
  <c r="M24" i="5" s="1"/>
  <c r="I9" i="5"/>
  <c r="AC9" i="5" s="1"/>
  <c r="I24" i="5" s="1"/>
  <c r="AC24" i="5" s="1"/>
  <c r="G9" i="5"/>
  <c r="AA9" i="5" s="1"/>
  <c r="G24" i="5" s="1"/>
  <c r="AA24" i="5" s="1"/>
  <c r="E9" i="5"/>
  <c r="Y9" i="5" s="1"/>
  <c r="E24" i="5" s="1"/>
  <c r="Y24" i="5" s="1"/>
  <c r="AS8" i="5"/>
  <c r="AO8" i="5"/>
  <c r="U23" i="5" s="1"/>
  <c r="AO23" i="5" s="1"/>
  <c r="AN8" i="5"/>
  <c r="T23" i="5" s="1"/>
  <c r="AN23" i="5" s="1"/>
  <c r="AM8" i="5"/>
  <c r="S23" i="5" s="1"/>
  <c r="AM23" i="5" s="1"/>
  <c r="AL8" i="5"/>
  <c r="R23" i="5" s="1"/>
  <c r="AL23" i="5" s="1"/>
  <c r="AK8" i="5"/>
  <c r="Q23" i="5" s="1"/>
  <c r="AK23" i="5" s="1"/>
  <c r="AJ8" i="5"/>
  <c r="P23" i="5" s="1"/>
  <c r="AJ23" i="5" s="1"/>
  <c r="AI8" i="5"/>
  <c r="O23" i="5" s="1"/>
  <c r="V8" i="5"/>
  <c r="N8" i="5"/>
  <c r="L8" i="5"/>
  <c r="AF8" i="5" s="1"/>
  <c r="L23" i="5" s="1"/>
  <c r="AF23" i="5" s="1"/>
  <c r="J8" i="5"/>
  <c r="AD8" i="5" s="1"/>
  <c r="J23" i="5" s="1"/>
  <c r="AD23" i="5" s="1"/>
  <c r="I8" i="5"/>
  <c r="AC8" i="5" s="1"/>
  <c r="I23" i="5" s="1"/>
  <c r="AC23" i="5" s="1"/>
  <c r="H8" i="5"/>
  <c r="AB8" i="5" s="1"/>
  <c r="H23" i="5" s="1"/>
  <c r="AB23" i="5" s="1"/>
  <c r="G8" i="5"/>
  <c r="AA8" i="5" s="1"/>
  <c r="G23" i="5" s="1"/>
  <c r="AA23" i="5" s="1"/>
  <c r="E8" i="5"/>
  <c r="Y8" i="5" s="1"/>
  <c r="E23" i="5" s="1"/>
  <c r="Y23" i="5" s="1"/>
  <c r="AO7" i="5"/>
  <c r="U22" i="5" s="1"/>
  <c r="AO22" i="5" s="1"/>
  <c r="AN7" i="5"/>
  <c r="T22" i="5" s="1"/>
  <c r="AN22" i="5" s="1"/>
  <c r="AM7" i="5"/>
  <c r="S22" i="5" s="1"/>
  <c r="AM22" i="5" s="1"/>
  <c r="AL7" i="5"/>
  <c r="R22" i="5" s="1"/>
  <c r="AL22" i="5" s="1"/>
  <c r="AK7" i="5"/>
  <c r="Q22" i="5" s="1"/>
  <c r="AK22" i="5" s="1"/>
  <c r="AJ7" i="5"/>
  <c r="P22" i="5" s="1"/>
  <c r="AJ22" i="5" s="1"/>
  <c r="AI7" i="5"/>
  <c r="O22" i="5" s="1"/>
  <c r="AI22" i="5" s="1"/>
  <c r="AH7" i="5"/>
  <c r="N22" i="5" s="1"/>
  <c r="AB7" i="5"/>
  <c r="H22" i="5" s="1"/>
  <c r="AB22" i="5" s="1"/>
  <c r="V7" i="5"/>
  <c r="N7" i="5"/>
  <c r="L7" i="5"/>
  <c r="AF7" i="5" s="1"/>
  <c r="L22" i="5" s="1"/>
  <c r="AF22" i="5" s="1"/>
  <c r="J7" i="5"/>
  <c r="AD7" i="5" s="1"/>
  <c r="J22" i="5" s="1"/>
  <c r="AD22" i="5" s="1"/>
  <c r="I7" i="5"/>
  <c r="AC7" i="5" s="1"/>
  <c r="I22" i="5" s="1"/>
  <c r="AC22" i="5" s="1"/>
  <c r="G7" i="5"/>
  <c r="AA7" i="5" s="1"/>
  <c r="G22" i="5" s="1"/>
  <c r="AA22" i="5" s="1"/>
  <c r="E7" i="5"/>
  <c r="Y7" i="5" s="1"/>
  <c r="E22" i="5" s="1"/>
  <c r="Y22" i="5" s="1"/>
  <c r="AO6" i="5"/>
  <c r="U21" i="5" s="1"/>
  <c r="AO21" i="5" s="1"/>
  <c r="AN6" i="5"/>
  <c r="T21" i="5" s="1"/>
  <c r="AN21" i="5" s="1"/>
  <c r="AM6" i="5"/>
  <c r="S21" i="5" s="1"/>
  <c r="AM21" i="5" s="1"/>
  <c r="AL6" i="5"/>
  <c r="R21" i="5" s="1"/>
  <c r="AL21" i="5" s="1"/>
  <c r="AK6" i="5"/>
  <c r="Q21" i="5" s="1"/>
  <c r="AK21" i="5" s="1"/>
  <c r="AJ6" i="5"/>
  <c r="P21" i="5" s="1"/>
  <c r="AJ21" i="5" s="1"/>
  <c r="AI6" i="5"/>
  <c r="AH6" i="5"/>
  <c r="N21" i="5" s="1"/>
  <c r="AB6" i="5"/>
  <c r="H21" i="5" s="1"/>
  <c r="AB21" i="5" s="1"/>
  <c r="V6" i="5"/>
  <c r="N6" i="5"/>
  <c r="M6" i="5"/>
  <c r="AG6" i="5" s="1"/>
  <c r="M21" i="5" s="1"/>
  <c r="L6" i="5"/>
  <c r="AF6" i="5" s="1"/>
  <c r="L21" i="5" s="1"/>
  <c r="AF21" i="5" s="1"/>
  <c r="J6" i="5"/>
  <c r="AD6" i="5" s="1"/>
  <c r="J21" i="5" s="1"/>
  <c r="AD21" i="5" s="1"/>
  <c r="I6" i="5"/>
  <c r="AC6" i="5" s="1"/>
  <c r="I21" i="5" s="1"/>
  <c r="AC21" i="5" s="1"/>
  <c r="G6" i="5"/>
  <c r="AA6" i="5" s="1"/>
  <c r="G21" i="5" s="1"/>
  <c r="AA21" i="5" s="1"/>
  <c r="E6" i="5"/>
  <c r="Y6" i="5" s="1"/>
  <c r="E21" i="5" s="1"/>
  <c r="Y21" i="5" s="1"/>
  <c r="AO5" i="5"/>
  <c r="U20" i="5" s="1"/>
  <c r="AO20" i="5" s="1"/>
  <c r="AN5" i="5"/>
  <c r="T20" i="5" s="1"/>
  <c r="AN20" i="5" s="1"/>
  <c r="AL5" i="5"/>
  <c r="AK5" i="5"/>
  <c r="Q20" i="5" s="1"/>
  <c r="AK20" i="5" s="1"/>
  <c r="AJ5" i="5"/>
  <c r="P20" i="5" s="1"/>
  <c r="AJ20" i="5" s="1"/>
  <c r="AI5" i="5"/>
  <c r="O20" i="5" s="1"/>
  <c r="AI20" i="5" s="1"/>
  <c r="AH5" i="5"/>
  <c r="AD5" i="5"/>
  <c r="J20" i="5" s="1"/>
  <c r="AD20" i="5" s="1"/>
  <c r="AB5" i="5"/>
  <c r="H20" i="5" s="1"/>
  <c r="AB20" i="5" s="1"/>
  <c r="V5" i="5"/>
  <c r="AM5" i="5"/>
  <c r="S20" i="5" s="1"/>
  <c r="AM20" i="5" s="1"/>
  <c r="N5" i="5"/>
  <c r="M5" i="5"/>
  <c r="AG5" i="5" s="1"/>
  <c r="M20" i="5" s="1"/>
  <c r="L5" i="5"/>
  <c r="AF5" i="5" s="1"/>
  <c r="L20" i="5" s="1"/>
  <c r="AF20" i="5" s="1"/>
  <c r="I5" i="5"/>
  <c r="AC5" i="5" s="1"/>
  <c r="I20" i="5" s="1"/>
  <c r="AC20" i="5" s="1"/>
  <c r="H5" i="5"/>
  <c r="G5" i="5"/>
  <c r="AA5" i="5" s="1"/>
  <c r="G20" i="5" s="1"/>
  <c r="AA20" i="5" s="1"/>
  <c r="E5" i="5"/>
  <c r="Y5" i="5" s="1"/>
  <c r="E20" i="5" s="1"/>
  <c r="Y20" i="5" s="1"/>
  <c r="AO4" i="5"/>
  <c r="U19" i="5" s="1"/>
  <c r="AO19" i="5" s="1"/>
  <c r="AN4" i="5"/>
  <c r="T19" i="5" s="1"/>
  <c r="AN19" i="5" s="1"/>
  <c r="AM4" i="5"/>
  <c r="S19" i="5" s="1"/>
  <c r="AM19" i="5" s="1"/>
  <c r="AL4" i="5"/>
  <c r="R19" i="5" s="1"/>
  <c r="AL19" i="5" s="1"/>
  <c r="AK4" i="5"/>
  <c r="Q19" i="5" s="1"/>
  <c r="AK19" i="5" s="1"/>
  <c r="AI4" i="5"/>
  <c r="O19" i="5" s="1"/>
  <c r="AI19" i="5" s="1"/>
  <c r="AH4" i="5"/>
  <c r="N19" i="5" s="1"/>
  <c r="AD4" i="5"/>
  <c r="J19" i="5" s="1"/>
  <c r="AD19" i="5" s="1"/>
  <c r="AB4" i="5"/>
  <c r="H19" i="5" s="1"/>
  <c r="AB19" i="5" s="1"/>
  <c r="P4" i="5"/>
  <c r="AJ4" i="5" s="1"/>
  <c r="P19" i="5" s="1"/>
  <c r="N4" i="5"/>
  <c r="L4" i="5"/>
  <c r="AF4" i="5" s="1"/>
  <c r="L19" i="5" s="1"/>
  <c r="AF19" i="5" s="1"/>
  <c r="I4" i="5"/>
  <c r="AC4" i="5" s="1"/>
  <c r="I19" i="5" s="1"/>
  <c r="AC19" i="5" s="1"/>
  <c r="G4" i="5"/>
  <c r="AA4" i="5" s="1"/>
  <c r="G19" i="5" s="1"/>
  <c r="AA19" i="5" s="1"/>
  <c r="E4" i="5"/>
  <c r="Y4" i="5" s="1"/>
  <c r="E19" i="5" s="1"/>
  <c r="Y19" i="5" s="1"/>
  <c r="AO3" i="5"/>
  <c r="U18" i="5" s="1"/>
  <c r="AO18" i="5" s="1"/>
  <c r="AN3" i="5"/>
  <c r="T18" i="5" s="1"/>
  <c r="AM3" i="5"/>
  <c r="S18" i="5" s="1"/>
  <c r="AM18" i="5" s="1"/>
  <c r="AL3" i="5"/>
  <c r="R18" i="5" s="1"/>
  <c r="AL18" i="5" s="1"/>
  <c r="AK3" i="5"/>
  <c r="Q18" i="5" s="1"/>
  <c r="AK18" i="5" s="1"/>
  <c r="AJ3" i="5"/>
  <c r="P18" i="5" s="1"/>
  <c r="AJ18" i="5" s="1"/>
  <c r="AI3" i="5"/>
  <c r="O18" i="5" s="1"/>
  <c r="AI18" i="5" s="1"/>
  <c r="AH3" i="5"/>
  <c r="N18" i="5" s="1"/>
  <c r="AB3" i="5"/>
  <c r="H18" i="5" s="1"/>
  <c r="AB18" i="5" s="1"/>
  <c r="V3" i="5"/>
  <c r="N3" i="5"/>
  <c r="M3" i="5"/>
  <c r="AG3" i="5" s="1"/>
  <c r="M18" i="5" s="1"/>
  <c r="L3" i="5"/>
  <c r="AF3" i="5" s="1"/>
  <c r="L18" i="5" s="1"/>
  <c r="AF18" i="5" s="1"/>
  <c r="K3" i="5"/>
  <c r="AE3" i="5" s="1"/>
  <c r="K18" i="5" s="1"/>
  <c r="AE18" i="5" s="1"/>
  <c r="J3" i="5"/>
  <c r="AD3" i="5" s="1"/>
  <c r="J18" i="5" s="1"/>
  <c r="AD18" i="5" s="1"/>
  <c r="I3" i="5"/>
  <c r="AC3" i="5" s="1"/>
  <c r="I18" i="5" s="1"/>
  <c r="AC18" i="5" s="1"/>
  <c r="G3" i="5"/>
  <c r="AA3" i="5" s="1"/>
  <c r="G18" i="5" s="1"/>
  <c r="AA18" i="5" s="1"/>
  <c r="E3" i="5"/>
  <c r="Y3" i="5" s="1"/>
  <c r="E18" i="5" s="1"/>
  <c r="Y18" i="5" s="1"/>
  <c r="U29" i="4"/>
  <c r="U28" i="4"/>
  <c r="U27" i="4"/>
  <c r="U26" i="4"/>
  <c r="U25" i="4"/>
  <c r="U24" i="4"/>
  <c r="U23" i="4"/>
  <c r="U22" i="4"/>
  <c r="U19" i="4"/>
  <c r="U18" i="4"/>
  <c r="U17" i="4"/>
  <c r="U16" i="4"/>
  <c r="U15" i="4"/>
  <c r="U14" i="4"/>
  <c r="U13" i="4"/>
  <c r="U12" i="4"/>
  <c r="A32" i="3"/>
  <c r="A36" i="3" s="1"/>
  <c r="A33" i="3" s="1"/>
  <c r="C15" i="3" s="1"/>
  <c r="X16" i="3"/>
  <c r="W16" i="3"/>
  <c r="X14" i="3"/>
  <c r="W14" i="3"/>
  <c r="E14" i="3"/>
  <c r="X22" i="3"/>
  <c r="W22" i="3"/>
  <c r="E22" i="3"/>
  <c r="X26" i="3"/>
  <c r="W26" i="3"/>
  <c r="E26" i="3"/>
  <c r="X27" i="3"/>
  <c r="W27" i="3"/>
  <c r="E27" i="3"/>
  <c r="X20" i="3"/>
  <c r="W20" i="3"/>
  <c r="E20" i="3"/>
  <c r="X21" i="3"/>
  <c r="W21" i="3"/>
  <c r="E21" i="3"/>
  <c r="X3" i="3"/>
  <c r="W3" i="3"/>
  <c r="E3" i="3"/>
  <c r="X13" i="3"/>
  <c r="W13" i="3"/>
  <c r="X15" i="3"/>
  <c r="W15" i="3"/>
  <c r="E15" i="3"/>
  <c r="X25" i="3"/>
  <c r="W25" i="3"/>
  <c r="E25" i="3"/>
  <c r="X28" i="3"/>
  <c r="W28" i="3"/>
  <c r="E28" i="3"/>
  <c r="X9" i="3"/>
  <c r="W9" i="3"/>
  <c r="E9" i="3"/>
  <c r="X19" i="3"/>
  <c r="W19" i="3"/>
  <c r="E19" i="3"/>
  <c r="X8" i="3"/>
  <c r="W8" i="3"/>
  <c r="E8" i="3"/>
  <c r="AG6" i="3"/>
  <c r="AG12" i="3" s="1"/>
  <c r="AG18" i="3" s="1"/>
  <c r="AF6" i="3"/>
  <c r="AF12" i="3" s="1"/>
  <c r="AF18" i="3" s="1"/>
  <c r="AE6" i="3"/>
  <c r="AE12" i="3" s="1"/>
  <c r="AE18" i="3" s="1"/>
  <c r="AD6" i="3"/>
  <c r="AD12" i="3" s="1"/>
  <c r="AD18" i="3" s="1"/>
  <c r="AC6" i="3"/>
  <c r="AC12" i="3" s="1"/>
  <c r="AC18" i="3" s="1"/>
  <c r="AB6" i="3"/>
  <c r="AB12" i="3" s="1"/>
  <c r="AB18" i="3" s="1"/>
  <c r="AA6" i="3"/>
  <c r="AA12" i="3" s="1"/>
  <c r="AA18" i="3" s="1"/>
  <c r="Y6" i="3"/>
  <c r="Y12" i="3" s="1"/>
  <c r="Y18" i="3" s="1"/>
  <c r="X6" i="3"/>
  <c r="X12" i="3" s="1"/>
  <c r="X18" i="3" s="1"/>
  <c r="W6" i="3"/>
  <c r="W12" i="3" s="1"/>
  <c r="W18" i="3" s="1"/>
  <c r="V6" i="3"/>
  <c r="V12" i="3" s="1"/>
  <c r="V18" i="3" s="1"/>
  <c r="U6" i="3"/>
  <c r="U12" i="3" s="1"/>
  <c r="U18" i="3" s="1"/>
  <c r="T6" i="3"/>
  <c r="T12" i="3" s="1"/>
  <c r="T18" i="3" s="1"/>
  <c r="S6" i="3"/>
  <c r="S12" i="3" s="1"/>
  <c r="S18" i="3" s="1"/>
  <c r="R6" i="3"/>
  <c r="R12" i="3" s="1"/>
  <c r="R18" i="3" s="1"/>
  <c r="Q6" i="3"/>
  <c r="Q12" i="3" s="1"/>
  <c r="Q18" i="3" s="1"/>
  <c r="P6" i="3"/>
  <c r="P12" i="3" s="1"/>
  <c r="P18" i="3" s="1"/>
  <c r="O6" i="3"/>
  <c r="O12" i="3" s="1"/>
  <c r="O18" i="3" s="1"/>
  <c r="N6" i="3"/>
  <c r="N12" i="3" s="1"/>
  <c r="N18" i="3" s="1"/>
  <c r="M6" i="3"/>
  <c r="M12" i="3" s="1"/>
  <c r="M18" i="3" s="1"/>
  <c r="L6" i="3"/>
  <c r="L12" i="3" s="1"/>
  <c r="L18" i="3" s="1"/>
  <c r="K6" i="3"/>
  <c r="K12" i="3" s="1"/>
  <c r="K18" i="3" s="1"/>
  <c r="J6" i="3"/>
  <c r="J12" i="3" s="1"/>
  <c r="J18" i="3" s="1"/>
  <c r="H6" i="3"/>
  <c r="H12" i="3" s="1"/>
  <c r="H18" i="3" s="1"/>
  <c r="G6" i="3"/>
  <c r="G12" i="3" s="1"/>
  <c r="G18" i="3" s="1"/>
  <c r="F6" i="3"/>
  <c r="F12" i="3" s="1"/>
  <c r="F18" i="3" s="1"/>
  <c r="X7" i="3"/>
  <c r="W7" i="3"/>
  <c r="E7" i="3"/>
  <c r="AQ20" i="2"/>
  <c r="W20" i="2"/>
  <c r="U20" i="2"/>
  <c r="S20" i="2"/>
  <c r="R20" i="2"/>
  <c r="P20" i="2"/>
  <c r="N20" i="2"/>
  <c r="L20" i="2"/>
  <c r="K20" i="2"/>
  <c r="J20" i="2"/>
  <c r="AQ17" i="2"/>
  <c r="W17" i="2"/>
  <c r="S17" i="2"/>
  <c r="R17" i="2"/>
  <c r="P17" i="2"/>
  <c r="N17" i="2"/>
  <c r="L17" i="2"/>
  <c r="K17" i="2"/>
  <c r="J17" i="2"/>
  <c r="AQ19" i="2"/>
  <c r="W19" i="2"/>
  <c r="U19" i="2"/>
  <c r="S19" i="2"/>
  <c r="R19" i="2"/>
  <c r="P19" i="2"/>
  <c r="N19" i="2"/>
  <c r="L19" i="2"/>
  <c r="K19" i="2"/>
  <c r="J19" i="2"/>
  <c r="AQ15" i="2"/>
  <c r="W15" i="2"/>
  <c r="U15" i="2"/>
  <c r="S15" i="2"/>
  <c r="R15" i="2"/>
  <c r="P15" i="2"/>
  <c r="N15" i="2"/>
  <c r="L15" i="2"/>
  <c r="K15" i="2"/>
  <c r="J15" i="2"/>
  <c r="K11" i="5"/>
  <c r="AE11" i="5" s="1"/>
  <c r="K26" i="5" s="1"/>
  <c r="H11" i="5"/>
  <c r="AB11" i="5" s="1"/>
  <c r="H26" i="5" s="1"/>
  <c r="AB26" i="5" s="1"/>
  <c r="I14" i="13"/>
  <c r="AQ14" i="2"/>
  <c r="W14" i="2"/>
  <c r="U14" i="2"/>
  <c r="S14" i="2"/>
  <c r="R14" i="2"/>
  <c r="P14" i="2"/>
  <c r="N14" i="2"/>
  <c r="L14" i="2"/>
  <c r="K14" i="2"/>
  <c r="J14" i="2"/>
  <c r="AQ13" i="2"/>
  <c r="AM13" i="2"/>
  <c r="AL13" i="2"/>
  <c r="AK13" i="2"/>
  <c r="AJ13" i="2"/>
  <c r="AI13" i="2"/>
  <c r="O12" i="13"/>
  <c r="J13" i="5"/>
  <c r="W13" i="2"/>
  <c r="U13" i="2"/>
  <c r="S13" i="2"/>
  <c r="R13" i="2"/>
  <c r="P13" i="2"/>
  <c r="L13" i="2"/>
  <c r="K13" i="2"/>
  <c r="J13" i="2"/>
  <c r="AG13" i="2" s="1"/>
  <c r="AQ12" i="2"/>
  <c r="Q11" i="13"/>
  <c r="T11" i="13" s="1"/>
  <c r="AC12" i="2"/>
  <c r="P11" i="13" s="1"/>
  <c r="K10" i="5"/>
  <c r="AE10" i="5" s="1"/>
  <c r="K25" i="5" s="1"/>
  <c r="J10" i="5"/>
  <c r="W12" i="2"/>
  <c r="U12" i="2"/>
  <c r="S12" i="2"/>
  <c r="R12" i="2"/>
  <c r="P12" i="2"/>
  <c r="N12" i="2"/>
  <c r="L12" i="2"/>
  <c r="K12" i="2"/>
  <c r="J12" i="2"/>
  <c r="AQ11" i="2"/>
  <c r="Q10" i="13"/>
  <c r="T10" i="13" s="1"/>
  <c r="AC11" i="2"/>
  <c r="P10" i="13" s="1"/>
  <c r="J14" i="5"/>
  <c r="W11" i="2"/>
  <c r="U11" i="2"/>
  <c r="S11" i="2"/>
  <c r="R11" i="2"/>
  <c r="P11" i="2"/>
  <c r="N11" i="2"/>
  <c r="L11" i="2"/>
  <c r="K11" i="2"/>
  <c r="J11" i="2"/>
  <c r="AQ10" i="2"/>
  <c r="AC10" i="2"/>
  <c r="P9" i="13" s="1"/>
  <c r="S9" i="13" s="1"/>
  <c r="K9" i="5"/>
  <c r="AE9" i="5" s="1"/>
  <c r="K24" i="5" s="1"/>
  <c r="H9" i="5"/>
  <c r="W10" i="2"/>
  <c r="U10" i="2"/>
  <c r="S10" i="2"/>
  <c r="R10" i="2"/>
  <c r="P10" i="2"/>
  <c r="N10" i="2"/>
  <c r="L10" i="2"/>
  <c r="K10" i="2"/>
  <c r="J10" i="2"/>
  <c r="AQ9" i="2"/>
  <c r="Q8" i="13"/>
  <c r="K8" i="5"/>
  <c r="AE8" i="5" s="1"/>
  <c r="K23" i="5" s="1"/>
  <c r="W9" i="2"/>
  <c r="U9" i="2"/>
  <c r="S9" i="2"/>
  <c r="R9" i="2"/>
  <c r="P9" i="2"/>
  <c r="N9" i="2"/>
  <c r="L9" i="2"/>
  <c r="K9" i="2"/>
  <c r="J9" i="2"/>
  <c r="AQ8" i="2"/>
  <c r="Q7" i="13"/>
  <c r="S7" i="13" s="1"/>
  <c r="K7" i="5"/>
  <c r="AE7" i="5" s="1"/>
  <c r="K22" i="5" s="1"/>
  <c r="L7" i="13"/>
  <c r="W8" i="2"/>
  <c r="U8" i="2"/>
  <c r="S8" i="2"/>
  <c r="R8" i="2"/>
  <c r="P8" i="2"/>
  <c r="N8" i="2"/>
  <c r="L8" i="2"/>
  <c r="K8" i="2"/>
  <c r="J8" i="2"/>
  <c r="AQ7" i="2"/>
  <c r="J5" i="5"/>
  <c r="W7" i="2"/>
  <c r="U7" i="2"/>
  <c r="S7" i="2"/>
  <c r="R7" i="2"/>
  <c r="P7" i="2"/>
  <c r="N7" i="2"/>
  <c r="L7" i="2"/>
  <c r="K7" i="2"/>
  <c r="J7" i="2"/>
  <c r="AQ6" i="2"/>
  <c r="H6" i="5"/>
  <c r="W6" i="2"/>
  <c r="U6" i="2"/>
  <c r="S6" i="2"/>
  <c r="R6" i="2"/>
  <c r="P6" i="2"/>
  <c r="N6" i="2"/>
  <c r="L6" i="2"/>
  <c r="K6" i="2"/>
  <c r="J6" i="2"/>
  <c r="K4" i="5"/>
  <c r="AE4" i="5" s="1"/>
  <c r="K19" i="5" s="1"/>
  <c r="J4" i="5"/>
  <c r="AQ5" i="2"/>
  <c r="L4" i="13"/>
  <c r="W5" i="2"/>
  <c r="U5" i="2"/>
  <c r="S5" i="2"/>
  <c r="R5" i="2"/>
  <c r="P5" i="2"/>
  <c r="N5" i="2"/>
  <c r="I4" i="13" s="1"/>
  <c r="L5" i="2"/>
  <c r="K5" i="2"/>
  <c r="J5" i="2"/>
  <c r="AQ4" i="2"/>
  <c r="W4" i="2"/>
  <c r="U4" i="2"/>
  <c r="S4" i="2"/>
  <c r="R4" i="2"/>
  <c r="P4" i="2"/>
  <c r="N4" i="2"/>
  <c r="AK4" i="2" s="1"/>
  <c r="L4" i="2"/>
  <c r="K4" i="2"/>
  <c r="J4" i="2"/>
  <c r="V2" i="2"/>
  <c r="T2" i="2"/>
  <c r="Q2" i="2"/>
  <c r="O2" i="2"/>
  <c r="I2" i="2"/>
  <c r="D2" i="2"/>
  <c r="I6" i="13" l="1"/>
  <c r="CB6" i="13" s="1"/>
  <c r="CD6" i="13" s="1"/>
  <c r="C5" i="8"/>
  <c r="B5" i="8"/>
  <c r="I8" i="13"/>
  <c r="AL8" i="13" s="1"/>
  <c r="B7" i="8"/>
  <c r="C7" i="8"/>
  <c r="I10" i="13"/>
  <c r="AZ10" i="13" s="1"/>
  <c r="C9" i="8"/>
  <c r="B9" i="8"/>
  <c r="I15" i="13"/>
  <c r="BQ15" i="13" s="1"/>
  <c r="B13" i="8"/>
  <c r="C13" i="8"/>
  <c r="I7" i="13"/>
  <c r="AI7" i="13" s="1"/>
  <c r="B6" i="8"/>
  <c r="I2" i="8" s="1"/>
  <c r="C6" i="8"/>
  <c r="I16" i="13"/>
  <c r="BO16" i="13" s="1"/>
  <c r="B17" i="8"/>
  <c r="C17" i="8"/>
  <c r="I9" i="13"/>
  <c r="AC9" i="13" s="1"/>
  <c r="C8" i="8"/>
  <c r="B8" i="8"/>
  <c r="I5" i="8" s="1"/>
  <c r="I13" i="13"/>
  <c r="BI13" i="13" s="1"/>
  <c r="C12" i="8"/>
  <c r="B12" i="8"/>
  <c r="I5" i="13"/>
  <c r="U5" i="13" s="1"/>
  <c r="V5" i="13" s="1"/>
  <c r="C4" i="8"/>
  <c r="B4" i="8"/>
  <c r="I6" i="8" s="1"/>
  <c r="I17" i="8" s="1"/>
  <c r="I17" i="13"/>
  <c r="AZ17" i="13" s="1"/>
  <c r="B15" i="8"/>
  <c r="C15" i="8"/>
  <c r="I11" i="13"/>
  <c r="Z11" i="13" s="1"/>
  <c r="AB11" i="13" s="1"/>
  <c r="B10" i="8"/>
  <c r="I4" i="8" s="1"/>
  <c r="C10" i="8"/>
  <c r="J4" i="8" s="1"/>
  <c r="I18" i="13"/>
  <c r="AQ18" i="13" s="1"/>
  <c r="B18" i="8"/>
  <c r="C18" i="8"/>
  <c r="F11" i="2"/>
  <c r="C10" i="13" s="1"/>
  <c r="F18" i="2"/>
  <c r="C18" i="2" s="1"/>
  <c r="F12" i="2"/>
  <c r="C11" i="13" s="1"/>
  <c r="F15" i="2"/>
  <c r="C15" i="13" s="1"/>
  <c r="F17" i="2"/>
  <c r="C17" i="13" s="1"/>
  <c r="F10" i="2"/>
  <c r="C9" i="13" s="1"/>
  <c r="F14" i="2"/>
  <c r="C13" i="13" s="1"/>
  <c r="F6" i="2"/>
  <c r="C5" i="13" s="1"/>
  <c r="F13" i="2"/>
  <c r="C12" i="13" s="1"/>
  <c r="F4" i="2"/>
  <c r="F16" i="2"/>
  <c r="C16" i="2" s="1"/>
  <c r="F20" i="2"/>
  <c r="C18" i="13" s="1"/>
  <c r="F19" i="2"/>
  <c r="C16" i="13" s="1"/>
  <c r="F8" i="2"/>
  <c r="C7" i="13" s="1"/>
  <c r="C26" i="3"/>
  <c r="C20" i="3"/>
  <c r="F5" i="2"/>
  <c r="C4" i="13" s="1"/>
  <c r="F7" i="2"/>
  <c r="C6" i="13" s="1"/>
  <c r="D58" i="10"/>
  <c r="B64" i="10"/>
  <c r="C64" i="10" s="1"/>
  <c r="D64" i="10" s="1"/>
  <c r="E64" i="10" s="1"/>
  <c r="F64" i="10" s="1"/>
  <c r="G64" i="10" s="1"/>
  <c r="H64" i="10" s="1"/>
  <c r="I64" i="10" s="1"/>
  <c r="J64" i="10" s="1"/>
  <c r="K64" i="10" s="1"/>
  <c r="L64" i="10" s="1"/>
  <c r="M64" i="10" s="1"/>
  <c r="N64" i="10" s="1"/>
  <c r="O64" i="10" s="1"/>
  <c r="P64" i="10" s="1"/>
  <c r="D40" i="10"/>
  <c r="B65" i="10"/>
  <c r="D41" i="10"/>
  <c r="B62" i="10"/>
  <c r="C62" i="10" s="1"/>
  <c r="D38" i="10"/>
  <c r="B63" i="10"/>
  <c r="C63" i="10" s="1"/>
  <c r="D63" i="10" s="1"/>
  <c r="E63" i="10" s="1"/>
  <c r="F63" i="10" s="1"/>
  <c r="G63" i="10" s="1"/>
  <c r="H63" i="10" s="1"/>
  <c r="I63" i="10" s="1"/>
  <c r="J63" i="10" s="1"/>
  <c r="K63" i="10" s="1"/>
  <c r="L63" i="10" s="1"/>
  <c r="M63" i="10" s="1"/>
  <c r="N63" i="10" s="1"/>
  <c r="O63" i="10" s="1"/>
  <c r="P63" i="10" s="1"/>
  <c r="D39" i="10"/>
  <c r="AC20" i="10"/>
  <c r="AC18" i="10"/>
  <c r="AC19" i="10"/>
  <c r="AC21" i="10"/>
  <c r="AK20" i="10"/>
  <c r="B24" i="10"/>
  <c r="B28" i="10" s="1"/>
  <c r="C24" i="10"/>
  <c r="R20" i="10"/>
  <c r="S20" i="10"/>
  <c r="T20" i="10"/>
  <c r="U20" i="10"/>
  <c r="V20" i="10"/>
  <c r="W20" i="10"/>
  <c r="X20" i="10"/>
  <c r="Y20" i="10"/>
  <c r="Z20" i="10"/>
  <c r="AA20" i="10"/>
  <c r="AB20" i="10"/>
  <c r="C23" i="3"/>
  <c r="C25" i="3"/>
  <c r="C21" i="3"/>
  <c r="C28" i="3"/>
  <c r="C27" i="3"/>
  <c r="C22" i="3"/>
  <c r="C24" i="3"/>
  <c r="C13" i="3"/>
  <c r="C19" i="3"/>
  <c r="C14" i="3"/>
  <c r="C3" i="3"/>
  <c r="C9" i="3"/>
  <c r="C16" i="3"/>
  <c r="C8" i="3"/>
  <c r="C7" i="3"/>
  <c r="F9" i="2"/>
  <c r="C8" i="13" s="1"/>
  <c r="C14" i="13"/>
  <c r="M6" i="14"/>
  <c r="P14" i="14"/>
  <c r="U5" i="11"/>
  <c r="U11" i="11"/>
  <c r="U13" i="11"/>
  <c r="U31" i="11"/>
  <c r="U35" i="11"/>
  <c r="U41" i="11"/>
  <c r="U43" i="11"/>
  <c r="U45" i="11"/>
  <c r="U49" i="11"/>
  <c r="U53" i="11"/>
  <c r="U57" i="11"/>
  <c r="U72" i="11"/>
  <c r="U76" i="11"/>
  <c r="M7" i="14"/>
  <c r="N11" i="14"/>
  <c r="M15" i="14"/>
  <c r="S10" i="13"/>
  <c r="U37" i="11"/>
  <c r="U70" i="11"/>
  <c r="O11" i="14"/>
  <c r="M8" i="14"/>
  <c r="N12" i="14"/>
  <c r="AH16" i="5"/>
  <c r="I13" i="10"/>
  <c r="U4" i="11"/>
  <c r="U8" i="11"/>
  <c r="U32" i="11"/>
  <c r="U40" i="11"/>
  <c r="U48" i="11"/>
  <c r="U56" i="11"/>
  <c r="U60" i="11"/>
  <c r="N8" i="14"/>
  <c r="O12" i="14"/>
  <c r="P12" i="14"/>
  <c r="N6" i="14"/>
  <c r="M9" i="14"/>
  <c r="R12" i="14"/>
  <c r="S15" i="14"/>
  <c r="T4" i="13"/>
  <c r="R4" i="13"/>
  <c r="AO4" i="13" s="1"/>
  <c r="T7" i="13"/>
  <c r="R7" i="13"/>
  <c r="BH12" i="13"/>
  <c r="BQ12" i="13"/>
  <c r="BW12" i="13"/>
  <c r="BL12" i="13"/>
  <c r="BM12" i="13"/>
  <c r="BA12" i="13"/>
  <c r="BC12" i="13" s="1"/>
  <c r="AU12" i="13"/>
  <c r="AT12" i="13"/>
  <c r="AV12" i="13" s="1"/>
  <c r="BR12" i="13"/>
  <c r="CC12" i="13"/>
  <c r="BV12" i="13"/>
  <c r="BZ12" i="13"/>
  <c r="BG12" i="13"/>
  <c r="R12" i="13"/>
  <c r="AO12" i="13" s="1"/>
  <c r="BY12" i="13"/>
  <c r="CA12" i="13" s="1"/>
  <c r="CB12" i="13"/>
  <c r="CD12" i="13" s="1"/>
  <c r="BB12" i="13"/>
  <c r="AD2" i="2"/>
  <c r="S8" i="13"/>
  <c r="T8" i="13"/>
  <c r="S11" i="13"/>
  <c r="J8" i="10"/>
  <c r="C10" i="10"/>
  <c r="B30" i="10"/>
  <c r="C30" i="10" s="1"/>
  <c r="D30" i="10" s="1"/>
  <c r="E30" i="10" s="1"/>
  <c r="K8" i="10"/>
  <c r="B12" i="10"/>
  <c r="C25" i="10"/>
  <c r="AP6" i="5"/>
  <c r="G3" i="13"/>
  <c r="AH13" i="2"/>
  <c r="AP7" i="5"/>
  <c r="AP5" i="5"/>
  <c r="R20" i="5"/>
  <c r="AL20" i="5" s="1"/>
  <c r="AP20" i="5" s="1"/>
  <c r="AP10" i="5"/>
  <c r="BZ9" i="13"/>
  <c r="AG4" i="13"/>
  <c r="AW4" i="13"/>
  <c r="AY4" i="13" s="1"/>
  <c r="BE4" i="13"/>
  <c r="BM4" i="13"/>
  <c r="BU4" i="13"/>
  <c r="CC4" i="13"/>
  <c r="AC4" i="13"/>
  <c r="AK4" i="13"/>
  <c r="AS4" i="13"/>
  <c r="BA4" i="13"/>
  <c r="BC4" i="13" s="1"/>
  <c r="BI4" i="13"/>
  <c r="BQ4" i="13"/>
  <c r="BY4" i="13"/>
  <c r="CA4" i="13" s="1"/>
  <c r="AE4" i="13"/>
  <c r="AM4" i="13"/>
  <c r="BK4" i="13"/>
  <c r="BS4" i="13"/>
  <c r="BD4" i="13"/>
  <c r="BL4" i="13"/>
  <c r="BT4" i="13"/>
  <c r="CB4" i="13"/>
  <c r="CD4" i="13" s="1"/>
  <c r="BH4" i="13"/>
  <c r="BX4" i="13"/>
  <c r="AD4" i="13"/>
  <c r="AF4" i="13" s="1"/>
  <c r="AT4" i="13"/>
  <c r="AV4" i="13" s="1"/>
  <c r="BJ4" i="13"/>
  <c r="BZ4" i="13"/>
  <c r="AH4" i="13"/>
  <c r="AX4" i="13"/>
  <c r="BN4" i="13"/>
  <c r="AL4" i="13"/>
  <c r="BB4" i="13"/>
  <c r="BR4" i="13"/>
  <c r="AI4" i="13"/>
  <c r="BO4" i="13"/>
  <c r="AJ4" i="13"/>
  <c r="BP4" i="13"/>
  <c r="AP4" i="13"/>
  <c r="AR4" i="13" s="1"/>
  <c r="BV4" i="13"/>
  <c r="AQ4" i="13"/>
  <c r="BW4" i="13"/>
  <c r="CE4" i="13"/>
  <c r="AZ4" i="13"/>
  <c r="AA4" i="13"/>
  <c r="BF4" i="13"/>
  <c r="BG4" i="13"/>
  <c r="Z4" i="13"/>
  <c r="AB4" i="13" s="1"/>
  <c r="U4" i="13"/>
  <c r="V4" i="13" s="1"/>
  <c r="W4" i="13"/>
  <c r="Y4" i="13" s="1"/>
  <c r="X4" i="13"/>
  <c r="AN4" i="13"/>
  <c r="AU4" i="13"/>
  <c r="BI7" i="13"/>
  <c r="AX7" i="13"/>
  <c r="BM7" i="13"/>
  <c r="BS7" i="13"/>
  <c r="BZ7" i="13"/>
  <c r="AN14" i="13"/>
  <c r="BY14" i="13"/>
  <c r="CA14" i="13" s="1"/>
  <c r="AT14" i="13"/>
  <c r="AV14" i="13" s="1"/>
  <c r="BZ14" i="13"/>
  <c r="BF14" i="13"/>
  <c r="AU14" i="13"/>
  <c r="BX14" i="13"/>
  <c r="BA14" i="13"/>
  <c r="BC14" i="13" s="1"/>
  <c r="W14" i="13"/>
  <c r="Y14" i="13" s="1"/>
  <c r="BW14" i="13"/>
  <c r="U14" i="13"/>
  <c r="V14" i="13" s="1"/>
  <c r="BB14" i="13"/>
  <c r="BQ14" i="13"/>
  <c r="AK14" i="13"/>
  <c r="BV14" i="13"/>
  <c r="X14" i="13"/>
  <c r="BE14" i="13"/>
  <c r="BI14" i="13"/>
  <c r="AH14" i="13"/>
  <c r="BN14" i="13"/>
  <c r="BK14" i="13"/>
  <c r="AM14" i="13"/>
  <c r="BR14" i="13"/>
  <c r="AW14" i="13"/>
  <c r="AY14" i="13" s="1"/>
  <c r="AX14" i="13"/>
  <c r="BD14" i="13"/>
  <c r="AA14" i="13"/>
  <c r="BS14" i="13"/>
  <c r="CC14" i="13"/>
  <c r="AS14" i="13"/>
  <c r="AJ14" i="13"/>
  <c r="AC14" i="13"/>
  <c r="AP14" i="13"/>
  <c r="AR14" i="13" s="1"/>
  <c r="AZ14" i="13"/>
  <c r="BL14" i="13"/>
  <c r="AI14" i="13"/>
  <c r="Z14" i="13"/>
  <c r="AB14" i="13" s="1"/>
  <c r="AQ14" i="13"/>
  <c r="AD14" i="13"/>
  <c r="AF14" i="13" s="1"/>
  <c r="CB14" i="13"/>
  <c r="CD14" i="13" s="1"/>
  <c r="AE14" i="13"/>
  <c r="BG14" i="13"/>
  <c r="BP14" i="13"/>
  <c r="CE14" i="13"/>
  <c r="BO14" i="13"/>
  <c r="BJ14" i="13"/>
  <c r="AG14" i="13"/>
  <c r="BM14" i="13"/>
  <c r="AL14" i="13"/>
  <c r="BT14" i="13"/>
  <c r="BU14" i="13"/>
  <c r="BH14" i="13"/>
  <c r="AO14" i="13"/>
  <c r="I3" i="8"/>
  <c r="AL20" i="2"/>
  <c r="AF5" i="2"/>
  <c r="C3" i="8"/>
  <c r="B3" i="8"/>
  <c r="AI11" i="2"/>
  <c r="AM7" i="2"/>
  <c r="AF17" i="2"/>
  <c r="AL14" i="2"/>
  <c r="AI15" i="2"/>
  <c r="N1" i="5"/>
  <c r="P19" i="7"/>
  <c r="P20" i="7" s="1"/>
  <c r="W2" i="2"/>
  <c r="U2" i="2"/>
  <c r="H4" i="17"/>
  <c r="R2" i="2"/>
  <c r="H3" i="17"/>
  <c r="S2" i="2"/>
  <c r="AJ14" i="2"/>
  <c r="AF14" i="2"/>
  <c r="AH8" i="2"/>
  <c r="AJ17" i="2"/>
  <c r="AK12" i="2"/>
  <c r="AM17" i="2"/>
  <c r="AH14" i="2"/>
  <c r="AI14" i="2"/>
  <c r="AL15" i="2"/>
  <c r="AH9" i="2"/>
  <c r="AM15" i="2"/>
  <c r="AK17" i="2"/>
  <c r="AK20" i="2"/>
  <c r="AM11" i="2"/>
  <c r="AK14" i="2"/>
  <c r="AL17" i="2"/>
  <c r="AK11" i="2"/>
  <c r="AM8" i="2"/>
  <c r="AG11" i="2"/>
  <c r="AI12" i="2"/>
  <c r="AG15" i="2"/>
  <c r="AH20" i="2"/>
  <c r="AM5" i="2"/>
  <c r="AL9" i="2"/>
  <c r="AL4" i="2"/>
  <c r="AH7" i="2"/>
  <c r="AM4" i="2"/>
  <c r="AG12" i="2"/>
  <c r="AH17" i="2"/>
  <c r="AF15" i="2"/>
  <c r="V19" i="5"/>
  <c r="AJ19" i="5"/>
  <c r="AP19" i="5" s="1"/>
  <c r="N26" i="5"/>
  <c r="N16" i="5" s="1"/>
  <c r="AH1" i="5"/>
  <c r="AI23" i="5"/>
  <c r="AP23" i="5" s="1"/>
  <c r="V23" i="5"/>
  <c r="AP22" i="5"/>
  <c r="M7" i="5"/>
  <c r="AG7" i="5" s="1"/>
  <c r="M22" i="5" s="1"/>
  <c r="AP8" i="5"/>
  <c r="V22" i="5"/>
  <c r="I3" i="7"/>
  <c r="H3" i="7"/>
  <c r="S5" i="7" s="1"/>
  <c r="I7" i="14"/>
  <c r="AL6" i="2"/>
  <c r="AL7" i="2"/>
  <c r="H19" i="14"/>
  <c r="M3" i="17"/>
  <c r="J3" i="16"/>
  <c r="F4" i="14"/>
  <c r="L3" i="13"/>
  <c r="B2" i="8"/>
  <c r="AM6" i="2"/>
  <c r="AM9" i="2"/>
  <c r="J11" i="14"/>
  <c r="AL10" i="2"/>
  <c r="I12" i="14"/>
  <c r="K14" i="5"/>
  <c r="AE14" i="5" s="1"/>
  <c r="K29" i="5" s="1"/>
  <c r="AJ11" i="2"/>
  <c r="F13" i="14"/>
  <c r="AH12" i="2"/>
  <c r="AH19" i="2"/>
  <c r="I19" i="14"/>
  <c r="K6" i="5"/>
  <c r="AE6" i="5" s="1"/>
  <c r="K21" i="5" s="1"/>
  <c r="L9" i="5"/>
  <c r="AF9" i="5" s="1"/>
  <c r="L24" i="5" s="1"/>
  <c r="AF24" i="5" s="1"/>
  <c r="AI29" i="5"/>
  <c r="AP29" i="5" s="1"/>
  <c r="V29" i="5"/>
  <c r="H4" i="5"/>
  <c r="V4" i="5"/>
  <c r="P5" i="7"/>
  <c r="F3" i="7"/>
  <c r="Q5" i="7" s="1"/>
  <c r="B13" i="10"/>
  <c r="B10" i="10" s="1"/>
  <c r="I8" i="14"/>
  <c r="K9" i="14"/>
  <c r="J4" i="17"/>
  <c r="F4" i="16"/>
  <c r="AF6" i="2"/>
  <c r="AF8" i="2"/>
  <c r="AM10" i="2"/>
  <c r="K5" i="5"/>
  <c r="AE5" i="5" s="1"/>
  <c r="K20" i="5" s="1"/>
  <c r="H7" i="5"/>
  <c r="M10" i="5"/>
  <c r="AG10" i="5" s="1"/>
  <c r="M25" i="5" s="1"/>
  <c r="V25" i="5"/>
  <c r="AP13" i="5"/>
  <c r="V18" i="5"/>
  <c r="AG4" i="2"/>
  <c r="AI5" i="2"/>
  <c r="AH6" i="2"/>
  <c r="AG10" i="2"/>
  <c r="J13" i="14"/>
  <c r="L10" i="5"/>
  <c r="AF10" i="5" s="1"/>
  <c r="L25" i="5" s="1"/>
  <c r="AF25" i="5" s="1"/>
  <c r="I14" i="14"/>
  <c r="K13" i="5"/>
  <c r="AE13" i="5" s="1"/>
  <c r="K28" i="5" s="1"/>
  <c r="H15" i="14"/>
  <c r="AH15" i="2"/>
  <c r="AK19" i="2"/>
  <c r="AG20" i="2"/>
  <c r="AP4" i="5"/>
  <c r="H13" i="14"/>
  <c r="AM20" i="2"/>
  <c r="AF4" i="2"/>
  <c r="AG7" i="2"/>
  <c r="AG8" i="2"/>
  <c r="AG9" i="2"/>
  <c r="K12" i="14"/>
  <c r="M14" i="5"/>
  <c r="AG14" i="5" s="1"/>
  <c r="M29" i="5" s="1"/>
  <c r="I13" i="14"/>
  <c r="AJ12" i="2"/>
  <c r="H14" i="14"/>
  <c r="AF20" i="2"/>
  <c r="AH4" i="2"/>
  <c r="AJ5" i="2"/>
  <c r="F6" i="14"/>
  <c r="AI6" i="2"/>
  <c r="AI7" i="2"/>
  <c r="AI8" i="2"/>
  <c r="AI9" i="2"/>
  <c r="AH10" i="2"/>
  <c r="AF11" i="2"/>
  <c r="K13" i="14"/>
  <c r="AL12" i="2"/>
  <c r="J14" i="14"/>
  <c r="L13" i="5"/>
  <c r="AF13" i="5" s="1"/>
  <c r="L28" i="5" s="1"/>
  <c r="AF28" i="5" s="1"/>
  <c r="AM14" i="2"/>
  <c r="AL19" i="2"/>
  <c r="AG17" i="2"/>
  <c r="H3" i="5"/>
  <c r="M8" i="5"/>
  <c r="AG8" i="5" s="1"/>
  <c r="M23" i="5" s="1"/>
  <c r="AP9" i="5"/>
  <c r="AP15" i="5"/>
  <c r="O30" i="5"/>
  <c r="I11" i="14"/>
  <c r="AK10" i="2"/>
  <c r="H12" i="14"/>
  <c r="AG5" i="2"/>
  <c r="F14" i="14"/>
  <c r="H13" i="5"/>
  <c r="AI19" i="2"/>
  <c r="J3" i="17"/>
  <c r="F3" i="16"/>
  <c r="I3" i="13"/>
  <c r="BB3" i="13" s="1"/>
  <c r="C2" i="8"/>
  <c r="AJ19" i="2"/>
  <c r="AJ6" i="2"/>
  <c r="F8" i="14"/>
  <c r="AJ7" i="2"/>
  <c r="F9" i="14"/>
  <c r="AJ8" i="2"/>
  <c r="F10" i="14"/>
  <c r="AJ9" i="2"/>
  <c r="F11" i="14"/>
  <c r="AI10" i="2"/>
  <c r="AM12" i="2"/>
  <c r="AJ15" i="2"/>
  <c r="AM19" i="2"/>
  <c r="AI20" i="2"/>
  <c r="AP3" i="5"/>
  <c r="O21" i="5"/>
  <c r="V26" i="5"/>
  <c r="AI26" i="5"/>
  <c r="AP26" i="5" s="1"/>
  <c r="K6" i="14"/>
  <c r="AL8" i="2"/>
  <c r="K10" i="14"/>
  <c r="AG19" i="2"/>
  <c r="N2" i="2"/>
  <c r="AF7" i="2"/>
  <c r="AF9" i="2"/>
  <c r="J12" i="14"/>
  <c r="L14" i="5"/>
  <c r="AF14" i="5" s="1"/>
  <c r="L29" i="5" s="1"/>
  <c r="AF29" i="5" s="1"/>
  <c r="AH5" i="2"/>
  <c r="AG6" i="2"/>
  <c r="AF10" i="2"/>
  <c r="AL11" i="2"/>
  <c r="F15" i="14"/>
  <c r="H15" i="5"/>
  <c r="AI4" i="2"/>
  <c r="AK5" i="2"/>
  <c r="H6" i="14"/>
  <c r="F7" i="14"/>
  <c r="AJ4" i="2"/>
  <c r="M4" i="17"/>
  <c r="J4" i="16"/>
  <c r="F5" i="14"/>
  <c r="AL5" i="2"/>
  <c r="I6" i="14"/>
  <c r="H7" i="14"/>
  <c r="AK6" i="2"/>
  <c r="H8" i="14"/>
  <c r="AK7" i="2"/>
  <c r="I9" i="14"/>
  <c r="AK8" i="2"/>
  <c r="I10" i="14"/>
  <c r="AK9" i="2"/>
  <c r="H11" i="14"/>
  <c r="AJ10" i="2"/>
  <c r="F12" i="14"/>
  <c r="H14" i="5"/>
  <c r="AH11" i="2"/>
  <c r="AF12" i="2"/>
  <c r="AF13" i="2"/>
  <c r="AG14" i="2"/>
  <c r="AK15" i="2"/>
  <c r="AF19" i="2"/>
  <c r="AI17" i="2"/>
  <c r="AJ20" i="2"/>
  <c r="AP18" i="5"/>
  <c r="M4" i="5"/>
  <c r="AG4" i="5" s="1"/>
  <c r="M19" i="5" s="1"/>
  <c r="J9" i="5"/>
  <c r="H10" i="5"/>
  <c r="AP12" i="5"/>
  <c r="O27" i="5"/>
  <c r="O24" i="5"/>
  <c r="AI25" i="5"/>
  <c r="AP25" i="5" s="1"/>
  <c r="V28" i="5"/>
  <c r="AI28" i="5"/>
  <c r="AP28" i="5" s="1"/>
  <c r="AP14" i="5"/>
  <c r="C11" i="10"/>
  <c r="C9" i="10"/>
  <c r="U33" i="11"/>
  <c r="O3" i="8"/>
  <c r="U26" i="11"/>
  <c r="S3" i="13"/>
  <c r="I12" i="10"/>
  <c r="I10" i="10"/>
  <c r="L8" i="10"/>
  <c r="U24" i="11"/>
  <c r="H16" i="8"/>
  <c r="O16" i="8" s="1"/>
  <c r="B22" i="10"/>
  <c r="B26" i="10" s="1"/>
  <c r="U65" i="11"/>
  <c r="U67" i="11"/>
  <c r="U73" i="11"/>
  <c r="U75" i="11"/>
  <c r="N13" i="14"/>
  <c r="S13" i="14"/>
  <c r="R13" i="14"/>
  <c r="Q13" i="14"/>
  <c r="O13" i="14"/>
  <c r="M13" i="14"/>
  <c r="T13" i="14"/>
  <c r="Q14" i="14"/>
  <c r="O14" i="14"/>
  <c r="N14" i="14"/>
  <c r="M14" i="14"/>
  <c r="T14" i="14"/>
  <c r="S14" i="14"/>
  <c r="U15" i="14"/>
  <c r="Q12" i="14"/>
  <c r="U12" i="14" s="1"/>
  <c r="T12" i="14"/>
  <c r="Q11" i="14"/>
  <c r="M12" i="14"/>
  <c r="BV7" i="13" l="1"/>
  <c r="AN7" i="13"/>
  <c r="AS7" i="13"/>
  <c r="BW7" i="13"/>
  <c r="AE7" i="13"/>
  <c r="AC7" i="13"/>
  <c r="BX7" i="13"/>
  <c r="BL7" i="13"/>
  <c r="BG6" i="13"/>
  <c r="Z7" i="13"/>
  <c r="AB7" i="13" s="1"/>
  <c r="BU7" i="13"/>
  <c r="U7" i="13"/>
  <c r="V7" i="13" s="1"/>
  <c r="BB7" i="13"/>
  <c r="BJ7" i="13"/>
  <c r="BR7" i="13"/>
  <c r="BN7" i="13"/>
  <c r="AH7" i="13"/>
  <c r="AP10" i="13"/>
  <c r="AR10" i="13" s="1"/>
  <c r="BN10" i="13"/>
  <c r="CB11" i="13"/>
  <c r="CD11" i="13" s="1"/>
  <c r="AM11" i="13"/>
  <c r="BT10" i="13"/>
  <c r="AS11" i="13"/>
  <c r="BD10" i="13"/>
  <c r="BH11" i="13"/>
  <c r="BE11" i="13"/>
  <c r="BA8" i="13"/>
  <c r="BC8" i="13" s="1"/>
  <c r="X10" i="13"/>
  <c r="AD18" i="13"/>
  <c r="AF18" i="13" s="1"/>
  <c r="CC15" i="13"/>
  <c r="BE6" i="13"/>
  <c r="AW6" i="13"/>
  <c r="AY6" i="13" s="1"/>
  <c r="BG15" i="13"/>
  <c r="AJ18" i="13"/>
  <c r="BI6" i="13"/>
  <c r="BF6" i="13"/>
  <c r="AE6" i="13"/>
  <c r="BX6" i="13"/>
  <c r="BZ6" i="13"/>
  <c r="AN6" i="13"/>
  <c r="BL6" i="13"/>
  <c r="CE6" i="13"/>
  <c r="AS6" i="13"/>
  <c r="AQ6" i="13"/>
  <c r="AP18" i="13"/>
  <c r="AR18" i="13" s="1"/>
  <c r="BJ15" i="13"/>
  <c r="BM6" i="13"/>
  <c r="BS6" i="13"/>
  <c r="AI18" i="13"/>
  <c r="AN15" i="13"/>
  <c r="BH6" i="13"/>
  <c r="AK6" i="13"/>
  <c r="AD6" i="13"/>
  <c r="AF6" i="13" s="1"/>
  <c r="CE5" i="13"/>
  <c r="AC6" i="13"/>
  <c r="BN6" i="13"/>
  <c r="BT6" i="13"/>
  <c r="BK5" i="13"/>
  <c r="V6" i="13"/>
  <c r="AJ6" i="13"/>
  <c r="BA6" i="13"/>
  <c r="BC6" i="13" s="1"/>
  <c r="AH6" i="13"/>
  <c r="AA6" i="13"/>
  <c r="BR6" i="13"/>
  <c r="BD6" i="13"/>
  <c r="AQ5" i="13"/>
  <c r="BP6" i="13"/>
  <c r="W6" i="13"/>
  <c r="Y6" i="13" s="1"/>
  <c r="AX6" i="13"/>
  <c r="BO6" i="13"/>
  <c r="BV6" i="13"/>
  <c r="BJ6" i="13"/>
  <c r="BZ5" i="13"/>
  <c r="BU6" i="13"/>
  <c r="AO6" i="13"/>
  <c r="AG6" i="13"/>
  <c r="AI6" i="13"/>
  <c r="AP6" i="13"/>
  <c r="AR6" i="13" s="1"/>
  <c r="AT6" i="13"/>
  <c r="AV6" i="13" s="1"/>
  <c r="AT5" i="13"/>
  <c r="AV5" i="13" s="1"/>
  <c r="X6" i="13"/>
  <c r="AZ6" i="13"/>
  <c r="AU6" i="13"/>
  <c r="CC6" i="13"/>
  <c r="BY6" i="13"/>
  <c r="CA6" i="13" s="1"/>
  <c r="Z6" i="13"/>
  <c r="AB6" i="13" s="1"/>
  <c r="AL6" i="13"/>
  <c r="AW9" i="13"/>
  <c r="AY9" i="13" s="1"/>
  <c r="BK6" i="13"/>
  <c r="BB6" i="13"/>
  <c r="U6" i="13"/>
  <c r="BQ6" i="13"/>
  <c r="BW6" i="13"/>
  <c r="AM6" i="13"/>
  <c r="CC9" i="13"/>
  <c r="Z18" i="13"/>
  <c r="AB18" i="13" s="1"/>
  <c r="AE15" i="13"/>
  <c r="BE18" i="13"/>
  <c r="AK15" i="13"/>
  <c r="BD18" i="13"/>
  <c r="BL15" i="13"/>
  <c r="BX18" i="13"/>
  <c r="U15" i="13"/>
  <c r="V15" i="13" s="1"/>
  <c r="AN8" i="13"/>
  <c r="AX18" i="13"/>
  <c r="AK18" i="13"/>
  <c r="AT15" i="13"/>
  <c r="AV15" i="13" s="1"/>
  <c r="BN18" i="13"/>
  <c r="BV18" i="13"/>
  <c r="W18" i="13"/>
  <c r="Y18" i="13" s="1"/>
  <c r="BP18" i="13"/>
  <c r="BB15" i="13"/>
  <c r="AQ15" i="13"/>
  <c r="BR15" i="13"/>
  <c r="AP8" i="13"/>
  <c r="AR8" i="13" s="1"/>
  <c r="AT17" i="13"/>
  <c r="AV17" i="13" s="1"/>
  <c r="AW18" i="13"/>
  <c r="AY18" i="13" s="1"/>
  <c r="BI18" i="13"/>
  <c r="BQ18" i="13"/>
  <c r="BT15" i="13"/>
  <c r="AL15" i="13"/>
  <c r="CB15" i="13"/>
  <c r="CD15" i="13" s="1"/>
  <c r="AQ8" i="13"/>
  <c r="AI17" i="13"/>
  <c r="BM18" i="13"/>
  <c r="BU18" i="13"/>
  <c r="BL18" i="13"/>
  <c r="AH15" i="13"/>
  <c r="CE15" i="13"/>
  <c r="BX15" i="13"/>
  <c r="AW8" i="13"/>
  <c r="AY8" i="13" s="1"/>
  <c r="AG17" i="13"/>
  <c r="BB18" i="13"/>
  <c r="AA18" i="13"/>
  <c r="AE18" i="13"/>
  <c r="BN15" i="13"/>
  <c r="BY15" i="13"/>
  <c r="CA15" i="13" s="1"/>
  <c r="BF15" i="13"/>
  <c r="AH18" i="13"/>
  <c r="BY18" i="13"/>
  <c r="CA18" i="13" s="1"/>
  <c r="U18" i="13"/>
  <c r="V18" i="13" s="1"/>
  <c r="BE15" i="13"/>
  <c r="AM15" i="13"/>
  <c r="BU15" i="13"/>
  <c r="BL8" i="13"/>
  <c r="BU11" i="13"/>
  <c r="BR11" i="13"/>
  <c r="AH10" i="13"/>
  <c r="BK10" i="13"/>
  <c r="BU10" i="13"/>
  <c r="BX11" i="13"/>
  <c r="BQ11" i="13"/>
  <c r="BI10" i="13"/>
  <c r="AD10" i="13"/>
  <c r="AF10" i="13" s="1"/>
  <c r="AG10" i="13"/>
  <c r="X11" i="13"/>
  <c r="BB11" i="13"/>
  <c r="AM10" i="13"/>
  <c r="BB10" i="13"/>
  <c r="BH10" i="13"/>
  <c r="CE11" i="13"/>
  <c r="AG11" i="13"/>
  <c r="BJ11" i="13"/>
  <c r="AQ10" i="13"/>
  <c r="AA10" i="13"/>
  <c r="BF11" i="13"/>
  <c r="BM11" i="13"/>
  <c r="BG11" i="13"/>
  <c r="U10" i="13"/>
  <c r="V10" i="13" s="1"/>
  <c r="AS10" i="13"/>
  <c r="W11" i="13"/>
  <c r="Y11" i="13" s="1"/>
  <c r="AK11" i="13"/>
  <c r="AX11" i="13"/>
  <c r="BY10" i="13"/>
  <c r="CA10" i="13" s="1"/>
  <c r="AU10" i="13"/>
  <c r="BV5" i="13"/>
  <c r="BS5" i="13"/>
  <c r="BN5" i="13"/>
  <c r="AD5" i="13"/>
  <c r="AF5" i="13" s="1"/>
  <c r="AO5" i="13"/>
  <c r="CB5" i="13"/>
  <c r="CD5" i="13" s="1"/>
  <c r="D9" i="8"/>
  <c r="E9" i="8" s="1"/>
  <c r="BV9" i="13"/>
  <c r="AM9" i="13"/>
  <c r="BD9" i="13"/>
  <c r="AU9" i="13"/>
  <c r="AL9" i="13"/>
  <c r="BM9" i="13"/>
  <c r="BS9" i="13"/>
  <c r="BF9" i="13"/>
  <c r="AN9" i="13"/>
  <c r="BA9" i="13"/>
  <c r="BC9" i="13" s="1"/>
  <c r="AJ9" i="13"/>
  <c r="AQ9" i="13"/>
  <c r="BN9" i="13"/>
  <c r="AS9" i="13"/>
  <c r="AH9" i="13"/>
  <c r="Z9" i="13"/>
  <c r="AB9" i="13" s="1"/>
  <c r="AK7" i="13"/>
  <c r="AZ7" i="13"/>
  <c r="CC7" i="13"/>
  <c r="AD7" i="13"/>
  <c r="AF7" i="13" s="1"/>
  <c r="AP7" i="13"/>
  <c r="AR7" i="13" s="1"/>
  <c r="X7" i="13"/>
  <c r="AA7" i="13"/>
  <c r="AO7" i="13"/>
  <c r="BY7" i="13"/>
  <c r="CA7" i="13" s="1"/>
  <c r="AJ7" i="13"/>
  <c r="AU7" i="13"/>
  <c r="BF7" i="13"/>
  <c r="AM7" i="13"/>
  <c r="W7" i="13"/>
  <c r="Y7" i="13" s="1"/>
  <c r="BQ7" i="13"/>
  <c r="BP7" i="13"/>
  <c r="AT7" i="13"/>
  <c r="AV7" i="13" s="1"/>
  <c r="AG7" i="13"/>
  <c r="BK7" i="13"/>
  <c r="BO7" i="13"/>
  <c r="CE7" i="13"/>
  <c r="BG7" i="13"/>
  <c r="BT7" i="13"/>
  <c r="BE7" i="13"/>
  <c r="AW7" i="13"/>
  <c r="AY7" i="13" s="1"/>
  <c r="AQ7" i="13"/>
  <c r="BH7" i="13"/>
  <c r="BA7" i="13"/>
  <c r="BC7" i="13" s="1"/>
  <c r="CB7" i="13"/>
  <c r="CD7" i="13" s="1"/>
  <c r="BD7" i="13"/>
  <c r="AL7" i="13"/>
  <c r="BG5" i="13"/>
  <c r="W5" i="13"/>
  <c r="Y5" i="13" s="1"/>
  <c r="BT5" i="13"/>
  <c r="BD5" i="13"/>
  <c r="AH5" i="13"/>
  <c r="X5" i="13"/>
  <c r="AX5" i="13"/>
  <c r="AZ5" i="13"/>
  <c r="AK5" i="13"/>
  <c r="D8" i="8"/>
  <c r="F8" i="8" s="1"/>
  <c r="AH13" i="13"/>
  <c r="BL17" i="13"/>
  <c r="BS8" i="13"/>
  <c r="AJ17" i="13"/>
  <c r="BW17" i="13"/>
  <c r="BR17" i="13"/>
  <c r="AO17" i="13"/>
  <c r="CC13" i="13"/>
  <c r="AG13" i="13"/>
  <c r="BV13" i="13"/>
  <c r="U13" i="13"/>
  <c r="V13" i="13" s="1"/>
  <c r="AN13" i="13"/>
  <c r="AK13" i="13"/>
  <c r="BA13" i="13"/>
  <c r="BC13" i="13" s="1"/>
  <c r="AX13" i="13"/>
  <c r="BM13" i="13"/>
  <c r="AA13" i="13"/>
  <c r="AT13" i="13"/>
  <c r="AV13" i="13" s="1"/>
  <c r="BY13" i="13"/>
  <c r="CA13" i="13" s="1"/>
  <c r="AG5" i="13"/>
  <c r="CC5" i="13"/>
  <c r="BO5" i="13"/>
  <c r="BJ5" i="13"/>
  <c r="BE5" i="13"/>
  <c r="AN5" i="13"/>
  <c r="BY5" i="13"/>
  <c r="CA5" i="13" s="1"/>
  <c r="AP9" i="13"/>
  <c r="AR9" i="13" s="1"/>
  <c r="AA9" i="13"/>
  <c r="BQ9" i="13"/>
  <c r="BW9" i="13"/>
  <c r="BR9" i="13"/>
  <c r="BK9" i="13"/>
  <c r="AP5" i="13"/>
  <c r="AR5" i="13" s="1"/>
  <c r="AC5" i="13"/>
  <c r="AI5" i="13"/>
  <c r="AA5" i="13"/>
  <c r="BR5" i="13"/>
  <c r="BH5" i="13"/>
  <c r="AO9" i="13"/>
  <c r="AD9" i="13"/>
  <c r="AF9" i="13" s="1"/>
  <c r="BI9" i="13"/>
  <c r="AX9" i="13"/>
  <c r="BH9" i="13"/>
  <c r="AG9" i="13"/>
  <c r="BB9" i="13"/>
  <c r="AM5" i="13"/>
  <c r="AE5" i="13"/>
  <c r="AL5" i="13"/>
  <c r="BF5" i="13"/>
  <c r="BU5" i="13"/>
  <c r="BQ5" i="13"/>
  <c r="BM5" i="13"/>
  <c r="BJ9" i="13"/>
  <c r="BO9" i="13"/>
  <c r="BG9" i="13"/>
  <c r="AI9" i="13"/>
  <c r="X9" i="13"/>
  <c r="BP9" i="13"/>
  <c r="CB9" i="13"/>
  <c r="CD9" i="13" s="1"/>
  <c r="AJ5" i="13"/>
  <c r="AS5" i="13"/>
  <c r="Z5" i="13"/>
  <c r="AB5" i="13" s="1"/>
  <c r="AW5" i="13"/>
  <c r="AY5" i="13" s="1"/>
  <c r="BL5" i="13"/>
  <c r="BA5" i="13"/>
  <c r="BC5" i="13" s="1"/>
  <c r="BW5" i="13"/>
  <c r="U9" i="13"/>
  <c r="V9" i="13" s="1"/>
  <c r="AE9" i="13"/>
  <c r="BL9" i="13"/>
  <c r="AT9" i="13"/>
  <c r="AV9" i="13" s="1"/>
  <c r="W9" i="13"/>
  <c r="Y9" i="13" s="1"/>
  <c r="BX9" i="13"/>
  <c r="AZ9" i="13"/>
  <c r="D18" i="8"/>
  <c r="E18" i="8" s="1"/>
  <c r="D13" i="8"/>
  <c r="E13" i="8" s="1"/>
  <c r="BI5" i="13"/>
  <c r="AU5" i="13"/>
  <c r="BX5" i="13"/>
  <c r="BP5" i="13"/>
  <c r="BB5" i="13"/>
  <c r="BY9" i="13"/>
  <c r="CA9" i="13" s="1"/>
  <c r="BE9" i="13"/>
  <c r="BT9" i="13"/>
  <c r="AK9" i="13"/>
  <c r="CE9" i="13"/>
  <c r="BU9" i="13"/>
  <c r="D17" i="8"/>
  <c r="F17" i="8" s="1"/>
  <c r="AD13" i="13"/>
  <c r="AF13" i="13" s="1"/>
  <c r="BP13" i="13"/>
  <c r="BU13" i="13"/>
  <c r="BQ13" i="13"/>
  <c r="AQ13" i="13"/>
  <c r="W13" i="13"/>
  <c r="Y13" i="13" s="1"/>
  <c r="BF13" i="13"/>
  <c r="AZ13" i="13"/>
  <c r="BW13" i="13"/>
  <c r="AI13" i="13"/>
  <c r="BE13" i="13"/>
  <c r="BL13" i="13"/>
  <c r="AO13" i="13"/>
  <c r="BX13" i="13"/>
  <c r="CB13" i="13"/>
  <c r="CD13" i="13" s="1"/>
  <c r="CE13" i="13"/>
  <c r="AW13" i="13"/>
  <c r="AY13" i="13" s="1"/>
  <c r="AM13" i="13"/>
  <c r="AP13" i="13"/>
  <c r="AR13" i="13" s="1"/>
  <c r="BZ13" i="13"/>
  <c r="BH13" i="13"/>
  <c r="AL13" i="13"/>
  <c r="AU13" i="13"/>
  <c r="BG13" i="13"/>
  <c r="X13" i="13"/>
  <c r="AE13" i="13"/>
  <c r="BK13" i="13"/>
  <c r="BB13" i="13"/>
  <c r="BJ13" i="13"/>
  <c r="BO13" i="13"/>
  <c r="AS13" i="13"/>
  <c r="BS13" i="13"/>
  <c r="BT13" i="13"/>
  <c r="AC13" i="13"/>
  <c r="BR13" i="13"/>
  <c r="AJ13" i="13"/>
  <c r="BN13" i="13"/>
  <c r="Z13" i="13"/>
  <c r="AB13" i="13" s="1"/>
  <c r="BD13" i="13"/>
  <c r="D6" i="8"/>
  <c r="E6" i="8" s="1"/>
  <c r="AA16" i="13"/>
  <c r="AO18" i="13"/>
  <c r="AT18" i="13"/>
  <c r="AV18" i="13" s="1"/>
  <c r="BW18" i="13"/>
  <c r="AC18" i="13"/>
  <c r="BO18" i="13"/>
  <c r="BR18" i="13"/>
  <c r="AN18" i="13"/>
  <c r="BS15" i="13"/>
  <c r="X15" i="13"/>
  <c r="AW15" i="13"/>
  <c r="AY15" i="13" s="1"/>
  <c r="BA15" i="13"/>
  <c r="BC15" i="13" s="1"/>
  <c r="AS15" i="13"/>
  <c r="BP15" i="13"/>
  <c r="CE8" i="13"/>
  <c r="BP8" i="13"/>
  <c r="BN8" i="13"/>
  <c r="BB17" i="13"/>
  <c r="BG17" i="13"/>
  <c r="CC18" i="13"/>
  <c r="AZ18" i="13"/>
  <c r="CE18" i="13"/>
  <c r="BK18" i="13"/>
  <c r="AS18" i="13"/>
  <c r="AU18" i="13"/>
  <c r="CB18" i="13"/>
  <c r="CD18" i="13" s="1"/>
  <c r="AO15" i="13"/>
  <c r="BO15" i="13"/>
  <c r="BI15" i="13"/>
  <c r="W15" i="13"/>
  <c r="Y15" i="13" s="1"/>
  <c r="AZ15" i="13"/>
  <c r="AC15" i="13"/>
  <c r="BH15" i="13"/>
  <c r="U8" i="13"/>
  <c r="AE8" i="13"/>
  <c r="CB8" i="13"/>
  <c r="CD8" i="13" s="1"/>
  <c r="BU17" i="13"/>
  <c r="AW17" i="13"/>
  <c r="AY17" i="13" s="1"/>
  <c r="BK15" i="13"/>
  <c r="BZ15" i="13"/>
  <c r="AG15" i="13"/>
  <c r="AC8" i="13"/>
  <c r="AA8" i="13"/>
  <c r="AA17" i="13"/>
  <c r="BZ17" i="13"/>
  <c r="AG18" i="13"/>
  <c r="BJ18" i="13"/>
  <c r="AM18" i="13"/>
  <c r="BZ18" i="13"/>
  <c r="AL18" i="13"/>
  <c r="BH18" i="13"/>
  <c r="BS18" i="13"/>
  <c r="AP15" i="13"/>
  <c r="AR15" i="13" s="1"/>
  <c r="AX15" i="13"/>
  <c r="AD15" i="13"/>
  <c r="AF15" i="13" s="1"/>
  <c r="BD15" i="13"/>
  <c r="AJ15" i="13"/>
  <c r="BM15" i="13"/>
  <c r="BV15" i="13"/>
  <c r="BT8" i="13"/>
  <c r="W8" i="13"/>
  <c r="Y8" i="13" s="1"/>
  <c r="BY17" i="13"/>
  <c r="CA17" i="13" s="1"/>
  <c r="BF17" i="13"/>
  <c r="BV17" i="13"/>
  <c r="BF18" i="13"/>
  <c r="BT18" i="13"/>
  <c r="BA18" i="13"/>
  <c r="BC18" i="13" s="1"/>
  <c r="BG18" i="13"/>
  <c r="X18" i="13"/>
  <c r="Z15" i="13"/>
  <c r="AB15" i="13" s="1"/>
  <c r="AA15" i="13"/>
  <c r="BW15" i="13"/>
  <c r="AI15" i="13"/>
  <c r="AU15" i="13"/>
  <c r="BM8" i="13"/>
  <c r="AX8" i="13"/>
  <c r="BF8" i="13"/>
  <c r="V17" i="13"/>
  <c r="AU17" i="13"/>
  <c r="AC17" i="13"/>
  <c r="AT16" i="13"/>
  <c r="AV16" i="13" s="1"/>
  <c r="BY11" i="13"/>
  <c r="CA11" i="13" s="1"/>
  <c r="AE11" i="13"/>
  <c r="BV11" i="13"/>
  <c r="AZ11" i="13"/>
  <c r="AH11" i="13"/>
  <c r="AN11" i="13"/>
  <c r="BW11" i="13"/>
  <c r="BV10" i="13"/>
  <c r="AW10" i="13"/>
  <c r="AY10" i="13" s="1"/>
  <c r="AK10" i="13"/>
  <c r="BQ10" i="13"/>
  <c r="BZ10" i="13"/>
  <c r="AL10" i="13"/>
  <c r="BP10" i="13"/>
  <c r="X8" i="13"/>
  <c r="BW8" i="13"/>
  <c r="BU8" i="13"/>
  <c r="BK8" i="13"/>
  <c r="BI8" i="13"/>
  <c r="AM8" i="13"/>
  <c r="BQ17" i="13"/>
  <c r="BT17" i="13"/>
  <c r="AL17" i="13"/>
  <c r="BK17" i="13"/>
  <c r="BD17" i="13"/>
  <c r="AP17" i="13"/>
  <c r="AR17" i="13" s="1"/>
  <c r="BI16" i="13"/>
  <c r="BB16" i="13"/>
  <c r="BP11" i="13"/>
  <c r="CC11" i="13"/>
  <c r="AW11" i="13"/>
  <c r="AY11" i="13" s="1"/>
  <c r="BL11" i="13"/>
  <c r="AQ11" i="13"/>
  <c r="BT11" i="13"/>
  <c r="BN11" i="13"/>
  <c r="W10" i="13"/>
  <c r="Y10" i="13" s="1"/>
  <c r="CB10" i="13"/>
  <c r="CD10" i="13" s="1"/>
  <c r="BE10" i="13"/>
  <c r="CC10" i="13"/>
  <c r="BS10" i="13"/>
  <c r="CE10" i="13"/>
  <c r="AO8" i="13"/>
  <c r="BY8" i="13"/>
  <c r="CA8" i="13" s="1"/>
  <c r="BG8" i="13"/>
  <c r="AJ8" i="13"/>
  <c r="AS8" i="13"/>
  <c r="AZ8" i="13"/>
  <c r="AD8" i="13"/>
  <c r="AF8" i="13" s="1"/>
  <c r="W17" i="13"/>
  <c r="Y17" i="13" s="1"/>
  <c r="BA17" i="13"/>
  <c r="BC17" i="13" s="1"/>
  <c r="BS17" i="13"/>
  <c r="Z17" i="13"/>
  <c r="AB17" i="13" s="1"/>
  <c r="AN17" i="13"/>
  <c r="AQ17" i="13"/>
  <c r="AS17" i="13"/>
  <c r="W16" i="13"/>
  <c r="Y16" i="13" s="1"/>
  <c r="AC11" i="13"/>
  <c r="AO11" i="13"/>
  <c r="BO11" i="13"/>
  <c r="BZ11" i="13"/>
  <c r="BD11" i="13"/>
  <c r="BA11" i="13"/>
  <c r="BC11" i="13" s="1"/>
  <c r="AL11" i="13"/>
  <c r="Z10" i="13"/>
  <c r="AB10" i="13" s="1"/>
  <c r="BF10" i="13"/>
  <c r="BO10" i="13"/>
  <c r="AC10" i="13"/>
  <c r="BX10" i="13"/>
  <c r="AT10" i="13"/>
  <c r="AV10" i="13" s="1"/>
  <c r="AT8" i="13"/>
  <c r="AV8" i="13" s="1"/>
  <c r="BZ8" i="13"/>
  <c r="BV8" i="13"/>
  <c r="AI8" i="13"/>
  <c r="CC8" i="13"/>
  <c r="AH8" i="13"/>
  <c r="BE8" i="13"/>
  <c r="BI17" i="13"/>
  <c r="BM17" i="13"/>
  <c r="AE17" i="13"/>
  <c r="AM17" i="13"/>
  <c r="BN17" i="13"/>
  <c r="CE17" i="13"/>
  <c r="BX17" i="13"/>
  <c r="BF16" i="13"/>
  <c r="AJ11" i="13"/>
  <c r="BS11" i="13"/>
  <c r="AT11" i="13"/>
  <c r="AV11" i="13" s="1"/>
  <c r="BI11" i="13"/>
  <c r="AP11" i="13"/>
  <c r="AR11" i="13" s="1"/>
  <c r="AI11" i="13"/>
  <c r="AO10" i="13"/>
  <c r="AN10" i="13"/>
  <c r="BG10" i="13"/>
  <c r="BM10" i="13"/>
  <c r="AJ10" i="13"/>
  <c r="BJ10" i="13"/>
  <c r="BR10" i="13"/>
  <c r="V8" i="13"/>
  <c r="BD8" i="13"/>
  <c r="BH8" i="13"/>
  <c r="BQ8" i="13"/>
  <c r="BJ8" i="13"/>
  <c r="BX8" i="13"/>
  <c r="AU8" i="13"/>
  <c r="X17" i="13"/>
  <c r="AK17" i="13"/>
  <c r="AX17" i="13"/>
  <c r="BO17" i="13"/>
  <c r="AH17" i="13"/>
  <c r="AD17" i="13"/>
  <c r="AF17" i="13" s="1"/>
  <c r="BP17" i="13"/>
  <c r="D4" i="8"/>
  <c r="F4" i="8" s="1"/>
  <c r="D5" i="8"/>
  <c r="F5" i="8" s="1"/>
  <c r="BL16" i="13"/>
  <c r="BK11" i="13"/>
  <c r="AU11" i="13"/>
  <c r="U11" i="13"/>
  <c r="V11" i="13" s="1"/>
  <c r="AD11" i="13"/>
  <c r="AF11" i="13" s="1"/>
  <c r="AA11" i="13"/>
  <c r="AX10" i="13"/>
  <c r="BL10" i="13"/>
  <c r="AE10" i="13"/>
  <c r="AI10" i="13"/>
  <c r="BA10" i="13"/>
  <c r="BC10" i="13" s="1"/>
  <c r="BW10" i="13"/>
  <c r="AK8" i="13"/>
  <c r="BR8" i="13"/>
  <c r="BB8" i="13"/>
  <c r="AG8" i="13"/>
  <c r="Z8" i="13"/>
  <c r="AB8" i="13" s="1"/>
  <c r="BO8" i="13"/>
  <c r="U17" i="13"/>
  <c r="BH17" i="13"/>
  <c r="CB17" i="13"/>
  <c r="CD17" i="13" s="1"/>
  <c r="BE17" i="13"/>
  <c r="BJ17" i="13"/>
  <c r="CC17" i="13"/>
  <c r="AE16" i="13"/>
  <c r="BE16" i="13"/>
  <c r="BZ16" i="13"/>
  <c r="BV16" i="13"/>
  <c r="AX16" i="13"/>
  <c r="AI16" i="13"/>
  <c r="AQ16" i="13"/>
  <c r="D12" i="8"/>
  <c r="BY16" i="13"/>
  <c r="CA16" i="13" s="1"/>
  <c r="BG16" i="13"/>
  <c r="BT16" i="13"/>
  <c r="BJ16" i="13"/>
  <c r="AJ16" i="13"/>
  <c r="U16" i="13"/>
  <c r="CB16" i="13"/>
  <c r="CD16" i="13" s="1"/>
  <c r="D15" i="8"/>
  <c r="D7" i="8"/>
  <c r="X16" i="13"/>
  <c r="AG16" i="13"/>
  <c r="V16" i="13"/>
  <c r="AK16" i="13"/>
  <c r="BX16" i="13"/>
  <c r="CC16" i="13"/>
  <c r="AU16" i="13"/>
  <c r="AC16" i="13"/>
  <c r="BP16" i="13"/>
  <c r="BS16" i="13"/>
  <c r="Z16" i="13"/>
  <c r="AB16" i="13" s="1"/>
  <c r="BW16" i="13"/>
  <c r="AH16" i="13"/>
  <c r="AD16" i="13"/>
  <c r="AF16" i="13" s="1"/>
  <c r="AW16" i="13"/>
  <c r="AY16" i="13" s="1"/>
  <c r="BD16" i="13"/>
  <c r="BN16" i="13"/>
  <c r="AZ16" i="13"/>
  <c r="BA16" i="13"/>
  <c r="BC16" i="13" s="1"/>
  <c r="AS16" i="13"/>
  <c r="BQ16" i="13"/>
  <c r="CE16" i="13"/>
  <c r="BR16" i="13"/>
  <c r="AL16" i="13"/>
  <c r="AO16" i="13"/>
  <c r="AP16" i="13"/>
  <c r="AR16" i="13" s="1"/>
  <c r="AM16" i="13"/>
  <c r="AN16" i="13"/>
  <c r="BK16" i="13"/>
  <c r="BM16" i="13"/>
  <c r="BU16" i="13"/>
  <c r="BH16" i="13"/>
  <c r="D10" i="8"/>
  <c r="D62" i="10"/>
  <c r="E62" i="10" s="1"/>
  <c r="F62" i="10" s="1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B66" i="10"/>
  <c r="E58" i="10"/>
  <c r="C65" i="10"/>
  <c r="C66" i="10" s="1"/>
  <c r="B67" i="10"/>
  <c r="AD20" i="10"/>
  <c r="AD18" i="10"/>
  <c r="AD21" i="10"/>
  <c r="AD19" i="10"/>
  <c r="C31" i="10"/>
  <c r="U13" i="14"/>
  <c r="D24" i="10"/>
  <c r="D28" i="10" s="1"/>
  <c r="U11" i="14"/>
  <c r="T3" i="17"/>
  <c r="S4" i="17"/>
  <c r="V20" i="5"/>
  <c r="B31" i="10"/>
  <c r="B32" i="10" s="1"/>
  <c r="C32" i="10" s="1"/>
  <c r="D23" i="10"/>
  <c r="D27" i="10" s="1"/>
  <c r="D25" i="10"/>
  <c r="D29" i="10" s="1"/>
  <c r="D3" i="8"/>
  <c r="C15" i="2"/>
  <c r="D16" i="14"/>
  <c r="Q4" i="16"/>
  <c r="T4" i="17"/>
  <c r="BG3" i="13"/>
  <c r="BQ3" i="13"/>
  <c r="BM3" i="13"/>
  <c r="BW3" i="13"/>
  <c r="D2" i="8"/>
  <c r="F2" i="8" s="1"/>
  <c r="T2" i="8" s="1"/>
  <c r="BH3" i="13"/>
  <c r="BY3" i="13"/>
  <c r="CA3" i="13" s="1"/>
  <c r="AS3" i="13"/>
  <c r="BX3" i="13"/>
  <c r="BA3" i="13"/>
  <c r="BC3" i="13" s="1"/>
  <c r="BP3" i="13"/>
  <c r="AT3" i="13"/>
  <c r="AV3" i="13" s="1"/>
  <c r="AU3" i="13"/>
  <c r="AZ3" i="13"/>
  <c r="BR3" i="13"/>
  <c r="U3" i="13"/>
  <c r="V3" i="13" s="1"/>
  <c r="CC3" i="13"/>
  <c r="AK3" i="13"/>
  <c r="AJ3" i="13"/>
  <c r="BZ3" i="13"/>
  <c r="AC3" i="13"/>
  <c r="P3" i="16"/>
  <c r="Q14" i="7"/>
  <c r="Q16" i="7"/>
  <c r="Q17" i="7" s="1"/>
  <c r="D17" i="14"/>
  <c r="C19" i="2"/>
  <c r="Q3" i="16"/>
  <c r="Q18" i="7"/>
  <c r="Q19" i="7" s="1"/>
  <c r="Q20" i="7" s="1"/>
  <c r="D6" i="14"/>
  <c r="F4" i="5"/>
  <c r="Z4" i="5" s="1"/>
  <c r="F19" i="5" s="1"/>
  <c r="Z19" i="5" s="1"/>
  <c r="AI21" i="5"/>
  <c r="AP21" i="5" s="1"/>
  <c r="V21" i="5"/>
  <c r="J6" i="8"/>
  <c r="D18" i="14"/>
  <c r="C17" i="2"/>
  <c r="B17" i="10"/>
  <c r="D13" i="14"/>
  <c r="C12" i="2"/>
  <c r="F10" i="5"/>
  <c r="Z10" i="5" s="1"/>
  <c r="F25" i="5" s="1"/>
  <c r="Z25" i="5" s="1"/>
  <c r="D4" i="14"/>
  <c r="C3" i="13"/>
  <c r="C4" i="2"/>
  <c r="F3" i="5"/>
  <c r="Z3" i="5" s="1"/>
  <c r="F18" i="5" s="1"/>
  <c r="Z18" i="5" s="1"/>
  <c r="I14" i="8"/>
  <c r="P14" i="8" s="1"/>
  <c r="P3" i="8"/>
  <c r="J2" i="8"/>
  <c r="I13" i="8"/>
  <c r="P13" i="8" s="1"/>
  <c r="P2" i="8"/>
  <c r="D22" i="10"/>
  <c r="D26" i="10" s="1"/>
  <c r="C22" i="10"/>
  <c r="C17" i="10"/>
  <c r="AI24" i="5"/>
  <c r="AP24" i="5" s="1"/>
  <c r="V24" i="5"/>
  <c r="D12" i="14"/>
  <c r="C11" i="2"/>
  <c r="F14" i="5"/>
  <c r="Z14" i="5" s="1"/>
  <c r="F29" i="5" s="1"/>
  <c r="Z29" i="5" s="1"/>
  <c r="D11" i="14"/>
  <c r="C10" i="2"/>
  <c r="F9" i="5"/>
  <c r="Z9" i="5" s="1"/>
  <c r="F24" i="5" s="1"/>
  <c r="Z24" i="5" s="1"/>
  <c r="D15" i="14"/>
  <c r="F15" i="5"/>
  <c r="Z15" i="5" s="1"/>
  <c r="F30" i="5" s="1"/>
  <c r="Z30" i="5" s="1"/>
  <c r="C14" i="2"/>
  <c r="J3" i="7"/>
  <c r="J3" i="8"/>
  <c r="U14" i="14"/>
  <c r="F30" i="10"/>
  <c r="G30" i="10" s="1"/>
  <c r="E31" i="10"/>
  <c r="AI27" i="5"/>
  <c r="AP27" i="5" s="1"/>
  <c r="V27" i="5"/>
  <c r="D19" i="14"/>
  <c r="C20" i="2"/>
  <c r="AI30" i="5"/>
  <c r="AP30" i="5" s="1"/>
  <c r="V30" i="5"/>
  <c r="D10" i="14"/>
  <c r="F8" i="5"/>
  <c r="Z8" i="5" s="1"/>
  <c r="F23" i="5" s="1"/>
  <c r="Z23" i="5" s="1"/>
  <c r="C9" i="2"/>
  <c r="D14" i="14"/>
  <c r="F13" i="5"/>
  <c r="Z13" i="5" s="1"/>
  <c r="F28" i="5" s="1"/>
  <c r="Z28" i="5" s="1"/>
  <c r="C13" i="2"/>
  <c r="S3" i="17"/>
  <c r="P4" i="8"/>
  <c r="I15" i="8"/>
  <c r="P15" i="8" s="1"/>
  <c r="J5" i="8"/>
  <c r="CE3" i="13"/>
  <c r="BU3" i="13"/>
  <c r="AG3" i="13"/>
  <c r="BV3" i="13"/>
  <c r="X3" i="13"/>
  <c r="BL3" i="13"/>
  <c r="W3" i="13"/>
  <c r="Y3" i="13" s="1"/>
  <c r="CB3" i="13"/>
  <c r="CD3" i="13" s="1"/>
  <c r="BK3" i="13"/>
  <c r="BF3" i="13"/>
  <c r="AN3" i="13"/>
  <c r="D5" i="14"/>
  <c r="C5" i="2"/>
  <c r="D9" i="14"/>
  <c r="C8" i="2"/>
  <c r="F7" i="5"/>
  <c r="Z7" i="5" s="1"/>
  <c r="F22" i="5" s="1"/>
  <c r="Z22" i="5" s="1"/>
  <c r="P4" i="16"/>
  <c r="D7" i="14"/>
  <c r="C6" i="2"/>
  <c r="F6" i="5"/>
  <c r="Z6" i="5" s="1"/>
  <c r="F21" i="5" s="1"/>
  <c r="Z21" i="5" s="1"/>
  <c r="P14" i="7"/>
  <c r="I16" i="8"/>
  <c r="P16" i="8" s="1"/>
  <c r="P5" i="8"/>
  <c r="F9" i="16"/>
  <c r="F10" i="16"/>
  <c r="F8" i="16"/>
  <c r="F6" i="16"/>
  <c r="F5" i="16"/>
  <c r="F7" i="16"/>
  <c r="F11" i="5"/>
  <c r="Z11" i="5" s="1"/>
  <c r="F26" i="5" s="1"/>
  <c r="Z26" i="5" s="1"/>
  <c r="P16" i="7"/>
  <c r="P17" i="7" s="1"/>
  <c r="P21" i="7" s="1"/>
  <c r="D8" i="14"/>
  <c r="F5" i="5"/>
  <c r="Z5" i="5" s="1"/>
  <c r="F20" i="5" s="1"/>
  <c r="Z20" i="5" s="1"/>
  <c r="C7" i="2"/>
  <c r="BJ3" i="13"/>
  <c r="AL3" i="13"/>
  <c r="AD3" i="13"/>
  <c r="AF3" i="13" s="1"/>
  <c r="BI3" i="13"/>
  <c r="T3" i="13"/>
  <c r="BO3" i="13"/>
  <c r="AQ3" i="13"/>
  <c r="AI3" i="13"/>
  <c r="AA3" i="13"/>
  <c r="BE3" i="13"/>
  <c r="AW3" i="13"/>
  <c r="AY3" i="13" s="1"/>
  <c r="BT3" i="13"/>
  <c r="AX3" i="13"/>
  <c r="AE3" i="13"/>
  <c r="BS3" i="13"/>
  <c r="Z3" i="13"/>
  <c r="AB3" i="13" s="1"/>
  <c r="BN3" i="13"/>
  <c r="AP3" i="13"/>
  <c r="AR3" i="13" s="1"/>
  <c r="AH3" i="13"/>
  <c r="R3" i="13"/>
  <c r="AO3" i="13" s="1"/>
  <c r="BD3" i="13"/>
  <c r="AM3" i="13"/>
  <c r="F18" i="8" l="1"/>
  <c r="F9" i="8"/>
  <c r="E8" i="8"/>
  <c r="L5" i="8" s="1"/>
  <c r="S5" i="8" s="1"/>
  <c r="E17" i="8"/>
  <c r="F13" i="8"/>
  <c r="E5" i="8"/>
  <c r="F6" i="8"/>
  <c r="M2" i="8" s="1"/>
  <c r="E4" i="8"/>
  <c r="E7" i="8"/>
  <c r="F7" i="8"/>
  <c r="E15" i="8"/>
  <c r="F15" i="8"/>
  <c r="E10" i="8"/>
  <c r="L4" i="8" s="1"/>
  <c r="F10" i="8"/>
  <c r="M4" i="8" s="1"/>
  <c r="F12" i="8"/>
  <c r="E12" i="8"/>
  <c r="F58" i="10"/>
  <c r="B68" i="10"/>
  <c r="D65" i="10"/>
  <c r="D66" i="10" s="1"/>
  <c r="C67" i="10"/>
  <c r="D31" i="10"/>
  <c r="D32" i="10" s="1"/>
  <c r="B33" i="10"/>
  <c r="D17" i="10"/>
  <c r="E23" i="10"/>
  <c r="E25" i="10"/>
  <c r="E24" i="10"/>
  <c r="M5" i="8"/>
  <c r="T5" i="8" s="1"/>
  <c r="F3" i="8"/>
  <c r="E3" i="8"/>
  <c r="E2" i="8"/>
  <c r="S2" i="8" s="1"/>
  <c r="P10" i="16"/>
  <c r="Q10" i="16"/>
  <c r="J13" i="8"/>
  <c r="K2" i="8"/>
  <c r="Q2" i="8"/>
  <c r="R2" i="8" s="1"/>
  <c r="P8" i="16"/>
  <c r="Q8" i="16"/>
  <c r="G31" i="10"/>
  <c r="H30" i="10"/>
  <c r="I30" i="10" s="1"/>
  <c r="L2" i="8"/>
  <c r="Q9" i="16"/>
  <c r="P9" i="16"/>
  <c r="Q21" i="7"/>
  <c r="Q7" i="16"/>
  <c r="P7" i="16"/>
  <c r="Q5" i="8"/>
  <c r="R5" i="8" s="1"/>
  <c r="J16" i="8"/>
  <c r="K5" i="8"/>
  <c r="J17" i="8"/>
  <c r="K17" i="8" s="1"/>
  <c r="K6" i="8"/>
  <c r="C33" i="10"/>
  <c r="Q5" i="16"/>
  <c r="P5" i="16"/>
  <c r="Q6" i="16"/>
  <c r="P6" i="16"/>
  <c r="Q3" i="8"/>
  <c r="R3" i="8" s="1"/>
  <c r="J14" i="8"/>
  <c r="K3" i="8"/>
  <c r="Q4" i="8"/>
  <c r="R4" i="8" s="1"/>
  <c r="J15" i="8"/>
  <c r="K4" i="8"/>
  <c r="G58" i="10" l="1"/>
  <c r="C68" i="10"/>
  <c r="E65" i="10"/>
  <c r="E66" i="10" s="1"/>
  <c r="D67" i="10"/>
  <c r="E17" i="10"/>
  <c r="E22" i="10"/>
  <c r="F25" i="10"/>
  <c r="F29" i="10" s="1"/>
  <c r="F23" i="10"/>
  <c r="F27" i="10" s="1"/>
  <c r="F24" i="10"/>
  <c r="F28" i="10" s="1"/>
  <c r="K15" i="8"/>
  <c r="Q15" i="8"/>
  <c r="R15" i="8" s="1"/>
  <c r="K13" i="8"/>
  <c r="Q13" i="8"/>
  <c r="R13" i="8" s="1"/>
  <c r="D33" i="10"/>
  <c r="E32" i="10"/>
  <c r="L6" i="8"/>
  <c r="S4" i="8"/>
  <c r="Q14" i="8"/>
  <c r="R14" i="8" s="1"/>
  <c r="K14" i="8"/>
  <c r="S3" i="8"/>
  <c r="L3" i="8"/>
  <c r="K16" i="8"/>
  <c r="Q16" i="8"/>
  <c r="R16" i="8" s="1"/>
  <c r="M6" i="8"/>
  <c r="T4" i="8"/>
  <c r="J30" i="10"/>
  <c r="K30" i="10" s="1"/>
  <c r="I31" i="10"/>
  <c r="M3" i="8"/>
  <c r="T3" i="8"/>
  <c r="R7" i="8"/>
  <c r="K7" i="8"/>
  <c r="H58" i="10" l="1"/>
  <c r="D68" i="10"/>
  <c r="F65" i="10"/>
  <c r="F66" i="10" s="1"/>
  <c r="E67" i="10"/>
  <c r="G25" i="10"/>
  <c r="G23" i="10"/>
  <c r="G24" i="10"/>
  <c r="F22" i="10"/>
  <c r="F26" i="10" s="1"/>
  <c r="F31" i="10" s="1"/>
  <c r="F32" i="10" s="1"/>
  <c r="F17" i="10"/>
  <c r="T7" i="8"/>
  <c r="L7" i="8"/>
  <c r="L8" i="8" s="1"/>
  <c r="L17" i="8" s="1"/>
  <c r="M7" i="8"/>
  <c r="M8" i="8" s="1"/>
  <c r="R18" i="8"/>
  <c r="S7" i="8"/>
  <c r="K18" i="8"/>
  <c r="L30" i="10"/>
  <c r="M30" i="10" s="1"/>
  <c r="K31" i="10"/>
  <c r="E33" i="10"/>
  <c r="I58" i="10" l="1"/>
  <c r="E68" i="10"/>
  <c r="G65" i="10"/>
  <c r="G66" i="10" s="1"/>
  <c r="F67" i="10"/>
  <c r="H24" i="10"/>
  <c r="H28" i="10" s="1"/>
  <c r="H25" i="10"/>
  <c r="H29" i="10" s="1"/>
  <c r="H23" i="10"/>
  <c r="H27" i="10" s="1"/>
  <c r="G17" i="10"/>
  <c r="G22" i="10"/>
  <c r="M17" i="8"/>
  <c r="M14" i="8"/>
  <c r="T14" i="8" s="1"/>
  <c r="M16" i="8"/>
  <c r="T16" i="8" s="1"/>
  <c r="M13" i="8"/>
  <c r="F33" i="10"/>
  <c r="G32" i="10"/>
  <c r="L13" i="8"/>
  <c r="L16" i="8"/>
  <c r="S16" i="8" s="1"/>
  <c r="M31" i="10"/>
  <c r="N30" i="10"/>
  <c r="O30" i="10" s="1"/>
  <c r="L15" i="8"/>
  <c r="S15" i="8" s="1"/>
  <c r="M15" i="8"/>
  <c r="T15" i="8" s="1"/>
  <c r="L14" i="8"/>
  <c r="S14" i="8" s="1"/>
  <c r="J58" i="10" l="1"/>
  <c r="F68" i="10"/>
  <c r="H65" i="10"/>
  <c r="H66" i="10" s="1"/>
  <c r="G67" i="10"/>
  <c r="H17" i="10"/>
  <c r="H22" i="10"/>
  <c r="H26" i="10" s="1"/>
  <c r="H31" i="10" s="1"/>
  <c r="H32" i="10" s="1"/>
  <c r="I25" i="10"/>
  <c r="I23" i="10"/>
  <c r="I24" i="10"/>
  <c r="O31" i="10"/>
  <c r="P30" i="10"/>
  <c r="Q30" i="10" s="1"/>
  <c r="S13" i="8"/>
  <c r="S18" i="8" s="1"/>
  <c r="L18" i="8"/>
  <c r="G33" i="10"/>
  <c r="T13" i="8"/>
  <c r="T18" i="8" s="1"/>
  <c r="M18" i="8"/>
  <c r="K58" i="10" l="1"/>
  <c r="G68" i="10"/>
  <c r="I65" i="10"/>
  <c r="I66" i="10" s="1"/>
  <c r="H67" i="10"/>
  <c r="J24" i="10"/>
  <c r="J28" i="10" s="1"/>
  <c r="J23" i="10"/>
  <c r="J27" i="10" s="1"/>
  <c r="J25" i="10"/>
  <c r="J29" i="10" s="1"/>
  <c r="I22" i="10"/>
  <c r="I17" i="10"/>
  <c r="I32" i="10"/>
  <c r="H33" i="10"/>
  <c r="Q31" i="10"/>
  <c r="R30" i="10"/>
  <c r="S30" i="10" s="1"/>
  <c r="L58" i="10" l="1"/>
  <c r="H68" i="10"/>
  <c r="J65" i="10"/>
  <c r="J66" i="10" s="1"/>
  <c r="I67" i="10"/>
  <c r="K24" i="10"/>
  <c r="K25" i="10"/>
  <c r="K23" i="10"/>
  <c r="J17" i="10"/>
  <c r="J22" i="10"/>
  <c r="J26" i="10" s="1"/>
  <c r="J31" i="10" s="1"/>
  <c r="J32" i="10" s="1"/>
  <c r="I33" i="10"/>
  <c r="T30" i="10"/>
  <c r="U30" i="10" s="1"/>
  <c r="S31" i="10"/>
  <c r="M58" i="10" l="1"/>
  <c r="I68" i="10"/>
  <c r="K65" i="10"/>
  <c r="K66" i="10" s="1"/>
  <c r="J67" i="10"/>
  <c r="K22" i="10"/>
  <c r="K17" i="10"/>
  <c r="L24" i="10"/>
  <c r="L28" i="10" s="1"/>
  <c r="L23" i="10"/>
  <c r="L27" i="10" s="1"/>
  <c r="L25" i="10"/>
  <c r="L29" i="10" s="1"/>
  <c r="U31" i="10"/>
  <c r="V30" i="10"/>
  <c r="W30" i="10" s="1"/>
  <c r="K32" i="10"/>
  <c r="J33" i="10"/>
  <c r="N58" i="10" l="1"/>
  <c r="J68" i="10"/>
  <c r="L65" i="10"/>
  <c r="L66" i="10" s="1"/>
  <c r="K67" i="10"/>
  <c r="L22" i="10"/>
  <c r="L26" i="10" s="1"/>
  <c r="L31" i="10" s="1"/>
  <c r="L32" i="10" s="1"/>
  <c r="L17" i="10"/>
  <c r="M24" i="10"/>
  <c r="M23" i="10"/>
  <c r="M25" i="10"/>
  <c r="K33" i="10"/>
  <c r="W31" i="10"/>
  <c r="X30" i="10"/>
  <c r="Y30" i="10" s="1"/>
  <c r="O58" i="10" l="1"/>
  <c r="K68" i="10"/>
  <c r="M65" i="10"/>
  <c r="M66" i="10" s="1"/>
  <c r="L67" i="10"/>
  <c r="N24" i="10"/>
  <c r="N28" i="10" s="1"/>
  <c r="N23" i="10"/>
  <c r="N27" i="10" s="1"/>
  <c r="N25" i="10"/>
  <c r="N29" i="10" s="1"/>
  <c r="M17" i="10"/>
  <c r="M22" i="10"/>
  <c r="Y31" i="10"/>
  <c r="Z30" i="10"/>
  <c r="AA30" i="10" s="1"/>
  <c r="L33" i="10"/>
  <c r="M32" i="10"/>
  <c r="P58" i="10" l="1"/>
  <c r="L68" i="10"/>
  <c r="N65" i="10"/>
  <c r="N66" i="10" s="1"/>
  <c r="M67" i="10"/>
  <c r="N22" i="10"/>
  <c r="N26" i="10" s="1"/>
  <c r="N31" i="10" s="1"/>
  <c r="N32" i="10" s="1"/>
  <c r="N17" i="10"/>
  <c r="O25" i="10"/>
  <c r="O24" i="10"/>
  <c r="O23" i="10"/>
  <c r="M33" i="10"/>
  <c r="AB30" i="10"/>
  <c r="AC30" i="10" s="1"/>
  <c r="AA31" i="10"/>
  <c r="M68" i="10" l="1"/>
  <c r="O65" i="10"/>
  <c r="O66" i="10" s="1"/>
  <c r="N67" i="10"/>
  <c r="P23" i="10"/>
  <c r="P27" i="10" s="1"/>
  <c r="P24" i="10"/>
  <c r="P28" i="10" s="1"/>
  <c r="P25" i="10"/>
  <c r="P29" i="10" s="1"/>
  <c r="O17" i="10"/>
  <c r="O22" i="10"/>
  <c r="AD30" i="10"/>
  <c r="AC31" i="10"/>
  <c r="N33" i="10"/>
  <c r="O32" i="10"/>
  <c r="N68" i="10" l="1"/>
  <c r="P65" i="10"/>
  <c r="P66" i="10" s="1"/>
  <c r="O67" i="10"/>
  <c r="P17" i="10"/>
  <c r="P22" i="10"/>
  <c r="P26" i="10" s="1"/>
  <c r="P31" i="10" s="1"/>
  <c r="P32" i="10" s="1"/>
  <c r="Q24" i="10"/>
  <c r="Q23" i="10"/>
  <c r="Q25" i="10"/>
  <c r="O33" i="10"/>
  <c r="O68" i="10" l="1"/>
  <c r="Q66" i="10"/>
  <c r="P67" i="10"/>
  <c r="Q22" i="10"/>
  <c r="Q17" i="10"/>
  <c r="R23" i="10"/>
  <c r="R27" i="10" s="1"/>
  <c r="R25" i="10"/>
  <c r="R29" i="10" s="1"/>
  <c r="R24" i="10"/>
  <c r="R28" i="10" s="1"/>
  <c r="Q32" i="10"/>
  <c r="P33" i="10"/>
  <c r="Q67" i="10" l="1"/>
  <c r="Q68" i="10" s="1"/>
  <c r="P68" i="10"/>
  <c r="S24" i="10"/>
  <c r="S25" i="10"/>
  <c r="S23" i="10"/>
  <c r="R22" i="10"/>
  <c r="R26" i="10" s="1"/>
  <c r="R31" i="10" s="1"/>
  <c r="R32" i="10" s="1"/>
  <c r="R17" i="10"/>
  <c r="Q33" i="10"/>
  <c r="T25" i="10" l="1"/>
  <c r="T29" i="10" s="1"/>
  <c r="T24" i="10"/>
  <c r="T28" i="10" s="1"/>
  <c r="T23" i="10"/>
  <c r="T27" i="10" s="1"/>
  <c r="S17" i="10"/>
  <c r="S22" i="10"/>
  <c r="S32" i="10"/>
  <c r="R33" i="10"/>
  <c r="T22" i="10" l="1"/>
  <c r="T26" i="10" s="1"/>
  <c r="T31" i="10" s="1"/>
  <c r="T32" i="10" s="1"/>
  <c r="T17" i="10"/>
  <c r="U23" i="10"/>
  <c r="U25" i="10"/>
  <c r="U24" i="10"/>
  <c r="S33" i="10"/>
  <c r="V23" i="10" l="1"/>
  <c r="V27" i="10" s="1"/>
  <c r="V24" i="10"/>
  <c r="V28" i="10" s="1"/>
  <c r="V25" i="10"/>
  <c r="V29" i="10" s="1"/>
  <c r="U17" i="10"/>
  <c r="U22" i="10"/>
  <c r="T33" i="10"/>
  <c r="U32" i="10"/>
  <c r="V17" i="10" l="1"/>
  <c r="V22" i="10"/>
  <c r="V26" i="10" s="1"/>
  <c r="V31" i="10" s="1"/>
  <c r="V32" i="10" s="1"/>
  <c r="W24" i="10"/>
  <c r="W25" i="10"/>
  <c r="W23" i="10"/>
  <c r="U33" i="10"/>
  <c r="X23" i="10" l="1"/>
  <c r="X27" i="10" s="1"/>
  <c r="X25" i="10"/>
  <c r="X29" i="10" s="1"/>
  <c r="X24" i="10"/>
  <c r="X28" i="10" s="1"/>
  <c r="W22" i="10"/>
  <c r="W17" i="10"/>
  <c r="V33" i="10"/>
  <c r="W32" i="10"/>
  <c r="Y25" i="10" l="1"/>
  <c r="Y23" i="10"/>
  <c r="Y24" i="10"/>
  <c r="X22" i="10"/>
  <c r="X26" i="10" s="1"/>
  <c r="X31" i="10" s="1"/>
  <c r="X32" i="10" s="1"/>
  <c r="X17" i="10"/>
  <c r="W33" i="10"/>
  <c r="Y22" i="10" l="1"/>
  <c r="Y17" i="10"/>
  <c r="Z25" i="10"/>
  <c r="Z29" i="10" s="1"/>
  <c r="Z24" i="10"/>
  <c r="Z28" i="10" s="1"/>
  <c r="Z23" i="10"/>
  <c r="Z27" i="10" s="1"/>
  <c r="Y32" i="10"/>
  <c r="X33" i="10"/>
  <c r="AA24" i="10" l="1"/>
  <c r="AA23" i="10"/>
  <c r="AA25" i="10"/>
  <c r="Z22" i="10"/>
  <c r="Z26" i="10" s="1"/>
  <c r="Z31" i="10" s="1"/>
  <c r="Z32" i="10" s="1"/>
  <c r="Z17" i="10"/>
  <c r="Y33" i="10"/>
  <c r="AA17" i="10" l="1"/>
  <c r="AA22" i="10"/>
  <c r="AB24" i="10"/>
  <c r="AB28" i="10" s="1"/>
  <c r="AB23" i="10"/>
  <c r="AB27" i="10" s="1"/>
  <c r="AB25" i="10"/>
  <c r="AB29" i="10" s="1"/>
  <c r="AA32" i="10"/>
  <c r="Z33" i="10"/>
  <c r="AB17" i="10" l="1"/>
  <c r="AB22" i="10"/>
  <c r="AB26" i="10" s="1"/>
  <c r="AB31" i="10" s="1"/>
  <c r="AB32" i="10" s="1"/>
  <c r="AC25" i="10"/>
  <c r="AC23" i="10"/>
  <c r="AC24" i="10"/>
  <c r="AA33" i="10"/>
  <c r="AD23" i="10" l="1"/>
  <c r="AD27" i="10" s="1"/>
  <c r="AD25" i="10"/>
  <c r="AD29" i="10" s="1"/>
  <c r="AD24" i="10"/>
  <c r="AD28" i="10" s="1"/>
  <c r="AC22" i="10"/>
  <c r="AC17" i="10"/>
  <c r="AB33" i="10"/>
  <c r="AC32" i="10"/>
  <c r="AE20" i="10" l="1"/>
  <c r="AE18" i="10"/>
  <c r="AE21" i="10"/>
  <c r="AE19" i="10"/>
  <c r="AD17" i="10"/>
  <c r="AD22" i="10"/>
  <c r="AD26" i="10" s="1"/>
  <c r="AD31" i="10" s="1"/>
  <c r="AD32" i="10" s="1"/>
  <c r="AD33" i="10" s="1"/>
  <c r="AC33" i="10"/>
  <c r="AF19" i="10" l="1"/>
  <c r="AF18" i="10"/>
  <c r="AF20" i="10"/>
  <c r="AF21" i="10"/>
  <c r="AG19" i="10" l="1"/>
  <c r="AG21" i="10"/>
  <c r="AG20" i="10"/>
  <c r="AG18" i="10"/>
  <c r="AH21" i="10" l="1"/>
  <c r="AH19" i="10"/>
  <c r="AH20" i="10"/>
  <c r="AH18" i="10"/>
  <c r="AI18" i="10" l="1"/>
  <c r="AI21" i="10"/>
  <c r="AI19" i="10"/>
  <c r="AI20" i="10"/>
  <c r="AJ18" i="10" l="1"/>
  <c r="AJ21" i="10"/>
  <c r="AJ19" i="10"/>
  <c r="AJ20" i="10"/>
  <c r="D6" i="20"/>
  <c r="D2" i="20"/>
  <c r="D5" i="20"/>
  <c r="D3" i="20"/>
  <c r="D4" i="20"/>
  <c r="G7" i="20" l="1"/>
  <c r="G2" i="20" s="1"/>
  <c r="H17" i="20" l="1"/>
  <c r="H18" i="20"/>
  <c r="H16" i="20"/>
  <c r="H2" i="20"/>
  <c r="H5" i="20"/>
  <c r="H21" i="20"/>
  <c r="H19" i="20"/>
  <c r="H8" i="20"/>
  <c r="H14" i="20"/>
  <c r="H20" i="20"/>
  <c r="H15" i="20"/>
  <c r="J2" i="20"/>
  <c r="H3" i="20"/>
  <c r="H10" i="20"/>
  <c r="H9" i="20"/>
  <c r="H4" i="20"/>
  <c r="H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1000000}">
      <text>
        <r>
          <rPr>
            <sz val="8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C21" authorId="0" shapeId="0" xr:uid="{00000000-0006-0000-0C00-000001000000}">
      <text>
        <r>
          <rPr>
            <b/>
            <sz val="8"/>
            <rFont val="Tahoma"/>
            <family val="2"/>
          </rPr>
          <t>Sacado del manual no escrito, no se sabe que son estos valores</t>
        </r>
      </text>
    </comment>
    <comment ref="D21" authorId="0" shapeId="0" xr:uid="{00000000-0006-0000-0C00-000002000000}">
      <text>
        <r>
          <rPr>
            <b/>
            <sz val="8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I7" authorId="0" shapeId="0" xr:uid="{00000000-0006-0000-0F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L7" authorId="0" shapeId="0" xr:uid="{00000000-0006-0000-1000-000001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por sueldo, minimo</t>
        </r>
      </text>
    </comment>
  </commentList>
</comments>
</file>

<file path=xl/sharedStrings.xml><?xml version="1.0" encoding="utf-8"?>
<sst xmlns="http://schemas.openxmlformats.org/spreadsheetml/2006/main" count="2797" uniqueCount="1619">
  <si>
    <t>Actualitzacio</t>
  </si>
  <si>
    <t>Rank</t>
  </si>
  <si>
    <t>Millor Qualificació</t>
  </si>
  <si>
    <t>Més Partits Jugats</t>
  </si>
  <si>
    <t>Més vegades Capità</t>
  </si>
  <si>
    <t>Sául Piña</t>
  </si>
  <si>
    <t>14,5*</t>
  </si>
  <si>
    <t>Damián Sala</t>
  </si>
  <si>
    <t>Brunon Chuda</t>
  </si>
  <si>
    <t>Cosme Fonteboa</t>
  </si>
  <si>
    <t>Joãozinho do Mato</t>
  </si>
  <si>
    <t>13*</t>
  </si>
  <si>
    <t>Pere Beltran</t>
  </si>
  <si>
    <t>Andrin Bärtsch</t>
  </si>
  <si>
    <t>Enrique Cubas</t>
  </si>
  <si>
    <t>Millor partit</t>
  </si>
  <si>
    <t>Patrick Werner</t>
  </si>
  <si>
    <t>12,5*</t>
  </si>
  <si>
    <t>Adam Moss</t>
  </si>
  <si>
    <t>Leo Hilpinen</t>
  </si>
  <si>
    <t>Francesc Añigas</t>
  </si>
  <si>
    <t>CASA</t>
  </si>
  <si>
    <t>Rasheed Da'na</t>
  </si>
  <si>
    <t>12*</t>
  </si>
  <si>
    <t>Juan Garcia Peñuela</t>
  </si>
  <si>
    <t>Iván Real Figueroa</t>
  </si>
  <si>
    <t>FORA</t>
  </si>
  <si>
    <t>Valeri Gomis</t>
  </si>
  <si>
    <t>11,5*</t>
  </si>
  <si>
    <t>Emilio Rojas</t>
  </si>
  <si>
    <t>Wil Duffill</t>
  </si>
  <si>
    <t>Porteria Imbatuda</t>
  </si>
  <si>
    <t>Kendor Nagiturri</t>
  </si>
  <si>
    <t>11*</t>
  </si>
  <si>
    <t>Leonardo Baltico</t>
  </si>
  <si>
    <t>Gianfranco Rezza</t>
  </si>
  <si>
    <t>10,5*</t>
  </si>
  <si>
    <t>Adamantios Fikias</t>
  </si>
  <si>
    <t>Alex Trantre</t>
  </si>
  <si>
    <t>Cornel Boicea</t>
  </si>
  <si>
    <t>Fernando Juárez Sierra</t>
  </si>
  <si>
    <t>Jorge Asúa</t>
  </si>
  <si>
    <t>Jorge Walter Whitaker</t>
  </si>
  <si>
    <t>Pasqual Vilar</t>
  </si>
  <si>
    <t>Horacy Dzienis</t>
  </si>
  <si>
    <t>Guillermo Pedrajas</t>
  </si>
  <si>
    <t>Antoine Dupré</t>
  </si>
  <si>
    <t>Co Wolbers</t>
  </si>
  <si>
    <t>Robert Kavcic</t>
  </si>
  <si>
    <t>Károly Serfel</t>
  </si>
  <si>
    <t>10*</t>
  </si>
  <si>
    <t>Alberto Ercilla</t>
  </si>
  <si>
    <t>Enrique Haro</t>
  </si>
  <si>
    <t>Gongotzon Ialdebere</t>
  </si>
  <si>
    <t>Augustin Demaison</t>
  </si>
  <si>
    <t>Fabian Fabre</t>
  </si>
  <si>
    <t>Giuseppe Peirolo</t>
  </si>
  <si>
    <t>Aimar Lasalde</t>
  </si>
  <si>
    <t>Adolfo Vizcaino</t>
  </si>
  <si>
    <t>Ibiur Altxakoa</t>
  </si>
  <si>
    <t>Venanci Oset</t>
  </si>
  <si>
    <t>Nicolae Hornet</t>
  </si>
  <si>
    <t>Ludwik Mojéscik</t>
  </si>
  <si>
    <t>Christophe Méjean</t>
  </si>
  <si>
    <t>Berto Abandero</t>
  </si>
  <si>
    <t>Ceferino Sava</t>
  </si>
  <si>
    <t>Emilio Mochelato</t>
  </si>
  <si>
    <t>9,5*</t>
  </si>
  <si>
    <t>Jos Pittors</t>
  </si>
  <si>
    <t>Aleksi Alarotu</t>
  </si>
  <si>
    <t>Miquel Fernandez</t>
  </si>
  <si>
    <t>Arnulfo Cuntis</t>
  </si>
  <si>
    <t>Pepijn Zwaan</t>
  </si>
  <si>
    <t>Malte Neulinger</t>
  </si>
  <si>
    <t>Armengol Cols</t>
  </si>
  <si>
    <t>Iyad Chaabo</t>
  </si>
  <si>
    <t>Manolo Negrín</t>
  </si>
  <si>
    <t>Pablo Goenaga</t>
  </si>
  <si>
    <t>Mario Omarini</t>
  </si>
  <si>
    <t>Morgan Thomas</t>
  </si>
  <si>
    <t>John Chung</t>
  </si>
  <si>
    <t>Pieter Pelleboer</t>
  </si>
  <si>
    <t>Wicher Ossedrijver</t>
  </si>
  <si>
    <t>Sergio Roca</t>
  </si>
  <si>
    <t>Arnold Kalckstein</t>
  </si>
  <si>
    <t>Jaakko Kalliovaara</t>
  </si>
  <si>
    <t>Ludvig Andreasson</t>
  </si>
  <si>
    <t>Melcior Calmet</t>
  </si>
  <si>
    <t>Patrice Saillet</t>
  </si>
  <si>
    <t>Jacek Ceislar</t>
  </si>
  <si>
    <t>Nicolai Stentoft</t>
  </si>
  <si>
    <t>Rafael Guiu</t>
  </si>
  <si>
    <t>Gino van Hoesel</t>
  </si>
  <si>
    <t>Ragip Övgü</t>
  </si>
  <si>
    <t>Alvino Cost</t>
  </si>
  <si>
    <t>Raffaele Sitter</t>
  </si>
  <si>
    <t>Nicolas Vannoorberghe</t>
  </si>
  <si>
    <t>Filiciano Becerril</t>
  </si>
  <si>
    <t>Jacobo Ferrueros</t>
  </si>
  <si>
    <t>Giulio Porcaccianti</t>
  </si>
  <si>
    <t>Juan Gabriel de Minaya</t>
  </si>
  <si>
    <t>Albert Fité</t>
  </si>
  <si>
    <t>Dolf Fohringer</t>
  </si>
  <si>
    <t>Eckardt Hagerling</t>
  </si>
  <si>
    <t>#</t>
  </si>
  <si>
    <t>POS</t>
  </si>
  <si>
    <t>h36</t>
  </si>
  <si>
    <t>Nombre</t>
  </si>
  <si>
    <t>Anys</t>
  </si>
  <si>
    <t>Dias</t>
  </si>
  <si>
    <t>PA</t>
  </si>
  <si>
    <t>Lid</t>
  </si>
  <si>
    <t>Exp</t>
  </si>
  <si>
    <t>HXP</t>
  </si>
  <si>
    <t>CMn</t>
  </si>
  <si>
    <t>CMx</t>
  </si>
  <si>
    <t>Fcompra</t>
  </si>
  <si>
    <t>FID</t>
  </si>
  <si>
    <t>Res</t>
  </si>
  <si>
    <t>m90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</si>
  <si>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</si>
  <si>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</si>
  <si>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</si>
  <si>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</si>
  <si>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</si>
  <si>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</si>
  <si>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</si>
  <si>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</si>
  <si>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</si>
  <si>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</si>
  <si>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</si>
  <si>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</si>
  <si>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</si>
  <si>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Ent</t>
  </si>
  <si>
    <t>Hab</t>
  </si>
  <si>
    <t>NCA</t>
  </si>
  <si>
    <t>DfMn</t>
  </si>
  <si>
    <t>DfMx</t>
  </si>
  <si>
    <t>JgMn</t>
  </si>
  <si>
    <t>JgMx</t>
  </si>
  <si>
    <t>BPMn</t>
  </si>
  <si>
    <t>BPMx</t>
  </si>
  <si>
    <t>PEN</t>
  </si>
  <si>
    <t>Ca</t>
  </si>
  <si>
    <t>Ag</t>
  </si>
  <si>
    <t>Ho</t>
  </si>
  <si>
    <t>%_T</t>
  </si>
  <si>
    <t>TSI_A</t>
  </si>
  <si>
    <t>#1</t>
  </si>
  <si>
    <t>POR</t>
  </si>
  <si>
    <t>#17</t>
  </si>
  <si>
    <t>#2</t>
  </si>
  <si>
    <t>CEN</t>
  </si>
  <si>
    <t>#13</t>
  </si>
  <si>
    <t>#4</t>
  </si>
  <si>
    <t>#14</t>
  </si>
  <si>
    <t>#7</t>
  </si>
  <si>
    <t>#9</t>
  </si>
  <si>
    <t>EXT-LAT</t>
  </si>
  <si>
    <t>IMP</t>
  </si>
  <si>
    <t>#3</t>
  </si>
  <si>
    <t>Will Duffill</t>
  </si>
  <si>
    <t>RAP</t>
  </si>
  <si>
    <t>#5</t>
  </si>
  <si>
    <t>#8</t>
  </si>
  <si>
    <t>#11</t>
  </si>
  <si>
    <t>J. G. Peñuela</t>
  </si>
  <si>
    <t>#6</t>
  </si>
  <si>
    <t>MED</t>
  </si>
  <si>
    <t>#16</t>
  </si>
  <si>
    <t>CAB</t>
  </si>
  <si>
    <t>#15</t>
  </si>
  <si>
    <t>DAV</t>
  </si>
  <si>
    <t>Renato Galeano</t>
  </si>
  <si>
    <t>Tommaso Niscola</t>
  </si>
  <si>
    <t>#19</t>
  </si>
  <si>
    <t>COMPLETAMENTE ENTRENADOS!</t>
  </si>
  <si>
    <t>Jugador</t>
  </si>
  <si>
    <t>Edad</t>
  </si>
  <si>
    <t>Esp</t>
  </si>
  <si>
    <t>Asc</t>
  </si>
  <si>
    <t>Promoción</t>
  </si>
  <si>
    <t>Pot</t>
  </si>
  <si>
    <t>DEF</t>
  </si>
  <si>
    <t>JUG</t>
  </si>
  <si>
    <t>LAT</t>
  </si>
  <si>
    <t>PAS</t>
  </si>
  <si>
    <t>ANO</t>
  </si>
  <si>
    <t>BP</t>
  </si>
  <si>
    <t>HAB</t>
  </si>
  <si>
    <t>POT</t>
  </si>
  <si>
    <t>Cap</t>
  </si>
  <si>
    <t>DL</t>
  </si>
  <si>
    <t>Atributs</t>
  </si>
  <si>
    <t>Fecha</t>
  </si>
  <si>
    <t>IMPORTANTES</t>
  </si>
  <si>
    <t>Info</t>
  </si>
  <si>
    <t>Habilidades</t>
  </si>
  <si>
    <t>Mejor Partido</t>
  </si>
  <si>
    <t>RELEVANTES</t>
  </si>
  <si>
    <t>TEC</t>
  </si>
  <si>
    <t>Actualización</t>
  </si>
  <si>
    <t>V.49</t>
  </si>
  <si>
    <t>Desde</t>
  </si>
  <si>
    <t>Region</t>
  </si>
  <si>
    <t>MejorLiga</t>
  </si>
  <si>
    <t>Compres</t>
  </si>
  <si>
    <t>Vendes</t>
  </si>
  <si>
    <t>Trans</t>
  </si>
  <si>
    <t>Sueldos</t>
  </si>
  <si>
    <t>TSI11</t>
  </si>
  <si>
    <t>Sueldo11</t>
  </si>
  <si>
    <t>Forma11</t>
  </si>
  <si>
    <t>Res11</t>
  </si>
  <si>
    <t>Exp11</t>
  </si>
  <si>
    <t>Edad11</t>
  </si>
  <si>
    <t>Tot</t>
  </si>
  <si>
    <t>Entrenador</t>
  </si>
  <si>
    <t>Tacticas</t>
  </si>
  <si>
    <t>Real club de la Aviación</t>
  </si>
  <si>
    <t>Ceuta y Melilla</t>
  </si>
  <si>
    <t>V (8)</t>
  </si>
  <si>
    <t>27(44)</t>
  </si>
  <si>
    <t>Notable - Neutro - Aceptable</t>
  </si>
  <si>
    <t>352-253</t>
  </si>
  <si>
    <t>GLADIATORS 96</t>
  </si>
  <si>
    <t>La Rioja</t>
  </si>
  <si>
    <t>IV (1)</t>
  </si>
  <si>
    <t>26(4)</t>
  </si>
  <si>
    <t>Excelent - Def - Notable</t>
  </si>
  <si>
    <t>541 - 442 CA</t>
  </si>
  <si>
    <t>FormigonArmado2.0</t>
  </si>
  <si>
    <t>Galicia</t>
  </si>
  <si>
    <t>V (5)</t>
  </si>
  <si>
    <t>27(83)</t>
  </si>
  <si>
    <t>Notable - Def - Debil</t>
  </si>
  <si>
    <t>352-253-343</t>
  </si>
  <si>
    <t>R.C. Deportivo da Coruña</t>
  </si>
  <si>
    <t>V (4)</t>
  </si>
  <si>
    <t>28(108)</t>
  </si>
  <si>
    <t>Notable - Neutro - Insuf</t>
  </si>
  <si>
    <t>253-343</t>
  </si>
  <si>
    <t>Squandrago C.F.</t>
  </si>
  <si>
    <t>Andalucia</t>
  </si>
  <si>
    <t>28(9)</t>
  </si>
  <si>
    <t>Notable - Of - Pobre</t>
  </si>
  <si>
    <t>352-343-433</t>
  </si>
  <si>
    <t>Omailovy's</t>
  </si>
  <si>
    <t>Catalunya</t>
  </si>
  <si>
    <t>27(70)</t>
  </si>
  <si>
    <t>Notable - Of - Insuf</t>
  </si>
  <si>
    <t>Gades F.C.</t>
  </si>
  <si>
    <t>VI (10)</t>
  </si>
  <si>
    <t>28(8)</t>
  </si>
  <si>
    <t>Notable - Of - Debil</t>
  </si>
  <si>
    <t>V@der SC</t>
  </si>
  <si>
    <t>III (4)</t>
  </si>
  <si>
    <t>23(51)</t>
  </si>
  <si>
    <t>Excelent - Neutro - Pobre</t>
  </si>
  <si>
    <t>532-541 CA</t>
  </si>
  <si>
    <t>V.252</t>
  </si>
  <si>
    <t>Profesioteam.</t>
  </si>
  <si>
    <t>Murcia</t>
  </si>
  <si>
    <t>V (1)</t>
  </si>
  <si>
    <t>253 AiM</t>
  </si>
  <si>
    <t>FC Kalambrazo</t>
  </si>
  <si>
    <t>Aragón</t>
  </si>
  <si>
    <t>V (6)</t>
  </si>
  <si>
    <t>Notable - Of - Horrible</t>
  </si>
  <si>
    <t>Los Recios de Gonzus</t>
  </si>
  <si>
    <t>29(26)</t>
  </si>
  <si>
    <t>CuatroK</t>
  </si>
  <si>
    <t>Madrid</t>
  </si>
  <si>
    <t>IV (2)</t>
  </si>
  <si>
    <t>28(78)</t>
  </si>
  <si>
    <t>352 Normal</t>
  </si>
  <si>
    <t>FC Los Urrutias</t>
  </si>
  <si>
    <t>VI (6)</t>
  </si>
  <si>
    <t>27(15)</t>
  </si>
  <si>
    <t>Notable - Neutro - Pobre</t>
  </si>
  <si>
    <t>532 CA</t>
  </si>
  <si>
    <t>Baden5400</t>
  </si>
  <si>
    <t>Navarra</t>
  </si>
  <si>
    <t>27(86)</t>
  </si>
  <si>
    <t>Notable - Neutre - Bueno</t>
  </si>
  <si>
    <t>532 Normal</t>
  </si>
  <si>
    <t>HotNumbers</t>
  </si>
  <si>
    <t>VI (4)</t>
  </si>
  <si>
    <t>23(62)</t>
  </si>
  <si>
    <t>Aceptable - Neutro - Aceptable</t>
  </si>
  <si>
    <t>Num</t>
  </si>
  <si>
    <t>ESP</t>
  </si>
  <si>
    <t>Año</t>
  </si>
  <si>
    <t>Dia</t>
  </si>
  <si>
    <t>Sueldo</t>
  </si>
  <si>
    <t>E_Po</t>
  </si>
  <si>
    <t>E_De</t>
  </si>
  <si>
    <t>E_Cr</t>
  </si>
  <si>
    <t>E_Ex</t>
  </si>
  <si>
    <t>E_Ps</t>
  </si>
  <si>
    <t>E_An</t>
  </si>
  <si>
    <t>E_PA</t>
  </si>
  <si>
    <t>E_TOTAL</t>
  </si>
  <si>
    <t>C. Fonteboa</t>
  </si>
  <si>
    <t>M. Fernandez</t>
  </si>
  <si>
    <t>B. Abandero</t>
  </si>
  <si>
    <t>I. R. Figueroa</t>
  </si>
  <si>
    <t>G. Pedrajas</t>
  </si>
  <si>
    <t>Tem</t>
  </si>
  <si>
    <t>V. Oset</t>
  </si>
  <si>
    <t>F. Añigas</t>
  </si>
  <si>
    <t>V. Gomis</t>
  </si>
  <si>
    <t>INN</t>
  </si>
  <si>
    <t>J. Gräbitz</t>
  </si>
  <si>
    <t>#10</t>
  </si>
  <si>
    <t>EXT</t>
  </si>
  <si>
    <t>E. Cubas</t>
  </si>
  <si>
    <t>#12</t>
  </si>
  <si>
    <t>W. Duffill</t>
  </si>
  <si>
    <t>J.G. Peñuela</t>
  </si>
  <si>
    <t>PS</t>
  </si>
  <si>
    <t>IMP/RAP</t>
  </si>
  <si>
    <t>Inners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</si>
  <si>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</si>
  <si>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</si>
  <si>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</si>
  <si>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</si>
  <si>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</si>
  <si>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</si>
  <si>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</si>
  <si>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</si>
  <si>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</si>
  <si>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</si>
  <si>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</si>
  <si>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</si>
  <si>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</si>
  <si>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</si>
  <si>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</si>
  <si>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</si>
  <si>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ACTIVO</t>
  </si>
  <si>
    <t>PASIVO</t>
  </si>
  <si>
    <t>Socios</t>
  </si>
  <si>
    <t>Inmobilizado</t>
  </si>
  <si>
    <t>Patrimonio</t>
  </si>
  <si>
    <t>SALDO INICIAL</t>
  </si>
  <si>
    <t>Estadio</t>
  </si>
  <si>
    <t>Capital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</si>
  <si>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</si>
  <si>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</si>
  <si>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</si>
  <si>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</si>
  <si>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</si>
  <si>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</si>
  <si>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</si>
  <si>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</si>
  <si>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</si>
  <si>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</si>
  <si>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Jugadores</t>
  </si>
  <si>
    <t xml:space="preserve">Mantenimiento </t>
  </si>
  <si>
    <t>Construcción del estadio</t>
  </si>
  <si>
    <t>Empleados</t>
  </si>
  <si>
    <t>Compra</t>
  </si>
  <si>
    <t>Juveniles</t>
  </si>
  <si>
    <t>Compra de jugadores*</t>
  </si>
  <si>
    <t>Viajes+Venta</t>
  </si>
  <si>
    <t>Intereses</t>
  </si>
  <si>
    <t>TOTAL GASTOS</t>
  </si>
  <si>
    <t>SALDO FINAL</t>
  </si>
  <si>
    <t>Salarios</t>
  </si>
  <si>
    <t>TOTAL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</si>
  <si>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</si>
  <si>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</si>
  <si>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</si>
  <si>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</si>
  <si>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</si>
  <si>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</si>
  <si>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</si>
  <si>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</si>
  <si>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</si>
  <si>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</si>
  <si>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</si>
  <si>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</si>
  <si>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</si>
  <si>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</si>
  <si>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</si>
  <si>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Total</t>
  </si>
  <si>
    <t>liderazgo x liderazgo x experiencia</t>
  </si>
  <si>
    <t>N_CA</t>
  </si>
  <si>
    <t>Defensas</t>
  </si>
  <si>
    <t>Local</t>
  </si>
  <si>
    <t>Visitante</t>
  </si>
  <si>
    <t>NivelTactica</t>
  </si>
  <si>
    <t>NivelMedioVader</t>
  </si>
  <si>
    <t>OcasionesFalladas</t>
  </si>
  <si>
    <t>CAs</t>
  </si>
  <si>
    <t>%_Conversión</t>
  </si>
  <si>
    <t>Etiquetas de fila</t>
  </si>
  <si>
    <t>partidos</t>
  </si>
  <si>
    <t>Suma de OcasionesFalladas</t>
  </si>
  <si>
    <t>Suma de CAs</t>
  </si>
  <si>
    <t>%</t>
  </si>
  <si>
    <t>Fernando de Rojas</t>
  </si>
  <si>
    <t>Prodigy Sucany</t>
  </si>
  <si>
    <t>white widow</t>
  </si>
  <si>
    <t>mehmet</t>
  </si>
  <si>
    <t>Splug Team</t>
  </si>
  <si>
    <t>Los amiguitos de Don Pimpon</t>
  </si>
  <si>
    <t>John Rebus F.c</t>
  </si>
  <si>
    <t>VINATIKA FC 2</t>
  </si>
  <si>
    <t>Total general</t>
  </si>
  <si>
    <t>Basil444</t>
  </si>
  <si>
    <t>konary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</si>
  <si>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</si>
  <si>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</si>
  <si>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</si>
  <si>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</si>
  <si>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</si>
  <si>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</si>
  <si>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</si>
  <si>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</si>
  <si>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</si>
  <si>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Ulls de Gat Mesquer</t>
  </si>
  <si>
    <t>iRatlle</t>
  </si>
  <si>
    <t>Hakom</t>
  </si>
  <si>
    <t>Santa Barbosa Aludosa</t>
  </si>
  <si>
    <t>Fc De Rositas</t>
  </si>
  <si>
    <t>Insulae Atlantis</t>
  </si>
  <si>
    <t>Bar Karakas C.F.</t>
  </si>
  <si>
    <t>Dzsoni Valkur</t>
  </si>
  <si>
    <t>Wisla Skawina</t>
  </si>
  <si>
    <t>Ornitorrincos Purpura</t>
  </si>
  <si>
    <t>USC Olaf Football</t>
  </si>
  <si>
    <t>Refucilo CF</t>
  </si>
  <si>
    <t>Kersky</t>
  </si>
  <si>
    <t>Menkoko C.F.</t>
  </si>
  <si>
    <t>Tuviejahuelemal</t>
  </si>
  <si>
    <t>CSD Avengers</t>
  </si>
  <si>
    <t>Lobos del Viento</t>
  </si>
  <si>
    <t>US Women National Tema</t>
  </si>
  <si>
    <t>S.H.M.Piast Gliwice</t>
  </si>
  <si>
    <t>TOERS TEAM</t>
  </si>
  <si>
    <t>Proxibecas</t>
  </si>
  <si>
    <t>I treni di Tozeur</t>
  </si>
  <si>
    <t>The Pyramid Mystery</t>
  </si>
  <si>
    <t>Wing Men</t>
  </si>
  <si>
    <t>FC BvB</t>
  </si>
  <si>
    <t>Mendibil</t>
  </si>
  <si>
    <t>TOWERS TEAM</t>
  </si>
  <si>
    <t>Romdi</t>
  </si>
  <si>
    <t>Babbu team</t>
  </si>
  <si>
    <t>Club de Catalunya</t>
  </si>
  <si>
    <t>Atletico ius</t>
  </si>
  <si>
    <t>Funkickers zwarte Schapen</t>
  </si>
  <si>
    <t>Bandurrias del Sur</t>
  </si>
  <si>
    <t>von der veck</t>
  </si>
  <si>
    <t>P.C.N</t>
  </si>
  <si>
    <t>Nacidos de la Bruma</t>
  </si>
  <si>
    <t>F.c. de Rositas</t>
  </si>
  <si>
    <t>La Pobla FC</t>
  </si>
  <si>
    <t>Dinamo skiejef</t>
  </si>
  <si>
    <t>Athletic MSS</t>
  </si>
  <si>
    <t>Demos returns</t>
  </si>
  <si>
    <t>P.E.C. Zwolle</t>
  </si>
  <si>
    <t>Luso Futebol do Dafundo</t>
  </si>
  <si>
    <t>FC FLEW</t>
  </si>
  <si>
    <t>CF Crystynho 07</t>
  </si>
  <si>
    <t>Start Rudnik</t>
  </si>
  <si>
    <t>Vicers PS</t>
  </si>
  <si>
    <t>Organización</t>
  </si>
  <si>
    <t>Legazpi de Maputo</t>
  </si>
  <si>
    <t>CMM Canoa Polo Triste</t>
  </si>
  <si>
    <t>Gälka Warriors</t>
  </si>
  <si>
    <t>Jyderups Jubelasnor</t>
  </si>
  <si>
    <t>Die Nashorner Logans</t>
  </si>
  <si>
    <t>CabaretVoltaire</t>
  </si>
  <si>
    <t>UF_United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</si>
  <si>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</si>
  <si>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</si>
  <si>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</si>
  <si>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</si>
  <si>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</si>
  <si>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</si>
  <si>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</si>
  <si>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</si>
  <si>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</si>
  <si>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</si>
  <si>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</si>
  <si>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</si>
  <si>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</si>
  <si>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</si>
  <si>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</si>
  <si>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</si>
  <si>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</si>
  <si>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</si>
  <si>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</si>
  <si>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</si>
  <si>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</si>
  <si>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</si>
  <si>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</si>
  <si>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</si>
  <si>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</si>
  <si>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</si>
  <si>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</si>
  <si>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</si>
  <si>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</si>
  <si>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</si>
  <si>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</si>
  <si>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</si>
  <si>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</si>
  <si>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</si>
  <si>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</si>
  <si>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</si>
  <si>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</si>
  <si>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</si>
  <si>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</si>
  <si>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</si>
  <si>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</si>
  <si>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 xml:space="preserve">Nivel de Entrenador </t>
  </si>
  <si>
    <t>XP</t>
  </si>
  <si>
    <t>COMPRA</t>
  </si>
  <si>
    <t>SEM</t>
  </si>
  <si>
    <t>CosteTRA_BUENO</t>
  </si>
  <si>
    <t>COSTETOTAL_BUENO</t>
  </si>
  <si>
    <t>T_Desast</t>
  </si>
  <si>
    <t>COSTE_TEMP</t>
  </si>
  <si>
    <t>CosteTRA_EX</t>
  </si>
  <si>
    <t>COSTETOTAL_EX</t>
  </si>
  <si>
    <t>Experiencia</t>
  </si>
  <si>
    <t xml:space="preserve">Aceptable </t>
  </si>
  <si>
    <t xml:space="preserve">Bueno </t>
  </si>
  <si>
    <t xml:space="preserve">Excelente </t>
  </si>
  <si>
    <t>Thomas Ruelle</t>
  </si>
  <si>
    <t>Karl-Uwe Mose</t>
  </si>
  <si>
    <t xml:space="preserve">235.200 - 277.700 € </t>
  </si>
  <si>
    <t xml:space="preserve">- </t>
  </si>
  <si>
    <t>Werner Mayer</t>
  </si>
  <si>
    <t xml:space="preserve">202.000 - 235.200 € </t>
  </si>
  <si>
    <t xml:space="preserve">681.800 - 794 100 € </t>
  </si>
  <si>
    <t>Giovanni Bellavite Pellegrini</t>
  </si>
  <si>
    <t xml:space="preserve">176.900 - 200.000 € </t>
  </si>
  <si>
    <t xml:space="preserve">597.300 - 675.000 € </t>
  </si>
  <si>
    <t xml:space="preserve">4.247.700- 4.800.000 € </t>
  </si>
  <si>
    <t>Gilad Domb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</si>
  <si>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</si>
  <si>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</si>
  <si>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</si>
  <si>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</si>
  <si>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</si>
  <si>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</si>
  <si>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</si>
  <si>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</si>
  <si>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>Frederic Ekster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</si>
  <si>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</si>
  <si>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</si>
  <si>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</si>
  <si>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</si>
  <si>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功志 (Koji) 森 (Mori)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</si>
  <si>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</si>
  <si>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</si>
  <si>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</si>
  <si>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</si>
  <si>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>Belmiro Marques Jr.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</si>
  <si>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</si>
  <si>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</si>
  <si>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</si>
  <si>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</si>
  <si>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>Zoltán Nyilas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</si>
  <si>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</si>
  <si>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</si>
  <si>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</si>
  <si>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</si>
  <si>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>Radko Kravaev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</si>
  <si>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</si>
  <si>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</si>
  <si>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</si>
  <si>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</si>
  <si>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>Ioannis Avramopoulos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</si>
  <si>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</si>
  <si>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</si>
  <si>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</si>
  <si>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</si>
  <si>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</si>
  <si>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</si>
  <si>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</si>
  <si>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</si>
  <si>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>Filip Antonijevic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</si>
  <si>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</si>
  <si>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</si>
  <si>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</si>
  <si>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</si>
  <si>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>Namazbek Baktygazyuly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</si>
  <si>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</si>
  <si>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</si>
  <si>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</si>
  <si>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</si>
  <si>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>Winfred Wetterich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</si>
  <si>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</si>
  <si>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</si>
  <si>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</si>
  <si>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</si>
  <si>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Cambio</t>
  </si>
  <si>
    <t>TempMedia</t>
  </si>
  <si>
    <t>Primer Nivel</t>
  </si>
  <si>
    <t>des-ho</t>
  </si>
  <si>
    <t>ho-po</t>
  </si>
  <si>
    <t>po-de</t>
  </si>
  <si>
    <t>de-insif</t>
  </si>
  <si>
    <t>ins-acep</t>
  </si>
  <si>
    <t>Nil</t>
  </si>
  <si>
    <t>T_Des</t>
  </si>
  <si>
    <t>Bueno</t>
  </si>
  <si>
    <t>Aceptable</t>
  </si>
  <si>
    <t>Insuficiente</t>
  </si>
  <si>
    <t>Debil</t>
  </si>
  <si>
    <t>Pobre</t>
  </si>
  <si>
    <t>Horrible</t>
  </si>
  <si>
    <t>Desastroso</t>
  </si>
  <si>
    <t>Portero</t>
  </si>
  <si>
    <t>DCNormal</t>
  </si>
  <si>
    <t>DCOff</t>
  </si>
  <si>
    <t>DLNormal</t>
  </si>
  <si>
    <t>DCtW</t>
  </si>
  <si>
    <t>MDEF</t>
  </si>
  <si>
    <t>Mnor</t>
  </si>
  <si>
    <t>IHL</t>
  </si>
  <si>
    <t>EXTDEF</t>
  </si>
  <si>
    <t>EXTOF</t>
  </si>
  <si>
    <t>EHM</t>
  </si>
  <si>
    <t>DD</t>
  </si>
  <si>
    <t>Años</t>
  </si>
  <si>
    <t>FechaCompra</t>
  </si>
  <si>
    <t>FOR</t>
  </si>
  <si>
    <t>BPI_A</t>
  </si>
  <si>
    <t>BPI_D</t>
  </si>
  <si>
    <t>BPMin</t>
  </si>
  <si>
    <t>BPMax</t>
  </si>
  <si>
    <t>DEFLAT</t>
  </si>
  <si>
    <t>DEFCEN</t>
  </si>
  <si>
    <t>ATLAT</t>
  </si>
  <si>
    <t>ATCEN</t>
  </si>
  <si>
    <t>Zona</t>
  </si>
  <si>
    <t>Def Central</t>
  </si>
  <si>
    <t>Def Lat</t>
  </si>
  <si>
    <t>Medio</t>
  </si>
  <si>
    <t>At Lateral</t>
  </si>
  <si>
    <t>At Central</t>
  </si>
  <si>
    <t>F.Actu</t>
  </si>
  <si>
    <t>R16,6%</t>
  </si>
  <si>
    <t>ChL</t>
  </si>
  <si>
    <t>WBN</t>
  </si>
  <si>
    <t>EXN</t>
  </si>
  <si>
    <t>Dhl</t>
  </si>
  <si>
    <t>DhL</t>
  </si>
  <si>
    <t>LID</t>
  </si>
  <si>
    <t>Precio</t>
  </si>
  <si>
    <t>V_36</t>
  </si>
  <si>
    <t>V_34</t>
  </si>
  <si>
    <t>Coste_36</t>
  </si>
  <si>
    <t>Coste_34</t>
  </si>
  <si>
    <t>C_T36</t>
  </si>
  <si>
    <t>C_T34</t>
  </si>
  <si>
    <t>EPOR</t>
  </si>
  <si>
    <t>EDEF</t>
  </si>
  <si>
    <t>EPAS</t>
  </si>
  <si>
    <t>EBP</t>
  </si>
  <si>
    <t>Francisco Granados</t>
  </si>
  <si>
    <t>Pablo Soto</t>
  </si>
  <si>
    <t>Nazir Zaydi</t>
  </si>
  <si>
    <t>Roman Makiela</t>
  </si>
  <si>
    <t>Juan Castaño</t>
  </si>
  <si>
    <t>Gonzalo Ayza</t>
  </si>
  <si>
    <t>Joan Josep Carull</t>
  </si>
  <si>
    <t>Alejandro Ayelo</t>
  </si>
  <si>
    <t>Ignacio Alemparte Gallardo</t>
  </si>
  <si>
    <t>Abdelhakim Temsamani</t>
  </si>
  <si>
    <t>imp</t>
  </si>
  <si>
    <t>Rodolfo Rinaldo Paso</t>
  </si>
  <si>
    <t>Stansilaw Zdankiewicz</t>
  </si>
  <si>
    <t>Thea F.C.</t>
  </si>
  <si>
    <t>Papuchis CF</t>
  </si>
  <si>
    <t>White Shark Team</t>
  </si>
  <si>
    <t>27_juni_2000</t>
  </si>
  <si>
    <t>tikitaca</t>
  </si>
  <si>
    <t>Racmio F.C.</t>
  </si>
  <si>
    <t>Polgas Coin</t>
  </si>
  <si>
    <t>C.I.D. Tigers</t>
  </si>
  <si>
    <t>ventura c.f.</t>
  </si>
  <si>
    <t>LECH Poznan</t>
  </si>
  <si>
    <t>Yarca Athletic</t>
  </si>
  <si>
    <t>shalke_temeto</t>
  </si>
  <si>
    <t>Buchs FC</t>
  </si>
  <si>
    <t>Los de castellon</t>
  </si>
  <si>
    <t>Cordura Bajo Cero</t>
  </si>
  <si>
    <t>Enxebre FC</t>
  </si>
  <si>
    <t>Lluisos de Gràcia</t>
  </si>
  <si>
    <t>Lirio de Oña</t>
  </si>
  <si>
    <t>Menorca Horses</t>
  </si>
  <si>
    <t>RRDG F.C.</t>
  </si>
  <si>
    <t>AKELARRE U.D.</t>
  </si>
  <si>
    <t>Granota UE</t>
  </si>
  <si>
    <t>GrimReapers</t>
  </si>
  <si>
    <t>Rayo Txamberi</t>
  </si>
  <si>
    <t>Xtra's</t>
  </si>
  <si>
    <t>REALUSIA</t>
  </si>
  <si>
    <t>Mañariako taldea</t>
  </si>
  <si>
    <t>ronkis78 FC</t>
  </si>
  <si>
    <t>Sporting Rukkel F.C.</t>
  </si>
  <si>
    <t>Amics del futbol</t>
  </si>
  <si>
    <t>TJ Zitenice</t>
  </si>
  <si>
    <t>AKELARRE U.D</t>
  </si>
  <si>
    <t>martina titus cinta fc</t>
  </si>
  <si>
    <t>Atlético Uzumaki</t>
  </si>
  <si>
    <t>Fc kickers ZH</t>
  </si>
  <si>
    <t>Brattforce</t>
  </si>
  <si>
    <t>El Dorado F.C</t>
  </si>
  <si>
    <t>iSoccer</t>
  </si>
  <si>
    <t>TIGRII FURIOSI</t>
  </si>
  <si>
    <t>Royal lions 2</t>
  </si>
  <si>
    <t>Sant Andreu</t>
  </si>
  <si>
    <t>FC Myth</t>
  </si>
  <si>
    <t>Brocklers</t>
  </si>
  <si>
    <t>FC HV 1964</t>
  </si>
  <si>
    <t>SALSEPAREILLE</t>
  </si>
  <si>
    <t>Divine Overconfidence</t>
  </si>
  <si>
    <t>Os Marcos do Nordeste</t>
  </si>
  <si>
    <t>Lazio Princes Town</t>
  </si>
  <si>
    <t>SS Scappati di Casa</t>
  </si>
  <si>
    <t>FC Glasscherbenviertel</t>
  </si>
  <si>
    <t>Blues Nord</t>
  </si>
  <si>
    <t>Juventus de kudus</t>
  </si>
  <si>
    <t>Clerks II</t>
  </si>
  <si>
    <t>Meraj Siddiqui</t>
  </si>
  <si>
    <t>PIRA TEAM</t>
  </si>
  <si>
    <t>C.D. Badajoz</t>
  </si>
  <si>
    <t>C.F. Establiments</t>
  </si>
  <si>
    <t>Lucentum!!!!!</t>
  </si>
  <si>
    <t>C.E. Badalona S.A.D.</t>
  </si>
  <si>
    <t>CSIII</t>
  </si>
  <si>
    <t>FC Aversi</t>
  </si>
  <si>
    <t>Bayern de Sants</t>
  </si>
  <si>
    <t>abrams</t>
  </si>
  <si>
    <t>Estel Roig Genovès</t>
  </si>
  <si>
    <t>Cosecha Roja</t>
  </si>
  <si>
    <t>AVG Hostafrancs</t>
  </si>
  <si>
    <t>FC Virrei Amat</t>
  </si>
  <si>
    <t>Som-hi un altre cop!!</t>
  </si>
  <si>
    <t>La gabarra a pique</t>
  </si>
  <si>
    <t>Birreri Sabadell</t>
  </si>
  <si>
    <t>coco's tema</t>
  </si>
  <si>
    <t>Monkey 47</t>
  </si>
  <si>
    <t>Treskitos Team</t>
  </si>
  <si>
    <t>AS Nano CF</t>
  </si>
  <si>
    <t>Inedit CF</t>
  </si>
  <si>
    <t>SE Europa</t>
  </si>
  <si>
    <t>Sinsen Racing Club</t>
  </si>
  <si>
    <t>Real Mollet</t>
  </si>
  <si>
    <t>Reservas</t>
  </si>
  <si>
    <t>Tipo</t>
  </si>
  <si>
    <t>Entrenable</t>
  </si>
  <si>
    <t>Lenadro Faias</t>
  </si>
  <si>
    <t>Roxelio Reborado</t>
  </si>
  <si>
    <t>Nicolás Galaz</t>
  </si>
  <si>
    <t>Leandro Faias</t>
  </si>
  <si>
    <t>Miguel Fernandez</t>
  </si>
  <si>
    <t>Julian Grabitz</t>
  </si>
  <si>
    <t>RESERVA Inicial</t>
  </si>
  <si>
    <t>RESERVA Final</t>
  </si>
  <si>
    <t>Inversión</t>
  </si>
  <si>
    <t>Amortización</t>
  </si>
  <si>
    <t>Fonteboa</t>
  </si>
  <si>
    <t>PrecioContable</t>
  </si>
  <si>
    <t>Pedrajas</t>
  </si>
  <si>
    <t>Duffill</t>
  </si>
  <si>
    <t>Abandero</t>
  </si>
  <si>
    <t>Gomis</t>
  </si>
  <si>
    <t>Oset</t>
  </si>
  <si>
    <t>Cubas</t>
  </si>
  <si>
    <t>Añigas</t>
  </si>
  <si>
    <t>El Halcon</t>
  </si>
  <si>
    <t>Peñuela</t>
  </si>
  <si>
    <t>Galaz</t>
  </si>
  <si>
    <t>Figueroa</t>
  </si>
  <si>
    <t>Faias</t>
  </si>
  <si>
    <t>Hornet</t>
  </si>
  <si>
    <t>PrecioComp</t>
  </si>
  <si>
    <t>Amortizacion</t>
  </si>
  <si>
    <t>Reservas de la Junta</t>
  </si>
  <si>
    <t>Inicial</t>
  </si>
  <si>
    <t>Final</t>
  </si>
  <si>
    <t>Valor de Compra</t>
  </si>
  <si>
    <t>Venta Jugadores</t>
  </si>
  <si>
    <t>Compra Jugadores</t>
  </si>
  <si>
    <t>Ingreso a Reservas</t>
  </si>
  <si>
    <t>Pago a Reservas</t>
  </si>
  <si>
    <t>ByP Acumulado</t>
  </si>
  <si>
    <t>Mantenimieto</t>
  </si>
  <si>
    <t>Ultima Actu</t>
  </si>
  <si>
    <t>III.12</t>
  </si>
  <si>
    <t>A.D.C. Valadouro</t>
  </si>
  <si>
    <t>Primera (2)</t>
  </si>
  <si>
    <t>31(71)</t>
  </si>
  <si>
    <t>Notable - Neu - Acep</t>
  </si>
  <si>
    <t>253 - 352</t>
  </si>
  <si>
    <t>Estela Reynolds Fan Club</t>
  </si>
  <si>
    <t>Barbecho</t>
  </si>
  <si>
    <t>Kalañita Team</t>
  </si>
  <si>
    <t>Euskadi</t>
  </si>
  <si>
    <t>III (3)</t>
  </si>
  <si>
    <t>27(61)</t>
  </si>
  <si>
    <t>KIMESBE</t>
  </si>
  <si>
    <t>II (2)</t>
  </si>
  <si>
    <t>32(16)</t>
  </si>
  <si>
    <t>Notable - Neu - Deb</t>
  </si>
  <si>
    <t>Club Atlético Gaditano</t>
  </si>
  <si>
    <t>IV (3)</t>
  </si>
  <si>
    <t>Notable - Def - Acep</t>
  </si>
  <si>
    <t>TL</t>
  </si>
  <si>
    <t>Son Rapinya</t>
  </si>
  <si>
    <t>Baleares</t>
  </si>
  <si>
    <t>III (10)</t>
  </si>
  <si>
    <t>27(50)</t>
  </si>
  <si>
    <t>Notable - Neu - Insuf</t>
  </si>
  <si>
    <t>F.C. COMANCHEROS</t>
  </si>
  <si>
    <t>Barcelona</t>
  </si>
  <si>
    <t>III (2)</t>
  </si>
  <si>
    <t>33 (9)</t>
  </si>
  <si>
    <t>28(53)</t>
  </si>
  <si>
    <t>Excelent - Neutro - Insuf</t>
  </si>
  <si>
    <t>27(58)</t>
  </si>
  <si>
    <t>Yoann Defaye</t>
  </si>
  <si>
    <t>Erik-Jan Oude Middendorp</t>
  </si>
  <si>
    <t>Kahidu Gerel</t>
  </si>
  <si>
    <t>Roberto Diprizio</t>
  </si>
  <si>
    <t>Nivel</t>
  </si>
  <si>
    <t>-</t>
  </si>
  <si>
    <t>Chulio Cabrio</t>
  </si>
  <si>
    <t>4</t>
  </si>
  <si>
    <t>Guillermo Checa Rubio</t>
  </si>
  <si>
    <t>5</t>
  </si>
  <si>
    <t>ByP</t>
  </si>
  <si>
    <t>Fernando Navarrete</t>
  </si>
  <si>
    <t>Caja Inicial</t>
  </si>
  <si>
    <t>Caja</t>
  </si>
  <si>
    <t>Caja Final</t>
  </si>
  <si>
    <t>Venta Canteranos</t>
  </si>
  <si>
    <t>ByP Canteranos</t>
  </si>
  <si>
    <t>ByP Compra-Venta</t>
  </si>
  <si>
    <t>Victor Diaz</t>
  </si>
  <si>
    <t>ByP Temporada 78</t>
  </si>
  <si>
    <t>Actico Corriente</t>
  </si>
  <si>
    <t>Pasivo Corriente</t>
  </si>
  <si>
    <t>Raimundo Platas</t>
  </si>
  <si>
    <t xml:space="preserve">1. Rodolfo Rinaldo Paso </t>
  </si>
  <si>
    <t>x</t>
  </si>
  <si>
    <t xml:space="preserve">2. Nicolás Galaz </t>
  </si>
  <si>
    <t xml:space="preserve">3. Julian Gräbitz </t>
  </si>
  <si>
    <t xml:space="preserve">4. Berto Abandero </t>
  </si>
  <si>
    <t xml:space="preserve">5. Enrique Cubas </t>
  </si>
  <si>
    <t xml:space="preserve">6. Valeri Gomis </t>
  </si>
  <si>
    <t xml:space="preserve">7. Wil Duffill </t>
  </si>
  <si>
    <t xml:space="preserve">8. Juan García Peñuela </t>
  </si>
  <si>
    <t xml:space="preserve">9. Meraj Siddiqui </t>
  </si>
  <si>
    <t xml:space="preserve">10. Leandro Faias </t>
  </si>
  <si>
    <t xml:space="preserve">11. Francesc Añigas </t>
  </si>
  <si>
    <t xml:space="preserve">12. Cosme Fonteboa </t>
  </si>
  <si>
    <t xml:space="preserve">2. Renato Galeano </t>
  </si>
  <si>
    <t xml:space="preserve">3. Enrique Cubas </t>
  </si>
  <si>
    <t xml:space="preserve">4. Julian Gräbitz </t>
  </si>
  <si>
    <t xml:space="preserve">5. Nicolás Galaz </t>
  </si>
  <si>
    <t xml:space="preserve">6. Wil Duffill </t>
  </si>
  <si>
    <t xml:space="preserve">7. Francesc Añigas </t>
  </si>
  <si>
    <t xml:space="preserve">8. Meraj Siddiqui </t>
  </si>
  <si>
    <t xml:space="preserve">9. Juan García Peñuela </t>
  </si>
  <si>
    <t xml:space="preserve">10. Venanci Oset </t>
  </si>
  <si>
    <t xml:space="preserve">11. Leandro Faias </t>
  </si>
  <si>
    <t xml:space="preserve">12. Berto Abandero </t>
  </si>
  <si>
    <t xml:space="preserve">13. Guillermo Pedrajas </t>
  </si>
  <si>
    <t xml:space="preserve">14. Valeri Gomis </t>
  </si>
  <si>
    <t xml:space="preserve">15. Iván Real Figueroa </t>
  </si>
  <si>
    <t xml:space="preserve">16. Cosme Fonteboa </t>
  </si>
  <si>
    <t xml:space="preserve">1. Enrique Cubas </t>
  </si>
  <si>
    <t xml:space="preserve">2. Wil Duffill </t>
  </si>
  <si>
    <t xml:space="preserve">3. Meraj Siddiqui </t>
  </si>
  <si>
    <t xml:space="preserve">4. Rodolfo Rinaldo Paso </t>
  </si>
  <si>
    <t xml:space="preserve">5. Julian Gräbitz </t>
  </si>
  <si>
    <t xml:space="preserve">6. Juan García Peñuela </t>
  </si>
  <si>
    <t xml:space="preserve">7. Guillermo Pedrajas </t>
  </si>
  <si>
    <t xml:space="preserve">8. Venanci Oset </t>
  </si>
  <si>
    <t xml:space="preserve">9. Renato Galeano </t>
  </si>
  <si>
    <t xml:space="preserve">10. Valeri Gomis </t>
  </si>
  <si>
    <t xml:space="preserve">11. Iván Real Figueroa </t>
  </si>
  <si>
    <t xml:space="preserve">12. Francesc Añigas </t>
  </si>
  <si>
    <t xml:space="preserve">13. Leandro Faias </t>
  </si>
  <si>
    <t xml:space="preserve">14. Berto Abandero </t>
  </si>
  <si>
    <t xml:space="preserve">15. Miguel Fernández </t>
  </si>
  <si>
    <t xml:space="preserve">2. Tommaso Niscola </t>
  </si>
  <si>
    <t xml:space="preserve">3. Wil Duffill </t>
  </si>
  <si>
    <t xml:space="preserve">4. Renato Galeano </t>
  </si>
  <si>
    <t xml:space="preserve">6. Enrique Cubas </t>
  </si>
  <si>
    <t xml:space="preserve">9. Miguel Fernández </t>
  </si>
  <si>
    <t xml:space="preserve">10. Iván Real Figueroa </t>
  </si>
  <si>
    <t xml:space="preserve">11. Venanci Oset </t>
  </si>
  <si>
    <t xml:space="preserve">12. Valeri Gomis </t>
  </si>
  <si>
    <t xml:space="preserve">13. Ryan Clarke </t>
  </si>
  <si>
    <t xml:space="preserve">15. Guillermo Pedrajas </t>
  </si>
  <si>
    <t xml:space="preserve">4. Juan García Peñuela </t>
  </si>
  <si>
    <t xml:space="preserve">5. Guillermo Pedrajas </t>
  </si>
  <si>
    <t xml:space="preserve">7. Stanislaw Zdankiewicz </t>
  </si>
  <si>
    <t xml:space="preserve">8. Tommaso Niscola </t>
  </si>
  <si>
    <t xml:space="preserve">9. Julian Gräbitz </t>
  </si>
  <si>
    <t xml:space="preserve">10. Francesc Añigas </t>
  </si>
  <si>
    <t xml:space="preserve">11. Berto Abandero </t>
  </si>
  <si>
    <t xml:space="preserve">12. David Garcia-Spiess </t>
  </si>
  <si>
    <t xml:space="preserve">13. Iván Real Figueroa </t>
  </si>
  <si>
    <t xml:space="preserve">14. Venanci Oset </t>
  </si>
  <si>
    <t xml:space="preserve">2. Leo Hilpinen </t>
  </si>
  <si>
    <t xml:space="preserve">3. Tommaso Niscola </t>
  </si>
  <si>
    <t xml:space="preserve">4. Wil Duffill </t>
  </si>
  <si>
    <t xml:space="preserve">5. Francesc Añigas </t>
  </si>
  <si>
    <t xml:space="preserve">6. Stanislaw Zdankiewicz </t>
  </si>
  <si>
    <t xml:space="preserve">7. Julian Gräbitz </t>
  </si>
  <si>
    <t xml:space="preserve">9. Berto Abandero </t>
  </si>
  <si>
    <t xml:space="preserve">11. Miguel Fernández </t>
  </si>
  <si>
    <t xml:space="preserve">14. Iván Real Figueroa </t>
  </si>
  <si>
    <t xml:space="preserve">1. Leo Hilpinen </t>
  </si>
  <si>
    <t xml:space="preserve">2. David Garcia-Spiess </t>
  </si>
  <si>
    <t xml:space="preserve">5. Valeri Gomis </t>
  </si>
  <si>
    <t xml:space="preserve">8. Stanislaw Zdankiewicz </t>
  </si>
  <si>
    <t xml:space="preserve">9. Emilio Rojas </t>
  </si>
  <si>
    <t xml:space="preserve">10. Berto Abandero </t>
  </si>
  <si>
    <t xml:space="preserve">11. Fabien Fabre </t>
  </si>
  <si>
    <t xml:space="preserve">12. Venanci Oset </t>
  </si>
  <si>
    <t xml:space="preserve">14. Miklós Gábriel </t>
  </si>
  <si>
    <t xml:space="preserve">15. Fernando Gazón </t>
  </si>
  <si>
    <t xml:space="preserve">16. Guillermo Pedrajas </t>
  </si>
  <si>
    <t xml:space="preserve">17. Cosme Fonteboa </t>
  </si>
  <si>
    <t xml:space="preserve">1. David Garcia-Spiess </t>
  </si>
  <si>
    <t xml:space="preserve">2. Francesc Añigas </t>
  </si>
  <si>
    <t xml:space="preserve">3. Miklós Gábriel </t>
  </si>
  <si>
    <t xml:space="preserve">5. Juan García Peñuela </t>
  </si>
  <si>
    <t xml:space="preserve">6. Guillermo Pedrajas </t>
  </si>
  <si>
    <t xml:space="preserve">7. Enrique Cubas </t>
  </si>
  <si>
    <t xml:space="preserve">8. Emilio Rojas </t>
  </si>
  <si>
    <t xml:space="preserve">9. Cornel Caraba </t>
  </si>
  <si>
    <t xml:space="preserve">12. Iván Real Figueroa </t>
  </si>
  <si>
    <t xml:space="preserve">13. Miguel Fernández </t>
  </si>
  <si>
    <t xml:space="preserve">1. Emilio Rojas </t>
  </si>
  <si>
    <t xml:space="preserve">2. Enrique Cubas </t>
  </si>
  <si>
    <t xml:space="preserve">6. Berto Abandero </t>
  </si>
  <si>
    <t xml:space="preserve">7. Fabien Fabre </t>
  </si>
  <si>
    <t xml:space="preserve">8. Valeri Gomis </t>
  </si>
  <si>
    <t xml:space="preserve">9. Wil Duffill </t>
  </si>
  <si>
    <t xml:space="preserve">10. Jurgen Muësen </t>
  </si>
  <si>
    <t xml:space="preserve">13. Cornel Caraba </t>
  </si>
  <si>
    <t xml:space="preserve">3. Roberto Abenoza </t>
  </si>
  <si>
    <t xml:space="preserve">5. Mauro Vaz </t>
  </si>
  <si>
    <t xml:space="preserve">6. Fernando Gazón </t>
  </si>
  <si>
    <t xml:space="preserve">7. Eckardt Hägerling </t>
  </si>
  <si>
    <t xml:space="preserve">8. Berto Abandero </t>
  </si>
  <si>
    <t xml:space="preserve">9. Raúl Riquelme </t>
  </si>
  <si>
    <t xml:space="preserve">10. Roberto Montero </t>
  </si>
  <si>
    <t xml:space="preserve">11. Seran Aranguren </t>
  </si>
  <si>
    <t xml:space="preserve">12. Wil Duffill </t>
  </si>
  <si>
    <t xml:space="preserve">13. Xofre Taín </t>
  </si>
  <si>
    <t xml:space="preserve">1. Wil Duffill </t>
  </si>
  <si>
    <t xml:space="preserve">2. Juan García Peñuela </t>
  </si>
  <si>
    <t xml:space="preserve">4. Roberto Abenoza </t>
  </si>
  <si>
    <t xml:space="preserve">5. Raúl Riquelme </t>
  </si>
  <si>
    <t xml:space="preserve">7. Manuel Parejo </t>
  </si>
  <si>
    <t xml:space="preserve">8. Xofre Taín </t>
  </si>
  <si>
    <t xml:space="preserve">9. Mauro Vaz </t>
  </si>
  <si>
    <t xml:space="preserve">10. Eckardt Hägerling </t>
  </si>
  <si>
    <t xml:space="preserve">11. Roberto Montero </t>
  </si>
  <si>
    <t xml:space="preserve">2. Roberto Abenoza </t>
  </si>
  <si>
    <t xml:space="preserve">3. Raúl Riquelme </t>
  </si>
  <si>
    <t xml:space="preserve">4. Valeri Gomis </t>
  </si>
  <si>
    <t xml:space="preserve">5. Casildo Abraldes </t>
  </si>
  <si>
    <t xml:space="preserve">6. Juan Gabriel de Minaya </t>
  </si>
  <si>
    <t xml:space="preserve">7. Juan García Peñuela </t>
  </si>
  <si>
    <t xml:space="preserve">8. Manuel Parejo </t>
  </si>
  <si>
    <t xml:space="preserve">9. Mateusz Brzostowski </t>
  </si>
  <si>
    <t xml:space="preserve">10. Morgan Thomas </t>
  </si>
  <si>
    <t xml:space="preserve">11. Rasheed Da'na </t>
  </si>
  <si>
    <t xml:space="preserve">12. Eckardt Hägerling </t>
  </si>
  <si>
    <t xml:space="preserve">13. Fernando Gazón </t>
  </si>
  <si>
    <t xml:space="preserve">14. Francesc Añigas </t>
  </si>
  <si>
    <t xml:space="preserve">15. Roberto Montero </t>
  </si>
  <si>
    <t xml:space="preserve">1. Saúl Piña </t>
  </si>
  <si>
    <t xml:space="preserve">2. Gianfranco Rezza </t>
  </si>
  <si>
    <t xml:space="preserve">3. Rasheed Da'na </t>
  </si>
  <si>
    <t xml:space="preserve">4. Iyad Chaabo </t>
  </si>
  <si>
    <t xml:space="preserve">5. Ibiur Altxakoa </t>
  </si>
  <si>
    <t xml:space="preserve">6. Jorge Walter Whitaker </t>
  </si>
  <si>
    <t xml:space="preserve">7. Adam Moss </t>
  </si>
  <si>
    <t xml:space="preserve">8. Csaba Mezo </t>
  </si>
  <si>
    <t xml:space="preserve">9. Morgan Thomas </t>
  </si>
  <si>
    <t xml:space="preserve">10. Cezary Pauch </t>
  </si>
  <si>
    <t xml:space="preserve">11. Emilio Mochelato </t>
  </si>
  <si>
    <t xml:space="preserve">12. Andrea Califano </t>
  </si>
  <si>
    <t xml:space="preserve">13. Mario Omarini </t>
  </si>
  <si>
    <t xml:space="preserve">14. Mateusz Brzostowski </t>
  </si>
  <si>
    <t xml:space="preserve">2. Adam Moss </t>
  </si>
  <si>
    <t xml:space="preserve">3. Mario Omarini </t>
  </si>
  <si>
    <t xml:space="preserve">4. Gianfranco Rezza </t>
  </si>
  <si>
    <t xml:space="preserve">5. Rasheed Da'na </t>
  </si>
  <si>
    <t xml:space="preserve">6. Ibiur Altxakoa </t>
  </si>
  <si>
    <t xml:space="preserve">7. Andrea Califano </t>
  </si>
  <si>
    <t xml:space="preserve">8. Morgan Thomas </t>
  </si>
  <si>
    <t xml:space="preserve">9. Pepijn Zwaan </t>
  </si>
  <si>
    <t xml:space="preserve">10. Jorge Walter Whitaker </t>
  </si>
  <si>
    <t xml:space="preserve">11. Boleslaw Starzomski </t>
  </si>
  <si>
    <t xml:space="preserve">12. Csaba Mezo </t>
  </si>
  <si>
    <t xml:space="preserve">13. Emilio Mochelato </t>
  </si>
  <si>
    <t xml:space="preserve">1. Adam Moss </t>
  </si>
  <si>
    <t xml:space="preserve">2. Saúl Piña </t>
  </si>
  <si>
    <t xml:space="preserve">4. Pepijn Zwaan </t>
  </si>
  <si>
    <t xml:space="preserve">5. Gianfranco Rezza </t>
  </si>
  <si>
    <t xml:space="preserve">6. Boleslaw Starzomski </t>
  </si>
  <si>
    <t xml:space="preserve">7. Patrick Werner </t>
  </si>
  <si>
    <t xml:space="preserve">8. Ibiur Altxakoa </t>
  </si>
  <si>
    <t xml:space="preserve">9. Leonardo Baltico </t>
  </si>
  <si>
    <t xml:space="preserve">10. Gregor Freischläger </t>
  </si>
  <si>
    <t xml:space="preserve">11. Morgan Thomas </t>
  </si>
  <si>
    <t xml:space="preserve">12. Emilio Mochelato </t>
  </si>
  <si>
    <t xml:space="preserve">13. Raffaele Sitter </t>
  </si>
  <si>
    <t xml:space="preserve">14. Sansão Trindade Oliveira </t>
  </si>
  <si>
    <t xml:space="preserve">15. Csaba Mezo </t>
  </si>
  <si>
    <t xml:space="preserve">2. Rasheed Da'na </t>
  </si>
  <si>
    <t xml:space="preserve">3. Gianfranco Rezza </t>
  </si>
  <si>
    <t xml:space="preserve">4. Leonardo Baltico </t>
  </si>
  <si>
    <t xml:space="preserve">5. Adam Moss </t>
  </si>
  <si>
    <t xml:space="preserve">6. Pepijn Zwaan </t>
  </si>
  <si>
    <t xml:space="preserve">7. Andrin Bärtsch </t>
  </si>
  <si>
    <t xml:space="preserve">8. Gregor Freischläger </t>
  </si>
  <si>
    <t xml:space="preserve">9. Raffaele Sitter </t>
  </si>
  <si>
    <t xml:space="preserve">10. Antoine Dupré </t>
  </si>
  <si>
    <t xml:space="preserve">11. Patrick Werner </t>
  </si>
  <si>
    <t xml:space="preserve">12. Arnold Kalckstein </t>
  </si>
  <si>
    <t xml:space="preserve">13. Christophe Reinhart </t>
  </si>
  <si>
    <t xml:space="preserve">1. Leonardo Baltico </t>
  </si>
  <si>
    <t xml:space="preserve">2. Kendor Nagiturri </t>
  </si>
  <si>
    <t xml:space="preserve">3. Adam Moss </t>
  </si>
  <si>
    <t xml:space="preserve">6. Saúl Piña </t>
  </si>
  <si>
    <t xml:space="preserve">8. Arnold Kalckstein </t>
  </si>
  <si>
    <t xml:space="preserve">9. Feliciano Becerril </t>
  </si>
  <si>
    <t xml:space="preserve">11. Aleksi Alarotu </t>
  </si>
  <si>
    <t xml:space="preserve">12. Christophe Reinhart </t>
  </si>
  <si>
    <t xml:space="preserve">13. Horacy Dzienis </t>
  </si>
  <si>
    <t xml:space="preserve">14. Raffaele Sitter </t>
  </si>
  <si>
    <t xml:space="preserve">3. Andrin Bärtsch </t>
  </si>
  <si>
    <t xml:space="preserve">4. Rasheed Da'na </t>
  </si>
  <si>
    <t xml:space="preserve">6. Kendor Nagiturri </t>
  </si>
  <si>
    <t xml:space="preserve">7. Arjo Olthuis </t>
  </si>
  <si>
    <t xml:space="preserve">8. Fernando Juárez Sierra </t>
  </si>
  <si>
    <t xml:space="preserve">9. Arnold Kalckstein </t>
  </si>
  <si>
    <t xml:space="preserve">10. Károly Serfel </t>
  </si>
  <si>
    <t xml:space="preserve">11. Adolfo Vitulli </t>
  </si>
  <si>
    <t xml:space="preserve">12. Raffaele Sitter </t>
  </si>
  <si>
    <t xml:space="preserve">14. Gianfranco Rezza </t>
  </si>
  <si>
    <t xml:space="preserve">15. Hjalte Egede </t>
  </si>
  <si>
    <t xml:space="preserve">16. Horacy Dzienis </t>
  </si>
  <si>
    <t xml:space="preserve">4. Gongotzon Ialdebere </t>
  </si>
  <si>
    <t xml:space="preserve">5. Horacy Dzienis </t>
  </si>
  <si>
    <t xml:space="preserve">6. Torsten Kortenhof </t>
  </si>
  <si>
    <t xml:space="preserve">7. Wicher Ossedrijver </t>
  </si>
  <si>
    <t xml:space="preserve">8. Martin Herber </t>
  </si>
  <si>
    <t xml:space="preserve">9. Adam Moss </t>
  </si>
  <si>
    <t xml:space="preserve">10. Saúl Piña </t>
  </si>
  <si>
    <t xml:space="preserve">12. Károly Serfel </t>
  </si>
  <si>
    <t xml:space="preserve">13. Arjo Olthuis </t>
  </si>
  <si>
    <t xml:space="preserve">14. Lech Sipinski </t>
  </si>
  <si>
    <t xml:space="preserve">15. Tristan Voet </t>
  </si>
  <si>
    <t xml:space="preserve">16. Martijn Collinet </t>
  </si>
  <si>
    <t xml:space="preserve">17. Fernando Juárez Sierra </t>
  </si>
  <si>
    <t xml:space="preserve">1. Ilari Santasalmi </t>
  </si>
  <si>
    <t xml:space="preserve">2. Joãozinho do Mato </t>
  </si>
  <si>
    <t xml:space="preserve">3. Leonardo Baltico </t>
  </si>
  <si>
    <t xml:space="preserve">4. Pere Beltran </t>
  </si>
  <si>
    <t xml:space="preserve">5. Zbyšek Hamrozi </t>
  </si>
  <si>
    <t xml:space="preserve">6. Nikolas Lakkotripi </t>
  </si>
  <si>
    <t xml:space="preserve">7. Alexander Pahl </t>
  </si>
  <si>
    <t xml:space="preserve">8. Andrin Bärtsch </t>
  </si>
  <si>
    <t xml:space="preserve">9. Jos Pittoors </t>
  </si>
  <si>
    <t xml:space="preserve">10. Lars Pouilliers </t>
  </si>
  <si>
    <t xml:space="preserve">1. Nikolas Lakkotripi </t>
  </si>
  <si>
    <t xml:space="preserve">2. Andrin Bärtsch </t>
  </si>
  <si>
    <t xml:space="preserve">3. Cornel Boicea </t>
  </si>
  <si>
    <t xml:space="preserve">4. Aimar Lasalde </t>
  </si>
  <si>
    <t xml:space="preserve">5. Joãozinho do Mato </t>
  </si>
  <si>
    <t xml:space="preserve">6. Pasqual Vilar </t>
  </si>
  <si>
    <t xml:space="preserve">7. Lars Pouilliers </t>
  </si>
  <si>
    <t xml:space="preserve">8. Ricardo Esquerdo </t>
  </si>
  <si>
    <t xml:space="preserve">9. Ilari Santasalmi </t>
  </si>
  <si>
    <t xml:space="preserve">10. ? (Ho) ?? (Minwei) </t>
  </si>
  <si>
    <t xml:space="preserve">11. Leonardo Baltico </t>
  </si>
  <si>
    <t xml:space="preserve">12. Ludwik Mojescik </t>
  </si>
  <si>
    <t xml:space="preserve">13. Pere Beltran </t>
  </si>
  <si>
    <t xml:space="preserve">14. Stefano Spanu </t>
  </si>
  <si>
    <t xml:space="preserve">15. Jos Pittoors </t>
  </si>
  <si>
    <t xml:space="preserve">16. Adamantios Fikias </t>
  </si>
  <si>
    <t xml:space="preserve">17. Dimitris Prokos </t>
  </si>
  <si>
    <t xml:space="preserve">18. Dolf Fohringer </t>
  </si>
  <si>
    <t xml:space="preserve">1. Joãozinho do Mato </t>
  </si>
  <si>
    <t xml:space="preserve">2. Cornel Boicea </t>
  </si>
  <si>
    <t xml:space="preserve">3. Jos Pittoors </t>
  </si>
  <si>
    <t xml:space="preserve">4. Nikolas Lakkotripi </t>
  </si>
  <si>
    <t xml:space="preserve">5. Aimar Lasalde </t>
  </si>
  <si>
    <t xml:space="preserve">6. Roelant Bierman </t>
  </si>
  <si>
    <t xml:space="preserve">7. Giulio Procaccianti </t>
  </si>
  <si>
    <t xml:space="preserve">9. Pere Beltran </t>
  </si>
  <si>
    <t xml:space="preserve">10. Andrin Bärtsch </t>
  </si>
  <si>
    <t xml:space="preserve">11. Lars Pouilliers </t>
  </si>
  <si>
    <t xml:space="preserve">12. Dolf Fohringer </t>
  </si>
  <si>
    <t xml:space="preserve">13. Gino van Hoesel </t>
  </si>
  <si>
    <t xml:space="preserve">14. Ragip Övgü </t>
  </si>
  <si>
    <t xml:space="preserve">15. Pasqual Vilar </t>
  </si>
  <si>
    <t xml:space="preserve">16. Ludwik Mojescik </t>
  </si>
  <si>
    <t xml:space="preserve">17. Nicolai Stentoft </t>
  </si>
  <si>
    <t xml:space="preserve">18. Stefano Spanu </t>
  </si>
  <si>
    <t xml:space="preserve">1. Roelant Bierman </t>
  </si>
  <si>
    <t xml:space="preserve">2. Nicolau Caraduxe </t>
  </si>
  <si>
    <t xml:space="preserve">3. Brunon Chuda </t>
  </si>
  <si>
    <t xml:space="preserve">4. Ludwik Mojescik </t>
  </si>
  <si>
    <t xml:space="preserve">5. Gino van Hoesel </t>
  </si>
  <si>
    <t xml:space="preserve">6. Aimar Lasalde </t>
  </si>
  <si>
    <t xml:space="preserve">7. Pasqual Vilar </t>
  </si>
  <si>
    <t xml:space="preserve">8. Ragip Övgü </t>
  </si>
  <si>
    <t xml:space="preserve">9. Giulio Procaccianti </t>
  </si>
  <si>
    <t xml:space="preserve">10. Nicolai Stentoft </t>
  </si>
  <si>
    <t xml:space="preserve">11. Adamantios Fikias </t>
  </si>
  <si>
    <t xml:space="preserve">12. Jos Pittoors </t>
  </si>
  <si>
    <t xml:space="preserve">13. Nikolay Gerasimenko </t>
  </si>
  <si>
    <t xml:space="preserve">14. Ricardo Esquerdo </t>
  </si>
  <si>
    <t xml:space="preserve">15. Pere Beltran </t>
  </si>
  <si>
    <t xml:space="preserve">16. Joãozinho do Mato </t>
  </si>
  <si>
    <t xml:space="preserve">17. Catalin Corobea </t>
  </si>
  <si>
    <t xml:space="preserve">1. Brunon Chuda </t>
  </si>
  <si>
    <t xml:space="preserve">2. Adamantios Fikias </t>
  </si>
  <si>
    <t xml:space="preserve">3. John Chung </t>
  </si>
  <si>
    <t xml:space="preserve">4. Nikolay Gerasimenko </t>
  </si>
  <si>
    <t xml:space="preserve">5. Pere Beltran </t>
  </si>
  <si>
    <t xml:space="preserve">6. Ludwik Mojescik </t>
  </si>
  <si>
    <t xml:space="preserve">7. Tomasz Artymiuk </t>
  </si>
  <si>
    <t xml:space="preserve">8. Roelant Bierman </t>
  </si>
  <si>
    <t xml:space="preserve">9. Aimar Lasalde </t>
  </si>
  <si>
    <t xml:space="preserve">10. Erik Lemming </t>
  </si>
  <si>
    <t xml:space="preserve">11. Honesto Cousa </t>
  </si>
  <si>
    <t xml:space="preserve">12. Gino van Hoesel </t>
  </si>
  <si>
    <t xml:space="preserve">13. Jos Pittoors </t>
  </si>
  <si>
    <t xml:space="preserve">16. José Luis Valdés Saavedra </t>
  </si>
  <si>
    <t xml:space="preserve">17. Morgan Gomes </t>
  </si>
  <si>
    <t xml:space="preserve">18. Nicolau Caraduxe </t>
  </si>
  <si>
    <t xml:space="preserve">19. Fere Pulido </t>
  </si>
  <si>
    <t xml:space="preserve">20. David Knuff </t>
  </si>
  <si>
    <t xml:space="preserve">21. Enis Kalan </t>
  </si>
  <si>
    <t xml:space="preserve">1. Erik Lemming </t>
  </si>
  <si>
    <t xml:space="preserve">2. John Chung </t>
  </si>
  <si>
    <t xml:space="preserve">3. Nikolay Gerasimenko </t>
  </si>
  <si>
    <t xml:space="preserve">4. Ragip Övgü </t>
  </si>
  <si>
    <t xml:space="preserve">5. Fere Pulido </t>
  </si>
  <si>
    <t xml:space="preserve">6. Brunon Chuda </t>
  </si>
  <si>
    <t xml:space="preserve">7. Honesto Cousa </t>
  </si>
  <si>
    <t xml:space="preserve">8. Felipe Andrés Massarelli </t>
  </si>
  <si>
    <t xml:space="preserve">9. Enis Kalan </t>
  </si>
  <si>
    <t xml:space="preserve">10. Adamantios Fikias </t>
  </si>
  <si>
    <t xml:space="preserve">11. Pere Beltran </t>
  </si>
  <si>
    <t xml:space="preserve">13. Pasqual Vilar </t>
  </si>
  <si>
    <t xml:space="preserve">14. Vincent Gautsch </t>
  </si>
  <si>
    <t xml:space="preserve">15. Andrea Chiu </t>
  </si>
  <si>
    <t xml:space="preserve">16. Andrija Miškovic </t>
  </si>
  <si>
    <t xml:space="preserve">1. Malte Neulinger </t>
  </si>
  <si>
    <t xml:space="preserve">2. Brunon Chuda </t>
  </si>
  <si>
    <t xml:space="preserve">4. Relf Härteis </t>
  </si>
  <si>
    <t xml:space="preserve">5. David Erbiti </t>
  </si>
  <si>
    <t xml:space="preserve">6. David Knuff </t>
  </si>
  <si>
    <t xml:space="preserve">7. Vincent Gautsch </t>
  </si>
  <si>
    <t xml:space="preserve">8. Carlos Ipinza </t>
  </si>
  <si>
    <t xml:space="preserve">9. Adamantios Fikias </t>
  </si>
  <si>
    <t xml:space="preserve">10. Andrija Miškovic </t>
  </si>
  <si>
    <t xml:space="preserve">11. Barnabás Borsányi </t>
  </si>
  <si>
    <t xml:space="preserve">12. Tomasz Artymiuk </t>
  </si>
  <si>
    <t xml:space="preserve">13. Fere Pulido </t>
  </si>
  <si>
    <t xml:space="preserve">2. Pere Beltran </t>
  </si>
  <si>
    <t xml:space="preserve">5. Nikolay Gerasimenko </t>
  </si>
  <si>
    <t xml:space="preserve">6. Gastone Cianelli </t>
  </si>
  <si>
    <t xml:space="preserve">7. Iacob Sarpe </t>
  </si>
  <si>
    <t xml:space="preserve">8. Co Wolbers </t>
  </si>
  <si>
    <t xml:space="preserve">9. David Erbiti </t>
  </si>
  <si>
    <t xml:space="preserve">10. Fabien Goncalves </t>
  </si>
  <si>
    <t xml:space="preserve">11. Romain Grière </t>
  </si>
  <si>
    <t xml:space="preserve">12. Steve Mckinnon </t>
  </si>
  <si>
    <t xml:space="preserve">13. Pau Redondo </t>
  </si>
  <si>
    <t xml:space="preserve">14. Ellák Deák </t>
  </si>
  <si>
    <t xml:space="preserve">15. Carlos Ipinza </t>
  </si>
  <si>
    <t xml:space="preserve">17. Andres Kalvet </t>
  </si>
  <si>
    <t xml:space="preserve">2. Co Wolbers </t>
  </si>
  <si>
    <t xml:space="preserve">3. Adamantios Fikias </t>
  </si>
  <si>
    <t xml:space="preserve">4. Ellák Deák </t>
  </si>
  <si>
    <t xml:space="preserve">5. Ernst Lammers </t>
  </si>
  <si>
    <t xml:space="preserve">6. Romain Grière </t>
  </si>
  <si>
    <t xml:space="preserve">7. Michele Giampieri </t>
  </si>
  <si>
    <t xml:space="preserve">8. Pau Redondo </t>
  </si>
  <si>
    <t xml:space="preserve">9. Ulf Schenkel </t>
  </si>
  <si>
    <t xml:space="preserve">10. Jacobo Ferrueros </t>
  </si>
  <si>
    <t xml:space="preserve">11. Uday Adeeb </t>
  </si>
  <si>
    <t xml:space="preserve">12. David Knuff </t>
  </si>
  <si>
    <t xml:space="preserve">13. Aamos Vara </t>
  </si>
  <si>
    <t xml:space="preserve">14. Pere Beltran </t>
  </si>
  <si>
    <t xml:space="preserve">15. Francesc Giró </t>
  </si>
  <si>
    <t xml:space="preserve">16. Gastone Cianelli </t>
  </si>
  <si>
    <t xml:space="preserve">17. Iacob Sarpe </t>
  </si>
  <si>
    <t xml:space="preserve">18. Carlos Ipinza </t>
  </si>
  <si>
    <t xml:space="preserve">19. Christophe Méjean </t>
  </si>
  <si>
    <t xml:space="preserve">20. David Erbiti </t>
  </si>
  <si>
    <t xml:space="preserve">1. Pere Beltran </t>
  </si>
  <si>
    <t xml:space="preserve">2. Alex Txantre </t>
  </si>
  <si>
    <t xml:space="preserve">3. Co Wolbers </t>
  </si>
  <si>
    <t xml:space="preserve">5. Michele Giampieri </t>
  </si>
  <si>
    <t xml:space="preserve">6. Malte Neulinger </t>
  </si>
  <si>
    <t xml:space="preserve">7. Markus Currie </t>
  </si>
  <si>
    <t xml:space="preserve">8. Iuliu Pana </t>
  </si>
  <si>
    <t xml:space="preserve">9. Dan Veneau </t>
  </si>
  <si>
    <t xml:space="preserve">10. Clifford Smallwood </t>
  </si>
  <si>
    <t xml:space="preserve">11. Aureliusz Staszczuk </t>
  </si>
  <si>
    <t xml:space="preserve">12. Igli Volpicelli </t>
  </si>
  <si>
    <t xml:space="preserve">13. Matteo Omacini </t>
  </si>
  <si>
    <t xml:space="preserve">14. Sascha Gilch </t>
  </si>
  <si>
    <t xml:space="preserve">15. Uday Adeeb </t>
  </si>
  <si>
    <t xml:space="preserve">16. Ulf Schenkel </t>
  </si>
  <si>
    <t xml:space="preserve">17. Zsolt Novák </t>
  </si>
  <si>
    <t xml:space="preserve">18. Pau Redondo </t>
  </si>
  <si>
    <t xml:space="preserve">19. Jacobo Ferrueros </t>
  </si>
  <si>
    <t xml:space="preserve">20. Jan Jessen </t>
  </si>
  <si>
    <t xml:space="preserve">21. José Manuel Carneiro </t>
  </si>
  <si>
    <t xml:space="preserve">22. Ludvig Andreasson </t>
  </si>
  <si>
    <t xml:space="preserve">23. Luigi Tripodo </t>
  </si>
  <si>
    <t xml:space="preserve">24. Christophe Méjean </t>
  </si>
  <si>
    <t xml:space="preserve">25. Aamos Vara </t>
  </si>
  <si>
    <t xml:space="preserve">1. Augustin Demaison </t>
  </si>
  <si>
    <t xml:space="preserve">3. Sejo Sáenz Marín </t>
  </si>
  <si>
    <t xml:space="preserve">4. Zeno Baets </t>
  </si>
  <si>
    <t xml:space="preserve">5. Iuliu Pana </t>
  </si>
  <si>
    <t xml:space="preserve">6. Krzysztof Buras </t>
  </si>
  <si>
    <t xml:space="preserve">7. Aureliusz Staszczuk </t>
  </si>
  <si>
    <t xml:space="preserve">8. Christophe Méjean </t>
  </si>
  <si>
    <t xml:space="preserve">9. Manolo Negrín </t>
  </si>
  <si>
    <t xml:space="preserve">10. Markus Currie </t>
  </si>
  <si>
    <t xml:space="preserve">11. Percy Alfredsson </t>
  </si>
  <si>
    <t xml:space="preserve">12. Massimiliano Jula </t>
  </si>
  <si>
    <t xml:space="preserve">14. Melcior Calmet </t>
  </si>
  <si>
    <t xml:space="preserve">15. Zsolt Novák </t>
  </si>
  <si>
    <t xml:space="preserve">16. Dan Veneau </t>
  </si>
  <si>
    <t xml:space="preserve">17. Ellák Deák </t>
  </si>
  <si>
    <t xml:space="preserve">18. Finlay MacGrory </t>
  </si>
  <si>
    <t xml:space="preserve">19. Gawel Nanowski </t>
  </si>
  <si>
    <t xml:space="preserve">20. Harald Georg Berchthold </t>
  </si>
  <si>
    <t xml:space="preserve">1. Melcior Calmet </t>
  </si>
  <si>
    <t xml:space="preserve">2. Manolo Negrín </t>
  </si>
  <si>
    <t xml:space="preserve">3. Harald Georg Berchthold </t>
  </si>
  <si>
    <t xml:space="preserve">4. Jörg Londorf </t>
  </si>
  <si>
    <t xml:space="preserve">5. Richey Cowper </t>
  </si>
  <si>
    <t xml:space="preserve">6. David Berkenbosch </t>
  </si>
  <si>
    <t xml:space="preserve">7. ? (Pan) ?? (Yuandong) </t>
  </si>
  <si>
    <t xml:space="preserve">8. Tijl van Hamburg </t>
  </si>
  <si>
    <t xml:space="preserve">9. Udo Mier </t>
  </si>
  <si>
    <t xml:space="preserve">10. Ofek Azuri </t>
  </si>
  <si>
    <t xml:space="preserve">11. Karl Edwin </t>
  </si>
  <si>
    <t xml:space="preserve">12. Lauri Piminäinen </t>
  </si>
  <si>
    <t xml:space="preserve">13. Jacobo Ferrueros </t>
  </si>
  <si>
    <t xml:space="preserve">14. Arkadiusz Dembek </t>
  </si>
  <si>
    <t xml:space="preserve">15. Dan Lindgren </t>
  </si>
  <si>
    <t xml:space="preserve">16. Ludovic Gygax </t>
  </si>
  <si>
    <t xml:space="preserve">17. Krzysztof Buras </t>
  </si>
  <si>
    <t xml:space="preserve">18. Marcin Lulewicz </t>
  </si>
  <si>
    <t xml:space="preserve">1. Manolo Negrín </t>
  </si>
  <si>
    <t xml:space="preserve">2. Melcior Calmet </t>
  </si>
  <si>
    <t xml:space="preserve">3. Damiano Clementi </t>
  </si>
  <si>
    <t xml:space="preserve">4. Petru Pena </t>
  </si>
  <si>
    <t xml:space="preserve">5. Pablo Gil Fano </t>
  </si>
  <si>
    <t xml:space="preserve">6. Christophe Bodin </t>
  </si>
  <si>
    <t xml:space="preserve">7. Alfonso Londoño </t>
  </si>
  <si>
    <t xml:space="preserve">8. Gregorio Manrique </t>
  </si>
  <si>
    <t xml:space="preserve">9. Gustaw Bugajski </t>
  </si>
  <si>
    <t xml:space="preserve">10. Olli Rambow </t>
  </si>
  <si>
    <t xml:space="preserve">11. Martin Kilev </t>
  </si>
  <si>
    <t xml:space="preserve">12. Pieter Pelleboer </t>
  </si>
  <si>
    <t xml:space="preserve">13. ? (Pan) ?? (Yuandong) </t>
  </si>
  <si>
    <t xml:space="preserve">1. Martin Kilev </t>
  </si>
  <si>
    <t xml:space="preserve">2. Mattia Sambri </t>
  </si>
  <si>
    <t xml:space="preserve">3. Pablo Gil Fano </t>
  </si>
  <si>
    <t xml:space="preserve">4. Hansjürg Devier </t>
  </si>
  <si>
    <t xml:space="preserve">5. Aiurdi Azpileta </t>
  </si>
  <si>
    <t xml:space="preserve">6. Domenic Janjic </t>
  </si>
  <si>
    <t xml:space="preserve">7. Jaime Ocón </t>
  </si>
  <si>
    <t xml:space="preserve">8. José Rubianes </t>
  </si>
  <si>
    <t xml:space="preserve">9. Karst van Gils </t>
  </si>
  <si>
    <t xml:space="preserve">10. Manolo Negrín </t>
  </si>
  <si>
    <t xml:space="preserve">11. Serapio Castrelos </t>
  </si>
  <si>
    <t>Actual</t>
  </si>
  <si>
    <t>Goles</t>
  </si>
  <si>
    <t>Temp</t>
  </si>
  <si>
    <t>Jugador_mal</t>
  </si>
  <si>
    <t>(en blanco)</t>
  </si>
  <si>
    <t>Suma de Goles</t>
  </si>
  <si>
    <t xml:space="preserve">Enrique Cubas </t>
  </si>
  <si>
    <t xml:space="preserve">Saúl Piña </t>
  </si>
  <si>
    <t xml:space="preserve">Wil Duffill </t>
  </si>
  <si>
    <t xml:space="preserve">Rasheed Da'na </t>
  </si>
  <si>
    <t xml:space="preserve">Adam Moss </t>
  </si>
  <si>
    <t xml:space="preserve">Leonardo Baltico </t>
  </si>
  <si>
    <t xml:space="preserve">Rodolfo Rinaldo Paso </t>
  </si>
  <si>
    <t xml:space="preserve">Andrin Bärtsch </t>
  </si>
  <si>
    <t xml:space="preserve">Juan García Peñuela </t>
  </si>
  <si>
    <t xml:space="preserve">Gianfranco Rezza </t>
  </si>
  <si>
    <t xml:space="preserve">Francesc Añigas </t>
  </si>
  <si>
    <t xml:space="preserve">Pere Beltran </t>
  </si>
  <si>
    <t xml:space="preserve">Brunon Chuda </t>
  </si>
  <si>
    <t xml:space="preserve">Valeri Gomis </t>
  </si>
  <si>
    <t xml:space="preserve">Kendor Nagiturri </t>
  </si>
  <si>
    <t xml:space="preserve">Malte Neulinger </t>
  </si>
  <si>
    <t xml:space="preserve">Julian Gräbitz </t>
  </si>
  <si>
    <t xml:space="preserve">Joãozinho do Mato </t>
  </si>
  <si>
    <t xml:space="preserve">Nikolay Gerasimenko </t>
  </si>
  <si>
    <t xml:space="preserve">Aimar Lasalde </t>
  </si>
  <si>
    <t xml:space="preserve">Leo Hilpinen </t>
  </si>
  <si>
    <t xml:space="preserve">David Garcia-Spiess </t>
  </si>
  <si>
    <t xml:space="preserve">Guillermo Pedrajas </t>
  </si>
  <si>
    <t xml:space="preserve">Nikolas Lakkotripi </t>
  </si>
  <si>
    <t xml:space="preserve">Tommaso Niscola </t>
  </si>
  <si>
    <t xml:space="preserve">Roelant Bierman </t>
  </si>
  <si>
    <t xml:space="preserve">Adamantios Fikias </t>
  </si>
  <si>
    <t xml:space="preserve">Ludwik Mojescik </t>
  </si>
  <si>
    <t xml:space="preserve">Renato Galeano </t>
  </si>
  <si>
    <t xml:space="preserve">Cornel Boicea </t>
  </si>
  <si>
    <t xml:space="preserve">Meraj Siddiqui </t>
  </si>
  <si>
    <t xml:space="preserve">Pepijn Zwaan </t>
  </si>
  <si>
    <t xml:space="preserve">Berto Abandero </t>
  </si>
  <si>
    <t xml:space="preserve">Pasqual Vilar </t>
  </si>
  <si>
    <t xml:space="preserve">Jos Pittoors </t>
  </si>
  <si>
    <t xml:space="preserve">Emilio Rojas </t>
  </si>
  <si>
    <t xml:space="preserve">Manolo Negrín </t>
  </si>
  <si>
    <t xml:space="preserve">Melcior Calmet </t>
  </si>
  <si>
    <t xml:space="preserve">Ragip Övgü </t>
  </si>
  <si>
    <t xml:space="preserve">Co Wolbers </t>
  </si>
  <si>
    <t xml:space="preserve">John Chung </t>
  </si>
  <si>
    <t xml:space="preserve">Arnold Kalckstein </t>
  </si>
  <si>
    <t xml:space="preserve">Iván Real Figueroa </t>
  </si>
  <si>
    <t xml:space="preserve">Venanci Oset </t>
  </si>
  <si>
    <t xml:space="preserve">Ibiur Altxakoa </t>
  </si>
  <si>
    <t xml:space="preserve">Ellák Deák </t>
  </si>
  <si>
    <t xml:space="preserve">Gregor Freischläger </t>
  </si>
  <si>
    <t xml:space="preserve">Roberto Abenoza </t>
  </si>
  <si>
    <t xml:space="preserve">Stanislaw Zdankiewicz </t>
  </si>
  <si>
    <t xml:space="preserve">Miklós Gábriel </t>
  </si>
  <si>
    <t xml:space="preserve">Raffaele Sitter </t>
  </si>
  <si>
    <t xml:space="preserve">Gino van Hoesel </t>
  </si>
  <si>
    <t xml:space="preserve">Ricardo Esquerdo </t>
  </si>
  <si>
    <t xml:space="preserve">Horacy Dzienis </t>
  </si>
  <si>
    <t xml:space="preserve">Erik Lemming </t>
  </si>
  <si>
    <t xml:space="preserve">Nicolau Caraduxe </t>
  </si>
  <si>
    <t xml:space="preserve">Lars Pouilliers </t>
  </si>
  <si>
    <t xml:space="preserve">Antoine Dupré </t>
  </si>
  <si>
    <t xml:space="preserve">Nicolás Galaz </t>
  </si>
  <si>
    <t xml:space="preserve">Morgan Thomas </t>
  </si>
  <si>
    <t xml:space="preserve">Michele Giampieri </t>
  </si>
  <si>
    <t xml:space="preserve">Arjo Olthuis </t>
  </si>
  <si>
    <t xml:space="preserve">Giulio Procaccianti </t>
  </si>
  <si>
    <t xml:space="preserve">Patrick Werner </t>
  </si>
  <si>
    <t xml:space="preserve">Augustin Demaison </t>
  </si>
  <si>
    <t xml:space="preserve">Miguel Fernández </t>
  </si>
  <si>
    <t xml:space="preserve">Mario Omarini </t>
  </si>
  <si>
    <t xml:space="preserve">Feliciano Becerril </t>
  </si>
  <si>
    <t xml:space="preserve">Relf Härteis </t>
  </si>
  <si>
    <t xml:space="preserve">Fere Pulido </t>
  </si>
  <si>
    <t xml:space="preserve">Gongotzon Ialdebere </t>
  </si>
  <si>
    <t xml:space="preserve">Markus Currie </t>
  </si>
  <si>
    <t xml:space="preserve">Leandro Faias </t>
  </si>
  <si>
    <t xml:space="preserve">Iuliu Pana </t>
  </si>
  <si>
    <t xml:space="preserve">Károly Serfel </t>
  </si>
  <si>
    <t xml:space="preserve">Martin Kilev </t>
  </si>
  <si>
    <t xml:space="preserve">Alex Txantre </t>
  </si>
  <si>
    <t xml:space="preserve">Iyad Chaabo </t>
  </si>
  <si>
    <t xml:space="preserve">Fernando Gazón </t>
  </si>
  <si>
    <t xml:space="preserve">Jorge Walter Whitaker </t>
  </si>
  <si>
    <t xml:space="preserve">Torsten Kortenhof </t>
  </si>
  <si>
    <t xml:space="preserve">Boleslaw Starzomski </t>
  </si>
  <si>
    <t xml:space="preserve">Raúl Riquelme </t>
  </si>
  <si>
    <t xml:space="preserve">David Knuff </t>
  </si>
  <si>
    <t xml:space="preserve">Nicolai Stentoft </t>
  </si>
  <si>
    <t xml:space="preserve">Fabien Fabre </t>
  </si>
  <si>
    <t xml:space="preserve">Christophe Reinhart </t>
  </si>
  <si>
    <t xml:space="preserve">Honesto Cousa </t>
  </si>
  <si>
    <t xml:space="preserve">Wicher Ossedrijver </t>
  </si>
  <si>
    <t xml:space="preserve">David Erbiti </t>
  </si>
  <si>
    <t xml:space="preserve">Romain Grière </t>
  </si>
  <si>
    <t xml:space="preserve">Pablo Gil Fano </t>
  </si>
  <si>
    <t xml:space="preserve">Tomasz Artymiuk </t>
  </si>
  <si>
    <t xml:space="preserve">Ilari Santasalmi </t>
  </si>
  <si>
    <t xml:space="preserve">Martin Herber </t>
  </si>
  <si>
    <t xml:space="preserve">Aureliusz Staszczuk </t>
  </si>
  <si>
    <t xml:space="preserve">Csaba Mezo </t>
  </si>
  <si>
    <t xml:space="preserve">Jacobo Ferrueros </t>
  </si>
  <si>
    <t xml:space="preserve">Cornel Caraba </t>
  </si>
  <si>
    <t xml:space="preserve">Harald Georg Berchthold </t>
  </si>
  <si>
    <t xml:space="preserve">Aleksi Alarotu </t>
  </si>
  <si>
    <t xml:space="preserve">Ulf Schenkel </t>
  </si>
  <si>
    <t xml:space="preserve">Andrea Califano </t>
  </si>
  <si>
    <t xml:space="preserve">Fernando Juárez Sierra </t>
  </si>
  <si>
    <t xml:space="preserve">Pau Redondo </t>
  </si>
  <si>
    <t xml:space="preserve">Christophe Méjean </t>
  </si>
  <si>
    <t xml:space="preserve">Sejo Sáenz Marín </t>
  </si>
  <si>
    <t xml:space="preserve">Dolf Fohringer </t>
  </si>
  <si>
    <t xml:space="preserve">Mattia Sambri </t>
  </si>
  <si>
    <t xml:space="preserve">Uday Adeeb </t>
  </si>
  <si>
    <t xml:space="preserve">Jörg Londorf </t>
  </si>
  <si>
    <t xml:space="preserve">Eckardt Hägerling </t>
  </si>
  <si>
    <t xml:space="preserve">? (Pan) ?? (Yuandong) </t>
  </si>
  <si>
    <t xml:space="preserve">Dan Veneau </t>
  </si>
  <si>
    <t xml:space="preserve">Krzysztof Buras </t>
  </si>
  <si>
    <t xml:space="preserve">Gastone Cianelli </t>
  </si>
  <si>
    <t xml:space="preserve">Ernst Lammers </t>
  </si>
  <si>
    <t xml:space="preserve">Hansjürg Devier </t>
  </si>
  <si>
    <t xml:space="preserve">Emilio Mochelato </t>
  </si>
  <si>
    <t xml:space="preserve">Carlos Ipinza </t>
  </si>
  <si>
    <t xml:space="preserve">Richey Cowper </t>
  </si>
  <si>
    <t xml:space="preserve">Aiurdi Azpileta </t>
  </si>
  <si>
    <t xml:space="preserve">Tristan Voet </t>
  </si>
  <si>
    <t xml:space="preserve">Roberto Montero </t>
  </si>
  <si>
    <t xml:space="preserve">Mauro Vaz </t>
  </si>
  <si>
    <t xml:space="preserve">Iacob Sarpe </t>
  </si>
  <si>
    <t xml:space="preserve">? (Ho) ?? (Minwei) </t>
  </si>
  <si>
    <t xml:space="preserve">Cosme Fonteboa </t>
  </si>
  <si>
    <t xml:space="preserve">Zeno Baets </t>
  </si>
  <si>
    <t xml:space="preserve">Clifford Smallwood </t>
  </si>
  <si>
    <t xml:space="preserve">Stefano Spanu </t>
  </si>
  <si>
    <t xml:space="preserve">Matteo Omacini </t>
  </si>
  <si>
    <t xml:space="preserve">Vincent Gautsch </t>
  </si>
  <si>
    <t xml:space="preserve">Enis Kalan </t>
  </si>
  <si>
    <t xml:space="preserve">David Berkenbosch </t>
  </si>
  <si>
    <t xml:space="preserve">Damiano Clementi </t>
  </si>
  <si>
    <t xml:space="preserve">Manuel Parejo </t>
  </si>
  <si>
    <t xml:space="preserve">Xofre Taín </t>
  </si>
  <si>
    <t xml:space="preserve">Lech Sipinski </t>
  </si>
  <si>
    <t xml:space="preserve">Petru Pena </t>
  </si>
  <si>
    <t xml:space="preserve">Domenic Janjic </t>
  </si>
  <si>
    <t xml:space="preserve">Martijn Collinet </t>
  </si>
  <si>
    <t xml:space="preserve">Karl Edwin </t>
  </si>
  <si>
    <t xml:space="preserve">Igli Volpicelli </t>
  </si>
  <si>
    <t xml:space="preserve">Christophe Bodin </t>
  </si>
  <si>
    <t xml:space="preserve">Udo Mier </t>
  </si>
  <si>
    <t xml:space="preserve">Ofek Azuri </t>
  </si>
  <si>
    <t xml:space="preserve">Lauri Piminäinen </t>
  </si>
  <si>
    <t xml:space="preserve">José Rubianes </t>
  </si>
  <si>
    <t xml:space="preserve">Percy Alfredsson </t>
  </si>
  <si>
    <t xml:space="preserve">Mateusz Brzostowski </t>
  </si>
  <si>
    <t xml:space="preserve">Andrija Miškovic </t>
  </si>
  <si>
    <t xml:space="preserve">Zsolt Novák </t>
  </si>
  <si>
    <t xml:space="preserve">Casildo Abraldes </t>
  </si>
  <si>
    <t xml:space="preserve">Juan Gabriel de Minaya </t>
  </si>
  <si>
    <t xml:space="preserve">Sansão Trindade Oliveira </t>
  </si>
  <si>
    <t xml:space="preserve">Jaime Ocón </t>
  </si>
  <si>
    <t xml:space="preserve">Sascha Gilch </t>
  </si>
  <si>
    <t xml:space="preserve">Felipe Andrés Massarelli </t>
  </si>
  <si>
    <t xml:space="preserve">Jurgen Muësen </t>
  </si>
  <si>
    <t xml:space="preserve">Tijl van Hamburg </t>
  </si>
  <si>
    <t xml:space="preserve">Aamos Vara </t>
  </si>
  <si>
    <t xml:space="preserve">Karst van Gils </t>
  </si>
  <si>
    <t xml:space="preserve">Fabien Goncalves </t>
  </si>
  <si>
    <t xml:space="preserve">Cezary Pauch </t>
  </si>
  <si>
    <t xml:space="preserve">Arkadiusz Dembek </t>
  </si>
  <si>
    <t xml:space="preserve">Marcin Lulewicz </t>
  </si>
  <si>
    <t xml:space="preserve">Gregorio Manrique </t>
  </si>
  <si>
    <t xml:space="preserve">Massimiliano Jula </t>
  </si>
  <si>
    <t xml:space="preserve">Barnabás Borsányi </t>
  </si>
  <si>
    <t xml:space="preserve">Serapio Castrelos </t>
  </si>
  <si>
    <t xml:space="preserve">Dimitris Prokos </t>
  </si>
  <si>
    <t xml:space="preserve">Alfonso Londoño </t>
  </si>
  <si>
    <t xml:space="preserve">José Luis Valdés Saavedra </t>
  </si>
  <si>
    <t xml:space="preserve">Francesc Giró </t>
  </si>
  <si>
    <t xml:space="preserve">Ludovic Gygax </t>
  </si>
  <si>
    <t xml:space="preserve">Hjalte Egede </t>
  </si>
  <si>
    <t xml:space="preserve">Steve Mckinnon </t>
  </si>
  <si>
    <t xml:space="preserve">Olli Rambow </t>
  </si>
  <si>
    <t xml:space="preserve">Jan Jessen </t>
  </si>
  <si>
    <t xml:space="preserve">Alexander Pahl </t>
  </si>
  <si>
    <t xml:space="preserve">Morgan Gomes </t>
  </si>
  <si>
    <t xml:space="preserve">Dan Lindgren </t>
  </si>
  <si>
    <t xml:space="preserve">José Manuel Carneiro </t>
  </si>
  <si>
    <t xml:space="preserve">Adolfo Vitulli </t>
  </si>
  <si>
    <t xml:space="preserve">Zbyšek Hamrozi </t>
  </si>
  <si>
    <t xml:space="preserve">Gawel Nanowski </t>
  </si>
  <si>
    <t xml:space="preserve">Ludvig Andreasson </t>
  </si>
  <si>
    <t xml:space="preserve">Pieter Pelleboer </t>
  </si>
  <si>
    <t xml:space="preserve">Luigi Tripodo </t>
  </si>
  <si>
    <t xml:space="preserve">Seran Aranguren </t>
  </si>
  <si>
    <t xml:space="preserve">Finlay MacGrory </t>
  </si>
  <si>
    <t xml:space="preserve">Gustaw Bugajski </t>
  </si>
  <si>
    <t xml:space="preserve">Ryan Clarke </t>
  </si>
  <si>
    <t xml:space="preserve">Andres Kalvet </t>
  </si>
  <si>
    <t xml:space="preserve">Catalin Corobea </t>
  </si>
  <si>
    <t xml:space="preserve">Andrea Chiu </t>
  </si>
  <si>
    <t>J</t>
  </si>
  <si>
    <t>Data Inici Fites</t>
  </si>
  <si>
    <t>Data Actualitzacio</t>
  </si>
  <si>
    <t>Repte</t>
  </si>
  <si>
    <t>Descripció</t>
  </si>
  <si>
    <t>Nivell</t>
  </si>
  <si>
    <t>Minim</t>
  </si>
  <si>
    <t>Entrada denegada</t>
  </si>
  <si>
    <t>Es tracta d'aconseguir un cert nombre de partits sense rebre cap gol. S'obté un major nivell com més partits s'aconsegueixin.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</si>
  <si>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</si>
  <si>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</si>
  <si>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</si>
  <si>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</si>
  <si>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</si>
  <si>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</si>
  <si>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</si>
  <si>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</si>
  <si>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3-5-2</t>
  </si>
  <si>
    <t>5-3-2</t>
  </si>
  <si>
    <t>Elmar Kolberg</t>
  </si>
  <si>
    <t>Ramon Adern</t>
  </si>
  <si>
    <t>César Riaño</t>
  </si>
  <si>
    <t>Ignacio Farina</t>
  </si>
  <si>
    <t>Manolo Parralo</t>
  </si>
  <si>
    <t>3</t>
  </si>
  <si>
    <t>Cristobal Celayaran</t>
  </si>
  <si>
    <t>HOY</t>
  </si>
  <si>
    <t>Carlos Queralt</t>
  </si>
  <si>
    <t>Alejandro Valle Perez</t>
  </si>
  <si>
    <t>Adan Dimo</t>
  </si>
  <si>
    <t>Francisco Santa Maria</t>
  </si>
  <si>
    <t>Pol Gallard</t>
  </si>
  <si>
    <t>Zdislav Rericha</t>
  </si>
  <si>
    <t>Ultima Modificacion</t>
  </si>
  <si>
    <t>Preferentes</t>
  </si>
  <si>
    <t>Tribunas</t>
  </si>
  <si>
    <t>Palcos</t>
  </si>
  <si>
    <t>Tiempo</t>
  </si>
  <si>
    <t>Rival</t>
  </si>
  <si>
    <t>Nuevos</t>
  </si>
  <si>
    <t>Semana</t>
  </si>
  <si>
    <t>Mantenimiento Grada general</t>
  </si>
  <si>
    <t>Mantenimiento Preferentes</t>
  </si>
  <si>
    <t>Mantenimiento Tribunas</t>
  </si>
  <si>
    <t>Mantenimiento Palcos</t>
  </si>
  <si>
    <t>TOTAL COSTE</t>
  </si>
  <si>
    <t>TOTAL INGRESO</t>
  </si>
  <si>
    <t>Entradas Grada general</t>
  </si>
  <si>
    <t>Entradas Preferentes</t>
  </si>
  <si>
    <t>Entradas Tribunas</t>
  </si>
  <si>
    <t>Entradas Palcos</t>
  </si>
  <si>
    <t>Balance</t>
  </si>
  <si>
    <t>CUM INGRESO</t>
  </si>
  <si>
    <t>CUM COSTE</t>
  </si>
  <si>
    <t>Antiguo</t>
  </si>
  <si>
    <t>Lluvia</t>
  </si>
  <si>
    <t>Sol</t>
  </si>
  <si>
    <t>Estela</t>
  </si>
  <si>
    <t>Soleado</t>
  </si>
  <si>
    <t>Kalañita</t>
  </si>
  <si>
    <t>Valadouro</t>
  </si>
  <si>
    <t>Nublado</t>
  </si>
  <si>
    <t>Comancheros</t>
  </si>
  <si>
    <t>Andorians</t>
  </si>
  <si>
    <t>Construccion Grada general</t>
  </si>
  <si>
    <t>Construccion Preferentes</t>
  </si>
  <si>
    <t>Construccion Tribunas</t>
  </si>
  <si>
    <t>Construccion Palcos</t>
  </si>
  <si>
    <t>Carlos Palafox Castro</t>
  </si>
  <si>
    <t>Abdelwajid Waredati</t>
  </si>
  <si>
    <t>Eugeni Comallonga</t>
  </si>
  <si>
    <t>Rodrigo Ipiña</t>
  </si>
  <si>
    <t>Armando Miquilena</t>
  </si>
  <si>
    <t>Alexandre Janvier</t>
  </si>
  <si>
    <t>Faroog Gheilan</t>
  </si>
  <si>
    <t>Ziauddin El-Wahesh</t>
  </si>
  <si>
    <t>Maurits Rakkola</t>
  </si>
  <si>
    <t>Thierry Kras</t>
  </si>
  <si>
    <t>Aleksander Pytlarczyk</t>
  </si>
  <si>
    <t>姚 (Yao) 超雄 (Chaoxiong)</t>
  </si>
  <si>
    <t>Antonio Muñoz</t>
  </si>
  <si>
    <t>Pamboli</t>
  </si>
  <si>
    <t>Per Askenfeldt</t>
  </si>
  <si>
    <t xml:space="preserve"> John Moss</t>
  </si>
  <si>
    <t>Bogdan Pivovarov</t>
  </si>
  <si>
    <t>Trsitan Goglichadze</t>
  </si>
  <si>
    <t>Sergio Manuel Real</t>
  </si>
  <si>
    <t>Daniel Haslauer</t>
  </si>
  <si>
    <t>Sabir Bekrija</t>
  </si>
  <si>
    <t>Rune Hagelbratt</t>
  </si>
  <si>
    <t>Vladimir Ivascu</t>
  </si>
  <si>
    <t>Marcos Vera</t>
  </si>
  <si>
    <t>Mathieu Atlan</t>
  </si>
  <si>
    <t>Mirko Sarkic</t>
  </si>
  <si>
    <t>Rik Jozetic</t>
  </si>
  <si>
    <t>Vader - Granada Boys</t>
  </si>
  <si>
    <t>498 HTS</t>
  </si>
  <si>
    <t>CF HAHAN - Vader</t>
  </si>
  <si>
    <t>491 HTS</t>
  </si>
  <si>
    <t>Sakir Belrija</t>
  </si>
  <si>
    <t>Kolberg</t>
  </si>
  <si>
    <t>Pivovarov</t>
  </si>
  <si>
    <t>Bekrija</t>
  </si>
  <si>
    <t>Storm</t>
  </si>
  <si>
    <t>Valor Contable</t>
  </si>
  <si>
    <t>Bigfoot</t>
  </si>
  <si>
    <t>Obtén 63 500 € por cada partido de liga jugado.</t>
  </si>
  <si>
    <t>Universal</t>
  </si>
  <si>
    <t>Obtén 1 160 000 € por ascender de división.</t>
  </si>
  <si>
    <t>RNA</t>
  </si>
  <si>
    <t>Obtén 37 000 € por cada partido de liga ganado.</t>
  </si>
  <si>
    <t>Obtén 95 500 € por cada vez que mantengas tu portería a cero en partido de liga como visitante.</t>
  </si>
  <si>
    <t>InnerPeace</t>
  </si>
  <si>
    <t>Obtén 83 000 € por cada partido de liga ganado en casa.</t>
  </si>
  <si>
    <t>Obtén 63 500 € por cada partido de liga ganado como visitante.</t>
  </si>
  <si>
    <t>ZeroSum</t>
  </si>
  <si>
    <t>Obtén 16 500 € por cada gol marcado en casa en partido de liga, con un máximo de 82 500 € por semana.</t>
  </si>
  <si>
    <t>Obtén 8 500 € por cada gol marcado en un partido de liga, con un máximo de 42 500 € por semana.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</si>
</sst>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_-* #,##0.0\ _€_-;\-* #,##0.0\ _€_-;_-* &quot;-&quot;??\ _€_-;_-@_-"/>
    <numFmt numFmtId="168" formatCode="0.000"/>
    <numFmt numFmtId="169" formatCode="_-* #,##0\ &quot;€&quot;_-;\-* #,##0\ &quot;€&quot;_-;_-* &quot;-&quot;??\ &quot;€&quot;_-;_-@_-"/>
    <numFmt numFmtId="170" formatCode="0.0%"/>
    <numFmt numFmtId="171" formatCode="_-* #,##0.0\ &quot;€&quot;_-;\-* #,##0.0\ &quot;€&quot;_-;_-* &quot;-&quot;??\ &quot;€&quot;_-;_-@_-"/>
    <numFmt numFmtId="172" formatCode="dd/mmm"/>
    <numFmt numFmtId="173" formatCode="_-* #,##0\ [$€-C0A]_-;\-* #,##0\ [$€-C0A]_-;_-* \-??\ [$€-C0A]_-;_-@_-"/>
    <numFmt numFmtId="174" formatCode="_-* #,##0.00\ [$€-C0A]_-;\-* #,##0.00\ [$€-C0A]_-;_-* \-??\ [$€-C0A]_-;_-@_-"/>
    <numFmt numFmtId="175" formatCode="_-* #,##0&quot; €&quot;_-;\-* #,##0&quot; €&quot;_-;_-* \-??&quot; €&quot;_-;_-@_-"/>
    <numFmt numFmtId="176" formatCode="m/d/yyyy"/>
    <numFmt numFmtId="177" formatCode="[$-C0A]d\-mmm\-yy;@"/>
    <numFmt numFmtId="178" formatCode="[$-C0A]dd\-mmm\-yy;@"/>
  </numFmts>
  <fonts count="62" x14ac:knownFonts="1">
    <font>
      <sz val="11"/>
      <color rgb="FF000000"/>
      <name val="Calibri"/>
      <family val="2"/>
    </font>
    <font>
      <b/>
      <i/>
      <u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8"/>
      <color rgb="FF000000"/>
      <name val="Verdana"/>
      <family val="2"/>
    </font>
    <font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8"/>
      <color rgb="FFFF0000"/>
      <name val="Verdana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b/>
      <sz val="14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i/>
      <u/>
      <sz val="11"/>
      <color rgb="FF000000"/>
      <name val="Calibri"/>
      <family val="2"/>
    </font>
    <font>
      <sz val="16"/>
      <color rgb="FF000000"/>
      <name val="Verdana"/>
      <family val="2"/>
    </font>
    <font>
      <sz val="14"/>
      <color rgb="FF000000"/>
      <name val="Verdana"/>
      <family val="2"/>
    </font>
    <font>
      <sz val="10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rgb="FFFF0000"/>
      <name val="Calibri"/>
      <family val="2"/>
    </font>
    <font>
      <b/>
      <sz val="8"/>
      <color rgb="FFE26B0A"/>
      <name val="Verdana"/>
      <family val="2"/>
    </font>
    <font>
      <i/>
      <sz val="11"/>
      <color rgb="FF000000"/>
      <name val="Calibri"/>
      <family val="2"/>
    </font>
    <font>
      <b/>
      <u/>
      <sz val="11"/>
      <color rgb="FFFFFFFF"/>
      <name val="Arial"/>
      <family val="2"/>
    </font>
    <font>
      <b/>
      <u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7.5"/>
      <color rgb="FF000000"/>
      <name val="Arial"/>
      <family val="2"/>
    </font>
    <font>
      <i/>
      <sz val="8"/>
      <color rgb="FF000000"/>
      <name val="Arial"/>
      <family val="2"/>
    </font>
    <font>
      <b/>
      <sz val="16"/>
      <color rgb="FF000000"/>
      <name val="Calibri"/>
      <family val="2"/>
    </font>
    <font>
      <b/>
      <sz val="14"/>
      <color rgb="FFFFFFFF"/>
      <name val="Calibri"/>
      <family val="2"/>
    </font>
    <font>
      <b/>
      <sz val="14"/>
      <color rgb="FF00B050"/>
      <name val="Calibri"/>
      <family val="2"/>
    </font>
    <font>
      <b/>
      <sz val="12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b/>
      <u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FFFFFF"/>
      <name val="Verdana"/>
      <family val="2"/>
    </font>
    <font>
      <sz val="11"/>
      <color rgb="FF000000"/>
      <name val="Calibri"/>
      <family val="2"/>
    </font>
    <font>
      <b/>
      <sz val="9"/>
      <name val="Tahoma"/>
      <family val="2"/>
    </font>
    <font>
      <sz val="9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</font>
    <font>
      <sz val="16"/>
      <color rgb="FF000000"/>
      <name val="Calibri"/>
      <family val="2"/>
    </font>
    <font>
      <sz val="8"/>
      <name val="Verdana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FFFFFF"/>
      <name val="Arial"/>
      <family val="2"/>
    </font>
    <font>
      <b/>
      <i/>
      <sz val="12"/>
      <color rgb="FF00B050"/>
      <name val="Calibri"/>
      <family val="2"/>
    </font>
    <font>
      <b/>
      <i/>
      <sz val="12"/>
      <color rgb="FFFF0000"/>
      <name val="Calibri"/>
      <family val="2"/>
    </font>
    <font>
      <sz val="11"/>
      <color rgb="FF00B050"/>
      <name val="Calibri"/>
      <family val="2"/>
    </font>
    <font>
      <sz val="10"/>
      <name val="Arial"/>
      <family val="2"/>
    </font>
    <font>
      <sz val="8"/>
      <color rgb="FFFF0000"/>
      <name val="Verdana"/>
      <family val="2"/>
    </font>
  </fonts>
  <fills count="9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36609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FFFFDD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26B0A"/>
        <bgColor rgb="FFFFFFFF"/>
      </patternFill>
    </fill>
    <fill>
      <patternFill patternType="solid">
        <fgColor rgb="FF60497A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963634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3E3E3E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215967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76933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164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3" fillId="0" borderId="0"/>
    <xf numFmtId="44" fontId="43" fillId="0" borderId="0" applyFont="0" applyFill="0" applyBorder="0" applyAlignment="0" applyProtection="0"/>
  </cellStyleXfs>
  <cellXfs count="524">
    <xf numFmtId="0" fontId="0" fillId="0" borderId="0" xfId="0"/>
    <xf numFmtId="164" fontId="0" fillId="0" borderId="0" xfId="1" applyFont="1"/>
    <xf numFmtId="9" fontId="0" fillId="0" borderId="0" xfId="2" applyFont="1"/>
    <xf numFmtId="0" fontId="43" fillId="0" borderId="0" xfId="3"/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1" fontId="2" fillId="4" borderId="4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167" fontId="2" fillId="3" borderId="2" xfId="1" applyNumberFormat="1" applyFont="1" applyFill="1" applyBorder="1" applyAlignment="1">
      <alignment horizontal="right" vertical="center"/>
    </xf>
    <xf numFmtId="166" fontId="2" fillId="3" borderId="2" xfId="1" applyNumberFormat="1" applyFont="1" applyFill="1" applyBorder="1" applyAlignment="1">
      <alignment horizontal="right" vertical="center"/>
    </xf>
    <xf numFmtId="0" fontId="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right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0" fillId="0" borderId="3" xfId="0" applyBorder="1"/>
    <xf numFmtId="165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left" vertical="center"/>
    </xf>
    <xf numFmtId="167" fontId="6" fillId="0" borderId="3" xfId="1" applyNumberFormat="1" applyFont="1" applyBorder="1" applyAlignment="1">
      <alignment horizontal="center"/>
    </xf>
    <xf numFmtId="176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8" borderId="8" xfId="0" applyFont="1" applyFill="1" applyBorder="1" applyAlignment="1">
      <alignment horizontal="center" vertical="center"/>
    </xf>
    <xf numFmtId="2" fontId="0" fillId="0" borderId="0" xfId="0" applyNumberFormat="1"/>
    <xf numFmtId="166" fontId="7" fillId="9" borderId="9" xfId="1" applyNumberFormat="1" applyFont="1" applyFill="1" applyBorder="1"/>
    <xf numFmtId="165" fontId="0" fillId="0" borderId="0" xfId="0" applyNumberFormat="1" applyAlignment="1">
      <alignment horizontal="center"/>
    </xf>
    <xf numFmtId="0" fontId="8" fillId="0" borderId="3" xfId="0" applyFont="1" applyBorder="1" applyAlignment="1">
      <alignment horizontal="left" vertical="center"/>
    </xf>
    <xf numFmtId="0" fontId="9" fillId="10" borderId="10" xfId="0" applyFont="1" applyFill="1" applyBorder="1"/>
    <xf numFmtId="0" fontId="9" fillId="11" borderId="11" xfId="0" applyFont="1" applyFill="1" applyBorder="1" applyAlignment="1">
      <alignment horizontal="center"/>
    </xf>
    <xf numFmtId="0" fontId="9" fillId="12" borderId="12" xfId="0" applyFont="1" applyFill="1" applyBorder="1" applyAlignment="1">
      <alignment horizontal="center"/>
    </xf>
    <xf numFmtId="0" fontId="9" fillId="13" borderId="13" xfId="0" applyFont="1" applyFill="1" applyBorder="1"/>
    <xf numFmtId="0" fontId="9" fillId="12" borderId="12" xfId="0" applyFont="1" applyFill="1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15" borderId="15" xfId="0" applyFont="1" applyFill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6" fontId="0" fillId="0" borderId="0" xfId="0" applyNumberFormat="1"/>
    <xf numFmtId="169" fontId="0" fillId="0" borderId="0" xfId="4" applyNumberFormat="1" applyFont="1"/>
    <xf numFmtId="0" fontId="2" fillId="0" borderId="0" xfId="0" applyFont="1"/>
    <xf numFmtId="0" fontId="10" fillId="16" borderId="16" xfId="0" applyFont="1" applyFill="1" applyBorder="1" applyAlignment="1">
      <alignment horizontal="center"/>
    </xf>
    <xf numFmtId="0" fontId="11" fillId="17" borderId="1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168" fontId="12" fillId="0" borderId="3" xfId="0" applyNumberFormat="1" applyFont="1" applyBorder="1" applyAlignment="1">
      <alignment horizontal="center"/>
    </xf>
    <xf numFmtId="168" fontId="13" fillId="18" borderId="1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5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9" fontId="2" fillId="3" borderId="2" xfId="2" applyFont="1" applyFill="1" applyBorder="1" applyAlignment="1">
      <alignment horizontal="center" vertical="center"/>
    </xf>
    <xf numFmtId="170" fontId="0" fillId="0" borderId="0" xfId="2" applyNumberFormat="1" applyFont="1"/>
    <xf numFmtId="10" fontId="0" fillId="0" borderId="0" xfId="2" applyNumberFormat="1" applyFont="1"/>
    <xf numFmtId="168" fontId="0" fillId="0" borderId="0" xfId="0" applyNumberFormat="1"/>
    <xf numFmtId="166" fontId="0" fillId="0" borderId="0" xfId="1" applyNumberFormat="1" applyFont="1"/>
    <xf numFmtId="176" fontId="2" fillId="3" borderId="2" xfId="0" applyNumberFormat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0" fontId="3" fillId="19" borderId="19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167" fontId="0" fillId="0" borderId="0" xfId="1" applyNumberFormat="1" applyFont="1"/>
    <xf numFmtId="167" fontId="0" fillId="0" borderId="0" xfId="0" applyNumberFormat="1"/>
    <xf numFmtId="171" fontId="0" fillId="0" borderId="0" xfId="4" applyNumberFormat="1" applyFont="1"/>
    <xf numFmtId="0" fontId="14" fillId="0" borderId="0" xfId="0" applyFont="1"/>
    <xf numFmtId="0" fontId="6" fillId="0" borderId="0" xfId="0" applyFont="1"/>
    <xf numFmtId="2" fontId="7" fillId="0" borderId="0" xfId="0" applyNumberFormat="1" applyFont="1"/>
    <xf numFmtId="0" fontId="17" fillId="21" borderId="21" xfId="0" applyFont="1" applyFill="1" applyBorder="1" applyAlignment="1">
      <alignment horizontal="center" vertical="top" wrapText="1"/>
    </xf>
    <xf numFmtId="0" fontId="18" fillId="21" borderId="21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  <xf numFmtId="0" fontId="18" fillId="22" borderId="22" xfId="0" applyFont="1" applyFill="1" applyBorder="1" applyAlignment="1">
      <alignment horizontal="center" vertical="top" wrapText="1"/>
    </xf>
    <xf numFmtId="169" fontId="0" fillId="23" borderId="23" xfId="4" applyNumberFormat="1" applyFont="1" applyFill="1" applyBorder="1"/>
    <xf numFmtId="1" fontId="7" fillId="0" borderId="0" xfId="0" applyNumberFormat="1" applyFont="1"/>
    <xf numFmtId="0" fontId="0" fillId="24" borderId="24" xfId="0" applyFill="1" applyBorder="1"/>
    <xf numFmtId="0" fontId="0" fillId="25" borderId="25" xfId="0" applyFill="1" applyBorder="1"/>
    <xf numFmtId="0" fontId="0" fillId="18" borderId="18" xfId="0" applyFill="1" applyBorder="1"/>
    <xf numFmtId="0" fontId="7" fillId="24" borderId="24" xfId="0" applyFont="1" applyFill="1" applyBorder="1" applyAlignment="1">
      <alignment horizontal="center"/>
    </xf>
    <xf numFmtId="0" fontId="7" fillId="25" borderId="25" xfId="0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1" fontId="19" fillId="0" borderId="0" xfId="0" applyNumberFormat="1" applyFont="1"/>
    <xf numFmtId="2" fontId="7" fillId="0" borderId="3" xfId="0" applyNumberFormat="1" applyFont="1" applyBorder="1" applyAlignment="1">
      <alignment horizontal="center"/>
    </xf>
    <xf numFmtId="0" fontId="18" fillId="26" borderId="26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20" fillId="0" borderId="3" xfId="0" applyFont="1" applyBorder="1" applyAlignment="1">
      <alignment horizontal="left" vertical="center"/>
    </xf>
    <xf numFmtId="0" fontId="7" fillId="23" borderId="23" xfId="0" applyFont="1" applyFill="1" applyBorder="1"/>
    <xf numFmtId="0" fontId="21" fillId="0" borderId="0" xfId="0" applyFont="1" applyAlignment="1">
      <alignment horizontal="right"/>
    </xf>
    <xf numFmtId="0" fontId="7" fillId="23" borderId="23" xfId="0" applyFont="1" applyFill="1" applyBorder="1" applyAlignment="1">
      <alignment horizontal="center"/>
    </xf>
    <xf numFmtId="0" fontId="43" fillId="27" borderId="27" xfId="3" applyFill="1" applyBorder="1" applyAlignment="1">
      <alignment horizontal="right"/>
    </xf>
    <xf numFmtId="0" fontId="3" fillId="28" borderId="28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7" fillId="0" borderId="0" xfId="0" applyNumberFormat="1" applyFont="1" applyAlignment="1">
      <alignment horizontal="right"/>
    </xf>
    <xf numFmtId="0" fontId="7" fillId="29" borderId="29" xfId="0" applyFont="1" applyFill="1" applyBorder="1"/>
    <xf numFmtId="0" fontId="7" fillId="29" borderId="29" xfId="0" applyFont="1" applyFill="1" applyBorder="1" applyAlignment="1">
      <alignment horizontal="center"/>
    </xf>
    <xf numFmtId="165" fontId="11" fillId="0" borderId="0" xfId="0" applyNumberFormat="1" applyFont="1"/>
    <xf numFmtId="0" fontId="19" fillId="30" borderId="30" xfId="0" applyFont="1" applyFill="1" applyBorder="1"/>
    <xf numFmtId="0" fontId="19" fillId="30" borderId="30" xfId="0" applyFont="1" applyFill="1" applyBorder="1" applyAlignment="1">
      <alignment horizontal="center"/>
    </xf>
    <xf numFmtId="164" fontId="0" fillId="0" borderId="0" xfId="1" applyFont="1" applyAlignment="1">
      <alignment horizontal="center"/>
    </xf>
    <xf numFmtId="168" fontId="7" fillId="0" borderId="0" xfId="0" applyNumberFormat="1" applyFont="1" applyAlignment="1">
      <alignment horizontal="center"/>
    </xf>
    <xf numFmtId="9" fontId="3" fillId="5" borderId="5" xfId="0" applyNumberFormat="1" applyFont="1" applyFill="1" applyBorder="1" applyAlignment="1">
      <alignment horizontal="center" vertical="center"/>
    </xf>
    <xf numFmtId="9" fontId="3" fillId="31" borderId="31" xfId="0" applyNumberFormat="1" applyFont="1" applyFill="1" applyBorder="1" applyAlignment="1">
      <alignment horizontal="center" vertical="center"/>
    </xf>
    <xf numFmtId="0" fontId="3" fillId="31" borderId="31" xfId="0" applyFont="1" applyFill="1" applyBorder="1" applyAlignment="1">
      <alignment horizontal="center" vertical="center"/>
    </xf>
    <xf numFmtId="0" fontId="0" fillId="27" borderId="27" xfId="0" applyFill="1" applyBorder="1"/>
    <xf numFmtId="168" fontId="0" fillId="0" borderId="0" xfId="0" applyNumberFormat="1" applyAlignment="1">
      <alignment horizontal="center"/>
    </xf>
    <xf numFmtId="1" fontId="0" fillId="0" borderId="3" xfId="0" applyNumberFormat="1" applyBorder="1"/>
    <xf numFmtId="9" fontId="3" fillId="19" borderId="19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22" fillId="32" borderId="32" xfId="3" applyFont="1" applyFill="1" applyBorder="1"/>
    <xf numFmtId="0" fontId="22" fillId="32" borderId="32" xfId="3" applyFont="1" applyFill="1" applyBorder="1" applyAlignment="1">
      <alignment horizontal="center"/>
    </xf>
    <xf numFmtId="0" fontId="23" fillId="32" borderId="32" xfId="3" applyFont="1" applyFill="1" applyBorder="1" applyAlignment="1">
      <alignment horizontal="center"/>
    </xf>
    <xf numFmtId="0" fontId="23" fillId="32" borderId="32" xfId="3" applyFont="1" applyFill="1" applyBorder="1"/>
    <xf numFmtId="0" fontId="24" fillId="32" borderId="32" xfId="3" applyFont="1" applyFill="1" applyBorder="1" applyAlignment="1">
      <alignment horizontal="left"/>
    </xf>
    <xf numFmtId="0" fontId="24" fillId="32" borderId="32" xfId="3" applyFont="1" applyFill="1" applyBorder="1" applyAlignment="1">
      <alignment horizontal="center"/>
    </xf>
    <xf numFmtId="0" fontId="25" fillId="32" borderId="32" xfId="3" applyFont="1" applyFill="1" applyBorder="1" applyAlignment="1">
      <alignment horizontal="center"/>
    </xf>
    <xf numFmtId="0" fontId="24" fillId="33" borderId="33" xfId="3" applyFont="1" applyFill="1" applyBorder="1" applyAlignment="1">
      <alignment horizontal="center"/>
    </xf>
    <xf numFmtId="0" fontId="25" fillId="32" borderId="32" xfId="3" applyFont="1" applyFill="1" applyBorder="1" applyAlignment="1">
      <alignment horizontal="left"/>
    </xf>
    <xf numFmtId="0" fontId="26" fillId="0" borderId="0" xfId="3" applyFont="1"/>
    <xf numFmtId="1" fontId="26" fillId="0" borderId="0" xfId="3" applyNumberFormat="1" applyFont="1" applyAlignment="1">
      <alignment horizontal="right"/>
    </xf>
    <xf numFmtId="0" fontId="27" fillId="0" borderId="0" xfId="3" applyFont="1" applyAlignment="1">
      <alignment horizontal="center"/>
    </xf>
    <xf numFmtId="1" fontId="28" fillId="0" borderId="0" xfId="3" applyNumberFormat="1" applyFont="1" applyAlignment="1">
      <alignment horizontal="right"/>
    </xf>
    <xf numFmtId="176" fontId="26" fillId="0" borderId="0" xfId="3" applyNumberFormat="1" applyFont="1" applyAlignment="1">
      <alignment horizontal="center"/>
    </xf>
    <xf numFmtId="0" fontId="26" fillId="0" borderId="0" xfId="3" applyFont="1" applyAlignment="1">
      <alignment horizontal="center"/>
    </xf>
    <xf numFmtId="1" fontId="26" fillId="0" borderId="0" xfId="3" applyNumberFormat="1" applyFont="1" applyAlignment="1">
      <alignment horizontal="center"/>
    </xf>
    <xf numFmtId="0" fontId="29" fillId="30" borderId="30" xfId="3" applyFont="1" applyFill="1" applyBorder="1" applyAlignment="1">
      <alignment horizontal="center"/>
    </xf>
    <xf numFmtId="0" fontId="22" fillId="13" borderId="13" xfId="3" applyFont="1" applyFill="1" applyBorder="1"/>
    <xf numFmtId="0" fontId="22" fillId="13" borderId="13" xfId="3" applyFont="1" applyFill="1" applyBorder="1" applyAlignment="1">
      <alignment horizontal="center"/>
    </xf>
    <xf numFmtId="0" fontId="23" fillId="13" borderId="13" xfId="3" applyFont="1" applyFill="1" applyBorder="1" applyAlignment="1">
      <alignment horizontal="center"/>
    </xf>
    <xf numFmtId="0" fontId="23" fillId="13" borderId="13" xfId="3" applyFont="1" applyFill="1" applyBorder="1"/>
    <xf numFmtId="0" fontId="24" fillId="35" borderId="37" xfId="3" applyFont="1" applyFill="1" applyBorder="1"/>
    <xf numFmtId="0" fontId="24" fillId="35" borderId="37" xfId="3" applyFont="1" applyFill="1" applyBorder="1" applyAlignment="1">
      <alignment horizontal="center"/>
    </xf>
    <xf numFmtId="0" fontId="24" fillId="36" borderId="38" xfId="3" applyFont="1" applyFill="1" applyBorder="1" applyAlignment="1">
      <alignment horizontal="center"/>
    </xf>
    <xf numFmtId="0" fontId="25" fillId="36" borderId="38" xfId="3" applyFont="1" applyFill="1" applyBorder="1" applyAlignment="1">
      <alignment horizontal="center"/>
    </xf>
    <xf numFmtId="0" fontId="24" fillId="36" borderId="38" xfId="3" applyFont="1" applyFill="1" applyBorder="1"/>
    <xf numFmtId="0" fontId="25" fillId="37" borderId="39" xfId="3" applyFont="1" applyFill="1" applyBorder="1"/>
    <xf numFmtId="0" fontId="25" fillId="37" borderId="39" xfId="3" applyFont="1" applyFill="1" applyBorder="1" applyAlignment="1">
      <alignment horizontal="center"/>
    </xf>
    <xf numFmtId="0" fontId="24" fillId="13" borderId="13" xfId="3" applyFont="1" applyFill="1" applyBorder="1" applyAlignment="1">
      <alignment horizontal="left"/>
    </xf>
    <xf numFmtId="0" fontId="24" fillId="13" borderId="13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center"/>
    </xf>
    <xf numFmtId="0" fontId="24" fillId="38" borderId="40" xfId="3" applyFont="1" applyFill="1" applyBorder="1" applyAlignment="1">
      <alignment horizontal="center"/>
    </xf>
    <xf numFmtId="0" fontId="25" fillId="13" borderId="13" xfId="3" applyFont="1" applyFill="1" applyBorder="1" applyAlignment="1">
      <alignment horizontal="left"/>
    </xf>
    <xf numFmtId="1" fontId="26" fillId="0" borderId="0" xfId="3" applyNumberFormat="1" applyFont="1"/>
    <xf numFmtId="0" fontId="29" fillId="34" borderId="34" xfId="3" applyFont="1" applyFill="1" applyBorder="1" applyAlignment="1">
      <alignment horizontal="right"/>
    </xf>
    <xf numFmtId="0" fontId="29" fillId="0" borderId="0" xfId="3" applyFont="1" applyAlignment="1">
      <alignment horizontal="center"/>
    </xf>
    <xf numFmtId="0" fontId="22" fillId="39" borderId="42" xfId="3" applyFont="1" applyFill="1" applyBorder="1"/>
    <xf numFmtId="0" fontId="22" fillId="39" borderId="42" xfId="3" applyFont="1" applyFill="1" applyBorder="1" applyAlignment="1">
      <alignment horizontal="center"/>
    </xf>
    <xf numFmtId="0" fontId="23" fillId="39" borderId="42" xfId="3" applyFont="1" applyFill="1" applyBorder="1" applyAlignment="1">
      <alignment horizontal="center"/>
    </xf>
    <xf numFmtId="0" fontId="23" fillId="39" borderId="42" xfId="3" applyFont="1" applyFill="1" applyBorder="1"/>
    <xf numFmtId="0" fontId="24" fillId="40" borderId="43" xfId="3" applyFont="1" applyFill="1" applyBorder="1"/>
    <xf numFmtId="0" fontId="24" fillId="40" borderId="43" xfId="3" applyFont="1" applyFill="1" applyBorder="1" applyAlignment="1">
      <alignment horizontal="center"/>
    </xf>
    <xf numFmtId="0" fontId="24" fillId="41" borderId="44" xfId="3" applyFont="1" applyFill="1" applyBorder="1" applyAlignment="1">
      <alignment horizontal="center"/>
    </xf>
    <xf numFmtId="0" fontId="25" fillId="41" borderId="44" xfId="3" applyFont="1" applyFill="1" applyBorder="1" applyAlignment="1">
      <alignment horizontal="center"/>
    </xf>
    <xf numFmtId="0" fontId="24" fillId="41" borderId="44" xfId="3" applyFont="1" applyFill="1" applyBorder="1"/>
    <xf numFmtId="0" fontId="25" fillId="42" borderId="45" xfId="3" applyFont="1" applyFill="1" applyBorder="1"/>
    <xf numFmtId="0" fontId="25" fillId="42" borderId="45" xfId="3" applyFont="1" applyFill="1" applyBorder="1" applyAlignment="1">
      <alignment horizontal="center"/>
    </xf>
    <xf numFmtId="0" fontId="24" fillId="39" borderId="42" xfId="3" applyFont="1" applyFill="1" applyBorder="1" applyAlignment="1">
      <alignment horizontal="left"/>
    </xf>
    <xf numFmtId="0" fontId="24" fillId="39" borderId="42" xfId="3" applyFont="1" applyFill="1" applyBorder="1" applyAlignment="1">
      <alignment horizontal="center"/>
    </xf>
    <xf numFmtId="0" fontId="25" fillId="39" borderId="42" xfId="3" applyFont="1" applyFill="1" applyBorder="1" applyAlignment="1">
      <alignment horizontal="center"/>
    </xf>
    <xf numFmtId="0" fontId="24" fillId="43" borderId="46" xfId="3" applyFont="1" applyFill="1" applyBorder="1" applyAlignment="1">
      <alignment horizontal="center"/>
    </xf>
    <xf numFmtId="0" fontId="25" fillId="39" borderId="42" xfId="3" applyFont="1" applyFill="1" applyBorder="1" applyAlignment="1">
      <alignment horizontal="left"/>
    </xf>
    <xf numFmtId="0" fontId="24" fillId="44" borderId="47" xfId="3" applyFont="1" applyFill="1" applyBorder="1"/>
    <xf numFmtId="0" fontId="24" fillId="44" borderId="47" xfId="3" applyFont="1" applyFill="1" applyBorder="1" applyAlignment="1">
      <alignment horizontal="center"/>
    </xf>
    <xf numFmtId="0" fontId="24" fillId="45" borderId="48" xfId="3" applyFont="1" applyFill="1" applyBorder="1" applyAlignment="1">
      <alignment horizontal="center"/>
    </xf>
    <xf numFmtId="0" fontId="25" fillId="45" borderId="48" xfId="3" applyFont="1" applyFill="1" applyBorder="1" applyAlignment="1">
      <alignment horizontal="center"/>
    </xf>
    <xf numFmtId="0" fontId="24" fillId="45" borderId="48" xfId="3" applyFont="1" applyFill="1" applyBorder="1"/>
    <xf numFmtId="0" fontId="25" fillId="46" borderId="49" xfId="3" applyFont="1" applyFill="1" applyBorder="1"/>
    <xf numFmtId="0" fontId="25" fillId="46" borderId="49" xfId="3" applyFont="1" applyFill="1" applyBorder="1" applyAlignment="1">
      <alignment horizontal="center"/>
    </xf>
    <xf numFmtId="0" fontId="24" fillId="47" borderId="50" xfId="3" applyFont="1" applyFill="1" applyBorder="1" applyAlignment="1">
      <alignment horizontal="left"/>
    </xf>
    <xf numFmtId="0" fontId="24" fillId="47" borderId="50" xfId="3" applyFont="1" applyFill="1" applyBorder="1" applyAlignment="1">
      <alignment horizontal="center"/>
    </xf>
    <xf numFmtId="0" fontId="25" fillId="47" borderId="50" xfId="3" applyFont="1" applyFill="1" applyBorder="1" applyAlignment="1">
      <alignment horizontal="center"/>
    </xf>
    <xf numFmtId="0" fontId="24" fillId="48" borderId="52" xfId="3" applyFont="1" applyFill="1" applyBorder="1" applyAlignment="1">
      <alignment horizontal="center"/>
    </xf>
    <xf numFmtId="0" fontId="25" fillId="47" borderId="50" xfId="3" applyFont="1" applyFill="1" applyBorder="1" applyAlignment="1">
      <alignment horizontal="left"/>
    </xf>
    <xf numFmtId="0" fontId="29" fillId="0" borderId="0" xfId="3" applyFont="1"/>
    <xf numFmtId="0" fontId="6" fillId="0" borderId="0" xfId="3" applyFont="1"/>
    <xf numFmtId="0" fontId="6" fillId="0" borderId="0" xfId="3" applyFont="1" applyAlignment="1">
      <alignment horizontal="center"/>
    </xf>
    <xf numFmtId="0" fontId="27" fillId="0" borderId="3" xfId="3" applyFont="1" applyBorder="1"/>
    <xf numFmtId="176" fontId="27" fillId="0" borderId="3" xfId="3" applyNumberFormat="1" applyFont="1" applyBorder="1"/>
    <xf numFmtId="0" fontId="31" fillId="0" borderId="0" xfId="3" applyFont="1" applyAlignment="1">
      <alignment horizontal="center" wrapText="1"/>
    </xf>
    <xf numFmtId="0" fontId="29" fillId="0" borderId="0" xfId="3" applyFont="1" applyAlignment="1">
      <alignment horizontal="center" wrapText="1"/>
    </xf>
    <xf numFmtId="172" fontId="29" fillId="0" borderId="0" xfId="3" applyNumberFormat="1" applyFont="1"/>
    <xf numFmtId="0" fontId="32" fillId="0" borderId="0" xfId="3" applyFont="1"/>
    <xf numFmtId="0" fontId="0" fillId="0" borderId="55" xfId="0" applyBorder="1"/>
    <xf numFmtId="0" fontId="0" fillId="0" borderId="56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/>
    </xf>
    <xf numFmtId="0" fontId="43" fillId="4" borderId="4" xfId="3" applyFill="1" applyBorder="1" applyAlignment="1">
      <alignment horizontal="right"/>
    </xf>
    <xf numFmtId="0" fontId="7" fillId="58" borderId="59" xfId="0" applyFont="1" applyFill="1" applyBorder="1" applyAlignment="1">
      <alignment horizontal="right"/>
    </xf>
    <xf numFmtId="2" fontId="0" fillId="0" borderId="0" xfId="0" applyNumberFormat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1" fontId="7" fillId="0" borderId="0" xfId="0" applyNumberFormat="1" applyFont="1" applyAlignment="1">
      <alignment horizontal="center"/>
    </xf>
    <xf numFmtId="165" fontId="5" fillId="0" borderId="3" xfId="0" applyNumberFormat="1" applyFont="1" applyBorder="1"/>
    <xf numFmtId="0" fontId="37" fillId="59" borderId="60" xfId="0" applyFont="1" applyFill="1" applyBorder="1" applyAlignment="1">
      <alignment horizontal="center" wrapText="1"/>
    </xf>
    <xf numFmtId="0" fontId="0" fillId="60" borderId="61" xfId="0" applyFill="1" applyBorder="1"/>
    <xf numFmtId="0" fontId="38" fillId="61" borderId="62" xfId="0" applyFont="1" applyFill="1" applyBorder="1" applyAlignment="1">
      <alignment horizontal="center" wrapText="1"/>
    </xf>
    <xf numFmtId="0" fontId="39" fillId="0" borderId="0" xfId="0" applyFont="1" applyAlignment="1">
      <alignment horizontal="center" wrapText="1"/>
    </xf>
    <xf numFmtId="2" fontId="39" fillId="0" borderId="0" xfId="0" applyNumberFormat="1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53" xfId="0" applyBorder="1" applyAlignment="1">
      <alignment wrapText="1"/>
    </xf>
    <xf numFmtId="1" fontId="0" fillId="0" borderId="57" xfId="0" applyNumberFormat="1" applyBorder="1"/>
    <xf numFmtId="0" fontId="0" fillId="0" borderId="53" xfId="0" applyBorder="1"/>
    <xf numFmtId="0" fontId="39" fillId="62" borderId="63" xfId="0" applyFont="1" applyFill="1" applyBorder="1" applyAlignment="1">
      <alignment horizontal="center" wrapText="1"/>
    </xf>
    <xf numFmtId="0" fontId="38" fillId="62" borderId="63" xfId="0" applyFont="1" applyFill="1" applyBorder="1" applyAlignment="1">
      <alignment horizontal="center" wrapText="1"/>
    </xf>
    <xf numFmtId="1" fontId="0" fillId="63" borderId="64" xfId="0" applyNumberFormat="1" applyFill="1" applyBorder="1"/>
    <xf numFmtId="0" fontId="39" fillId="0" borderId="54" xfId="0" applyFont="1" applyBorder="1" applyAlignment="1">
      <alignment horizontal="center" wrapText="1"/>
    </xf>
    <xf numFmtId="175" fontId="0" fillId="0" borderId="3" xfId="4" applyNumberFormat="1" applyFont="1" applyBorder="1"/>
    <xf numFmtId="0" fontId="39" fillId="0" borderId="3" xfId="0" applyFont="1" applyBorder="1" applyAlignment="1">
      <alignment horizontal="center" wrapText="1"/>
    </xf>
    <xf numFmtId="175" fontId="0" fillId="0" borderId="53" xfId="4" applyNumberFormat="1" applyFont="1" applyBorder="1"/>
    <xf numFmtId="1" fontId="0" fillId="64" borderId="65" xfId="0" applyNumberFormat="1" applyFill="1" applyBorder="1"/>
    <xf numFmtId="0" fontId="39" fillId="65" borderId="66" xfId="0" applyFont="1" applyFill="1" applyBorder="1" applyAlignment="1">
      <alignment horizontal="center" wrapText="1"/>
    </xf>
    <xf numFmtId="0" fontId="39" fillId="66" borderId="67" xfId="0" applyFont="1" applyFill="1" applyBorder="1" applyAlignment="1">
      <alignment horizontal="center" wrapText="1"/>
    </xf>
    <xf numFmtId="1" fontId="0" fillId="67" borderId="68" xfId="0" applyNumberFormat="1" applyFill="1" applyBorder="1"/>
    <xf numFmtId="170" fontId="0" fillId="68" borderId="69" xfId="2" applyNumberFormat="1" applyFont="1" applyFill="1" applyBorder="1"/>
    <xf numFmtId="170" fontId="0" fillId="69" borderId="70" xfId="2" applyNumberFormat="1" applyFont="1" applyFill="1" applyBorder="1"/>
    <xf numFmtId="170" fontId="0" fillId="70" borderId="71" xfId="2" applyNumberFormat="1" applyFont="1" applyFill="1" applyBorder="1"/>
    <xf numFmtId="173" fontId="0" fillId="70" borderId="71" xfId="0" applyNumberFormat="1" applyFill="1" applyBorder="1" applyAlignment="1">
      <alignment wrapText="1"/>
    </xf>
    <xf numFmtId="173" fontId="0" fillId="70" borderId="71" xfId="0" applyNumberFormat="1" applyFill="1" applyBorder="1"/>
    <xf numFmtId="0" fontId="40" fillId="71" borderId="72" xfId="0" applyFont="1" applyFill="1" applyBorder="1" applyAlignment="1">
      <alignment horizontal="right"/>
    </xf>
    <xf numFmtId="173" fontId="7" fillId="72" borderId="73" xfId="0" applyNumberFormat="1" applyFont="1" applyFill="1" applyBorder="1"/>
    <xf numFmtId="0" fontId="7" fillId="73" borderId="74" xfId="0" applyFont="1" applyFill="1" applyBorder="1" applyAlignment="1">
      <alignment horizontal="center"/>
    </xf>
    <xf numFmtId="0" fontId="0" fillId="74" borderId="75" xfId="0" applyFill="1" applyBorder="1"/>
    <xf numFmtId="1" fontId="0" fillId="74" borderId="75" xfId="0" applyNumberFormat="1" applyFill="1" applyBorder="1"/>
    <xf numFmtId="0" fontId="0" fillId="71" borderId="72" xfId="0" applyFill="1" applyBorder="1" applyAlignment="1">
      <alignment horizontal="right"/>
    </xf>
    <xf numFmtId="1" fontId="0" fillId="71" borderId="72" xfId="0" applyNumberFormat="1" applyFill="1" applyBorder="1"/>
    <xf numFmtId="0" fontId="0" fillId="75" borderId="76" xfId="0" applyFill="1" applyBorder="1" applyAlignment="1">
      <alignment horizontal="right" wrapText="1"/>
    </xf>
    <xf numFmtId="174" fontId="0" fillId="75" borderId="76" xfId="0" applyNumberFormat="1" applyFill="1" applyBorder="1"/>
    <xf numFmtId="0" fontId="0" fillId="76" borderId="77" xfId="0" applyFill="1" applyBorder="1" applyAlignment="1">
      <alignment horizontal="right" wrapText="1"/>
    </xf>
    <xf numFmtId="174" fontId="0" fillId="76" borderId="77" xfId="0" applyNumberFormat="1" applyFill="1" applyBorder="1"/>
    <xf numFmtId="0" fontId="6" fillId="74" borderId="75" xfId="0" applyFont="1" applyFill="1" applyBorder="1" applyAlignment="1">
      <alignment horizontal="right" wrapText="1"/>
    </xf>
    <xf numFmtId="174" fontId="12" fillId="74" borderId="75" xfId="0" applyNumberFormat="1" applyFont="1" applyFill="1" applyBorder="1"/>
    <xf numFmtId="0" fontId="12" fillId="74" borderId="75" xfId="0" applyFont="1" applyFill="1" applyBorder="1" applyAlignment="1">
      <alignment horizontal="right" wrapText="1"/>
    </xf>
    <xf numFmtId="0" fontId="7" fillId="74" borderId="75" xfId="0" applyFont="1" applyFill="1" applyBorder="1"/>
    <xf numFmtId="1" fontId="7" fillId="74" borderId="75" xfId="0" applyNumberFormat="1" applyFont="1" applyFill="1" applyBorder="1"/>
    <xf numFmtId="0" fontId="7" fillId="57" borderId="58" xfId="0" applyFont="1" applyFill="1" applyBorder="1" applyAlignment="1">
      <alignment horizontal="center"/>
    </xf>
    <xf numFmtId="169" fontId="0" fillId="0" borderId="0" xfId="4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42" fillId="5" borderId="5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3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79" borderId="81" xfId="0" applyFill="1" applyBorder="1"/>
    <xf numFmtId="164" fontId="0" fillId="0" borderId="55" xfId="1" applyFont="1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56" xfId="0" applyNumberFormat="1" applyBorder="1"/>
    <xf numFmtId="0" fontId="9" fillId="80" borderId="82" xfId="0" applyFont="1" applyFill="1" applyBorder="1"/>
    <xf numFmtId="0" fontId="9" fillId="81" borderId="83" xfId="0" applyFont="1" applyFill="1" applyBorder="1"/>
    <xf numFmtId="0" fontId="9" fillId="81" borderId="83" xfId="0" applyFont="1" applyFill="1" applyBorder="1" applyAlignment="1">
      <alignment horizontal="center"/>
    </xf>
    <xf numFmtId="0" fontId="9" fillId="82" borderId="84" xfId="0" applyFont="1" applyFill="1" applyBorder="1" applyAlignment="1">
      <alignment horizontal="center"/>
    </xf>
    <xf numFmtId="0" fontId="9" fillId="83" borderId="85" xfId="0" applyFont="1" applyFill="1" applyBorder="1" applyAlignment="1">
      <alignment horizontal="center"/>
    </xf>
    <xf numFmtId="0" fontId="9" fillId="84" borderId="86" xfId="0" applyFont="1" applyFill="1" applyBorder="1" applyAlignment="1">
      <alignment horizontal="center"/>
    </xf>
    <xf numFmtId="0" fontId="9" fillId="85" borderId="87" xfId="0" applyFont="1" applyFill="1" applyBorder="1" applyAlignment="1">
      <alignment horizontal="center"/>
    </xf>
    <xf numFmtId="0" fontId="9" fillId="86" borderId="88" xfId="0" applyFont="1" applyFill="1" applyBorder="1" applyAlignment="1">
      <alignment horizontal="center"/>
    </xf>
    <xf numFmtId="0" fontId="9" fillId="87" borderId="89" xfId="0" applyFont="1" applyFill="1" applyBorder="1"/>
    <xf numFmtId="0" fontId="9" fillId="88" borderId="90" xfId="0" applyFont="1" applyFill="1" applyBorder="1"/>
    <xf numFmtId="0" fontId="9" fillId="89" borderId="91" xfId="0" applyFont="1" applyFill="1" applyBorder="1"/>
    <xf numFmtId="0" fontId="9" fillId="90" borderId="92" xfId="0" applyFont="1" applyFill="1" applyBorder="1"/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7" fillId="58" borderId="77" xfId="0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81" xfId="0" applyBorder="1"/>
    <xf numFmtId="0" fontId="0" fillId="0" borderId="78" xfId="0" applyBorder="1" applyAlignment="1">
      <alignment horizontal="center"/>
    </xf>
    <xf numFmtId="164" fontId="0" fillId="0" borderId="81" xfId="1" applyFont="1" applyBorder="1" applyAlignment="1">
      <alignment horizontal="center"/>
    </xf>
    <xf numFmtId="165" fontId="0" fillId="0" borderId="78" xfId="0" applyNumberFormat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2" fontId="0" fillId="0" borderId="78" xfId="0" applyNumberFormat="1" applyBorder="1"/>
    <xf numFmtId="0" fontId="0" fillId="0" borderId="78" xfId="0" applyBorder="1"/>
    <xf numFmtId="0" fontId="0" fillId="0" borderId="0" xfId="0" applyFill="1"/>
    <xf numFmtId="0" fontId="7" fillId="92" borderId="81" xfId="0" applyFont="1" applyFill="1" applyBorder="1"/>
    <xf numFmtId="177" fontId="0" fillId="0" borderId="0" xfId="0" applyNumberFormat="1"/>
    <xf numFmtId="0" fontId="0" fillId="0" borderId="77" xfId="0" applyBorder="1"/>
    <xf numFmtId="0" fontId="7" fillId="0" borderId="77" xfId="0" applyFont="1" applyBorder="1"/>
    <xf numFmtId="0" fontId="0" fillId="0" borderId="97" xfId="0" applyBorder="1"/>
    <xf numFmtId="0" fontId="0" fillId="0" borderId="98" xfId="0" applyBorder="1"/>
    <xf numFmtId="0" fontId="3" fillId="8" borderId="81" xfId="0" applyFont="1" applyFill="1" applyBorder="1" applyAlignment="1">
      <alignment horizontal="center" vertical="center"/>
    </xf>
    <xf numFmtId="0" fontId="3" fillId="8" borderId="93" xfId="0" applyFont="1" applyFill="1" applyBorder="1" applyAlignment="1">
      <alignment horizontal="center" vertical="center"/>
    </xf>
    <xf numFmtId="169" fontId="2" fillId="3" borderId="93" xfId="4" applyNumberFormat="1" applyFont="1" applyFill="1" applyBorder="1" applyAlignment="1">
      <alignment horizontal="center" vertical="center"/>
    </xf>
    <xf numFmtId="0" fontId="0" fillId="0" borderId="93" xfId="0" applyBorder="1"/>
    <xf numFmtId="169" fontId="0" fillId="0" borderId="93" xfId="4" applyNumberFormat="1" applyFont="1" applyBorder="1"/>
    <xf numFmtId="0" fontId="7" fillId="0" borderId="77" xfId="0" applyFont="1" applyBorder="1" applyAlignment="1">
      <alignment horizontal="center"/>
    </xf>
    <xf numFmtId="0" fontId="7" fillId="0" borderId="77" xfId="0" applyFont="1" applyBorder="1" applyAlignment="1">
      <alignment horizontal="right"/>
    </xf>
    <xf numFmtId="0" fontId="12" fillId="0" borderId="77" xfId="0" applyFont="1" applyBorder="1" applyAlignment="1">
      <alignment wrapText="1"/>
    </xf>
    <xf numFmtId="169" fontId="0" fillId="0" borderId="0" xfId="0" applyNumberFormat="1"/>
    <xf numFmtId="1" fontId="0" fillId="0" borderId="77" xfId="0" applyNumberFormat="1" applyBorder="1"/>
    <xf numFmtId="0" fontId="9" fillId="89" borderId="77" xfId="0" applyFont="1" applyFill="1" applyBorder="1"/>
    <xf numFmtId="2" fontId="0" fillId="0" borderId="77" xfId="0" applyNumberFormat="1" applyBorder="1" applyAlignment="1">
      <alignment horizontal="left" indent="2"/>
      <extLst>
        <ext uri="smNativeData">
          <pm:cellMargin xmlns:pm="smNativeData" id="1595604475" l="384" r="0" t="0" b="0" textRotation="0"/>
        </ext>
      </extLst>
    </xf>
    <xf numFmtId="0" fontId="9" fillId="89" borderId="95" xfId="0" applyFont="1" applyFill="1" applyBorder="1"/>
    <xf numFmtId="0" fontId="9" fillId="89" borderId="96" xfId="0" applyFont="1" applyFill="1" applyBorder="1"/>
    <xf numFmtId="0" fontId="7" fillId="0" borderId="98" xfId="0" applyFont="1" applyBorder="1"/>
    <xf numFmtId="0" fontId="7" fillId="0" borderId="100" xfId="0" applyFont="1" applyBorder="1"/>
    <xf numFmtId="0" fontId="7" fillId="0" borderId="101" xfId="0" applyFont="1" applyBorder="1"/>
    <xf numFmtId="1" fontId="0" fillId="0" borderId="98" xfId="0" applyNumberFormat="1" applyBorder="1"/>
    <xf numFmtId="1" fontId="0" fillId="0" borderId="100" xfId="0" applyNumberFormat="1" applyBorder="1"/>
    <xf numFmtId="1" fontId="0" fillId="0" borderId="101" xfId="0" applyNumberFormat="1" applyBorder="1"/>
    <xf numFmtId="0" fontId="9" fillId="89" borderId="94" xfId="0" applyFont="1" applyFill="1" applyBorder="1"/>
    <xf numFmtId="0" fontId="9" fillId="90" borderId="96" xfId="0" applyFont="1" applyFill="1" applyBorder="1"/>
    <xf numFmtId="0" fontId="0" fillId="0" borderId="97" xfId="0" applyFill="1" applyBorder="1"/>
    <xf numFmtId="0" fontId="0" fillId="0" borderId="99" xfId="0" applyBorder="1"/>
    <xf numFmtId="0" fontId="0" fillId="0" borderId="101" xfId="0" applyBorder="1"/>
    <xf numFmtId="0" fontId="43" fillId="91" borderId="4" xfId="3" applyFill="1" applyBorder="1" applyAlignment="1">
      <alignment horizontal="right"/>
    </xf>
    <xf numFmtId="0" fontId="12" fillId="0" borderId="77" xfId="0" applyFont="1" applyBorder="1"/>
    <xf numFmtId="14" fontId="12" fillId="0" borderId="77" xfId="0" applyNumberFormat="1" applyFont="1" applyBorder="1" applyAlignment="1">
      <alignment horizontal="center"/>
    </xf>
    <xf numFmtId="14" fontId="12" fillId="0" borderId="77" xfId="0" applyNumberFormat="1" applyFont="1" applyBorder="1" applyAlignment="1">
      <alignment wrapText="1"/>
    </xf>
    <xf numFmtId="0" fontId="12" fillId="0" borderId="77" xfId="0" applyFont="1" applyBorder="1" applyAlignment="1">
      <alignment horizontal="center"/>
    </xf>
    <xf numFmtId="0" fontId="12" fillId="0" borderId="77" xfId="0" applyFont="1" applyBorder="1" applyAlignment="1">
      <alignment horizontal="center" wrapText="1"/>
    </xf>
    <xf numFmtId="0" fontId="0" fillId="0" borderId="77" xfId="0" applyBorder="1" applyAlignment="1">
      <alignment horizontal="center"/>
    </xf>
    <xf numFmtId="0" fontId="49" fillId="0" borderId="77" xfId="0" applyFont="1" applyBorder="1"/>
    <xf numFmtId="0" fontId="49" fillId="0" borderId="0" xfId="0" applyFont="1"/>
    <xf numFmtId="169" fontId="0" fillId="0" borderId="77" xfId="4" applyNumberFormat="1" applyFont="1" applyBorder="1"/>
    <xf numFmtId="169" fontId="0" fillId="0" borderId="77" xfId="4" applyNumberFormat="1" applyFont="1" applyBorder="1" applyAlignment="1">
      <alignment horizontal="center"/>
    </xf>
    <xf numFmtId="0" fontId="36" fillId="0" borderId="77" xfId="0" applyFont="1" applyBorder="1"/>
    <xf numFmtId="169" fontId="36" fillId="0" borderId="77" xfId="0" applyNumberFormat="1" applyFont="1" applyBorder="1"/>
    <xf numFmtId="0" fontId="36" fillId="0" borderId="0" xfId="0" applyFont="1"/>
    <xf numFmtId="0" fontId="49" fillId="0" borderId="0" xfId="0" applyFont="1" applyAlignment="1">
      <alignment horizontal="right"/>
    </xf>
    <xf numFmtId="0" fontId="7" fillId="95" borderId="77" xfId="0" applyFont="1" applyFill="1" applyBorder="1" applyAlignment="1">
      <alignment horizontal="center"/>
    </xf>
    <xf numFmtId="0" fontId="10" fillId="0" borderId="97" xfId="0" applyFont="1" applyBorder="1"/>
    <xf numFmtId="169" fontId="10" fillId="0" borderId="77" xfId="0" applyNumberFormat="1" applyFont="1" applyBorder="1"/>
    <xf numFmtId="170" fontId="33" fillId="0" borderId="98" xfId="2" applyNumberFormat="1" applyFont="1" applyBorder="1"/>
    <xf numFmtId="0" fontId="49" fillId="0" borderId="97" xfId="0" applyFont="1" applyBorder="1" applyAlignment="1">
      <alignment horizontal="right"/>
    </xf>
    <xf numFmtId="169" fontId="49" fillId="0" borderId="77" xfId="4" applyNumberFormat="1" applyFont="1" applyBorder="1"/>
    <xf numFmtId="170" fontId="49" fillId="0" borderId="98" xfId="2" applyNumberFormat="1" applyFont="1" applyBorder="1"/>
    <xf numFmtId="173" fontId="0" fillId="0" borderId="77" xfId="0" applyNumberFormat="1" applyBorder="1"/>
    <xf numFmtId="0" fontId="10" fillId="0" borderId="97" xfId="0" applyFont="1" applyBorder="1" applyAlignment="1">
      <alignment horizontal="left"/>
    </xf>
    <xf numFmtId="169" fontId="0" fillId="0" borderId="77" xfId="0" applyNumberFormat="1" applyBorder="1"/>
    <xf numFmtId="173" fontId="49" fillId="0" borderId="77" xfId="0" applyNumberFormat="1" applyFont="1" applyBorder="1"/>
    <xf numFmtId="0" fontId="49" fillId="0" borderId="98" xfId="0" applyFont="1" applyBorder="1"/>
    <xf numFmtId="0" fontId="49" fillId="0" borderId="99" xfId="0" applyFont="1" applyBorder="1" applyAlignment="1">
      <alignment horizontal="right"/>
    </xf>
    <xf numFmtId="173" fontId="0" fillId="0" borderId="100" xfId="0" applyNumberFormat="1" applyBorder="1"/>
    <xf numFmtId="170" fontId="49" fillId="0" borderId="101" xfId="2" applyNumberFormat="1" applyFont="1" applyBorder="1"/>
    <xf numFmtId="0" fontId="10" fillId="0" borderId="77" xfId="0" applyFont="1" applyBorder="1"/>
    <xf numFmtId="0" fontId="49" fillId="0" borderId="77" xfId="0" applyFont="1" applyBorder="1" applyAlignment="1">
      <alignment horizontal="right"/>
    </xf>
    <xf numFmtId="0" fontId="10" fillId="0" borderId="77" xfId="0" applyFont="1" applyBorder="1" applyAlignment="1">
      <alignment horizontal="left"/>
    </xf>
    <xf numFmtId="0" fontId="33" fillId="92" borderId="102" xfId="0" applyFont="1" applyFill="1" applyBorder="1" applyAlignment="1">
      <alignment horizontal="left" wrapText="1"/>
    </xf>
    <xf numFmtId="169" fontId="33" fillId="94" borderId="103" xfId="0" applyNumberFormat="1" applyFont="1" applyFill="1" applyBorder="1"/>
    <xf numFmtId="170" fontId="33" fillId="94" borderId="104" xfId="2" applyNumberFormat="1" applyFont="1" applyFill="1" applyBorder="1"/>
    <xf numFmtId="0" fontId="52" fillId="0" borderId="104" xfId="0" applyFont="1" applyBorder="1"/>
    <xf numFmtId="0" fontId="33" fillId="93" borderId="103" xfId="0" applyFont="1" applyFill="1" applyBorder="1" applyAlignment="1">
      <alignment horizontal="left" wrapText="1"/>
    </xf>
    <xf numFmtId="169" fontId="33" fillId="95" borderId="103" xfId="0" applyNumberFormat="1" applyFont="1" applyFill="1" applyBorder="1"/>
    <xf numFmtId="170" fontId="33" fillId="95" borderId="104" xfId="2" applyNumberFormat="1" applyFont="1" applyFill="1" applyBorder="1"/>
    <xf numFmtId="0" fontId="7" fillId="91" borderId="77" xfId="0" applyFont="1" applyFill="1" applyBorder="1" applyAlignment="1">
      <alignment horizontal="left" wrapText="1"/>
    </xf>
    <xf numFmtId="0" fontId="18" fillId="26" borderId="77" xfId="0" applyFont="1" applyFill="1" applyBorder="1" applyAlignment="1">
      <alignment horizontal="center" vertical="top" wrapText="1"/>
    </xf>
    <xf numFmtId="0" fontId="53" fillId="3" borderId="2" xfId="0" applyFont="1" applyFill="1" applyBorder="1" applyAlignment="1">
      <alignment horizontal="right" vertical="center"/>
    </xf>
    <xf numFmtId="0" fontId="7" fillId="69" borderId="58" xfId="0" applyFont="1" applyFill="1" applyBorder="1" applyAlignment="1">
      <alignment horizontal="center"/>
    </xf>
    <xf numFmtId="0" fontId="26" fillId="0" borderId="0" xfId="3" applyFont="1" applyFill="1"/>
    <xf numFmtId="0" fontId="54" fillId="96" borderId="32" xfId="3" applyFont="1" applyFill="1" applyBorder="1" applyAlignment="1">
      <alignment horizontal="left"/>
    </xf>
    <xf numFmtId="0" fontId="54" fillId="96" borderId="33" xfId="3" applyFont="1" applyFill="1" applyBorder="1" applyAlignment="1">
      <alignment horizontal="left"/>
    </xf>
    <xf numFmtId="0" fontId="54" fillId="96" borderId="13" xfId="3" applyFont="1" applyFill="1" applyBorder="1" applyAlignment="1">
      <alignment horizontal="left"/>
    </xf>
    <xf numFmtId="0" fontId="54" fillId="96" borderId="40" xfId="3" applyFont="1" applyFill="1" applyBorder="1" applyAlignment="1">
      <alignment horizontal="left"/>
    </xf>
    <xf numFmtId="0" fontId="54" fillId="96" borderId="42" xfId="3" applyFont="1" applyFill="1" applyBorder="1" applyAlignment="1">
      <alignment horizontal="left"/>
    </xf>
    <xf numFmtId="0" fontId="54" fillId="96" borderId="46" xfId="3" applyFont="1" applyFill="1" applyBorder="1" applyAlignment="1">
      <alignment horizontal="left"/>
    </xf>
    <xf numFmtId="0" fontId="54" fillId="96" borderId="50" xfId="3" applyFont="1" applyFill="1" applyBorder="1" applyAlignment="1">
      <alignment horizontal="left"/>
    </xf>
    <xf numFmtId="0" fontId="54" fillId="96" borderId="51" xfId="3" applyFont="1" applyFill="1" applyBorder="1" applyAlignment="1">
      <alignment horizontal="left"/>
    </xf>
    <xf numFmtId="14" fontId="26" fillId="0" borderId="0" xfId="3" applyNumberFormat="1" applyFont="1" applyAlignment="1">
      <alignment horizontal="center"/>
    </xf>
    <xf numFmtId="2" fontId="55" fillId="0" borderId="36" xfId="3" applyNumberFormat="1" applyFont="1" applyFill="1" applyBorder="1" applyAlignment="1">
      <alignment horizontal="right"/>
    </xf>
    <xf numFmtId="2" fontId="55" fillId="0" borderId="35" xfId="3" applyNumberFormat="1" applyFont="1" applyFill="1" applyBorder="1" applyAlignment="1">
      <alignment horizontal="right"/>
    </xf>
    <xf numFmtId="2" fontId="55" fillId="0" borderId="41" xfId="3" applyNumberFormat="1" applyFont="1" applyFill="1" applyBorder="1" applyAlignment="1">
      <alignment horizontal="right"/>
    </xf>
    <xf numFmtId="0" fontId="56" fillId="39" borderId="42" xfId="3" applyFont="1" applyFill="1" applyBorder="1"/>
    <xf numFmtId="49" fontId="30" fillId="0" borderId="0" xfId="3" applyNumberFormat="1" applyFont="1" applyAlignment="1">
      <alignment horizontal="center"/>
    </xf>
    <xf numFmtId="2" fontId="55" fillId="0" borderId="0" xfId="3" applyNumberFormat="1" applyFont="1" applyFill="1"/>
    <xf numFmtId="2" fontId="55" fillId="0" borderId="35" xfId="3" applyNumberFormat="1" applyFont="1" applyFill="1" applyBorder="1" applyAlignment="1">
      <alignment horizontal="center"/>
    </xf>
    <xf numFmtId="2" fontId="55" fillId="0" borderId="0" xfId="3" applyNumberFormat="1" applyFont="1"/>
    <xf numFmtId="2" fontId="55" fillId="0" borderId="0" xfId="3" applyNumberFormat="1" applyFont="1" applyFill="1" applyAlignment="1">
      <alignment horizontal="center"/>
    </xf>
    <xf numFmtId="2" fontId="55" fillId="0" borderId="36" xfId="3" applyNumberFormat="1" applyFont="1" applyFill="1" applyBorder="1" applyAlignment="1">
      <alignment horizontal="center"/>
    </xf>
    <xf numFmtId="49" fontId="27" fillId="0" borderId="0" xfId="3" applyNumberFormat="1" applyFont="1" applyAlignment="1">
      <alignment horizontal="center"/>
    </xf>
    <xf numFmtId="49" fontId="7" fillId="0" borderId="0" xfId="3" applyNumberFormat="1" applyFont="1" applyAlignment="1">
      <alignment horizontal="center"/>
    </xf>
    <xf numFmtId="0" fontId="29" fillId="34" borderId="77" xfId="3" applyFont="1" applyFill="1" applyBorder="1" applyAlignment="1">
      <alignment horizontal="right"/>
    </xf>
    <xf numFmtId="2" fontId="55" fillId="0" borderId="77" xfId="3" applyNumberFormat="1" applyFont="1" applyFill="1" applyBorder="1" applyAlignment="1">
      <alignment horizontal="center"/>
    </xf>
    <xf numFmtId="2" fontId="55" fillId="0" borderId="77" xfId="3" applyNumberFormat="1" applyFont="1" applyFill="1" applyBorder="1" applyAlignment="1">
      <alignment horizontal="right"/>
    </xf>
    <xf numFmtId="0" fontId="29" fillId="30" borderId="77" xfId="3" applyFont="1" applyFill="1" applyBorder="1" applyAlignment="1">
      <alignment horizontal="center"/>
    </xf>
    <xf numFmtId="49" fontId="30" fillId="97" borderId="0" xfId="3" applyNumberFormat="1" applyFont="1" applyFill="1" applyAlignment="1">
      <alignment horizontal="center"/>
    </xf>
    <xf numFmtId="173" fontId="21" fillId="55" borderId="77" xfId="0" applyNumberFormat="1" applyFont="1" applyFill="1" applyBorder="1"/>
    <xf numFmtId="173" fontId="21" fillId="55" borderId="77" xfId="0" applyNumberFormat="1" applyFont="1" applyFill="1" applyBorder="1" applyAlignment="1">
      <alignment horizontal="center"/>
    </xf>
    <xf numFmtId="173" fontId="21" fillId="56" borderId="77" xfId="0" applyNumberFormat="1" applyFont="1" applyFill="1" applyBorder="1"/>
    <xf numFmtId="173" fontId="0" fillId="55" borderId="77" xfId="0" applyNumberFormat="1" applyFont="1" applyFill="1" applyBorder="1"/>
    <xf numFmtId="173" fontId="0" fillId="55" borderId="77" xfId="0" applyNumberFormat="1" applyFont="1" applyFill="1" applyBorder="1" applyAlignment="1">
      <alignment horizontal="center"/>
    </xf>
    <xf numFmtId="173" fontId="0" fillId="56" borderId="77" xfId="0" applyNumberFormat="1" applyFont="1" applyFill="1" applyBorder="1"/>
    <xf numFmtId="0" fontId="49" fillId="0" borderId="100" xfId="0" applyFont="1" applyBorder="1" applyAlignment="1">
      <alignment horizontal="right"/>
    </xf>
    <xf numFmtId="169" fontId="7" fillId="0" borderId="77" xfId="0" applyNumberFormat="1" applyFont="1" applyBorder="1" applyAlignment="1">
      <alignment horizontal="center"/>
    </xf>
    <xf numFmtId="173" fontId="0" fillId="0" borderId="0" xfId="0" applyNumberFormat="1"/>
    <xf numFmtId="0" fontId="7" fillId="23" borderId="23" xfId="0" applyFont="1" applyFill="1" applyBorder="1" applyAlignment="1">
      <alignment horizontal="center"/>
    </xf>
    <xf numFmtId="0" fontId="0" fillId="0" borderId="105" xfId="0" pivotButton="1" applyBorder="1"/>
    <xf numFmtId="0" fontId="0" fillId="0" borderId="107" xfId="0" applyBorder="1"/>
    <xf numFmtId="0" fontId="0" fillId="0" borderId="105" xfId="0" applyBorder="1" applyAlignment="1">
      <alignment horizontal="left"/>
    </xf>
    <xf numFmtId="0" fontId="0" fillId="0" borderId="107" xfId="0" applyNumberFormat="1" applyBorder="1"/>
    <xf numFmtId="0" fontId="0" fillId="0" borderId="106" xfId="0" applyBorder="1" applyAlignment="1">
      <alignment horizontal="left"/>
    </xf>
    <xf numFmtId="0" fontId="0" fillId="0" borderId="108" xfId="0" applyNumberFormat="1" applyBorder="1"/>
    <xf numFmtId="0" fontId="0" fillId="0" borderId="110" xfId="0" applyBorder="1" applyAlignment="1">
      <alignment horizontal="left"/>
    </xf>
    <xf numFmtId="0" fontId="0" fillId="0" borderId="109" xfId="0" applyNumberFormat="1" applyBorder="1"/>
    <xf numFmtId="0" fontId="0" fillId="0" borderId="59" xfId="0" applyFont="1" applyFill="1" applyBorder="1" applyAlignment="1">
      <alignment horizontal="center"/>
    </xf>
    <xf numFmtId="0" fontId="7" fillId="23" borderId="23" xfId="0" applyFont="1" applyFill="1" applyBorder="1" applyAlignment="1"/>
    <xf numFmtId="0" fontId="7" fillId="23" borderId="23" xfId="0" applyFont="1" applyFill="1" applyBorder="1" applyAlignment="1">
      <alignment horizontal="right"/>
    </xf>
    <xf numFmtId="0" fontId="0" fillId="97" borderId="59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59" fillId="0" borderId="0" xfId="0" quotePrefix="1" applyFont="1" applyAlignment="1">
      <alignment horizontal="center"/>
    </xf>
    <xf numFmtId="0" fontId="41" fillId="0" borderId="80" xfId="0" applyFont="1" applyBorder="1" applyAlignment="1">
      <alignment horizontal="center"/>
    </xf>
    <xf numFmtId="0" fontId="0" fillId="0" borderId="80" xfId="0" applyBorder="1" applyAlignment="1">
      <alignment horizontal="center"/>
    </xf>
    <xf numFmtId="165" fontId="5" fillId="0" borderId="80" xfId="0" applyNumberFormat="1" applyFont="1" applyBorder="1"/>
    <xf numFmtId="0" fontId="2" fillId="2" borderId="80" xfId="0" applyFont="1" applyFill="1" applyBorder="1" applyAlignment="1">
      <alignment horizontal="left" vertical="center"/>
    </xf>
    <xf numFmtId="1" fontId="2" fillId="2" borderId="80" xfId="0" applyNumberFormat="1" applyFont="1" applyFill="1" applyBorder="1" applyAlignment="1">
      <alignment horizontal="left" vertical="center"/>
    </xf>
    <xf numFmtId="0" fontId="2" fillId="3" borderId="80" xfId="0" applyFont="1" applyFill="1" applyBorder="1" applyAlignment="1">
      <alignment horizontal="center" vertical="center"/>
    </xf>
    <xf numFmtId="0" fontId="2" fillId="0" borderId="80" xfId="0" applyFont="1" applyBorder="1" applyAlignment="1">
      <alignment horizontal="left" vertical="center"/>
    </xf>
    <xf numFmtId="165" fontId="2" fillId="3" borderId="80" xfId="0" applyNumberFormat="1" applyFont="1" applyFill="1" applyBorder="1" applyAlignment="1">
      <alignment horizontal="left" vertical="center"/>
    </xf>
    <xf numFmtId="2" fontId="2" fillId="3" borderId="80" xfId="0" applyNumberFormat="1" applyFont="1" applyFill="1" applyBorder="1" applyAlignment="1">
      <alignment horizontal="left" vertical="center"/>
    </xf>
    <xf numFmtId="1" fontId="2" fillId="4" borderId="80" xfId="0" applyNumberFormat="1" applyFont="1" applyFill="1" applyBorder="1" applyAlignment="1">
      <alignment horizontal="left" vertical="center"/>
    </xf>
    <xf numFmtId="176" fontId="2" fillId="3" borderId="80" xfId="0" applyNumberFormat="1" applyFont="1" applyFill="1" applyBorder="1" applyAlignment="1">
      <alignment horizontal="center" vertical="center"/>
    </xf>
    <xf numFmtId="2" fontId="2" fillId="3" borderId="80" xfId="0" applyNumberFormat="1" applyFont="1" applyFill="1" applyBorder="1" applyAlignment="1">
      <alignment horizontal="center" vertical="center"/>
    </xf>
    <xf numFmtId="165" fontId="2" fillId="3" borderId="80" xfId="0" applyNumberFormat="1" applyFont="1" applyFill="1" applyBorder="1" applyAlignment="1">
      <alignment horizontal="center" vertical="center"/>
    </xf>
    <xf numFmtId="1" fontId="2" fillId="3" borderId="80" xfId="0" applyNumberFormat="1" applyFont="1" applyFill="1" applyBorder="1" applyAlignment="1">
      <alignment horizontal="center" vertical="center"/>
    </xf>
    <xf numFmtId="9" fontId="2" fillId="3" borderId="80" xfId="2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right" vertical="center"/>
    </xf>
    <xf numFmtId="167" fontId="2" fillId="3" borderId="80" xfId="1" applyNumberFormat="1" applyFont="1" applyFill="1" applyBorder="1" applyAlignment="1">
      <alignment horizontal="right" vertical="center"/>
    </xf>
    <xf numFmtId="2" fontId="2" fillId="2" borderId="80" xfId="0" applyNumberFormat="1" applyFont="1" applyFill="1" applyBorder="1" applyAlignment="1">
      <alignment horizontal="left" vertical="center"/>
    </xf>
    <xf numFmtId="166" fontId="2" fillId="3" borderId="80" xfId="1" applyNumberFormat="1" applyFont="1" applyFill="1" applyBorder="1" applyAlignment="1">
      <alignment horizontal="right" vertical="center"/>
    </xf>
    <xf numFmtId="0" fontId="43" fillId="4" borderId="80" xfId="3" applyFill="1" applyBorder="1" applyAlignment="1">
      <alignment horizontal="right"/>
    </xf>
    <xf numFmtId="0" fontId="60" fillId="92" borderId="34" xfId="3" applyFont="1" applyFill="1" applyBorder="1" applyAlignment="1">
      <alignment horizontal="right"/>
    </xf>
    <xf numFmtId="0" fontId="29" fillId="92" borderId="34" xfId="3" applyFont="1" applyFill="1" applyBorder="1" applyAlignment="1">
      <alignment horizontal="right"/>
    </xf>
    <xf numFmtId="2" fontId="54" fillId="0" borderId="0" xfId="3" applyNumberFormat="1" applyFont="1" applyFill="1"/>
    <xf numFmtId="2" fontId="54" fillId="0" borderId="36" xfId="3" applyNumberFormat="1" applyFont="1" applyFill="1" applyBorder="1" applyAlignment="1">
      <alignment horizontal="right"/>
    </xf>
    <xf numFmtId="2" fontId="54" fillId="0" borderId="35" xfId="3" applyNumberFormat="1" applyFont="1" applyFill="1" applyBorder="1" applyAlignment="1">
      <alignment horizontal="center"/>
    </xf>
    <xf numFmtId="2" fontId="54" fillId="0" borderId="35" xfId="3" applyNumberFormat="1" applyFont="1" applyFill="1" applyBorder="1" applyAlignment="1">
      <alignment horizontal="right"/>
    </xf>
    <xf numFmtId="2" fontId="54" fillId="0" borderId="41" xfId="3" applyNumberFormat="1" applyFont="1" applyFill="1" applyBorder="1" applyAlignment="1">
      <alignment horizontal="right"/>
    </xf>
    <xf numFmtId="2" fontId="54" fillId="0" borderId="36" xfId="3" applyNumberFormat="1" applyFont="1" applyFill="1" applyBorder="1" applyAlignment="1">
      <alignment horizontal="center"/>
    </xf>
    <xf numFmtId="2" fontId="54" fillId="0" borderId="0" xfId="3" applyNumberFormat="1" applyFont="1" applyFill="1" applyAlignment="1">
      <alignment horizontal="center"/>
    </xf>
    <xf numFmtId="2" fontId="54" fillId="0" borderId="77" xfId="3" applyNumberFormat="1" applyFont="1" applyFill="1" applyBorder="1" applyAlignment="1">
      <alignment horizontal="right"/>
    </xf>
    <xf numFmtId="2" fontId="54" fillId="0" borderId="77" xfId="3" applyNumberFormat="1" applyFont="1" applyFill="1" applyBorder="1" applyAlignment="1">
      <alignment horizontal="center"/>
    </xf>
    <xf numFmtId="0" fontId="29" fillId="92" borderId="77" xfId="3" applyFont="1" applyFill="1" applyBorder="1" applyAlignment="1">
      <alignment horizontal="right"/>
    </xf>
    <xf numFmtId="49" fontId="30" fillId="0" borderId="0" xfId="3" applyNumberFormat="1" applyFont="1" applyFill="1" applyAlignment="1">
      <alignment horizontal="center"/>
    </xf>
    <xf numFmtId="0" fontId="0" fillId="92" borderId="81" xfId="0" applyFill="1" applyBorder="1"/>
    <xf numFmtId="0" fontId="0" fillId="95" borderId="0" xfId="0" applyFill="1"/>
    <xf numFmtId="176" fontId="0" fillId="95" borderId="0" xfId="0" applyNumberFormat="1" applyFill="1"/>
    <xf numFmtId="1" fontId="0" fillId="95" borderId="0" xfId="0" applyNumberFormat="1" applyFill="1" applyAlignment="1">
      <alignment horizontal="center"/>
    </xf>
    <xf numFmtId="9" fontId="0" fillId="95" borderId="0" xfId="2" applyFont="1" applyFill="1" applyAlignment="1">
      <alignment horizontal="center"/>
    </xf>
    <xf numFmtId="164" fontId="0" fillId="95" borderId="0" xfId="1" applyFont="1" applyFill="1" applyAlignment="1">
      <alignment horizontal="center"/>
    </xf>
    <xf numFmtId="0" fontId="0" fillId="97" borderId="0" xfId="0" applyFill="1"/>
    <xf numFmtId="1" fontId="0" fillId="97" borderId="0" xfId="0" applyNumberFormat="1" applyFill="1"/>
    <xf numFmtId="0" fontId="0" fillId="97" borderId="0" xfId="0" applyFill="1" applyAlignment="1">
      <alignment horizontal="center"/>
    </xf>
    <xf numFmtId="176" fontId="0" fillId="97" borderId="0" xfId="0" applyNumberFormat="1" applyFill="1"/>
    <xf numFmtId="1" fontId="0" fillId="97" borderId="0" xfId="0" applyNumberFormat="1" applyFill="1" applyAlignment="1">
      <alignment horizontal="center"/>
    </xf>
    <xf numFmtId="9" fontId="0" fillId="97" borderId="0" xfId="2" applyFont="1" applyFill="1" applyAlignment="1">
      <alignment horizontal="center"/>
    </xf>
    <xf numFmtId="164" fontId="0" fillId="97" borderId="0" xfId="1" applyFont="1" applyFill="1" applyAlignment="1">
      <alignment horizontal="center"/>
    </xf>
    <xf numFmtId="0" fontId="0" fillId="0" borderId="77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4" fontId="0" fillId="0" borderId="77" xfId="0" applyNumberFormat="1" applyBorder="1"/>
    <xf numFmtId="0" fontId="0" fillId="0" borderId="77" xfId="0" applyBorder="1" applyAlignment="1">
      <alignment wrapText="1"/>
    </xf>
    <xf numFmtId="0" fontId="0" fillId="95" borderId="77" xfId="0" applyFill="1" applyBorder="1" applyAlignment="1">
      <alignment horizontal="right" wrapText="1"/>
    </xf>
    <xf numFmtId="0" fontId="0" fillId="94" borderId="77" xfId="0" applyFill="1" applyBorder="1" applyAlignment="1">
      <alignment horizontal="right" wrapText="1"/>
    </xf>
    <xf numFmtId="0" fontId="0" fillId="97" borderId="77" xfId="0" applyFill="1" applyBorder="1" applyAlignment="1">
      <alignment horizontal="right" wrapText="1"/>
    </xf>
    <xf numFmtId="0" fontId="36" fillId="97" borderId="77" xfId="0" applyFont="1" applyFill="1" applyBorder="1" applyAlignment="1">
      <alignment horizontal="right" wrapText="1"/>
    </xf>
    <xf numFmtId="14" fontId="0" fillId="95" borderId="0" xfId="0" applyNumberFormat="1" applyFill="1" applyAlignment="1">
      <alignment horizontal="right"/>
    </xf>
    <xf numFmtId="0" fontId="0" fillId="95" borderId="0" xfId="0" applyFill="1" applyAlignment="1">
      <alignment horizontal="right"/>
    </xf>
    <xf numFmtId="0" fontId="0" fillId="94" borderId="0" xfId="0" applyFill="1" applyAlignment="1">
      <alignment horizontal="right"/>
    </xf>
    <xf numFmtId="169" fontId="0" fillId="97" borderId="0" xfId="4" applyNumberFormat="1" applyFont="1" applyFill="1" applyAlignment="1">
      <alignment horizontal="right"/>
    </xf>
    <xf numFmtId="0" fontId="0" fillId="97" borderId="0" xfId="0" applyFill="1" applyAlignment="1">
      <alignment horizontal="right"/>
    </xf>
    <xf numFmtId="169" fontId="36" fillId="97" borderId="0" xfId="0" applyNumberFormat="1" applyFont="1" applyFill="1" applyAlignment="1">
      <alignment horizontal="right"/>
    </xf>
    <xf numFmtId="0" fontId="36" fillId="97" borderId="0" xfId="0" applyFont="1" applyFill="1" applyAlignment="1">
      <alignment horizontal="right"/>
    </xf>
    <xf numFmtId="0" fontId="7" fillId="94" borderId="0" xfId="0" applyFont="1" applyFill="1" applyAlignment="1">
      <alignment horizontal="right"/>
    </xf>
    <xf numFmtId="0" fontId="0" fillId="98" borderId="77" xfId="0" applyFill="1" applyBorder="1" applyAlignment="1">
      <alignment horizontal="right" wrapText="1"/>
    </xf>
    <xf numFmtId="169" fontId="0" fillId="98" borderId="0" xfId="4" applyNumberFormat="1" applyFont="1" applyFill="1" applyAlignment="1">
      <alignment horizontal="right"/>
    </xf>
    <xf numFmtId="169" fontId="0" fillId="98" borderId="0" xfId="0" applyNumberFormat="1" applyFill="1" applyAlignment="1">
      <alignment horizontal="right"/>
    </xf>
    <xf numFmtId="0" fontId="0" fillId="98" borderId="0" xfId="0" applyFill="1" applyAlignment="1">
      <alignment horizontal="right"/>
    </xf>
    <xf numFmtId="0" fontId="36" fillId="98" borderId="77" xfId="0" applyFont="1" applyFill="1" applyBorder="1" applyAlignment="1">
      <alignment horizontal="right" wrapText="1"/>
    </xf>
    <xf numFmtId="169" fontId="36" fillId="98" borderId="0" xfId="0" applyNumberFormat="1" applyFont="1" applyFill="1" applyAlignment="1">
      <alignment horizontal="right"/>
    </xf>
    <xf numFmtId="0" fontId="36" fillId="98" borderId="0" xfId="0" applyFont="1" applyFill="1" applyAlignment="1">
      <alignment horizontal="right"/>
    </xf>
    <xf numFmtId="169" fontId="7" fillId="98" borderId="0" xfId="0" applyNumberFormat="1" applyFont="1" applyFill="1" applyAlignment="1">
      <alignment horizontal="right"/>
    </xf>
    <xf numFmtId="0" fontId="7" fillId="98" borderId="0" xfId="0" applyFont="1" applyFill="1" applyAlignment="1">
      <alignment horizontal="right"/>
    </xf>
    <xf numFmtId="169" fontId="36" fillId="97" borderId="0" xfId="4" applyNumberFormat="1" applyFont="1" applyFill="1" applyAlignment="1">
      <alignment horizontal="right"/>
    </xf>
    <xf numFmtId="0" fontId="0" fillId="91" borderId="81" xfId="0" applyFill="1" applyBorder="1"/>
    <xf numFmtId="167" fontId="6" fillId="0" borderId="80" xfId="1" applyNumberFormat="1" applyFont="1" applyBorder="1" applyAlignment="1">
      <alignment horizontal="center"/>
    </xf>
    <xf numFmtId="0" fontId="43" fillId="91" borderId="80" xfId="3" applyFill="1" applyBorder="1" applyAlignment="1">
      <alignment horizontal="right"/>
    </xf>
    <xf numFmtId="0" fontId="61" fillId="3" borderId="2" xfId="0" applyFont="1" applyFill="1" applyBorder="1" applyAlignment="1">
      <alignment horizontal="right" vertical="center"/>
    </xf>
    <xf numFmtId="178" fontId="0" fillId="0" borderId="0" xfId="0" applyNumberFormat="1"/>
    <xf numFmtId="0" fontId="7" fillId="49" borderId="77" xfId="0" applyFont="1" applyFill="1" applyBorder="1" applyAlignment="1">
      <alignment horizontal="center" wrapText="1"/>
    </xf>
    <xf numFmtId="1" fontId="7" fillId="50" borderId="77" xfId="0" applyNumberFormat="1" applyFont="1" applyFill="1" applyBorder="1" applyAlignment="1">
      <alignment horizontal="center" wrapText="1"/>
    </xf>
    <xf numFmtId="0" fontId="48" fillId="51" borderId="77" xfId="0" applyFont="1" applyFill="1" applyBorder="1" applyAlignment="1">
      <alignment horizontal="left"/>
    </xf>
    <xf numFmtId="173" fontId="34" fillId="51" borderId="77" xfId="0" applyNumberFormat="1" applyFont="1" applyFill="1" applyBorder="1" applyAlignment="1">
      <alignment horizontal="center"/>
    </xf>
    <xf numFmtId="173" fontId="48" fillId="52" borderId="77" xfId="0" applyNumberFormat="1" applyFont="1" applyFill="1" applyBorder="1"/>
    <xf numFmtId="0" fontId="48" fillId="53" borderId="77" xfId="0" applyFont="1" applyFill="1" applyBorder="1" applyAlignment="1">
      <alignment horizontal="left"/>
    </xf>
    <xf numFmtId="173" fontId="34" fillId="53" borderId="77" xfId="0" applyNumberFormat="1" applyFont="1" applyFill="1" applyBorder="1" applyAlignment="1">
      <alignment horizontal="center"/>
    </xf>
    <xf numFmtId="173" fontId="48" fillId="54" borderId="77" xfId="0" applyNumberFormat="1" applyFont="1" applyFill="1" applyBorder="1"/>
    <xf numFmtId="173" fontId="10" fillId="91" borderId="77" xfId="0" applyNumberFormat="1" applyFont="1" applyFill="1" applyBorder="1" applyAlignment="1">
      <alignment horizontal="center"/>
    </xf>
    <xf numFmtId="0" fontId="50" fillId="91" borderId="77" xfId="0" applyFont="1" applyFill="1" applyBorder="1" applyAlignment="1">
      <alignment horizontal="left"/>
    </xf>
    <xf numFmtId="0" fontId="50" fillId="91" borderId="77" xfId="0" applyFont="1" applyFill="1" applyBorder="1" applyAlignment="1">
      <alignment horizontal="left" wrapText="1"/>
    </xf>
    <xf numFmtId="173" fontId="35" fillId="91" borderId="77" xfId="0" applyNumberFormat="1" applyFont="1" applyFill="1" applyBorder="1" applyAlignment="1">
      <alignment horizontal="center"/>
    </xf>
    <xf numFmtId="173" fontId="50" fillId="55" borderId="77" xfId="0" applyNumberFormat="1" applyFont="1" applyFill="1" applyBorder="1"/>
    <xf numFmtId="173" fontId="57" fillId="55" borderId="77" xfId="0" applyNumberFormat="1" applyFont="1" applyFill="1" applyBorder="1"/>
    <xf numFmtId="0" fontId="7" fillId="93" borderId="77" xfId="0" applyFont="1" applyFill="1" applyBorder="1" applyAlignment="1">
      <alignment horizontal="left" wrapText="1"/>
    </xf>
    <xf numFmtId="173" fontId="10" fillId="93" borderId="77" xfId="0" applyNumberFormat="1" applyFont="1" applyFill="1" applyBorder="1" applyAlignment="1">
      <alignment horizontal="center"/>
    </xf>
    <xf numFmtId="0" fontId="51" fillId="93" borderId="77" xfId="0" applyFont="1" applyFill="1" applyBorder="1" applyAlignment="1">
      <alignment horizontal="left" wrapText="1"/>
    </xf>
    <xf numFmtId="0" fontId="51" fillId="93" borderId="77" xfId="0" applyFont="1" applyFill="1" applyBorder="1" applyAlignment="1">
      <alignment horizontal="left"/>
    </xf>
    <xf numFmtId="173" fontId="11" fillId="93" borderId="77" xfId="0" applyNumberFormat="1" applyFont="1" applyFill="1" applyBorder="1" applyAlignment="1">
      <alignment horizontal="center"/>
    </xf>
    <xf numFmtId="173" fontId="51" fillId="56" borderId="77" xfId="0" applyNumberFormat="1" applyFont="1" applyFill="1" applyBorder="1"/>
    <xf numFmtId="173" fontId="58" fillId="56" borderId="77" xfId="0" applyNumberFormat="1" applyFont="1" applyFill="1" applyBorder="1"/>
    <xf numFmtId="0" fontId="48" fillId="54" borderId="77" xfId="0" applyFont="1" applyFill="1" applyBorder="1" applyAlignment="1">
      <alignment horizontal="left"/>
    </xf>
    <xf numFmtId="173" fontId="34" fillId="54" borderId="77" xfId="0" applyNumberFormat="1" applyFont="1" applyFill="1" applyBorder="1" applyAlignment="1">
      <alignment horizontal="center"/>
    </xf>
    <xf numFmtId="0" fontId="49" fillId="0" borderId="97" xfId="0" applyFont="1" applyFill="1" applyBorder="1" applyAlignment="1">
      <alignment horizontal="right"/>
    </xf>
    <xf numFmtId="0" fontId="0" fillId="97" borderId="77" xfId="0" applyFill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49" fillId="0" borderId="77" xfId="0" applyFont="1" applyFill="1" applyBorder="1" applyAlignment="1">
      <alignment horizontal="right"/>
    </xf>
    <xf numFmtId="0" fontId="0" fillId="0" borderId="77" xfId="0" applyFill="1" applyBorder="1" applyAlignment="1">
      <alignment horizontal="right"/>
    </xf>
    <xf numFmtId="169" fontId="49" fillId="0" borderId="0" xfId="0" applyNumberFormat="1" applyFont="1"/>
    <xf numFmtId="0" fontId="7" fillId="50" borderId="77" xfId="0" applyFont="1" applyFill="1" applyBorder="1" applyAlignment="1">
      <alignment horizontal="center" wrapText="1"/>
    </xf>
    <xf numFmtId="44" fontId="0" fillId="0" borderId="0" xfId="4" applyFont="1"/>
    <xf numFmtId="0" fontId="49" fillId="0" borderId="0" xfId="0" applyFont="1" applyAlignment="1">
      <alignment wrapText="1"/>
    </xf>
    <xf numFmtId="0" fontId="7" fillId="97" borderId="77" xfId="0" applyFont="1" applyFill="1" applyBorder="1" applyAlignment="1">
      <alignment horizontal="left" wrapText="1"/>
    </xf>
    <xf numFmtId="0" fontId="7" fillId="95" borderId="77" xfId="0" applyFont="1" applyFill="1" applyBorder="1" applyAlignment="1">
      <alignment horizontal="left"/>
    </xf>
    <xf numFmtId="0" fontId="7" fillId="23" borderId="23" xfId="0" applyFont="1" applyFill="1" applyBorder="1" applyAlignment="1">
      <alignment horizontal="center"/>
    </xf>
    <xf numFmtId="0" fontId="29" fillId="0" borderId="0" xfId="3" applyFont="1" applyAlignment="1">
      <alignment horizontal="left"/>
    </xf>
    <xf numFmtId="0" fontId="7" fillId="91" borderId="77" xfId="0" applyFont="1" applyFill="1" applyBorder="1" applyAlignment="1">
      <alignment horizontal="left" vertical="top" wrapText="1"/>
    </xf>
    <xf numFmtId="0" fontId="7" fillId="93" borderId="77" xfId="0" applyFont="1" applyFill="1" applyBorder="1" applyAlignment="1">
      <alignment horizontal="left" vertical="top" wrapText="1"/>
    </xf>
    <xf numFmtId="0" fontId="0" fillId="69" borderId="70" xfId="0" applyFill="1" applyBorder="1" applyAlignment="1">
      <alignment horizontal="center"/>
    </xf>
    <xf numFmtId="0" fontId="0" fillId="77" borderId="79" xfId="0" applyFill="1" applyBorder="1" applyAlignment="1">
      <alignment horizontal="center"/>
    </xf>
    <xf numFmtId="0" fontId="0" fillId="78" borderId="80" xfId="0" applyFill="1" applyBorder="1" applyAlignment="1">
      <alignment horizontal="center"/>
    </xf>
    <xf numFmtId="0" fontId="15" fillId="21" borderId="21" xfId="0" applyFont="1" applyFill="1" applyBorder="1" applyAlignment="1">
      <alignment horizontal="center" vertical="top" wrapText="1"/>
    </xf>
    <xf numFmtId="0" fontId="16" fillId="22" borderId="22" xfId="0" applyFont="1" applyFill="1" applyBorder="1" applyAlignment="1">
      <alignment horizontal="center" vertical="top" wrapText="1"/>
    </xf>
    <xf numFmtId="0" fontId="17" fillId="22" borderId="22" xfId="0" applyFont="1" applyFill="1" applyBorder="1" applyAlignment="1">
      <alignment horizontal="center" vertical="top" wrapText="1"/>
    </xf>
  </cellXfs>
  <cellStyles count="5">
    <cellStyle name="Excel Built-in Normal" xfId="3" xr:uid="{00000000-0005-0000-0000-000003000000}"/>
    <cellStyle name="Millares" xfId="1" builtinId="3" customBuiltin="1"/>
    <cellStyle name="Moneda" xfId="4" builtinId="4" customBuiltin="1"/>
    <cellStyle name="Normal" xfId="0" builtinId="0" customBuiltin="1"/>
    <cellStyle name="Porcentaje" xfId="2" builtinId="5" customBuiltin="1"/>
  </cellStyles>
  <dxfs count="5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604475" count="1">
        <pm:charStyle name="Normal" fontId="0" Id="1"/>
      </pm:charStyles>
      <pm:colors xmlns:pm="smNativeData" id="1595604475" count="70">
        <pm:color name="Color 24" rgb="E26B0A"/>
        <pm:color name="Color 25" rgb="00B050"/>
        <pm:color name="Color 26" rgb="535353"/>
        <pm:color name="Color 27" rgb="548235"/>
        <pm:color name="Color 28" rgb="385724"/>
        <pm:color name="Color 29" rgb="EEEEEE"/>
        <pm:color name="Color 30" rgb="DAEEF3"/>
        <pm:color name="Color 31" rgb="366092"/>
        <pm:color name="Color 32" rgb="B7DEE8"/>
        <pm:color name="Color 33" rgb="FABF8F"/>
        <pm:color name="Color 34" rgb="FFC000"/>
        <pm:color name="Color 35" rgb="0070C0"/>
        <pm:color name="Color 36" rgb="002060"/>
        <pm:color name="Color 37" rgb="7030A0"/>
        <pm:color name="Color 38" rgb="76933C"/>
        <pm:color name="Color 39" rgb="D8D8D8"/>
        <pm:color name="Color 40" rgb="963634"/>
        <pm:color name="Color 41" rgb="F2F2F2"/>
        <pm:color name="Color 42" rgb="FFFFDD"/>
        <pm:color name="Color 43" rgb="C2D69A"/>
        <pm:color name="Color 44" rgb="B8CCE4"/>
        <pm:color name="Color 45" rgb="EBF1DC"/>
        <pm:color name="Color 46" rgb="FDE9D9"/>
        <pm:color name="Color 47" rgb="60497A"/>
        <pm:color name="Color 48" rgb="B1A0C7"/>
        <pm:color name="Color 49" rgb="969696"/>
        <pm:color name="Lima" rgb="99CC00"/>
        <pm:color name="Magenta claro" rgb="FF99CC"/>
        <pm:color name="Lavanda" rgb="CC99FF"/>
        <pm:color name="Cian claro" rgb="CCFFFF"/>
        <pm:color name="Color 54" rgb="C5D9F1"/>
        <pm:color name="Color 55" rgb="DA9694"/>
        <pm:color name="Color 56" rgb="585858"/>
        <pm:color name="Color 57" rgb="3E3E3E"/>
        <pm:color name="Color 58" rgb="F2DCDB"/>
        <pm:color name="Color 59" rgb="FFEB9C"/>
        <pm:color name="Color 60" rgb="FFE699"/>
        <pm:color name="Color 61" rgb="92D050"/>
        <pm:color name="Color 62" rgb="215967"/>
        <pm:color name="Color 63" rgb="000080"/>
        <pm:color name="Color 64" rgb="DAE3F3"/>
        <pm:color name="Color 65" rgb="DBDBDB"/>
        <pm:color name="Color 66" rgb="D9D9D9"/>
        <pm:color name="Color 67" rgb="D7E3BB"/>
        <pm:color name="Color 68" rgb="B4C7E7"/>
        <pm:color name="Color 69" rgb="F8CBAD"/>
        <pm:color name="Color 70" rgb="FFC7CE"/>
        <pm:color name="Color 71" rgb="E4DFEC"/>
        <pm:color name="Color 72" rgb="BDD7EE"/>
        <pm:color name="Color 73" rgb="D0CECE"/>
        <pm:color name="Color 74" rgb="A9D18E"/>
        <pm:color name="Color 75" rgb="AFABAB"/>
        <pm:color name="Color 76" rgb="ADB9CA"/>
        <pm:color name="Color 77" rgb="BFBFBF"/>
        <pm:color name="Color 78" rgb="FFFFCC"/>
        <pm:color name="Color 79" rgb="639A3F"/>
        <pm:color name="Color 80" rgb="E3AB00"/>
        <pm:color name="Color 81" rgb="C9C9C9"/>
        <pm:color name="Color 82" rgb="006100"/>
        <pm:color name="Color 83" rgb="C6EFCE"/>
        <pm:color name="Color 84" rgb="9C0006"/>
        <pm:color name="Color 85" rgb="9C6500"/>
        <pm:color name="Color 86" rgb="008000"/>
        <pm:color name="Verde claro" rgb="CCFFCC"/>
        <pm:color name="Color 88" rgb="800000"/>
        <pm:color name="Amarillo claro" rgb="FFFF99"/>
        <pm:color name="Color 90" rgb="E6B8B7"/>
        <pm:color name="Color 91" rgb="4F81BD"/>
        <pm:color name="Color 92" rgb="95B3D7"/>
        <pm:color name="Color 93" rgb="DCE6F1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4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r>
              <a:rPr lang="es-ES"/>
              <a:t>% Conversión</a:t>
            </a:r>
          </a:p>
        </c:rich>
      </c:tx>
      <c:overlay val="0"/>
      <c:spPr>
        <a:noFill/>
        <a:ln w="952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57150">
              <a:solidFill>
                <a:srgbClr val="4F81BD"/>
              </a:solidFill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EstudioConversion!$J$2:$J$13</c:f>
              <c:strCache>
                <c:ptCount val="12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Total general</c:v>
                </c:pt>
              </c:strCache>
            </c:strRef>
          </c:cat>
          <c:val>
            <c:numRef>
              <c:f>EstudioConversion!$N$2:$N$12</c:f>
              <c:numCache>
                <c:formatCode>0.0%</c:formatCode>
                <c:ptCount val="11"/>
                <c:pt idx="0">
                  <c:v>0.2857142857142857</c:v>
                </c:pt>
                <c:pt idx="1">
                  <c:v>0.33333333333333331</c:v>
                </c:pt>
                <c:pt idx="2">
                  <c:v>0.40476190476190477</c:v>
                </c:pt>
                <c:pt idx="3">
                  <c:v>0.37623762376237624</c:v>
                </c:pt>
                <c:pt idx="4">
                  <c:v>0.34965034965034963</c:v>
                </c:pt>
                <c:pt idx="5">
                  <c:v>0.41632653061224489</c:v>
                </c:pt>
                <c:pt idx="6">
                  <c:v>0.40384615384615385</c:v>
                </c:pt>
                <c:pt idx="7">
                  <c:v>0.43315508021390375</c:v>
                </c:pt>
                <c:pt idx="8">
                  <c:v>0.39130434782608697</c:v>
                </c:pt>
                <c:pt idx="9">
                  <c:v>0.45673076923076922</c:v>
                </c:pt>
                <c:pt idx="10">
                  <c:v>0.48837209302325579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lineChart>
        <c:grouping val="standard"/>
        <c:varyColors val="0"/>
        <c:ser>
          <c:idx val="1"/>
          <c:order val="1"/>
          <c:tx>
            <c:v>Ocasiones Falladas</c:v>
          </c:tx>
          <c:marker>
            <c:symbol val="none"/>
          </c:marker>
          <c:val>
            <c:numRef>
              <c:f>EstudioConversion!$L$2:$L$12</c:f>
              <c:numCache>
                <c:formatCode>General</c:formatCode>
                <c:ptCount val="11"/>
                <c:pt idx="0">
                  <c:v>7</c:v>
                </c:pt>
                <c:pt idx="1">
                  <c:v>24</c:v>
                </c:pt>
                <c:pt idx="2">
                  <c:v>126</c:v>
                </c:pt>
                <c:pt idx="3">
                  <c:v>101</c:v>
                </c:pt>
                <c:pt idx="4">
                  <c:v>143</c:v>
                </c:pt>
                <c:pt idx="5">
                  <c:v>245</c:v>
                </c:pt>
                <c:pt idx="6">
                  <c:v>104</c:v>
                </c:pt>
                <c:pt idx="7">
                  <c:v>187</c:v>
                </c:pt>
                <c:pt idx="8">
                  <c:v>92</c:v>
                </c:pt>
                <c:pt idx="9">
                  <c:v>208</c:v>
                </c:pt>
                <c:pt idx="10">
                  <c:v>129</c:v>
                </c:pt>
              </c:numCache>
            </c:numRef>
          </c:val>
          <c:smooth val="0"/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B14C-48C0-95F4-BFD72B0D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"/>
        <c:axId val="20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4800000" anchor="ctr" anchorCtr="1"/>
          <a:lstStyle/>
          <a:p>
            <a:pPr>
              <a:defRPr lang="es-e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s-ES"/>
          </a:p>
        </c:txPr>
        <c:crossAx val="10"/>
        <c:crosses val="autoZero"/>
        <c:crossBetween val="between"/>
      </c:valAx>
      <c:valAx>
        <c:axId val="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"/>
        <c:crosses val="max"/>
        <c:crossBetween val="between"/>
      </c:valAx>
      <c:catAx>
        <c:axId val="2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0"/>
        <c:crosses val="autoZero"/>
        <c:auto val="1"/>
        <c:lblAlgn val="l"/>
        <c:lblOffset val="100"/>
        <c:noMultiLvlLbl val="0"/>
      </c:cat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604475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2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353272</xdr:colOff>
      <xdr:row>17</xdr:row>
      <xdr:rowOff>152873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B6AEDC8-DD05-4307-96E2-403B61A32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68272" cy="33913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8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7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6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4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3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512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1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5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50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6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3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1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50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8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9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94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9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2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1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8890</xdr:colOff>
      <xdr:row>1</xdr:row>
      <xdr:rowOff>9525</xdr:rowOff>
    </xdr:to>
    <xdr:pic>
      <xdr:nvPicPr>
        <xdr:cNvPr id="349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EAAAAAAAAAAAAAAAEAAAAAAAAAMQAHAAAAAAA6A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8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7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8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8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72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7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7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8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6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6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3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6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5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5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8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7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46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4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4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4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9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36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3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3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3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18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7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1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2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11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408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40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3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402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40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9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9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4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8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8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81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8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9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7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7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7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4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62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6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5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3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52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5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5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9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47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3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4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8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34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32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3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8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8890</xdr:colOff>
      <xdr:row>14</xdr:row>
      <xdr:rowOff>9525</xdr:rowOff>
    </xdr:to>
    <xdr:pic>
      <xdr:nvPicPr>
        <xdr:cNvPr id="332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4AAAAAAAAAAAAAAA4AAAAAAAAAMQAHAAAAAAAsE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9146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8890</xdr:colOff>
      <xdr:row>16</xdr:row>
      <xdr:rowOff>9525</xdr:rowOff>
    </xdr:to>
    <xdr:pic>
      <xdr:nvPicPr>
        <xdr:cNvPr id="3324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AAAAAAAAAAAAAAABAAAAAAAAAAMQAHAAAAAACgEw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9024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32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3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29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8890</xdr:colOff>
      <xdr:row>21</xdr:row>
      <xdr:rowOff>9525</xdr:rowOff>
    </xdr:to>
    <xdr:pic>
      <xdr:nvPicPr>
        <xdr:cNvPr id="3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AAAAAAAAAABUAAAAAAAAAMQAHAAAAAADCG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871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xOZ8V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zq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Az6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3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8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7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2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7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7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8890</xdr:colOff>
      <xdr:row>12</xdr:row>
      <xdr:rowOff>9525</xdr:rowOff>
    </xdr:to>
    <xdr:pic>
      <xdr:nvPicPr>
        <xdr:cNvPr id="2962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AAAAAAAAAAAwAAAAAAAAAMQAHAAA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9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9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6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10160</xdr:colOff>
      <xdr:row>23</xdr:row>
      <xdr:rowOff>9525</xdr:rowOff>
    </xdr:to>
    <xdr:pic>
      <xdr:nvPicPr>
        <xdr:cNvPr id="28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cAAAALAAAAAAAAABcAAAALAAAAMQADAFAjAAA2H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58597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6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58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57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6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54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304165</xdr:colOff>
      <xdr:row>22</xdr:row>
      <xdr:rowOff>95250</xdr:rowOff>
    </xdr:to>
    <xdr:sp macro="" textlink="" fLocksText="0">
      <xdr:nvSpPr>
        <xdr:cNvPr id="2853" name="AutoShape 42" descr="Imprevisible"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QAAAAsAAAAAAAAAFgAAAAsAAADpAVsAUCMAAMIZAADfAQAA0AEAAAEAAAA="/>
            </a:ext>
          </a:extLst>
        </xdr:cNvSpPr>
      </xdr:nvSpPr>
      <xdr:spPr>
        <a:xfrm>
          <a:off x="5740400" y="4187190"/>
          <a:ext cx="304165" cy="29464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10160</xdr:colOff>
      <xdr:row>22</xdr:row>
      <xdr:rowOff>9525</xdr:rowOff>
    </xdr:to>
    <xdr:pic>
      <xdr:nvPicPr>
        <xdr:cNvPr id="2852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YAAAALAAAAAAAAABYAAAALAAAAMQADAFAjAAD8Gg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38658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304165</xdr:colOff>
      <xdr:row>23</xdr:row>
      <xdr:rowOff>104775</xdr:rowOff>
    </xdr:to>
    <xdr:sp macro="" textlink="" fLocksText="0">
      <xdr:nvSpPr>
        <xdr:cNvPr id="2851" name="AutoShape 44" descr="Ràpid"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FgAAAAsAAAAAAAAAFwAAAAsAAAAaAlsAUCMAAPwaAADfAQAA3wEAAAEAAAA="/>
            </a:ext>
          </a:extLst>
        </xdr:cNvSpPr>
      </xdr:nvSpPr>
      <xdr:spPr>
        <a:xfrm>
          <a:off x="5740400" y="438658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50" name="AutoShape 47" descr="Entrenador"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304165</xdr:colOff>
      <xdr:row>18</xdr:row>
      <xdr:rowOff>104775</xdr:rowOff>
    </xdr:to>
    <xdr:sp macro="" textlink="" fLocksText="0">
      <xdr:nvSpPr>
        <xdr:cNvPr id="2849" name="AutoShape 48" descr="Imprevisible"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QAAAAsAAAAAAAAAEgAAAAsAAAAaAlsAUCMAANoUAADfAQAA3wEAAAEAAAA="/>
            </a:ext>
          </a:extLst>
        </xdr:cNvSpPr>
      </xdr:nvSpPr>
      <xdr:spPr>
        <a:xfrm>
          <a:off x="5740400" y="338963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10160</xdr:colOff>
      <xdr:row>19</xdr:row>
      <xdr:rowOff>9525</xdr:rowOff>
    </xdr:to>
    <xdr:pic>
      <xdr:nvPicPr>
        <xdr:cNvPr id="2848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MAAAALAAAAAAAAABMAAAALAAAAMQADAFAjAABOFw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78841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304165</xdr:colOff>
      <xdr:row>20</xdr:row>
      <xdr:rowOff>104775</xdr:rowOff>
    </xdr:to>
    <xdr:sp macro="" textlink="" fLocksText="0">
      <xdr:nvSpPr>
        <xdr:cNvPr id="2847" name="AutoShape 51" descr="Tècnic"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SpPr>
          <a:spLocks noChangeAspect="1"/>
          <a:extLst>
            <a:ext uri="smNativeData">
              <pm:smNativeData xmlns="" xmlns:pm="smNativeData" val="SMDATA_11_+/0aXxMAAAAlAAAAZA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AAAAAAMAAAAEAAAAAAAAAAAAAAAAAAAAAAAAAAeAAAAaAAAAAAAAAAAAAAAAAAAAAAAAAAAAAAAECcAABAnAAAAAAAAAAAAAAAAAAAAAAAAAAAAAAAAAAAAAAAAAAAAABQAAAAAAAAAwMD/AAAAAABkAAAAMgAAAAAAAABkAAAAAAAAAH9/fwAKAAAAIQAAADAAAAAsAAAAEwAAAAsAAAAAAAAAFAAAAAsAAAAaAlsAUCMAAE4XAADfAQAA3wEAAAEAAAA="/>
            </a:ext>
          </a:extLst>
        </xdr:cNvSpPr>
      </xdr:nvSpPr>
      <xdr:spPr>
        <a:xfrm>
          <a:off x="5740400" y="3788410"/>
          <a:ext cx="304165" cy="30416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10160</xdr:colOff>
      <xdr:row>20</xdr:row>
      <xdr:rowOff>9525</xdr:rowOff>
    </xdr:to>
    <xdr:pic>
      <xdr:nvPicPr>
        <xdr:cNvPr id="2846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BQAAAALAAAAAAAAABQAAAALAAAAMQADAFAjAACIGA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398780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10160</xdr:colOff>
      <xdr:row>21</xdr:row>
      <xdr:rowOff>9525</xdr:rowOff>
    </xdr:to>
    <xdr:pic>
      <xdr:nvPicPr>
        <xdr:cNvPr id="284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UAAAALAAAAAAAAABUAAAALAAAAMQADAFAjAADCGQAAEA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40400" y="4187190"/>
          <a:ext cx="1016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Dwzq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8890</xdr:colOff>
      <xdr:row>7</xdr:row>
      <xdr:rowOff>9525</xdr:rowOff>
    </xdr:to>
    <xdr:pic>
      <xdr:nvPicPr>
        <xdr:cNvPr id="28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OAAAAAAAAAAcAAAAOAAAAMQAGAMBAAACWC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13957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8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7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6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5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8890</xdr:colOff>
      <xdr:row>11</xdr:row>
      <xdr:rowOff>9525</xdr:rowOff>
    </xdr:to>
    <xdr:pic>
      <xdr:nvPicPr>
        <xdr:cNvPr id="23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OAAAAAAAAAAsAAAAOAAAAMQAGAMBAAAB+DQ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19329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23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8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6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3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1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7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8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6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1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8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6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35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913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8890</xdr:colOff>
      <xdr:row>12</xdr:row>
      <xdr:rowOff>9525</xdr:rowOff>
    </xdr:to>
    <xdr:pic>
      <xdr:nvPicPr>
        <xdr:cNvPr id="19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OAAAAAAAAAAwAAAAOAAAAMQAGAMBAAAC4D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5760" y="239268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1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9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8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4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3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1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9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9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8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4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3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1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9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9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8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886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4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4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1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4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9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4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1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3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6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4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1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2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419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6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1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6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1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97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7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6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4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2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7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9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7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6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4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1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9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7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952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1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9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7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2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9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6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2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1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9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7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6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4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2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9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7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6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4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2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1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9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7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6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4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2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1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9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7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6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4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2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1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9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7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6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4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2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9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7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6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4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2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1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9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7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6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4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2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1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9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7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6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4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2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1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7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6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4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1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9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7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6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4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2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1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7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6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2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1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9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7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6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4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2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1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9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7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6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4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51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9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7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4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2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50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9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7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4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2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9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9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7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48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cAAAAUAAAAAAAAAAcAAAAUAAAAMQAMAJBaAACWCA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139573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4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9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4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2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9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7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4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2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9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7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4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2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5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9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7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4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2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4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9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7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4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2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3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9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7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4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2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2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9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7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4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2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9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7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4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2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0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9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7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2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9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9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7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4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2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8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9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7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2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7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7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4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2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9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3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8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CE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4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9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4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I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5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9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4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sAAAAUAAAAAAAAAAsAAAAUAAAAMQAMAJBaAAB+DQ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19329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4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AwAAAAUAAAAAAAAAAwAAAAUAAAAMQAMAJBaAAC4DgAADw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21840" y="2392680"/>
          <a:ext cx="9525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3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1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4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9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8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7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4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2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1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3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9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8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7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6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4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8890</xdr:colOff>
      <xdr:row>17</xdr:row>
      <xdr:rowOff>9525</xdr:rowOff>
    </xdr:to>
    <xdr:pic>
      <xdr:nvPicPr>
        <xdr:cNvPr id="23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EAAAAAAAAAAAAAABEAAAAAAAAAMQAHAAAAAADaFA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8963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2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1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g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9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7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6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4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3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2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1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9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8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7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6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4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BQ0KLD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3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8890</xdr:colOff>
      <xdr:row>18</xdr:row>
      <xdr:rowOff>9525</xdr:rowOff>
    </xdr:to>
    <xdr:pic>
      <xdr:nvPicPr>
        <xdr:cNvPr id="2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3_+/0aXxMAAAAlAAAAEQAAAK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AAAAADAAAABAAAAAAAAAAAAAAAAAAAAAAAAAAHgAAAGgAAAAAAAAAAAAAAAAAAAAAAAAAAAAAABAnAAAQJwAAAAAAAAAAAAAAAAAAAAAAAAAAAAAAAAAAAAAAAAAAAAAUAAAAAAAAAMDA/wAAAAAAZAAAADIAAAAAAAAAZAAAAAAAAAB/f38ACgAAACEAAAAwAAAALAAAABIAAAAAAAAAAAAAABIAAAAAAAAAMQAHAAAAAAAUFgAADgAAAA8AAAAB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89020"/>
          <a:ext cx="8890" cy="9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254635</xdr:colOff>
      <xdr:row>2</xdr:row>
      <xdr:rowOff>175894</xdr:rowOff>
    </xdr:from>
    <xdr:to>
      <xdr:col>7</xdr:col>
      <xdr:colOff>571500</xdr:colOff>
      <xdr:row>26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082.748898726852" createdVersion="4" refreshedVersion="6" minRefreshableVersion="3" recordCount="226" xr:uid="{00000000-000A-0000-FFFF-FFFF01000000}">
  <cacheSource type="worksheet">
    <worksheetSource ref="A1:H1048576" sheet="EstudioConversion"/>
  </cacheSource>
  <cacheFields count="8">
    <cacheField name="Fecha" numFmtId="0">
      <sharedItems containsNonDate="0" containsDate="1" containsString="0" containsBlank="1" minDate="2019-03-13T00:00:00" maxDate="2020-07-24T00:00:00"/>
    </cacheField>
    <cacheField name="Local" numFmtId="0">
      <sharedItems containsBlank="1"/>
    </cacheField>
    <cacheField name="Visitante" numFmtId="0">
      <sharedItems containsBlank="1"/>
    </cacheField>
    <cacheField name="NivelTactica" numFmtId="0">
      <sharedItems containsString="0" containsBlank="1" containsNumber="1" containsInteger="1" minValue="13" maxValue="24" count="13">
        <n v="14"/>
        <n v="15"/>
        <n v="16"/>
        <n v="17"/>
        <n v="18"/>
        <n v="19"/>
        <n v="20"/>
        <n v="21"/>
        <n v="23"/>
        <n v="22"/>
        <n v="24"/>
        <m/>
        <n v="13" u="1"/>
      </sharedItems>
    </cacheField>
    <cacheField name="NivelMedioVader" numFmtId="0">
      <sharedItems containsString="0" containsBlank="1" containsNumber="1" minValue="10.545454545454545" maxValue="13.181818181818182"/>
    </cacheField>
    <cacheField name="OcasionesFalladas" numFmtId="0">
      <sharedItems containsString="0" containsBlank="1" containsNumber="1" containsInteger="1" minValue="3" maxValue="12"/>
    </cacheField>
    <cacheField name="CAs" numFmtId="0">
      <sharedItems containsString="0" containsBlank="1" containsNumber="1" containsInteger="1" minValue="1" maxValue="7"/>
    </cacheField>
    <cacheField name="%_Conversión" numFmtId="0">
      <sharedItems containsString="0" containsBlank="1" containsNumber="1" minValue="0.14285714285714285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RTA Isaac" refreshedDate="44354.697124074075" createdVersion="6" refreshedVersion="6" minRefreshableVersion="3" recordCount="545" xr:uid="{BD371285-16DC-42C0-B2FE-A8689B3C2236}">
  <cacheSource type="worksheet">
    <worksheetSource ref="A1:D1048576" sheet="Goles"/>
  </cacheSource>
  <cacheFields count="4">
    <cacheField name="Jugador_mal" numFmtId="0">
      <sharedItems containsBlank="1"/>
    </cacheField>
    <cacheField name="Goles" numFmtId="0">
      <sharedItems containsString="0" containsBlank="1" containsNumber="1" containsInteger="1" minValue="1" maxValue="22"/>
    </cacheField>
    <cacheField name="Temp" numFmtId="0">
      <sharedItems containsBlank="1"/>
    </cacheField>
    <cacheField name="Jugador" numFmtId="0">
      <sharedItems containsBlank="1" count="395">
        <s v="Rodolfo Rinaldo Paso "/>
        <s v="Leandro Faias "/>
        <s v="Francesc Añigas "/>
        <s v="Cosme Fonteboa "/>
        <s v="Nicolás Galaz "/>
        <s v="Julian Gräbitz "/>
        <s v="Berto Abandero "/>
        <s v="Enrique Cubas "/>
        <s v="Valeri Gomis "/>
        <s v="Wil Duffill "/>
        <s v="Juan García Peñuela "/>
        <s v="Meraj Siddiqui "/>
        <s v="Iván Real Figueroa "/>
        <s v="Venanci Oset "/>
        <s v="Guillermo Pedrajas "/>
        <s v="Adam Moss "/>
        <s v="Augustin Demaison "/>
        <s v="Brunon Chuda "/>
        <s v="David Garcia-Spiess "/>
        <s v="Emilio Rojas "/>
        <s v="Erik Lemming "/>
        <s v="Ilari Santasalmi "/>
        <s v="Joãozinho do Mato "/>
        <s v="Leo Hilpinen "/>
        <s v="Leonardo Baltico "/>
        <s v="Malte Neulinger "/>
        <s v="Manolo Negrín "/>
        <s v="Martin Kilev "/>
        <s v="Melcior Calmet "/>
        <s v="Nikolas Lakkotripi "/>
        <s v="Pere Beltran "/>
        <s v="Roelant Bierman "/>
        <s v="Saúl Piña "/>
        <s v="? (Ho) ?? (Minwei) "/>
        <s v="Adamantios Fikias "/>
        <s v="Andrija Miškovic "/>
        <s v="Andrin Bärtsch "/>
        <s v="Antoine Dupré "/>
        <s v="Cezary Pauch "/>
        <s v="Clifford Smallwood "/>
        <s v="Eckardt Hägerling "/>
        <s v="Fabien Goncalves "/>
        <s v="Gregor Freischläger "/>
        <s v="Jacobo Ferrueros "/>
        <s v="Jorge Walter Whitaker "/>
        <s v="Jurgen Muësen "/>
        <s v="Károly Serfel "/>
        <s v="Lars Pouilliers "/>
        <s v="Markus Currie "/>
        <s v="Morgan Thomas "/>
        <s v="Nicolai Stentoft "/>
        <s v="Ofek Azuri "/>
        <s v="Olli Rambow "/>
        <s v="Roberto Montero "/>
        <s v="Adolfo Vitulli "/>
        <s v="Aleksi Alarotu "/>
        <s v="Aureliusz Staszczuk "/>
        <s v="Barnabás Borsányi "/>
        <s v="Boleslaw Starzomski "/>
        <s v="Emilio Mochelato "/>
        <s v="Fabien Fabre "/>
        <s v="Honesto Cousa "/>
        <s v="Karl Edwin "/>
        <s v="Miguel Fernández "/>
        <s v="Patrick Werner "/>
        <s v="Percy Alfredsson "/>
        <s v="Rasheed Da'na "/>
        <s v="Romain Grière "/>
        <s v="Seran Aranguren "/>
        <s v="Serapio Castrelos "/>
        <s v="Uday Adeeb "/>
        <s v="Andrea Califano "/>
        <s v="Arnold Kalckstein "/>
        <s v="Christophe Reinhart "/>
        <s v="Csaba Mezo "/>
        <s v="David Knuff "/>
        <s v="Dolf Fohringer "/>
        <s v="Gino van Hoesel "/>
        <s v="Igli Volpicelli "/>
        <s v="Jos Pittoors "/>
        <s v="Lauri Piminäinen "/>
        <s v="Ludwik Mojescik "/>
        <s v="Massimiliano Jula "/>
        <s v="Pieter Pelleboer "/>
        <s v="Raffaele Sitter "/>
        <s v="Steve Mckinnon "/>
        <s v="Tomasz Artymiuk "/>
        <s v="? (Pan) ?? (Yuandong) "/>
        <s v="Aamos Vara "/>
        <s v="Arjo Olthuis "/>
        <s v="Cornel Caraba "/>
        <s v="Fere Pulido "/>
        <s v="Fernando Gazón "/>
        <s v="Horacy Dzienis "/>
        <s v="Mario Omarini "/>
        <s v="Matteo Omacini "/>
        <s v="Nikolay Gerasimenko "/>
        <s v="Pasqual Vilar "/>
        <s v="Pau Redondo "/>
        <s v="Ryan Clarke "/>
        <s v="Xofre Taín "/>
        <s v="Arkadiusz Dembek "/>
        <s v="Ellák Deák "/>
        <s v="Gianfranco Rezza "/>
        <s v="Lech Sipinski "/>
        <s v="Mateusz Brzostowski "/>
        <s v="Miklós Gábriel "/>
        <s v="Ragip Övgü "/>
        <s v="Ricardo Esquerdo "/>
        <s v="Sansão Trindade Oliveira "/>
        <s v="Sascha Gilch "/>
        <s v="Stefano Spanu "/>
        <s v="Vincent Gautsch "/>
        <s v="Andrea Chiu "/>
        <s v="Carlos Ipinza "/>
        <s v="Dan Lindgren "/>
        <s v="Francesc Giró "/>
        <s v="Hjalte Egede "/>
        <s v="Tristan Voet "/>
        <s v="Zsolt Novák "/>
        <s v="Dan Veneau "/>
        <s v="Gastone Cianelli "/>
        <s v="José Luis Valdés Saavedra "/>
        <s v="Ludovic Gygax "/>
        <s v="Martijn Collinet "/>
        <s v="Ulf Schenkel "/>
        <s v="Andres Kalvet "/>
        <s v="Catalin Corobea "/>
        <s v="Dimitris Prokos "/>
        <s v="Fernando Juárez Sierra "/>
        <s v="Iacob Sarpe "/>
        <s v="Krzysztof Buras "/>
        <s v="Morgan Gomes "/>
        <s v="Finlay MacGrory "/>
        <s v="Marcin Lulewicz "/>
        <s v="Nicolau Caraduxe "/>
        <s v="Christophe Méjean "/>
        <s v="Gawel Nanowski "/>
        <s v="Alex Txantre "/>
        <s v="Co Wolbers "/>
        <s v="Cornel Boicea "/>
        <s v="John Chung "/>
        <s v="Kendor Nagiturri "/>
        <s v="Mattia Sambri "/>
        <s v="Renato Galeano "/>
        <s v="Roberto Abenoza "/>
        <s v="Tommaso Niscola "/>
        <s v="David Erbiti "/>
        <s v="Harald Georg Berchthold "/>
        <s v="Jan Jessen "/>
        <s v="Enis Kalan "/>
        <s v="José Manuel Carneiro "/>
        <s v="Ludvig Andreasson "/>
        <s v="Luigi Tripodo "/>
        <s v="Damiano Clementi "/>
        <s v="Pablo Gil Fano "/>
        <s v="Raúl Riquelme "/>
        <s v="Sejo Sáenz Marín "/>
        <s v="Aimar Lasalde "/>
        <s v="Gongotzon Ialdebere "/>
        <s v="Hansjürg Devier "/>
        <s v="Iyad Chaabo "/>
        <s v="Jörg Londorf "/>
        <s v="Pepijn Zwaan "/>
        <s v="Petru Pena "/>
        <s v="Relf Härteis "/>
        <s v="Zeno Baets "/>
        <s v="Aiurdi Azpileta "/>
        <s v="Casildo Abraldes "/>
        <s v="Ernst Lammers "/>
        <s v="Ibiur Altxakoa "/>
        <s v="Iuliu Pana "/>
        <s v="Mauro Vaz "/>
        <s v="Michele Giampieri "/>
        <s v="Richey Cowper "/>
        <s v="Zbyšek Hamrozi "/>
        <s v="Christophe Bodin "/>
        <s v="David Berkenbosch "/>
        <s v="Domenic Janjic "/>
        <s v="Juan Gabriel de Minaya "/>
        <s v="Stanislaw Zdankiewicz "/>
        <s v="Torsten Kortenhof "/>
        <s v="Alexander Pahl "/>
        <s v="Alfonso Londoño "/>
        <s v="Giulio Procaccianti "/>
        <s v="Jaime Ocón "/>
        <s v="Manuel Parejo "/>
        <s v="Wicher Ossedrijver "/>
        <s v="Felipe Andrés Massarelli "/>
        <s v="Gregorio Manrique "/>
        <s v="José Rubianes "/>
        <s v="Martin Herber "/>
        <s v="Tijl van Hamburg "/>
        <s v="Feliciano Becerril "/>
        <s v="Gustaw Bugajski "/>
        <s v="Karst van Gils "/>
        <s v="Udo Mier "/>
        <m/>
        <s v=" Arjo Olthuis " u="1"/>
        <s v=" Krzysztof Buras " u="1"/>
        <s v=" Pablo Gil Fano " u="1"/>
        <s v=" Jacobo Ferrueros " u="1"/>
        <s v=" Nikolay Gerasimenko " u="1"/>
        <s v=" Iyad Chaabo " u="1"/>
        <s v=" Emilio Rojas " u="1"/>
        <s v=" Wicher Ossedrijver " u="1"/>
        <s v=" Cornel Boicea " u="1"/>
        <s v=" Roberto Montero " u="1"/>
        <s v=" Ernst Lammers " u="1"/>
        <s v=" Aleksi Alarotu " u="1"/>
        <s v=" Co Wolbers " u="1"/>
        <s v=" Iuliu Pana " u="1"/>
        <s v=" Joãozinho do Mato " u="1"/>
        <s v=" Gawel Nanowski " u="1"/>
        <s v=" Horacy Dzienis " u="1"/>
        <s v=" Cosme Fonteboa " u="1"/>
        <s v=" Adam Moss " u="1"/>
        <s v=" Martin Kilev " u="1"/>
        <s v=" Ulf Schenkel " u="1"/>
        <s v=" Andrija Miškovic " u="1"/>
        <s v=" Manuel Parejo " u="1"/>
        <s v=" Mario Omarini " u="1"/>
        <s v=" Arkadiusz Dembek " u="1"/>
        <s v=" Gastone Cianelli " u="1"/>
        <s v=" Torsten Kortenhof " u="1"/>
        <s v=" Felipe Andrés Massarelli " u="1"/>
        <s v=" José Luis Valdés Saavedra " u="1"/>
        <s v=" José Rubianes " u="1"/>
        <s v=" Jorge Walter Whitaker " u="1"/>
        <s v=" Udo Mier " u="1"/>
        <s v=" Csaba Mezo " u="1"/>
        <s v=" Pasqual Vilar " u="1"/>
        <s v=" David Garcia-Spiess " u="1"/>
        <s v=" Leandro Faias " u="1"/>
        <s v=" Matteo Omacini " u="1"/>
        <s v=" Adamantios Fikias " u="1"/>
        <s v=" Andres Kalvet " u="1"/>
        <s v=" Cornel Caraba " u="1"/>
        <s v=" Aimar Lasalde " u="1"/>
        <s v=" Ludovic Gygax " u="1"/>
        <s v=" Alex Txantre " u="1"/>
        <s v=" Roelant Bierman " u="1"/>
        <s v=" Christophe Reinhart " u="1"/>
        <s v=" Pere Beltran " u="1"/>
        <s v=" Francesc Añigas " u="1"/>
        <s v=" Christophe Méjean " u="1"/>
        <s v=" Tomasz Artymiuk " u="1"/>
        <s v=" Leonardo Baltico " u="1"/>
        <s v=" Juan Gabriel de Minaya " u="1"/>
        <s v=" Saúl Piña " u="1"/>
        <s v=" Igli Volpicelli " u="1"/>
        <s v=" Seran Aranguren " u="1"/>
        <s v=" Zeno Baets " u="1"/>
        <s v=" Dan Lindgren " u="1"/>
        <s v=" Lars Pouilliers " u="1"/>
        <s v=" Feliciano Becerril " u="1"/>
        <s v=" Dolf Fohringer " u="1"/>
        <s v=" Percy Alfredsson " u="1"/>
        <s v=" Stanislaw Zdankiewicz " u="1"/>
        <s v=" Jaime Ocón " u="1"/>
        <s v=" Carlos Ipinza " u="1"/>
        <s v=" Enrique Cubas " u="1"/>
        <s v=" Catalin Corobea " u="1"/>
        <s v=" Massimiliano Jula " u="1"/>
        <s v=" Jan Jessen " u="1"/>
        <s v=" Tommaso Niscola " u="1"/>
        <s v=" Augustin Demaison " u="1"/>
        <s v=" David Berkenbosch " u="1"/>
        <s v=" ? (Pan) ?? (Yuandong) " u="1"/>
        <s v=" Antoine Dupré " u="1"/>
        <s v=" Morgan Thomas " u="1"/>
        <s v=" Roberto Abenoza " u="1"/>
        <s v=" Gianfranco Rezza " u="1"/>
        <s v=" Aamos Vara " u="1"/>
        <s v=" Zbyšek Hamrozi " u="1"/>
        <s v=" Nicolau Caraduxe " u="1"/>
        <s v=" Iván Real Figueroa " u="1"/>
        <s v=" Ragip Övgü " u="1"/>
        <s v=" Cezary Pauch " u="1"/>
        <s v=" Jörg Londorf " u="1"/>
        <s v=" Vincent Gautsch " u="1"/>
        <s v=" Fernando Juárez Sierra " u="1"/>
        <s v=" Relf Härteis " u="1"/>
        <s v=" Gregorio Manrique " u="1"/>
        <s v=" Harald Georg Berchthold " u="1"/>
        <s v=" Zsolt Novák " u="1"/>
        <s v=" Jos Pittoors " u="1"/>
        <s v=" Ludvig Andreasson " u="1"/>
        <s v=" Hjalte Egede " u="1"/>
        <s v=" Fernando Gazón " u="1"/>
        <s v=" Marcin Lulewicz " u="1"/>
        <s v=" Dan Veneau " u="1"/>
        <s v=" Ludwik Mojescik " u="1"/>
        <s v=" Arnold Kalckstein " u="1"/>
        <s v=" Guillermo Pedrajas " u="1"/>
        <s v=" David Knuff " u="1"/>
        <s v=" Romain Grière " u="1"/>
        <s v=" Barnabás Borsányi " u="1"/>
        <s v=" Emilio Mochelato " u="1"/>
        <s v=" Aureliusz Staszczuk " u="1"/>
        <s v=" Boleslaw Starzomski " u="1"/>
        <s v=" Aiurdi Azpileta " u="1"/>
        <s v=" Ricardo Esquerdo " u="1"/>
        <s v=" Uday Adeeb " u="1"/>
        <s v=" Serapio Castrelos " u="1"/>
        <s v=" Brunon Chuda " u="1"/>
        <s v=" Pepijn Zwaan " u="1"/>
        <s v=" Francesc Giró " u="1"/>
        <s v=" Lauri Piminäinen " u="1"/>
        <s v=" Michele Giampieri " u="1"/>
        <s v=" Pau Redondo " u="1"/>
        <s v=" Sejo Sáenz Marín " u="1"/>
        <s v=" Patrick Werner " u="1"/>
        <s v=" Venanci Oset " u="1"/>
        <s v=" Honesto Cousa " u="1"/>
        <s v=" Raúl Riquelme " u="1"/>
        <s v=" Miguel Fernández " u="1"/>
        <s v=" José Manuel Carneiro " u="1"/>
        <s v=" Enis Kalan " u="1"/>
        <s v=" Lech Sipinski " u="1"/>
        <s v=" Raffaele Sitter " u="1"/>
        <s v=" Xofre Taín " u="1"/>
        <s v=" Malte Neulinger " u="1"/>
        <s v=" David Erbiti " u="1"/>
        <s v=" Jurgen Muësen " u="1"/>
        <s v=" Damiano Clementi " u="1"/>
        <s v=" Ellák Deák " u="1"/>
        <s v=" Iacob Sarpe " u="1"/>
        <s v=" Erik Lemming " u="1"/>
        <s v=" Leo Hilpinen " u="1"/>
        <s v=" Dimitris Prokos " u="1"/>
        <s v=" Fabien Goncalves " u="1"/>
        <s v=" Eckardt Hägerling " u="1"/>
        <s v=" Sascha Gilch " u="1"/>
        <s v=" Renato Galeano " u="1"/>
        <s v=" Pieter Pelleboer " u="1"/>
        <s v=" Clifford Smallwood " u="1"/>
        <s v=" Nikolas Lakkotripi " u="1"/>
        <s v=" Fere Pulido " u="1"/>
        <s v=" Wil Duffill " u="1"/>
        <s v=" Ibiur Altxakoa " u="1"/>
        <s v=" Karst van Gils " u="1"/>
        <s v=" Meraj Siddiqui " u="1"/>
        <s v=" Fabien Fabre " u="1"/>
        <s v=" Steve Mckinnon " u="1"/>
        <s v=" Gongotzon Ialdebere " u="1"/>
        <s v=" Juan García Peñuela " u="1"/>
        <s v=" Ryan Clarke " u="1"/>
        <s v=" Manolo Negrín " u="1"/>
        <s v=" Mauro Vaz " u="1"/>
        <s v=" Martin Herber " u="1"/>
        <s v=" Andrea Chiu " u="1"/>
        <s v=" Gino van Hoesel " u="1"/>
        <s v=" Hansjürg Devier " u="1"/>
        <s v=" Olli Rambow " u="1"/>
        <s v=" Domenic Janjic " u="1"/>
        <s v=" Andrea Califano " u="1"/>
        <s v=" Christophe Bodin " u="1"/>
        <s v=" Mateusz Brzostowski " u="1"/>
        <s v=" Rodolfo Rinaldo Paso " u="1"/>
        <s v=" John Chung " u="1"/>
        <s v=" Richey Cowper " u="1"/>
        <s v=" Adolfo Vitulli " u="1"/>
        <s v=" Berto Abandero " u="1"/>
        <s v=" Alfonso Londoño " u="1"/>
        <s v=" Tijl van Hamburg " u="1"/>
        <s v=" Ofek Azuri " u="1"/>
        <s v=" Petru Pena " u="1"/>
        <s v=" Károly Serfel " u="1"/>
        <s v=" Nicolás Galaz " u="1"/>
        <s v=" Julian Gräbitz " u="1"/>
        <s v=" Melcior Calmet " u="1"/>
        <s v=" Ilari Santasalmi " u="1"/>
        <s v=" Luigi Tripodo " u="1"/>
        <s v=" Markus Currie " u="1"/>
        <s v=" Andrin Bärtsch " u="1"/>
        <s v=" Gustaw Bugajski " u="1"/>
        <s v=" Kendor Nagiturri " u="1"/>
        <s v=" ? (Ho) ?? (Minwei) " u="1"/>
        <s v=" Sansão Trindade Oliveira " u="1"/>
        <s v=" Morgan Gomes " u="1"/>
        <s v=" Alexander Pahl " u="1"/>
        <s v=" Nicolai Stentoft " u="1"/>
        <s v=" Miklós Gábriel " u="1"/>
        <s v=" Finlay MacGrory " u="1"/>
        <s v=" Karl Edwin " u="1"/>
        <s v=" Tristan Voet " u="1"/>
        <s v=" Casildo Abraldes " u="1"/>
        <s v=" Martijn Collinet " u="1"/>
        <s v=" Giulio Procaccianti " u="1"/>
        <s v=" Valeri Gomis " u="1"/>
        <s v=" Mattia Sambri " u="1"/>
        <s v=" Rasheed Da'na " u="1"/>
        <s v=" Stefano Spanu " u="1"/>
        <s v=" Gregor Freischläger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d v="2019-07-24T00:00:00"/>
    <s v="V@der SC"/>
    <s v="Fernando de Rojas"/>
    <x v="0"/>
    <n v="11.545454545454545"/>
    <n v="7"/>
    <n v="2"/>
    <n v="0.2857142857142857"/>
  </r>
  <r>
    <d v="2019-06-01T00:00:00"/>
    <s v="Prodigy Sucany"/>
    <s v="V@der SC"/>
    <x v="1"/>
    <n v="11.727272727272727"/>
    <n v="9"/>
    <n v="2"/>
    <n v="0.22222222222222221"/>
  </r>
  <r>
    <d v="2019-08-07T00:00:00"/>
    <s v="white widow"/>
    <s v="V@der SC"/>
    <x v="1"/>
    <n v="10.545454545454545"/>
    <n v="9"/>
    <n v="4"/>
    <n v="0.44444444444444442"/>
  </r>
  <r>
    <d v="2019-08-14T00:00:00"/>
    <s v="mehmet"/>
    <s v="V@der SC"/>
    <x v="1"/>
    <n v="10.818181818181818"/>
    <n v="6"/>
    <n v="2"/>
    <n v="0.33333333333333331"/>
  </r>
  <r>
    <d v="2019-08-03T00:00:00"/>
    <s v="V@der SC"/>
    <s v="Splug Team"/>
    <x v="2"/>
    <n v="11.818181818181818"/>
    <n v="4"/>
    <n v="1"/>
    <n v="0.25"/>
  </r>
  <r>
    <d v="2019-07-31T00:00:00"/>
    <s v="Los amiguitos de Don Pimpon"/>
    <s v="V@der SC"/>
    <x v="2"/>
    <n v="11"/>
    <n v="7"/>
    <n v="3"/>
    <n v="0.42857142857142855"/>
  </r>
  <r>
    <d v="2019-06-26T00:00:00"/>
    <s v="V@der SC"/>
    <s v="John Rebus F.c"/>
    <x v="2"/>
    <n v="12.181818181818182"/>
    <n v="9"/>
    <n v="3"/>
    <n v="0.33333333333333331"/>
  </r>
  <r>
    <d v="2019-06-25T00:00:00"/>
    <s v="VINATIKA FC 2"/>
    <s v="V@der SC"/>
    <x v="2"/>
    <n v="12.181818181818182"/>
    <n v="6"/>
    <n v="2"/>
    <n v="0.33333333333333331"/>
  </r>
  <r>
    <d v="2019-06-25T00:00:00"/>
    <s v="V@der SC"/>
    <s v="Basil444"/>
    <x v="2"/>
    <n v="12.181818181818182"/>
    <n v="4"/>
    <n v="2"/>
    <n v="0.5"/>
  </r>
  <r>
    <d v="2019-06-24T00:00:00"/>
    <s v="konary"/>
    <s v="V@der SC"/>
    <x v="2"/>
    <n v="12.181818181818182"/>
    <n v="3"/>
    <n v="2"/>
    <n v="0.66666666666666663"/>
  </r>
  <r>
    <d v="2019-06-20T00:00:00"/>
    <s v="Ladány City"/>
    <s v="V@der SC"/>
    <x v="2"/>
    <n v="12.181818181818182"/>
    <n v="9"/>
    <n v="2"/>
    <n v="0.22222222222222221"/>
  </r>
  <r>
    <d v="2019-06-19T00:00:00"/>
    <s v="V@der SC"/>
    <s v="Nie Zjednoczeni Kaczory"/>
    <x v="2"/>
    <n v="12.181818181818182"/>
    <n v="7"/>
    <n v="2"/>
    <n v="0.2857142857142857"/>
  </r>
  <r>
    <d v="2019-06-19T00:00:00"/>
    <s v="V@der SC"/>
    <s v="Cuchufritos F.C."/>
    <x v="2"/>
    <n v="12.181818181818182"/>
    <n v="5"/>
    <n v="2"/>
    <n v="0.4"/>
  </r>
  <r>
    <d v="2019-06-18T00:00:00"/>
    <s v="Ju.far72"/>
    <s v="V@der SC"/>
    <x v="2"/>
    <n v="12.181818181818182"/>
    <n v="9"/>
    <n v="3"/>
    <n v="0.33333333333333331"/>
  </r>
  <r>
    <d v="2019-06-18T00:00:00"/>
    <s v="Mks Pilica PEDEZET"/>
    <s v="V@der SC"/>
    <x v="2"/>
    <n v="12.181818181818182"/>
    <n v="6"/>
    <n v="2"/>
    <n v="0.33333333333333331"/>
  </r>
  <r>
    <d v="2019-06-17T00:00:00"/>
    <s v="V@der SC"/>
    <s v="FC Bayern München 16"/>
    <x v="2"/>
    <n v="12.181818181818182"/>
    <n v="10"/>
    <n v="3"/>
    <n v="0.3"/>
  </r>
  <r>
    <d v="2019-06-17T00:00:00"/>
    <s v="V@der SC"/>
    <s v="Grasshopper Club Nidwalden"/>
    <x v="2"/>
    <n v="12.181818181818182"/>
    <n v="7"/>
    <n v="3"/>
    <n v="0.42857142857142855"/>
  </r>
  <r>
    <d v="2019-06-08T00:00:00"/>
    <s v="CD Castalia"/>
    <s v="V@der SC"/>
    <x v="2"/>
    <n v="12.181818181818182"/>
    <n v="4"/>
    <n v="2"/>
    <n v="0.5"/>
  </r>
  <r>
    <d v="2019-06-01T00:00:00"/>
    <s v="Cogollos F.C"/>
    <s v="V@der SC"/>
    <x v="2"/>
    <n v="12"/>
    <n v="5"/>
    <n v="3"/>
    <n v="0.6"/>
  </r>
  <r>
    <d v="2019-05-30T00:00:00"/>
    <s v="V@der SC"/>
    <s v="Ulls de Gat Mesquer"/>
    <x v="2"/>
    <n v="12.363636363636363"/>
    <n v="9"/>
    <n v="4"/>
    <n v="0.44444444444444442"/>
  </r>
  <r>
    <d v="2019-05-25T00:00:00"/>
    <s v="V@der SC"/>
    <s v="iRatlle"/>
    <x v="2"/>
    <n v="12.090909090909092"/>
    <n v="5"/>
    <n v="3"/>
    <n v="0.6"/>
  </r>
  <r>
    <d v="2019-05-17T00:00:00"/>
    <s v="Hakom"/>
    <s v="V@der SC"/>
    <x v="2"/>
    <n v="12.090909090909092"/>
    <n v="6"/>
    <n v="3"/>
    <n v="0.5"/>
  </r>
  <r>
    <d v="2019-03-26T00:00:00"/>
    <s v="Santa Barbosa Aludosa"/>
    <s v="V@der SC"/>
    <x v="2"/>
    <n v="11.727272727272727"/>
    <n v="4"/>
    <n v="2"/>
    <n v="0.5"/>
  </r>
  <r>
    <d v="2019-06-28T00:00:00"/>
    <s v="V@der SC"/>
    <s v="Fc De Rositas"/>
    <x v="3"/>
    <n v="11.818181818181818"/>
    <n v="10"/>
    <n v="4"/>
    <n v="0.4"/>
  </r>
  <r>
    <d v="2019-06-27T00:00:00"/>
    <s v="Insulae Atlantis"/>
    <s v="V@der SC"/>
    <x v="3"/>
    <n v="12.181818181818182"/>
    <n v="4"/>
    <n v="2"/>
    <n v="0.5"/>
  </r>
  <r>
    <d v="2019-06-27T00:00:00"/>
    <s v="V@der SC"/>
    <s v="Bar Karakas C.F."/>
    <x v="3"/>
    <n v="12.181818181818182"/>
    <n v="6"/>
    <n v="1"/>
    <n v="0.16666666666666666"/>
  </r>
  <r>
    <d v="2019-06-27T00:00:00"/>
    <s v="Dzsoni Valkur"/>
    <s v="V@der SC"/>
    <x v="3"/>
    <n v="12.181818181818182"/>
    <n v="7"/>
    <n v="3"/>
    <n v="0.42857142857142855"/>
  </r>
  <r>
    <d v="2019-06-26T00:00:00"/>
    <s v="Wisla Skawina"/>
    <s v="V@der SC"/>
    <x v="3"/>
    <n v="12.181818181818182"/>
    <n v="7"/>
    <n v="1"/>
    <n v="0.14285714285714285"/>
  </r>
  <r>
    <d v="2019-06-25T00:00:00"/>
    <s v="V@der SC"/>
    <s v="Ornitorrincos Purpura"/>
    <x v="3"/>
    <n v="12.181818181818182"/>
    <n v="8"/>
    <n v="3"/>
    <n v="0.375"/>
  </r>
  <r>
    <d v="2019-06-20T00:00:00"/>
    <s v="USC Olaf Football"/>
    <s v="V@der SC"/>
    <x v="3"/>
    <n v="12.181818181818182"/>
    <n v="8"/>
    <n v="3"/>
    <n v="0.375"/>
  </r>
  <r>
    <d v="2019-05-18T00:00:00"/>
    <s v="Refucilo CF"/>
    <s v="V@der SC"/>
    <x v="3"/>
    <n v="12.090909090909092"/>
    <n v="9"/>
    <n v="5"/>
    <n v="0.55555555555555558"/>
  </r>
  <r>
    <d v="2019-05-11T00:00:00"/>
    <s v="V@der SC"/>
    <s v="Splug Team"/>
    <x v="3"/>
    <n v="12.090909090909092"/>
    <n v="6"/>
    <n v="1"/>
    <n v="0.16666666666666666"/>
  </r>
  <r>
    <d v="2019-05-04T00:00:00"/>
    <s v="Kersky"/>
    <s v="V@der SC"/>
    <x v="3"/>
    <n v="11.909090909090908"/>
    <n v="8"/>
    <n v="4"/>
    <n v="0.5"/>
  </r>
  <r>
    <d v="2019-03-23T00:00:00"/>
    <s v="V@der SC"/>
    <s v="CD Castalia"/>
    <x v="3"/>
    <n v="11.909090909090908"/>
    <n v="5"/>
    <n v="1"/>
    <n v="0.2"/>
  </r>
  <r>
    <d v="2019-03-16T00:00:00"/>
    <s v="Menkoko C.F."/>
    <s v="V@der SC"/>
    <x v="3"/>
    <n v="11.727272727272727"/>
    <n v="7"/>
    <n v="3"/>
    <n v="0.42857142857142855"/>
  </r>
  <r>
    <d v="2019-03-13T00:00:00"/>
    <s v="Tuviejahuelemal"/>
    <s v="V@der SC"/>
    <x v="3"/>
    <n v="11.727272727272727"/>
    <n v="7"/>
    <n v="4"/>
    <n v="0.5714285714285714"/>
  </r>
  <r>
    <d v="2019-08-27T00:00:00"/>
    <s v="V@der SC"/>
    <s v="CSD Avengers"/>
    <x v="4"/>
    <n v="12.545454545454545"/>
    <n v="4"/>
    <n v="1"/>
    <n v="0.25"/>
  </r>
  <r>
    <d v="2019-07-10T00:00:00"/>
    <s v="Lobos del Viento"/>
    <s v="V@der SC"/>
    <x v="4"/>
    <n v="12.181818181818182"/>
    <n v="6"/>
    <n v="2"/>
    <n v="0.33333333333333331"/>
  </r>
  <r>
    <d v="2019-07-10T00:00:00"/>
    <s v="V@der SC"/>
    <s v="US Women National Tema"/>
    <x v="4"/>
    <n v="12"/>
    <n v="3"/>
    <n v="1"/>
    <n v="0.33333333333333331"/>
  </r>
  <r>
    <d v="2019-07-09T00:00:00"/>
    <s v="V@der SC"/>
    <s v="S.H.M.Piast Gliwice"/>
    <x v="4"/>
    <n v="11.909090909090908"/>
    <n v="5"/>
    <n v="1"/>
    <n v="0.2"/>
  </r>
  <r>
    <d v="2019-04-27T00:00:00"/>
    <s v="V@der SC"/>
    <s v="Kersky"/>
    <x v="4"/>
    <n v="11.909090909090908"/>
    <n v="7"/>
    <n v="2"/>
    <n v="0.2857142857142857"/>
  </r>
  <r>
    <d v="2019-04-20T00:00:00"/>
    <s v="Splug Team"/>
    <s v="V@der SC"/>
    <x v="4"/>
    <n v="11.909090909090908"/>
    <n v="9"/>
    <n v="3"/>
    <n v="0.33333333333333331"/>
  </r>
  <r>
    <d v="2019-04-13T00:00:00"/>
    <s v="V@der SC"/>
    <s v="Refucilo CF"/>
    <x v="4"/>
    <n v="11.909090909090908"/>
    <n v="8"/>
    <n v="3"/>
    <n v="0.375"/>
  </r>
  <r>
    <d v="2019-04-06T00:00:00"/>
    <s v="iRatlle"/>
    <s v="V@der SC"/>
    <x v="4"/>
    <n v="11.909090909090908"/>
    <n v="8"/>
    <n v="3"/>
    <n v="0.375"/>
  </r>
  <r>
    <d v="2019-03-30T00:00:00"/>
    <s v="V@der SC"/>
    <s v="Cogollos F.C"/>
    <x v="4"/>
    <n v="11.909090909090908"/>
    <n v="6"/>
    <n v="1"/>
    <n v="0.16666666666666666"/>
  </r>
  <r>
    <d v="2019-08-10T00:00:00"/>
    <s v="TOERS TEAM"/>
    <s v="V@der SC"/>
    <x v="4"/>
    <n v="12.545454545454545"/>
    <n v="5"/>
    <n v="1"/>
    <n v="0.2"/>
  </r>
  <r>
    <d v="2019-08-24T00:00:00"/>
    <s v="V@der SC"/>
    <s v="Proxibecas"/>
    <x v="4"/>
    <n v="12.818181818181818"/>
    <n v="8"/>
    <n v="3"/>
    <n v="0.375"/>
  </r>
  <r>
    <d v="2019-07-20T00:00:00"/>
    <s v="CD Castalia"/>
    <s v="V@der SC"/>
    <x v="5"/>
    <n v="11.454545454545455"/>
    <n v="5"/>
    <n v="2"/>
    <n v="0.4"/>
  </r>
  <r>
    <d v="2019-07-11T00:00:00"/>
    <s v="V@der SC"/>
    <s v="I treni di Tozeur"/>
    <x v="5"/>
    <n v="11.909090909090908"/>
    <n v="12"/>
    <n v="5"/>
    <n v="0.41666666666666669"/>
  </r>
  <r>
    <d v="2019-07-06T00:00:00"/>
    <s v="V@der SC"/>
    <s v="The Pyramid Mystery"/>
    <x v="5"/>
    <n v="11.909090909090908"/>
    <n v="9"/>
    <n v="5"/>
    <n v="0.55555555555555558"/>
  </r>
  <r>
    <d v="2019-07-31T00:00:00"/>
    <s v="V@der SC"/>
    <s v="Wing Men"/>
    <x v="6"/>
    <n v="12.272727272727273"/>
    <n v="6"/>
    <n v="2"/>
    <n v="0.33333333333333331"/>
  </r>
  <r>
    <d v="2019-07-26T00:00:00"/>
    <s v="FC BvB"/>
    <s v="V@der SC"/>
    <x v="6"/>
    <n v="12.272727272727273"/>
    <n v="5"/>
    <n v="3"/>
    <n v="0.6"/>
  </r>
  <r>
    <d v="2019-07-17T00:00:00"/>
    <s v="V@der SC"/>
    <s v="Mendibil"/>
    <x v="6"/>
    <n v="12.409090909090908"/>
    <n v="7"/>
    <n v="4"/>
    <n v="0.5714285714285714"/>
  </r>
  <r>
    <d v="2019-08-31T00:00:00"/>
    <s v="V@der SC"/>
    <s v="TOWERS TEAM"/>
    <x v="3"/>
    <n v="12.545454545454545"/>
    <n v="4"/>
    <n v="2"/>
    <n v="0.5"/>
  </r>
  <r>
    <d v="2019-09-03T00:00:00"/>
    <s v="Romdi"/>
    <s v="V@der SC"/>
    <x v="2"/>
    <n v="12.727272727272727"/>
    <n v="7"/>
    <n v="4"/>
    <n v="0.5714285714285714"/>
  </r>
  <r>
    <d v="2019-09-05T00:00:00"/>
    <s v="V@der SC"/>
    <s v="Babbu team"/>
    <x v="5"/>
    <n v="13.090909090909092"/>
    <n v="10"/>
    <n v="3"/>
    <n v="0.3"/>
  </r>
  <r>
    <d v="2019-09-05T00:00:00"/>
    <s v="V@der SC"/>
    <s v="Club de Catalunya"/>
    <x v="4"/>
    <n v="13.090909090909092"/>
    <n v="4"/>
    <n v="2"/>
    <n v="0.5"/>
  </r>
  <r>
    <d v="2019-09-07T00:00:00"/>
    <s v="Splug Team"/>
    <s v="V@der SC"/>
    <x v="5"/>
    <n v="12.818181818181818"/>
    <n v="7"/>
    <n v="4"/>
    <n v="0.5714285714285714"/>
  </r>
  <r>
    <d v="2019-09-09T00:00:00"/>
    <s v="V@der SC"/>
    <s v="Atletico ius"/>
    <x v="4"/>
    <n v="11.909090909090908"/>
    <n v="6"/>
    <n v="3"/>
    <n v="0.5"/>
  </r>
  <r>
    <d v="2019-09-11T00:00:00"/>
    <s v="Funkickers zwarte Schapen"/>
    <s v="V@der SC"/>
    <x v="4"/>
    <n v="13.090909090909092"/>
    <n v="4"/>
    <n v="1"/>
    <n v="0.25"/>
  </r>
  <r>
    <d v="2019-09-14T00:00:00"/>
    <s v="Menkoko C.F."/>
    <s v="V@der SC"/>
    <x v="4"/>
    <n v="12.090909090909092"/>
    <n v="3"/>
    <n v="1"/>
    <n v="0.33333333333333331"/>
  </r>
  <r>
    <d v="2019-09-16T00:00:00"/>
    <s v="V@der SC"/>
    <s v="Bandurrias del Sur"/>
    <x v="5"/>
    <n v="12.818181818181818"/>
    <n v="6"/>
    <n v="2"/>
    <n v="0.33333333333333331"/>
  </r>
  <r>
    <d v="2019-09-23T00:00:00"/>
    <s v="von der veck"/>
    <s v="V@der SC"/>
    <x v="4"/>
    <n v="12.818181818181818"/>
    <n v="9"/>
    <n v="4"/>
    <n v="0.44444444444444442"/>
  </r>
  <r>
    <d v="2019-09-28T00:00:00"/>
    <s v="P.C.N"/>
    <s v="V@der SC"/>
    <x v="5"/>
    <n v="12.727272727272727"/>
    <n v="4"/>
    <n v="2"/>
    <n v="0.5"/>
  </r>
  <r>
    <d v="2019-09-30T00:00:00"/>
    <s v="V@der SC"/>
    <s v="Nacidos de la Bruma"/>
    <x v="5"/>
    <n v="13.090909090909092"/>
    <n v="9"/>
    <n v="5"/>
    <n v="0.55555555555555558"/>
  </r>
  <r>
    <d v="2019-10-01T00:00:00"/>
    <s v="F.c. de Rositas"/>
    <s v="V@der SC"/>
    <x v="4"/>
    <n v="13.181818181818182"/>
    <n v="7"/>
    <n v="3"/>
    <n v="0.42857142857142855"/>
  </r>
  <r>
    <d v="2019-10-04T00:00:00"/>
    <s v="V@der SC"/>
    <s v="La Pobla FC"/>
    <x v="5"/>
    <n v="13.181818181818182"/>
    <n v="6"/>
    <n v="3"/>
    <n v="0.5"/>
  </r>
  <r>
    <d v="2019-10-05T00:00:00"/>
    <s v="F.c. de Rositas"/>
    <s v="V@der SC"/>
    <x v="4"/>
    <n v="13.181818181818182"/>
    <n v="10"/>
    <n v="3"/>
    <n v="0.3"/>
  </r>
  <r>
    <d v="2019-10-07T00:00:00"/>
    <s v="Dinamo skiejef"/>
    <s v="V@der SC"/>
    <x v="5"/>
    <n v="13.181818181818182"/>
    <n v="7"/>
    <n v="4"/>
    <n v="0.5714285714285714"/>
  </r>
  <r>
    <d v="2019-10-07T00:00:00"/>
    <s v="Athletic MSS"/>
    <s v="V@der SC"/>
    <x v="5"/>
    <n v="13.181818181818182"/>
    <n v="7"/>
    <n v="2"/>
    <n v="0.2857142857142857"/>
  </r>
  <r>
    <d v="2019-10-07T00:00:00"/>
    <s v="V@der SC"/>
    <s v="Demos returns"/>
    <x v="5"/>
    <n v="13.181818181818182"/>
    <n v="12"/>
    <n v="3"/>
    <n v="0.25"/>
  </r>
  <r>
    <d v="2019-10-07T00:00:00"/>
    <s v="V@der SC"/>
    <s v="P.E.C. Zwolle"/>
    <x v="5"/>
    <n v="13.181818181818182"/>
    <n v="9"/>
    <n v="5"/>
    <n v="0.55555555555555558"/>
  </r>
  <r>
    <d v="2019-10-08T00:00:00"/>
    <s v="Luso Futebol do Dafundo"/>
    <s v="V@der SC"/>
    <x v="4"/>
    <n v="13.181818181818182"/>
    <n v="9"/>
    <n v="3"/>
    <n v="0.33333333333333331"/>
  </r>
  <r>
    <d v="2019-10-08T00:00:00"/>
    <s v="FC FLEW"/>
    <s v="V@der SC"/>
    <x v="5"/>
    <n v="13.181818181818182"/>
    <n v="10"/>
    <n v="5"/>
    <n v="0.5"/>
  </r>
  <r>
    <d v="2019-10-09T00:00:00"/>
    <s v="CF Crystynho 07"/>
    <s v="V@der SC"/>
    <x v="5"/>
    <n v="12.909090909090908"/>
    <n v="10"/>
    <n v="2"/>
    <n v="0.2"/>
  </r>
  <r>
    <d v="2019-10-10T00:00:00"/>
    <s v="V@der SC"/>
    <s v="Start Rudnik"/>
    <x v="4"/>
    <n v="12.909090909090908"/>
    <n v="8"/>
    <n v="3"/>
    <n v="0.375"/>
  </r>
  <r>
    <d v="2019-10-10T00:00:00"/>
    <s v="V@der SC"/>
    <s v="Vicers PS"/>
    <x v="5"/>
    <n v="12.909090909090908"/>
    <n v="7"/>
    <n v="3"/>
    <n v="0.42857142857142855"/>
  </r>
  <r>
    <d v="2019-10-10T00:00:00"/>
    <s v="V@der SC"/>
    <s v="Organización"/>
    <x v="5"/>
    <n v="12.909090909090908"/>
    <n v="8"/>
    <n v="3"/>
    <n v="0.375"/>
  </r>
  <r>
    <d v="2019-10-15T00:00:00"/>
    <s v="Legazpi de Maputo"/>
    <s v="V@der SC"/>
    <x v="4"/>
    <n v="12.909090909090908"/>
    <n v="8"/>
    <n v="3"/>
    <n v="0.375"/>
  </r>
  <r>
    <d v="2019-10-15T00:00:00"/>
    <s v="CMM Canoa Polo Triste"/>
    <s v="V@der SC"/>
    <x v="5"/>
    <n v="12.909090909090908"/>
    <n v="6"/>
    <n v="1"/>
    <n v="0.16666666666666666"/>
  </r>
  <r>
    <d v="2019-10-15T00:00:00"/>
    <s v="Gälka Warriors"/>
    <s v="V@der SC"/>
    <x v="5"/>
    <n v="12.909090909090908"/>
    <n v="9"/>
    <n v="4"/>
    <n v="0.44444444444444442"/>
  </r>
  <r>
    <d v="2019-10-16T00:00:00"/>
    <s v="V@der SC"/>
    <s v="Jyderups Jubelasnor"/>
    <x v="5"/>
    <n v="12.909090909090908"/>
    <n v="9"/>
    <n v="4"/>
    <n v="0.44444444444444442"/>
  </r>
  <r>
    <d v="2019-10-16T00:00:00"/>
    <s v="Die Nashorner Logans"/>
    <s v="V@der SC"/>
    <x v="5"/>
    <n v="12.909090909090908"/>
    <n v="7"/>
    <n v="3"/>
    <n v="0.42857142857142855"/>
  </r>
  <r>
    <d v="2019-10-16T00:00:00"/>
    <s v="V@der SC"/>
    <s v="CabaretVoltaire"/>
    <x v="5"/>
    <n v="12.909090909090908"/>
    <n v="6"/>
    <n v="2"/>
    <n v="0.33333333333333331"/>
  </r>
  <r>
    <d v="2019-10-17T00:00:00"/>
    <s v="V@der SC"/>
    <s v="UF_United"/>
    <x v="5"/>
    <n v="12.909090909090908"/>
    <n v="8"/>
    <n v="4"/>
    <n v="0.5"/>
  </r>
  <r>
    <d v="2019-10-26T00:00:00"/>
    <s v="V@der SC"/>
    <s v="Profesioteam."/>
    <x v="5"/>
    <m/>
    <n v="6"/>
    <n v="3"/>
    <n v="0.5"/>
  </r>
  <r>
    <d v="2019-11-02T00:00:00"/>
    <s v="Los Recios de Gonzus"/>
    <s v="V@der SC"/>
    <x v="5"/>
    <m/>
    <n v="8"/>
    <n v="4"/>
    <n v="0.5"/>
  </r>
  <r>
    <d v="2019-11-04T00:00:00"/>
    <s v="Thea F.C."/>
    <s v="V@der SC"/>
    <x v="6"/>
    <m/>
    <n v="6"/>
    <n v="3"/>
    <n v="0.5"/>
  </r>
  <r>
    <d v="2019-11-06T00:00:00"/>
    <s v="Papuchis CF"/>
    <s v="V@der SC"/>
    <x v="6"/>
    <m/>
    <n v="9"/>
    <n v="2"/>
    <n v="0.22222222222222221"/>
  </r>
  <r>
    <d v="2019-11-12T00:00:00"/>
    <s v="White Shark Team"/>
    <s v="V@der SC"/>
    <x v="6"/>
    <m/>
    <n v="8"/>
    <n v="3"/>
    <n v="0.375"/>
  </r>
  <r>
    <d v="2019-11-13T00:00:00"/>
    <s v="V@der SC"/>
    <s v="27_juni_2000"/>
    <x v="4"/>
    <m/>
    <n v="6"/>
    <n v="3"/>
    <n v="0.5"/>
  </r>
  <r>
    <d v="2019-11-16T00:00:00"/>
    <s v="FC Los Urrutias"/>
    <s v="V@der SC"/>
    <x v="7"/>
    <m/>
    <n v="9"/>
    <n v="4"/>
    <n v="0.44444444444444442"/>
  </r>
  <r>
    <d v="2019-11-18T00:00:00"/>
    <s v="Club de Catalunya"/>
    <s v="V@der SC"/>
    <x v="5"/>
    <m/>
    <n v="10"/>
    <n v="5"/>
    <n v="0.5"/>
  </r>
  <r>
    <d v="2019-11-20T00:00:00"/>
    <s v="V@der SC"/>
    <s v="tikitaca"/>
    <x v="7"/>
    <m/>
    <n v="7"/>
    <n v="2"/>
    <n v="0.2857142857142857"/>
  </r>
  <r>
    <d v="2019-11-23T00:00:00"/>
    <s v="V@der SC"/>
    <s v="Baden5400"/>
    <x v="7"/>
    <m/>
    <n v="7"/>
    <n v="2"/>
    <n v="0.2857142857142857"/>
  </r>
  <r>
    <d v="2019-11-25T00:00:00"/>
    <s v="V@der SC"/>
    <s v="Racmio F.C."/>
    <x v="5"/>
    <m/>
    <n v="6"/>
    <n v="2"/>
    <n v="0.33333333333333331"/>
  </r>
  <r>
    <d v="2019-11-27T00:00:00"/>
    <s v="V@der SC"/>
    <s v="Polgas Coin"/>
    <x v="5"/>
    <m/>
    <n v="6"/>
    <n v="3"/>
    <n v="0.5"/>
  </r>
  <r>
    <d v="2019-11-27T00:00:00"/>
    <s v="White Shark Team"/>
    <s v="V@der SC"/>
    <x v="5"/>
    <m/>
    <n v="7"/>
    <n v="2"/>
    <n v="0.2857142857142857"/>
  </r>
  <r>
    <d v="2019-11-30T00:00:00"/>
    <s v="CuatroK"/>
    <s v="V@der SC"/>
    <x v="5"/>
    <m/>
    <n v="8"/>
    <n v="3"/>
    <n v="0.375"/>
  </r>
  <r>
    <d v="2019-12-01T00:00:00"/>
    <s v="C.I.D. Tigers"/>
    <s v="V@der SC"/>
    <x v="5"/>
    <m/>
    <n v="6"/>
    <n v="3"/>
    <n v="0.5"/>
  </r>
  <r>
    <d v="2019-12-04T00:00:00"/>
    <s v="ventura c.f."/>
    <s v="V@der SC"/>
    <x v="6"/>
    <m/>
    <n v="7"/>
    <n v="3"/>
    <n v="0.42857142857142855"/>
  </r>
  <r>
    <d v="2019-12-05T00:00:00"/>
    <s v="LECH Poznan"/>
    <s v="V@der SC"/>
    <x v="6"/>
    <m/>
    <n v="8"/>
    <n v="3"/>
    <n v="0.375"/>
  </r>
  <r>
    <d v="2019-12-07T00:00:00"/>
    <s v="V@der SC"/>
    <s v="FC Kalambrazo"/>
    <x v="5"/>
    <m/>
    <n v="5"/>
    <n v="1"/>
    <n v="0.2"/>
  </r>
  <r>
    <d v="2019-12-11T00:00:00"/>
    <s v="V@der SC"/>
    <s v="Yarca Athletic"/>
    <x v="6"/>
    <m/>
    <n v="7"/>
    <n v="2"/>
    <n v="0.2857142857142857"/>
  </r>
  <r>
    <d v="2019-12-21T00:00:00"/>
    <s v="V@der SC"/>
    <s v="CuatroK"/>
    <x v="6"/>
    <m/>
    <n v="9"/>
    <n v="5"/>
    <n v="0.55555555555555558"/>
  </r>
  <r>
    <d v="2019-12-28T00:00:00"/>
    <s v="Baden5400"/>
    <s v="V@der SC"/>
    <x v="6"/>
    <m/>
    <n v="9"/>
    <n v="3"/>
    <n v="0.33333333333333331"/>
  </r>
  <r>
    <d v="2020-01-07T00:00:00"/>
    <s v="Fc De Rositas"/>
    <s v="V@der SC"/>
    <x v="7"/>
    <m/>
    <n v="9"/>
    <n v="4"/>
    <n v="0.44444444444444442"/>
  </r>
  <r>
    <d v="2020-01-11T00:00:00"/>
    <s v="HotNumbers"/>
    <s v="V@der SC"/>
    <x v="7"/>
    <m/>
    <n v="8"/>
    <n v="3"/>
    <n v="0.375"/>
  </r>
  <r>
    <d v="2020-01-11T00:00:00"/>
    <s v="shalke_temeto"/>
    <s v="V@der SC"/>
    <x v="7"/>
    <m/>
    <n v="9"/>
    <n v="4"/>
    <n v="0.44444444444444442"/>
  </r>
  <r>
    <d v="2020-01-18T00:00:00"/>
    <s v="V@der SC"/>
    <s v="Los Recios de Gonzus"/>
    <x v="6"/>
    <m/>
    <n v="7"/>
    <n v="2"/>
    <n v="0.2857142857142857"/>
  </r>
  <r>
    <d v="2020-01-24T00:00:00"/>
    <s v="Buchs FC"/>
    <s v="V@der SC"/>
    <x v="7"/>
    <m/>
    <n v="6"/>
    <n v="2"/>
    <n v="0.33333333333333331"/>
  </r>
  <r>
    <d v="2020-01-25T00:00:00"/>
    <s v="Profesioteam."/>
    <s v="V@der SC"/>
    <x v="6"/>
    <m/>
    <n v="7"/>
    <n v="3"/>
    <n v="0.42857142857142855"/>
  </r>
  <r>
    <d v="2020-02-01T00:00:00"/>
    <s v="Los de castellon"/>
    <s v="V@der SC"/>
    <x v="7"/>
    <m/>
    <n v="11"/>
    <n v="4"/>
    <n v="0.36363636363636365"/>
  </r>
  <r>
    <d v="2020-02-19T00:00:00"/>
    <s v="Cordura Bajo Cero"/>
    <s v="V@der SC"/>
    <x v="7"/>
    <m/>
    <n v="10"/>
    <n v="6"/>
    <n v="0.6"/>
  </r>
  <r>
    <d v="2020-02-22T00:00:00"/>
    <s v="Enxebre FC"/>
    <s v="V@der SC"/>
    <x v="8"/>
    <m/>
    <n v="10"/>
    <n v="4"/>
    <n v="0.4"/>
  </r>
  <r>
    <d v="2020-02-26T00:00:00"/>
    <s v="Lluisos de Gràcia"/>
    <s v="V@der SC"/>
    <x v="9"/>
    <m/>
    <n v="6"/>
    <n v="2"/>
    <n v="0.33333333333333331"/>
  </r>
  <r>
    <d v="2020-02-29T00:00:00"/>
    <s v="Lirio de Oña"/>
    <s v="V@der SC"/>
    <x v="8"/>
    <m/>
    <n v="8"/>
    <n v="2"/>
    <n v="0.25"/>
  </r>
  <r>
    <d v="2020-03-07T00:00:00"/>
    <s v="V@der SC"/>
    <s v="Menorca Horses"/>
    <x v="7"/>
    <m/>
    <n v="6"/>
    <n v="4"/>
    <n v="0.66666666666666663"/>
  </r>
  <r>
    <d v="2020-03-11T00:00:00"/>
    <s v="RRDG F.C."/>
    <s v="V@der SC"/>
    <x v="6"/>
    <m/>
    <n v="9"/>
    <n v="4"/>
    <n v="0.44444444444444442"/>
  </r>
  <r>
    <d v="2020-03-14T00:00:00"/>
    <s v="AKELARRE U.D."/>
    <s v="V@der SC"/>
    <x v="7"/>
    <m/>
    <n v="9"/>
    <n v="5"/>
    <n v="0.55555555555555558"/>
  </r>
  <r>
    <d v="2020-03-18T00:00:00"/>
    <s v="V@der SC"/>
    <s v="Granota UE"/>
    <x v="7"/>
    <m/>
    <n v="8"/>
    <n v="2"/>
    <n v="0.25"/>
  </r>
  <r>
    <d v="2020-03-20T00:00:00"/>
    <s v="V@der SC"/>
    <s v="GrimReapers"/>
    <x v="7"/>
    <m/>
    <n v="10"/>
    <n v="7"/>
    <n v="0.7"/>
  </r>
  <r>
    <d v="2020-03-21T00:00:00"/>
    <s v="V@der SC"/>
    <s v="Rayo Txamberi"/>
    <x v="9"/>
    <m/>
    <n v="8"/>
    <n v="3"/>
    <n v="0.375"/>
  </r>
  <r>
    <d v="2020-03-21T00:00:00"/>
    <s v="V@der SC"/>
    <s v="Xtra's"/>
    <x v="9"/>
    <m/>
    <n v="9"/>
    <n v="3"/>
    <n v="0.33333333333333331"/>
  </r>
  <r>
    <d v="2020-03-23T00:00:00"/>
    <s v="V@der SC"/>
    <s v="REALUSIA"/>
    <x v="7"/>
    <m/>
    <n v="10"/>
    <n v="5"/>
    <n v="0.5"/>
  </r>
  <r>
    <d v="2020-03-25T00:00:00"/>
    <s v="Mañariako taldea"/>
    <s v="V@der SC"/>
    <x v="7"/>
    <m/>
    <n v="9"/>
    <n v="3"/>
    <n v="0.33333333333333331"/>
  </r>
  <r>
    <d v="2020-03-26T00:00:00"/>
    <s v="V@der SC"/>
    <s v="ronkis78 FC"/>
    <x v="7"/>
    <m/>
    <n v="10"/>
    <n v="3"/>
    <n v="0.3"/>
  </r>
  <r>
    <d v="2020-03-26T00:00:00"/>
    <s v="V@der SC"/>
    <s v="Sporting Rukkel F.C."/>
    <x v="7"/>
    <m/>
    <n v="11"/>
    <n v="4"/>
    <n v="0.36363636363636365"/>
  </r>
  <r>
    <d v="2020-03-28T00:00:00"/>
    <s v="Amics del futbol"/>
    <s v="V@der SC"/>
    <x v="9"/>
    <m/>
    <n v="8"/>
    <n v="2"/>
    <n v="0.25"/>
  </r>
  <r>
    <d v="2020-04-04T00:00:00"/>
    <s v="V@der SC"/>
    <s v="Amics del futbol"/>
    <x v="8"/>
    <m/>
    <n v="9"/>
    <n v="4"/>
    <n v="0.44444444444444442"/>
  </r>
  <r>
    <d v="2020-04-08T00:00:00"/>
    <s v="TJ Zitenice"/>
    <s v="V@der SC"/>
    <x v="8"/>
    <m/>
    <n v="6"/>
    <n v="4"/>
    <n v="0.66666666666666663"/>
  </r>
  <r>
    <d v="2020-04-11T00:00:00"/>
    <s v="Rayo Txamberi"/>
    <s v="V@der SC"/>
    <x v="8"/>
    <m/>
    <n v="8"/>
    <n v="5"/>
    <n v="0.625"/>
  </r>
  <r>
    <d v="2020-04-18T00:00:00"/>
    <s v="V@der SC"/>
    <s v="AKELARRE U.D"/>
    <x v="9"/>
    <m/>
    <n v="7"/>
    <n v="2"/>
    <n v="0.2857142857142857"/>
  </r>
  <r>
    <d v="2020-04-22T00:00:00"/>
    <s v="martina titus cinta fc"/>
    <s v="V@der SC"/>
    <x v="9"/>
    <m/>
    <n v="9"/>
    <n v="4"/>
    <n v="0.44444444444444442"/>
  </r>
  <r>
    <d v="2020-04-25T00:00:00"/>
    <s v="Menorca Horses"/>
    <s v="V@der SC"/>
    <x v="10"/>
    <m/>
    <n v="9"/>
    <n v="4"/>
    <n v="0.44444444444444442"/>
  </r>
  <r>
    <d v="2020-04-28T00:00:00"/>
    <s v="martina titus cinta fc"/>
    <s v="V@der SC"/>
    <x v="10"/>
    <m/>
    <n v="9"/>
    <n v="5"/>
    <n v="0.55555555555555558"/>
  </r>
  <r>
    <d v="2020-05-02T00:00:00"/>
    <s v="V@der SC"/>
    <s v="Lirio de Oña"/>
    <x v="8"/>
    <m/>
    <n v="8"/>
    <n v="4"/>
    <n v="0.5"/>
  </r>
  <r>
    <d v="2020-05-09T00:00:00"/>
    <s v="V@der SC"/>
    <s v="Enxebre FC"/>
    <x v="10"/>
    <m/>
    <n v="7"/>
    <n v="4"/>
    <n v="0.5714285714285714"/>
  </r>
  <r>
    <d v="2020-05-16T00:00:00"/>
    <s v="Atlético Uzumaki"/>
    <s v="V@der SC"/>
    <x v="7"/>
    <m/>
    <n v="9"/>
    <n v="4"/>
    <n v="0.44444444444444442"/>
  </r>
  <r>
    <d v="2020-05-18T00:00:00"/>
    <s v="V@der SC"/>
    <s v="Fc kickers ZH"/>
    <x v="8"/>
    <m/>
    <n v="9"/>
    <n v="4"/>
    <n v="0.44444444444444442"/>
  </r>
  <r>
    <d v="2020-05-19T00:00:00"/>
    <s v="Brattforce"/>
    <s v="V@der SC"/>
    <x v="8"/>
    <m/>
    <n v="8"/>
    <n v="5"/>
    <n v="0.625"/>
  </r>
  <r>
    <d v="2020-05-19T00:00:00"/>
    <s v="El Dorado F.C"/>
    <s v="V@der SC"/>
    <x v="7"/>
    <m/>
    <n v="9"/>
    <n v="5"/>
    <n v="0.55555555555555558"/>
  </r>
  <r>
    <d v="2020-05-20T00:00:00"/>
    <s v="V@der SC"/>
    <s v="iSoccer"/>
    <x v="8"/>
    <m/>
    <n v="9"/>
    <n v="3"/>
    <n v="0.33333333333333331"/>
  </r>
  <r>
    <d v="2020-05-20T00:00:00"/>
    <s v="TIGRII FURIOSI"/>
    <s v="V@der SC"/>
    <x v="9"/>
    <m/>
    <n v="9"/>
    <n v="2"/>
    <n v="0.22222222222222221"/>
  </r>
  <r>
    <d v="2020-05-21T00:00:00"/>
    <s v="Royal lions 2"/>
    <s v="V@der SC"/>
    <x v="8"/>
    <m/>
    <n v="8"/>
    <n v="5"/>
    <n v="0.625"/>
  </r>
  <r>
    <d v="2020-05-21T00:00:00"/>
    <s v="V@der SC"/>
    <s v="Sant Andreu"/>
    <x v="9"/>
    <m/>
    <n v="5"/>
    <n v="2"/>
    <n v="0.4"/>
  </r>
  <r>
    <d v="2020-05-21T00:00:00"/>
    <s v="FC Myth"/>
    <s v="V@der SC"/>
    <x v="7"/>
    <m/>
    <n v="5"/>
    <n v="2"/>
    <n v="0.4"/>
  </r>
  <r>
    <d v="2020-05-22T00:00:00"/>
    <s v="Brocklers"/>
    <s v="V@der SC"/>
    <x v="7"/>
    <m/>
    <n v="10"/>
    <n v="4"/>
    <n v="0.4"/>
  </r>
  <r>
    <d v="2020-05-25T00:00:00"/>
    <s v="V@der SC"/>
    <s v="FC HV 1964"/>
    <x v="9"/>
    <m/>
    <n v="6"/>
    <n v="4"/>
    <n v="0.66666666666666663"/>
  </r>
  <r>
    <d v="2020-05-26T00:00:00"/>
    <s v="V@der SC"/>
    <s v="SALSEPAREILLE"/>
    <x v="8"/>
    <m/>
    <n v="6"/>
    <n v="4"/>
    <n v="0.66666666666666663"/>
  </r>
  <r>
    <d v="2020-05-26T00:00:00"/>
    <s v="Divine Overconfidence"/>
    <s v="V@der SC"/>
    <x v="8"/>
    <m/>
    <n v="8"/>
    <n v="3"/>
    <n v="0.375"/>
  </r>
  <r>
    <d v="2020-05-26T00:00:00"/>
    <s v="Os Marcos do Nordeste"/>
    <s v="V@der SC"/>
    <x v="8"/>
    <m/>
    <n v="6"/>
    <n v="2"/>
    <n v="0.33333333333333331"/>
  </r>
  <r>
    <d v="2020-05-27T00:00:00"/>
    <s v="V@der SC"/>
    <s v="Lazio Princes Town"/>
    <x v="8"/>
    <m/>
    <n v="7"/>
    <n v="3"/>
    <n v="0.42857142857142855"/>
  </r>
  <r>
    <d v="2020-05-27T00:00:00"/>
    <s v="SS Scappati di Casa"/>
    <s v="V@der SC"/>
    <x v="8"/>
    <m/>
    <n v="7"/>
    <n v="3"/>
    <n v="0.42857142857142855"/>
  </r>
  <r>
    <d v="2020-05-27T00:00:00"/>
    <s v="V@der SC"/>
    <s v="FC Glasscherbenviertel"/>
    <x v="10"/>
    <m/>
    <n v="9"/>
    <n v="4"/>
    <n v="0.44444444444444442"/>
  </r>
  <r>
    <d v="2020-05-28T00:00:00"/>
    <s v="V@der SC"/>
    <s v="Blues Nord"/>
    <x v="8"/>
    <m/>
    <n v="7"/>
    <n v="4"/>
    <n v="0.5714285714285714"/>
  </r>
  <r>
    <d v="2020-05-28T00:00:00"/>
    <s v="V@der SC"/>
    <s v="Juventus de kudus"/>
    <x v="8"/>
    <m/>
    <n v="8"/>
    <n v="3"/>
    <n v="0.375"/>
  </r>
  <r>
    <d v="2020-05-28T00:00:00"/>
    <s v="Clerks II"/>
    <s v="V@der SC"/>
    <x v="10"/>
    <m/>
    <n v="8"/>
    <n v="3"/>
    <n v="0.375"/>
  </r>
  <r>
    <d v="2020-06-06T00:00:00"/>
    <s v="Amics del futbol"/>
    <s v="V@der SC"/>
    <x v="8"/>
    <m/>
    <n v="7"/>
    <n v="3"/>
    <n v="0.42857142857142855"/>
  </r>
  <r>
    <d v="2020-06-10T00:00:00"/>
    <s v="PIRA TEAM"/>
    <s v="V@der SC"/>
    <x v="3"/>
    <m/>
    <n v="5"/>
    <n v="1"/>
    <n v="0.2"/>
  </r>
  <r>
    <d v="2020-06-13T00:00:00"/>
    <m/>
    <s v="C.D. Badajoz"/>
    <x v="9"/>
    <m/>
    <n v="7"/>
    <n v="3"/>
    <n v="0.42857142857142855"/>
  </r>
  <r>
    <d v="2020-06-17T00:00:00"/>
    <s v="C.F. Establiments"/>
    <m/>
    <x v="7"/>
    <m/>
    <n v="5"/>
    <n v="2"/>
    <n v="0.4"/>
  </r>
  <r>
    <d v="2020-06-20T00:00:00"/>
    <s v="AKELARRE U.D."/>
    <m/>
    <x v="8"/>
    <m/>
    <n v="9"/>
    <n v="4"/>
    <n v="0.44444444444444442"/>
  </r>
  <r>
    <d v="2020-06-24T00:00:00"/>
    <s v="Lucentum!!!!!"/>
    <m/>
    <x v="9"/>
    <m/>
    <n v="9"/>
    <n v="5"/>
    <n v="0.55555555555555558"/>
  </r>
  <r>
    <d v="2020-06-25T00:00:00"/>
    <s v="C.E. Badalona S.A.D."/>
    <m/>
    <x v="8"/>
    <m/>
    <n v="8"/>
    <n v="5"/>
    <n v="0.625"/>
  </r>
  <r>
    <d v="2020-06-26T00:00:00"/>
    <s v="CSIII"/>
    <m/>
    <x v="10"/>
    <m/>
    <n v="7"/>
    <n v="3"/>
    <n v="0.42857142857142855"/>
  </r>
  <r>
    <d v="2020-06-28T00:00:00"/>
    <m/>
    <s v="FC Aversi"/>
    <x v="10"/>
    <m/>
    <n v="7"/>
    <n v="2"/>
    <n v="0.2857142857142857"/>
  </r>
  <r>
    <d v="2020-06-30T00:00:00"/>
    <s v="Bayern de Sants"/>
    <m/>
    <x v="10"/>
    <m/>
    <n v="7"/>
    <n v="4"/>
    <n v="0.5714285714285714"/>
  </r>
  <r>
    <d v="2020-07-01T00:00:00"/>
    <s v="abrams"/>
    <m/>
    <x v="8"/>
    <m/>
    <n v="7"/>
    <n v="2"/>
    <n v="0.2857142857142857"/>
  </r>
  <r>
    <d v="2020-07-02T00:00:00"/>
    <m/>
    <s v="Estel Roig Genovès"/>
    <x v="10"/>
    <m/>
    <n v="9"/>
    <n v="6"/>
    <n v="0.66666666666666663"/>
  </r>
  <r>
    <d v="2020-07-03T00:00:00"/>
    <s v="Cosecha Roja"/>
    <m/>
    <x v="10"/>
    <m/>
    <n v="7"/>
    <n v="2"/>
    <n v="0.2857142857142857"/>
  </r>
  <r>
    <d v="2020-07-05T00:00:00"/>
    <s v="AVG Hostafrancs"/>
    <m/>
    <x v="10"/>
    <m/>
    <n v="9"/>
    <n v="5"/>
    <n v="0.55555555555555558"/>
  </r>
  <r>
    <d v="2020-07-07T00:00:00"/>
    <m/>
    <s v="FC Virrei Amat"/>
    <x v="10"/>
    <m/>
    <n v="9"/>
    <n v="5"/>
    <n v="0.55555555555555558"/>
  </r>
  <r>
    <d v="2020-07-08T00:00:00"/>
    <s v="Som-hi un altre cop!!"/>
    <m/>
    <x v="8"/>
    <m/>
    <n v="8"/>
    <n v="2"/>
    <n v="0.25"/>
  </r>
  <r>
    <d v="2020-07-11T00:00:00"/>
    <s v="La gabarra a pique"/>
    <m/>
    <x v="10"/>
    <m/>
    <n v="8"/>
    <n v="5"/>
    <n v="0.625"/>
  </r>
  <r>
    <d v="2020-07-14T00:00:00"/>
    <s v="Birreri Sabadell"/>
    <m/>
    <x v="10"/>
    <m/>
    <n v="9"/>
    <n v="5"/>
    <n v="0.55555555555555558"/>
  </r>
  <r>
    <d v="2020-07-15T00:00:00"/>
    <s v="coco's tema"/>
    <m/>
    <x v="9"/>
    <m/>
    <n v="9"/>
    <n v="4"/>
    <n v="0.44444444444444442"/>
  </r>
  <r>
    <d v="2020-07-16T00:00:00"/>
    <m/>
    <s v="Monkey 47"/>
    <x v="8"/>
    <m/>
    <n v="9"/>
    <n v="4"/>
    <n v="0.44444444444444442"/>
  </r>
  <r>
    <d v="2020-07-17T00:00:00"/>
    <s v="Treskitos Team"/>
    <m/>
    <x v="10"/>
    <m/>
    <n v="8"/>
    <n v="3"/>
    <n v="0.375"/>
  </r>
  <r>
    <d v="2020-07-18T00:00:00"/>
    <m/>
    <s v="AS Nano CF"/>
    <x v="8"/>
    <m/>
    <n v="10"/>
    <n v="4"/>
    <n v="0.4"/>
  </r>
  <r>
    <d v="2020-07-19T00:00:00"/>
    <s v="Inedit CF"/>
    <m/>
    <x v="8"/>
    <m/>
    <n v="8"/>
    <n v="3"/>
    <n v="0.375"/>
  </r>
  <r>
    <d v="2020-07-21T00:00:00"/>
    <m/>
    <s v="SE Europa"/>
    <x v="10"/>
    <m/>
    <n v="7"/>
    <n v="3"/>
    <n v="0.42857142857142855"/>
  </r>
  <r>
    <d v="2020-07-22T00:00:00"/>
    <m/>
    <s v="Sinsen Racing Club"/>
    <x v="8"/>
    <m/>
    <n v="3"/>
    <n v="2"/>
    <n v="0.66666666666666663"/>
  </r>
  <r>
    <d v="2020-07-23T00:00:00"/>
    <m/>
    <s v="Real Mollet"/>
    <x v="8"/>
    <m/>
    <n v="7"/>
    <n v="4"/>
    <n v="0.5714285714285714"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  <r>
    <m/>
    <m/>
    <m/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s v="1. Rodolfo Rinaldo Paso "/>
    <n v="7"/>
    <s v="Actual"/>
    <x v="0"/>
  </r>
  <r>
    <s v="10. Leandro Faias "/>
    <n v="1"/>
    <s v="Actual"/>
    <x v="1"/>
  </r>
  <r>
    <s v="11. Francesc Añigas "/>
    <n v="1"/>
    <s v="Actual"/>
    <x v="2"/>
  </r>
  <r>
    <s v="12. Cosme Fonteboa "/>
    <n v="1"/>
    <s v="Actual"/>
    <x v="3"/>
  </r>
  <r>
    <s v="2. Nicolás Galaz "/>
    <n v="4"/>
    <s v="Actual"/>
    <x v="4"/>
  </r>
  <r>
    <s v="3. Julian Gräbitz "/>
    <n v="4"/>
    <s v="Actual"/>
    <x v="5"/>
  </r>
  <r>
    <s v="4. Berto Abandero "/>
    <n v="3"/>
    <s v="Actual"/>
    <x v="6"/>
  </r>
  <r>
    <s v="5. Enrique Cubas "/>
    <n v="3"/>
    <s v="Actual"/>
    <x v="7"/>
  </r>
  <r>
    <s v="6. Valeri Gomis "/>
    <n v="3"/>
    <s v="Actual"/>
    <x v="8"/>
  </r>
  <r>
    <s v="7. Wil Duffill "/>
    <n v="2"/>
    <s v="Actual"/>
    <x v="9"/>
  </r>
  <r>
    <s v="8. Juan García Peñuela "/>
    <n v="2"/>
    <s v="Actual"/>
    <x v="10"/>
  </r>
  <r>
    <s v="9. Meraj Siddiqui "/>
    <n v="2"/>
    <s v="Actual"/>
    <x v="11"/>
  </r>
  <r>
    <s v="1. Enrique Cubas "/>
    <n v="19"/>
    <s v="x"/>
    <x v="7"/>
  </r>
  <r>
    <s v="1. Enrique Cubas "/>
    <n v="10"/>
    <s v="x"/>
    <x v="7"/>
  </r>
  <r>
    <s v="1. Enrique Cubas "/>
    <n v="9"/>
    <s v="x"/>
    <x v="7"/>
  </r>
  <r>
    <s v="1. Enrique Cubas "/>
    <n v="8"/>
    <s v="x"/>
    <x v="7"/>
  </r>
  <r>
    <s v="1. Rodolfo Rinaldo Paso "/>
    <n v="12"/>
    <s v="x"/>
    <x v="0"/>
  </r>
  <r>
    <s v="1. Rodolfo Rinaldo Paso "/>
    <n v="14"/>
    <s v="x"/>
    <x v="0"/>
  </r>
  <r>
    <s v="1. Rodolfo Rinaldo Paso "/>
    <n v="10"/>
    <s v="x"/>
    <x v="0"/>
  </r>
  <r>
    <s v="1. Wil Duffill "/>
    <n v="6"/>
    <s v="x"/>
    <x v="9"/>
  </r>
  <r>
    <s v="10. Berto Abandero "/>
    <n v="2"/>
    <s v="x"/>
    <x v="6"/>
  </r>
  <r>
    <s v="10. Francesc Añigas "/>
    <n v="2"/>
    <s v="x"/>
    <x v="2"/>
  </r>
  <r>
    <s v="10. Iván Real Figueroa "/>
    <n v="2"/>
    <s v="x"/>
    <x v="12"/>
  </r>
  <r>
    <s v="10. Valeri Gomis "/>
    <n v="4"/>
    <s v="x"/>
    <x v="8"/>
  </r>
  <r>
    <s v="10. Valeri Gomis "/>
    <n v="3"/>
    <s v="x"/>
    <x v="8"/>
  </r>
  <r>
    <s v="10. Valeri Gomis "/>
    <n v="1"/>
    <s v="x"/>
    <x v="8"/>
  </r>
  <r>
    <s v="10. Venanci Oset "/>
    <n v="3"/>
    <s v="x"/>
    <x v="13"/>
  </r>
  <r>
    <s v="11. Berto Abandero "/>
    <n v="1"/>
    <s v="x"/>
    <x v="6"/>
  </r>
  <r>
    <s v="11. Iván Real Figueroa "/>
    <n v="3"/>
    <s v="x"/>
    <x v="12"/>
  </r>
  <r>
    <s v="11. Leandro Faias "/>
    <n v="3"/>
    <s v="x"/>
    <x v="1"/>
  </r>
  <r>
    <s v="11. Venanci Oset "/>
    <n v="2"/>
    <s v="x"/>
    <x v="13"/>
  </r>
  <r>
    <s v="12. Berto Abandero "/>
    <n v="2"/>
    <s v="x"/>
    <x v="6"/>
  </r>
  <r>
    <s v="12. Francesc Añigas "/>
    <n v="3"/>
    <s v="x"/>
    <x v="2"/>
  </r>
  <r>
    <s v="12. Francesc Añigas "/>
    <n v="2"/>
    <s v="x"/>
    <x v="2"/>
  </r>
  <r>
    <s v="12. Iván Real Figueroa "/>
    <n v="1"/>
    <s v="x"/>
    <x v="12"/>
  </r>
  <r>
    <s v="12. Valeri Gomis "/>
    <n v="1"/>
    <s v="x"/>
    <x v="8"/>
  </r>
  <r>
    <s v="12. Valeri Gomis "/>
    <n v="1"/>
    <s v="x"/>
    <x v="8"/>
  </r>
  <r>
    <s v="12. Venanci Oset "/>
    <n v="2"/>
    <s v="x"/>
    <x v="13"/>
  </r>
  <r>
    <s v="12. Wil Duffill "/>
    <n v="1"/>
    <s v="x"/>
    <x v="9"/>
  </r>
  <r>
    <s v="13. Guillermo Pedrajas "/>
    <n v="2"/>
    <s v="x"/>
    <x v="14"/>
  </r>
  <r>
    <s v="13. Guillermo Pedrajas "/>
    <n v="2"/>
    <s v="x"/>
    <x v="14"/>
  </r>
  <r>
    <s v="13. Iván Real Figueroa "/>
    <n v="1"/>
    <s v="x"/>
    <x v="12"/>
  </r>
  <r>
    <s v="13. Iván Real Figueroa "/>
    <n v="2"/>
    <s v="x"/>
    <x v="12"/>
  </r>
  <r>
    <s v="13. Leandro Faias "/>
    <n v="3"/>
    <s v="x"/>
    <x v="1"/>
  </r>
  <r>
    <s v="14. Berto Abandero "/>
    <n v="2"/>
    <s v="x"/>
    <x v="6"/>
  </r>
  <r>
    <s v="14. Berto Abandero "/>
    <n v="1"/>
    <s v="x"/>
    <x v="6"/>
  </r>
  <r>
    <s v="14. Francesc Añigas "/>
    <n v="1"/>
    <s v="x"/>
    <x v="2"/>
  </r>
  <r>
    <s v="14. Iván Real Figueroa "/>
    <n v="2"/>
    <s v="x"/>
    <x v="12"/>
  </r>
  <r>
    <s v="14. Iván Real Figueroa "/>
    <n v="1"/>
    <s v="x"/>
    <x v="12"/>
  </r>
  <r>
    <s v="14. Valeri Gomis "/>
    <n v="2"/>
    <s v="x"/>
    <x v="8"/>
  </r>
  <r>
    <s v="14. Venanci Oset "/>
    <n v="1"/>
    <s v="x"/>
    <x v="13"/>
  </r>
  <r>
    <s v="15. Guillermo Pedrajas "/>
    <n v="1"/>
    <s v="x"/>
    <x v="14"/>
  </r>
  <r>
    <s v="15. Iván Real Figueroa "/>
    <n v="1"/>
    <s v="x"/>
    <x v="12"/>
  </r>
  <r>
    <s v="16. Cosme Fonteboa "/>
    <n v="1"/>
    <s v="x"/>
    <x v="3"/>
  </r>
  <r>
    <s v="16. Guillermo Pedrajas "/>
    <n v="1"/>
    <s v="x"/>
    <x v="14"/>
  </r>
  <r>
    <s v="17. Cosme Fonteboa "/>
    <n v="1"/>
    <s v="x"/>
    <x v="3"/>
  </r>
  <r>
    <s v="2. Enrique Cubas "/>
    <n v="8"/>
    <s v="x"/>
    <x v="7"/>
  </r>
  <r>
    <s v="2. Francesc Añigas "/>
    <n v="6"/>
    <s v="x"/>
    <x v="2"/>
  </r>
  <r>
    <s v="2. Francesc Añigas "/>
    <n v="3"/>
    <s v="x"/>
    <x v="2"/>
  </r>
  <r>
    <s v="2. Juan García Peñuela "/>
    <n v="5"/>
    <s v="x"/>
    <x v="10"/>
  </r>
  <r>
    <s v="2. Wil Duffill "/>
    <n v="15"/>
    <s v="x"/>
    <x v="9"/>
  </r>
  <r>
    <s v="2. Wil Duffill "/>
    <n v="9"/>
    <s v="x"/>
    <x v="9"/>
  </r>
  <r>
    <s v="3. Enrique Cubas "/>
    <n v="7"/>
    <s v="x"/>
    <x v="7"/>
  </r>
  <r>
    <s v="3. Enrique Cubas "/>
    <n v="8"/>
    <s v="x"/>
    <x v="7"/>
  </r>
  <r>
    <s v="3. Enrique Cubas "/>
    <n v="12"/>
    <s v="x"/>
    <x v="7"/>
  </r>
  <r>
    <s v="3. Enrique Cubas "/>
    <n v="4"/>
    <s v="x"/>
    <x v="7"/>
  </r>
  <r>
    <s v="3. Meraj Siddiqui "/>
    <n v="13"/>
    <s v="x"/>
    <x v="11"/>
  </r>
  <r>
    <s v="3. Wil Duffill "/>
    <n v="8"/>
    <s v="x"/>
    <x v="9"/>
  </r>
  <r>
    <s v="4. Juan García Peñuela "/>
    <n v="6"/>
    <s v="x"/>
    <x v="10"/>
  </r>
  <r>
    <s v="4. Juan García Peñuela "/>
    <n v="7"/>
    <s v="x"/>
    <x v="10"/>
  </r>
  <r>
    <s v="4. Juan García Peñuela "/>
    <n v="4"/>
    <s v="x"/>
    <x v="10"/>
  </r>
  <r>
    <s v="4. Juan García Peñuela "/>
    <n v="2"/>
    <s v="x"/>
    <x v="10"/>
  </r>
  <r>
    <s v="4. Julian Gräbitz "/>
    <n v="6"/>
    <s v="x"/>
    <x v="5"/>
  </r>
  <r>
    <s v="4. Rodolfo Rinaldo Paso "/>
    <n v="12"/>
    <s v="x"/>
    <x v="0"/>
  </r>
  <r>
    <s v="4. Valeri Gomis "/>
    <n v="2"/>
    <s v="x"/>
    <x v="8"/>
  </r>
  <r>
    <s v="4. Wil Duffill "/>
    <n v="6"/>
    <s v="x"/>
    <x v="9"/>
  </r>
  <r>
    <s v="4. Wil Duffill "/>
    <n v="5"/>
    <s v="x"/>
    <x v="9"/>
  </r>
  <r>
    <s v="5. Francesc Añigas "/>
    <n v="6"/>
    <s v="x"/>
    <x v="2"/>
  </r>
  <r>
    <s v="5. Guillermo Pedrajas "/>
    <n v="5"/>
    <s v="x"/>
    <x v="14"/>
  </r>
  <r>
    <s v="5. Guillermo Pedrajas "/>
    <n v="4"/>
    <s v="x"/>
    <x v="14"/>
  </r>
  <r>
    <s v="5. Juan García Peñuela "/>
    <n v="5"/>
    <s v="x"/>
    <x v="10"/>
  </r>
  <r>
    <s v="5. Julian Gräbitz "/>
    <n v="6"/>
    <s v="x"/>
    <x v="5"/>
  </r>
  <r>
    <s v="5. Julian Gräbitz "/>
    <n v="6"/>
    <s v="x"/>
    <x v="5"/>
  </r>
  <r>
    <s v="5. Nicolás Galaz "/>
    <n v="6"/>
    <s v="x"/>
    <x v="4"/>
  </r>
  <r>
    <s v="5. Valeri Gomis "/>
    <n v="6"/>
    <s v="x"/>
    <x v="8"/>
  </r>
  <r>
    <s v="6. Berto Abandero "/>
    <n v="3"/>
    <s v="x"/>
    <x v="6"/>
  </r>
  <r>
    <s v="6. Enrique Cubas "/>
    <n v="6"/>
    <s v="x"/>
    <x v="7"/>
  </r>
  <r>
    <s v="6. Guillermo Pedrajas "/>
    <n v="4"/>
    <s v="x"/>
    <x v="14"/>
  </r>
  <r>
    <s v="6. Juan García Peñuela "/>
    <n v="5"/>
    <s v="x"/>
    <x v="10"/>
  </r>
  <r>
    <s v="6. Valeri Gomis "/>
    <n v="5"/>
    <s v="x"/>
    <x v="8"/>
  </r>
  <r>
    <s v="6. Wil Duffill "/>
    <n v="6"/>
    <s v="x"/>
    <x v="9"/>
  </r>
  <r>
    <s v="6. Wil Duffill "/>
    <n v="6"/>
    <s v="x"/>
    <x v="9"/>
  </r>
  <r>
    <s v="7. Enrique Cubas "/>
    <n v="4"/>
    <s v="x"/>
    <x v="7"/>
  </r>
  <r>
    <s v="7. Francesc Añigas "/>
    <n v="5"/>
    <s v="x"/>
    <x v="2"/>
  </r>
  <r>
    <s v="7. Francesc Añigas "/>
    <n v="5"/>
    <s v="x"/>
    <x v="2"/>
  </r>
  <r>
    <s v="7. Francesc Añigas "/>
    <n v="5"/>
    <s v="x"/>
    <x v="2"/>
  </r>
  <r>
    <s v="7. Guillermo Pedrajas "/>
    <n v="5"/>
    <s v="x"/>
    <x v="14"/>
  </r>
  <r>
    <s v="7. Juan García Peñuela "/>
    <n v="2"/>
    <s v="x"/>
    <x v="10"/>
  </r>
  <r>
    <s v="7. Julian Gräbitz "/>
    <n v="4"/>
    <s v="x"/>
    <x v="5"/>
  </r>
  <r>
    <s v="8. Berto Abandero "/>
    <n v="1"/>
    <s v="x"/>
    <x v="6"/>
  </r>
  <r>
    <s v="8. Juan García Peñuela "/>
    <n v="3"/>
    <s v="x"/>
    <x v="10"/>
  </r>
  <r>
    <s v="8. Juan García Peñuela "/>
    <n v="3"/>
    <s v="x"/>
    <x v="10"/>
  </r>
  <r>
    <s v="8. Meraj Siddiqui "/>
    <n v="4"/>
    <s v="x"/>
    <x v="11"/>
  </r>
  <r>
    <s v="8. Valeri Gomis "/>
    <n v="3"/>
    <s v="x"/>
    <x v="8"/>
  </r>
  <r>
    <s v="8. Venanci Oset "/>
    <n v="5"/>
    <s v="x"/>
    <x v="13"/>
  </r>
  <r>
    <s v="9. Berto Abandero "/>
    <n v="3"/>
    <s v="x"/>
    <x v="6"/>
  </r>
  <r>
    <s v="9. Juan García Peñuela "/>
    <n v="3"/>
    <s v="x"/>
    <x v="10"/>
  </r>
  <r>
    <s v="9. Julian Gräbitz "/>
    <n v="3"/>
    <s v="x"/>
    <x v="5"/>
  </r>
  <r>
    <s v="9. Wil Duffill "/>
    <n v="3"/>
    <s v="x"/>
    <x v="9"/>
  </r>
  <r>
    <s v="1. Adam Moss "/>
    <n v="15"/>
    <m/>
    <x v="15"/>
  </r>
  <r>
    <s v="1. Augustin Demaison "/>
    <n v="8"/>
    <m/>
    <x v="16"/>
  </r>
  <r>
    <s v="1. Brunon Chuda "/>
    <n v="10"/>
    <m/>
    <x v="17"/>
  </r>
  <r>
    <s v="1. David Garcia-Spiess "/>
    <n v="6"/>
    <m/>
    <x v="18"/>
  </r>
  <r>
    <s v="1. Emilio Rojas "/>
    <n v="11"/>
    <m/>
    <x v="19"/>
  </r>
  <r>
    <s v="1. Erik Lemming "/>
    <n v="7"/>
    <m/>
    <x v="20"/>
  </r>
  <r>
    <s v="1. Ilari Santasalmi "/>
    <n v="2"/>
    <m/>
    <x v="21"/>
  </r>
  <r>
    <s v="1. Joãozinho do Mato "/>
    <n v="15"/>
    <m/>
    <x v="22"/>
  </r>
  <r>
    <s v="1. Leo Hilpinen "/>
    <n v="17"/>
    <m/>
    <x v="23"/>
  </r>
  <r>
    <s v="1. Leonardo Baltico "/>
    <n v="18"/>
    <m/>
    <x v="24"/>
  </r>
  <r>
    <s v="1. Leonardo Baltico "/>
    <n v="12"/>
    <m/>
    <x v="24"/>
  </r>
  <r>
    <s v="1. Leonardo Baltico "/>
    <n v="14"/>
    <m/>
    <x v="24"/>
  </r>
  <r>
    <s v="1. Malte Neulinger "/>
    <n v="9"/>
    <m/>
    <x v="25"/>
  </r>
  <r>
    <s v="1. Malte Neulinger "/>
    <n v="7"/>
    <m/>
    <x v="25"/>
  </r>
  <r>
    <s v="1. Malte Neulinger "/>
    <n v="9"/>
    <m/>
    <x v="25"/>
  </r>
  <r>
    <s v="1. Manolo Negrín "/>
    <n v="6"/>
    <m/>
    <x v="26"/>
  </r>
  <r>
    <s v="1. Martin Kilev "/>
    <n v="6"/>
    <m/>
    <x v="27"/>
  </r>
  <r>
    <s v="1. Melcior Calmet "/>
    <n v="9"/>
    <m/>
    <x v="28"/>
  </r>
  <r>
    <s v="1. Nikolas Lakkotripi "/>
    <n v="14"/>
    <m/>
    <x v="29"/>
  </r>
  <r>
    <s v="1. Pere Beltran "/>
    <n v="8"/>
    <m/>
    <x v="30"/>
  </r>
  <r>
    <s v="1. Roelant Bierman "/>
    <n v="14"/>
    <m/>
    <x v="31"/>
  </r>
  <r>
    <s v="1. Saúl Piña "/>
    <n v="15"/>
    <m/>
    <x v="32"/>
  </r>
  <r>
    <s v="1. Saúl Piña "/>
    <n v="13"/>
    <m/>
    <x v="32"/>
  </r>
  <r>
    <s v="1. Saúl Piña "/>
    <n v="22"/>
    <m/>
    <x v="32"/>
  </r>
  <r>
    <s v="10. ? (Ho) ?? (Minwei) "/>
    <n v="3"/>
    <m/>
    <x v="33"/>
  </r>
  <r>
    <s v="10. Adamantios Fikias "/>
    <n v="2"/>
    <m/>
    <x v="34"/>
  </r>
  <r>
    <s v="10. Andrija Miškovic "/>
    <n v="1"/>
    <m/>
    <x v="35"/>
  </r>
  <r>
    <s v="10. Andrin Bärtsch "/>
    <n v="4"/>
    <m/>
    <x v="36"/>
  </r>
  <r>
    <s v="10. Antoine Dupré "/>
    <n v="4"/>
    <m/>
    <x v="37"/>
  </r>
  <r>
    <s v="10. Antoine Dupré "/>
    <n v="6"/>
    <m/>
    <x v="37"/>
  </r>
  <r>
    <s v="10. Cezary Pauch "/>
    <n v="2"/>
    <m/>
    <x v="38"/>
  </r>
  <r>
    <s v="10. Clifford Smallwood "/>
    <n v="3"/>
    <m/>
    <x v="39"/>
  </r>
  <r>
    <s v="10. Eckardt Hägerling "/>
    <n v="1"/>
    <m/>
    <x v="40"/>
  </r>
  <r>
    <s v="10. Erik Lemming "/>
    <n v="3"/>
    <m/>
    <x v="20"/>
  </r>
  <r>
    <s v="10. Fabien Goncalves "/>
    <n v="2"/>
    <m/>
    <x v="41"/>
  </r>
  <r>
    <s v="10. Gregor Freischläger "/>
    <n v="3"/>
    <m/>
    <x v="42"/>
  </r>
  <r>
    <s v="10. Jacobo Ferrueros "/>
    <n v="2"/>
    <m/>
    <x v="43"/>
  </r>
  <r>
    <s v="10. Jorge Walter Whitaker "/>
    <n v="2"/>
    <m/>
    <x v="44"/>
  </r>
  <r>
    <s v="10. Jurgen Muësen "/>
    <n v="2"/>
    <m/>
    <x v="45"/>
  </r>
  <r>
    <s v="10. Károly Serfel "/>
    <n v="3"/>
    <m/>
    <x v="46"/>
  </r>
  <r>
    <s v="10. Lars Pouilliers "/>
    <n v="1"/>
    <m/>
    <x v="47"/>
  </r>
  <r>
    <s v="10. Manolo Negrín "/>
    <n v="2"/>
    <m/>
    <x v="26"/>
  </r>
  <r>
    <s v="10. Markus Currie "/>
    <n v="2"/>
    <m/>
    <x v="48"/>
  </r>
  <r>
    <s v="10. Morgan Thomas "/>
    <n v="1"/>
    <m/>
    <x v="49"/>
  </r>
  <r>
    <s v="10. Nicolai Stentoft "/>
    <n v="4"/>
    <m/>
    <x v="50"/>
  </r>
  <r>
    <s v="10. Ofek Azuri "/>
    <n v="2"/>
    <m/>
    <x v="51"/>
  </r>
  <r>
    <s v="10. Olli Rambow "/>
    <n v="1"/>
    <m/>
    <x v="52"/>
  </r>
  <r>
    <s v="10. Roberto Montero "/>
    <n v="1"/>
    <m/>
    <x v="53"/>
  </r>
  <r>
    <s v="10. Saúl Piña "/>
    <n v="5"/>
    <m/>
    <x v="32"/>
  </r>
  <r>
    <s v="11. Adamantios Fikias "/>
    <n v="4"/>
    <m/>
    <x v="34"/>
  </r>
  <r>
    <s v="11. Adolfo Vitulli "/>
    <n v="1"/>
    <m/>
    <x v="54"/>
  </r>
  <r>
    <s v="11. Aleksi Alarotu "/>
    <n v="5"/>
    <m/>
    <x v="55"/>
  </r>
  <r>
    <s v="11. Aureliusz Staszczuk "/>
    <n v="2"/>
    <m/>
    <x v="56"/>
  </r>
  <r>
    <s v="11. Barnabás Borsányi "/>
    <n v="1"/>
    <m/>
    <x v="57"/>
  </r>
  <r>
    <s v="11. Boleslaw Starzomski "/>
    <n v="1"/>
    <m/>
    <x v="58"/>
  </r>
  <r>
    <s v="11. Emilio Mochelato "/>
    <n v="1"/>
    <m/>
    <x v="59"/>
  </r>
  <r>
    <s v="11. Fabien Fabre "/>
    <n v="2"/>
    <m/>
    <x v="60"/>
  </r>
  <r>
    <s v="11. Fabien Fabre "/>
    <n v="1"/>
    <m/>
    <x v="60"/>
  </r>
  <r>
    <s v="11. Honesto Cousa "/>
    <n v="3"/>
    <m/>
    <x v="61"/>
  </r>
  <r>
    <s v="11. Karl Edwin "/>
    <n v="2"/>
    <m/>
    <x v="62"/>
  </r>
  <r>
    <s v="11. Lars Pouilliers "/>
    <n v="4"/>
    <m/>
    <x v="47"/>
  </r>
  <r>
    <s v="11. Leonardo Baltico "/>
    <n v="3"/>
    <m/>
    <x v="24"/>
  </r>
  <r>
    <s v="11. Martin Kilev "/>
    <n v="1"/>
    <m/>
    <x v="27"/>
  </r>
  <r>
    <s v="11. Miguel Fernández "/>
    <n v="2"/>
    <m/>
    <x v="63"/>
  </r>
  <r>
    <s v="11. Miguel Fernández "/>
    <n v="2"/>
    <m/>
    <x v="63"/>
  </r>
  <r>
    <s v="11. Morgan Thomas "/>
    <n v="2"/>
    <m/>
    <x v="49"/>
  </r>
  <r>
    <s v="11. Patrick Werner "/>
    <n v="3"/>
    <m/>
    <x v="64"/>
  </r>
  <r>
    <s v="11. Percy Alfredsson "/>
    <n v="2"/>
    <m/>
    <x v="65"/>
  </r>
  <r>
    <s v="11. Pere Beltran "/>
    <n v="2"/>
    <m/>
    <x v="30"/>
  </r>
  <r>
    <s v="11. Rasheed Da'na "/>
    <n v="1"/>
    <m/>
    <x v="66"/>
  </r>
  <r>
    <s v="11. Rasheed Da'na "/>
    <n v="4"/>
    <m/>
    <x v="66"/>
  </r>
  <r>
    <s v="11. Roberto Montero "/>
    <n v="1"/>
    <m/>
    <x v="53"/>
  </r>
  <r>
    <s v="11. Romain Grière "/>
    <n v="2"/>
    <m/>
    <x v="67"/>
  </r>
  <r>
    <s v="11. Seran Aranguren "/>
    <n v="1"/>
    <m/>
    <x v="68"/>
  </r>
  <r>
    <s v="11. Serapio Castrelos "/>
    <n v="1"/>
    <m/>
    <x v="69"/>
  </r>
  <r>
    <s v="11. Uday Adeeb "/>
    <n v="2"/>
    <m/>
    <x v="70"/>
  </r>
  <r>
    <s v="12. Andrea Califano "/>
    <n v="1"/>
    <m/>
    <x v="71"/>
  </r>
  <r>
    <s v="12. Arnold Kalckstein "/>
    <n v="2"/>
    <m/>
    <x v="72"/>
  </r>
  <r>
    <s v="12. Christophe Reinhart "/>
    <n v="4"/>
    <m/>
    <x v="73"/>
  </r>
  <r>
    <s v="12. Csaba Mezo "/>
    <n v="1"/>
    <m/>
    <x v="74"/>
  </r>
  <r>
    <s v="12. David Garcia-Spiess "/>
    <n v="1"/>
    <m/>
    <x v="18"/>
  </r>
  <r>
    <s v="12. David Garcia-Spiess "/>
    <n v="2"/>
    <m/>
    <x v="18"/>
  </r>
  <r>
    <s v="12. David Knuff "/>
    <n v="2"/>
    <m/>
    <x v="75"/>
  </r>
  <r>
    <s v="12. Dolf Fohringer "/>
    <n v="3"/>
    <m/>
    <x v="76"/>
  </r>
  <r>
    <s v="12. Eckardt Hägerling "/>
    <n v="1"/>
    <m/>
    <x v="40"/>
  </r>
  <r>
    <s v="12. Emilio Mochelato "/>
    <n v="2"/>
    <m/>
    <x v="59"/>
  </r>
  <r>
    <s v="12. Gino van Hoesel "/>
    <n v="2"/>
    <m/>
    <x v="77"/>
  </r>
  <r>
    <s v="12. Igli Volpicelli "/>
    <n v="2"/>
    <m/>
    <x v="78"/>
  </r>
  <r>
    <s v="12. Jos Pittoors "/>
    <n v="4"/>
    <m/>
    <x v="79"/>
  </r>
  <r>
    <s v="12. Károly Serfel "/>
    <n v="4"/>
    <m/>
    <x v="46"/>
  </r>
  <r>
    <s v="12. Lauri Piminäinen "/>
    <n v="2"/>
    <m/>
    <x v="80"/>
  </r>
  <r>
    <s v="12. Ludwik Mojescik "/>
    <n v="3"/>
    <m/>
    <x v="81"/>
  </r>
  <r>
    <s v="12. Ludwik Mojescik "/>
    <n v="2"/>
    <m/>
    <x v="81"/>
  </r>
  <r>
    <s v="12. Massimiliano Jula "/>
    <n v="1"/>
    <m/>
    <x v="82"/>
  </r>
  <r>
    <s v="12. Pieter Pelleboer "/>
    <n v="1"/>
    <m/>
    <x v="83"/>
  </r>
  <r>
    <s v="12. Raffaele Sitter "/>
    <n v="1"/>
    <m/>
    <x v="84"/>
  </r>
  <r>
    <s v="12. Steve Mckinnon "/>
    <n v="1"/>
    <m/>
    <x v="85"/>
  </r>
  <r>
    <s v="12. Tomasz Artymiuk "/>
    <n v="1"/>
    <m/>
    <x v="86"/>
  </r>
  <r>
    <s v="13. ? (Pan) ?? (Yuandong) "/>
    <n v="1"/>
    <m/>
    <x v="87"/>
  </r>
  <r>
    <s v="13. Aamos Vara "/>
    <n v="1"/>
    <m/>
    <x v="88"/>
  </r>
  <r>
    <s v="13. Arjo Olthuis "/>
    <n v="3"/>
    <m/>
    <x v="89"/>
  </r>
  <r>
    <s v="13. Christophe Reinhart "/>
    <n v="1"/>
    <m/>
    <x v="73"/>
  </r>
  <r>
    <s v="13. Christophe Reinhart "/>
    <n v="1"/>
    <m/>
    <x v="73"/>
  </r>
  <r>
    <s v="13. Cornel Caraba "/>
    <n v="2"/>
    <m/>
    <x v="90"/>
  </r>
  <r>
    <s v="13. Emilio Mochelato "/>
    <n v="1"/>
    <m/>
    <x v="59"/>
  </r>
  <r>
    <s v="13. Fere Pulido "/>
    <n v="1"/>
    <m/>
    <x v="91"/>
  </r>
  <r>
    <s v="13. Fernando Gazón "/>
    <n v="1"/>
    <m/>
    <x v="92"/>
  </r>
  <r>
    <s v="13. Gino van Hoesel "/>
    <n v="3"/>
    <m/>
    <x v="77"/>
  </r>
  <r>
    <s v="13. Horacy Dzienis "/>
    <n v="3"/>
    <m/>
    <x v="93"/>
  </r>
  <r>
    <s v="13. Jacobo Ferrueros "/>
    <n v="2"/>
    <m/>
    <x v="43"/>
  </r>
  <r>
    <s v="13. Jos Pittoors "/>
    <n v="2"/>
    <m/>
    <x v="79"/>
  </r>
  <r>
    <s v="13. Mario Omarini "/>
    <n v="1"/>
    <m/>
    <x v="94"/>
  </r>
  <r>
    <s v="13. Matteo Omacini "/>
    <n v="2"/>
    <m/>
    <x v="95"/>
  </r>
  <r>
    <s v="13. Matteo Omacini "/>
    <n v="1"/>
    <m/>
    <x v="95"/>
  </r>
  <r>
    <s v="13. Miguel Fernández "/>
    <n v="1"/>
    <m/>
    <x v="63"/>
  </r>
  <r>
    <s v="13. Nikolay Gerasimenko "/>
    <n v="4"/>
    <m/>
    <x v="96"/>
  </r>
  <r>
    <s v="13. Pasqual Vilar "/>
    <n v="1"/>
    <m/>
    <x v="97"/>
  </r>
  <r>
    <s v="13. Pau Redondo "/>
    <n v="1"/>
    <m/>
    <x v="98"/>
  </r>
  <r>
    <s v="13. Pere Beltran "/>
    <n v="2"/>
    <m/>
    <x v="30"/>
  </r>
  <r>
    <s v="13. Raffaele Sitter "/>
    <n v="2"/>
    <m/>
    <x v="84"/>
  </r>
  <r>
    <s v="13. Ryan Clarke "/>
    <n v="1"/>
    <m/>
    <x v="99"/>
  </r>
  <r>
    <s v="13. Xofre Taín "/>
    <n v="1"/>
    <m/>
    <x v="100"/>
  </r>
  <r>
    <s v="14. Arkadiusz Dembek "/>
    <n v="2"/>
    <m/>
    <x v="101"/>
  </r>
  <r>
    <s v="14. Ellák Deák "/>
    <n v="1"/>
    <m/>
    <x v="102"/>
  </r>
  <r>
    <s v="14. Gianfranco Rezza "/>
    <n v="1"/>
    <m/>
    <x v="103"/>
  </r>
  <r>
    <s v="14. Lech Sipinski "/>
    <n v="3"/>
    <m/>
    <x v="104"/>
  </r>
  <r>
    <s v="14. Mateusz Brzostowski "/>
    <n v="1"/>
    <m/>
    <x v="105"/>
  </r>
  <r>
    <s v="14. Melcior Calmet "/>
    <n v="1"/>
    <m/>
    <x v="28"/>
  </r>
  <r>
    <s v="14. Miklós Gábriel "/>
    <n v="1"/>
    <m/>
    <x v="106"/>
  </r>
  <r>
    <s v="14. Pere Beltran "/>
    <n v="1"/>
    <m/>
    <x v="30"/>
  </r>
  <r>
    <s v="14. Raffaele Sitter "/>
    <n v="3"/>
    <m/>
    <x v="84"/>
  </r>
  <r>
    <s v="14. Ragip Övgü "/>
    <n v="3"/>
    <m/>
    <x v="107"/>
  </r>
  <r>
    <s v="14. Ragip Övgü "/>
    <n v="2"/>
    <m/>
    <x v="107"/>
  </r>
  <r>
    <s v="14. Ricardo Esquerdo "/>
    <n v="3"/>
    <m/>
    <x v="108"/>
  </r>
  <r>
    <s v="14. Sansão Trindade Oliveira "/>
    <n v="1"/>
    <m/>
    <x v="109"/>
  </r>
  <r>
    <s v="14. Sansão Trindade Oliveira "/>
    <n v="1"/>
    <m/>
    <x v="109"/>
  </r>
  <r>
    <s v="14. Sascha Gilch "/>
    <n v="2"/>
    <m/>
    <x v="110"/>
  </r>
  <r>
    <s v="14. Stefano Spanu "/>
    <n v="2"/>
    <m/>
    <x v="111"/>
  </r>
  <r>
    <s v="14. Vincent Gautsch "/>
    <n v="1"/>
    <m/>
    <x v="112"/>
  </r>
  <r>
    <s v="15. Andrea Chiu "/>
    <n v="1"/>
    <m/>
    <x v="113"/>
  </r>
  <r>
    <s v="15. Carlos Ipinza "/>
    <n v="1"/>
    <m/>
    <x v="114"/>
  </r>
  <r>
    <s v="15. Csaba Mezo "/>
    <n v="1"/>
    <m/>
    <x v="74"/>
  </r>
  <r>
    <s v="15. Dan Lindgren "/>
    <n v="1"/>
    <m/>
    <x v="115"/>
  </r>
  <r>
    <s v="15. Fernando Gazón "/>
    <n v="1"/>
    <m/>
    <x v="92"/>
  </r>
  <r>
    <s v="15. Francesc Giró "/>
    <n v="1"/>
    <m/>
    <x v="116"/>
  </r>
  <r>
    <s v="15. Hjalte Egede "/>
    <n v="1"/>
    <m/>
    <x v="117"/>
  </r>
  <r>
    <s v="15. Jos Pittoors "/>
    <n v="2"/>
    <m/>
    <x v="79"/>
  </r>
  <r>
    <s v="15. Miguel Fernández "/>
    <n v="1"/>
    <m/>
    <x v="63"/>
  </r>
  <r>
    <s v="15. Pasqual Vilar "/>
    <n v="2"/>
    <m/>
    <x v="97"/>
  </r>
  <r>
    <s v="15. Pasqual Vilar "/>
    <n v="2"/>
    <m/>
    <x v="97"/>
  </r>
  <r>
    <s v="15. Pere Beltran "/>
    <n v="2"/>
    <m/>
    <x v="30"/>
  </r>
  <r>
    <s v="15. Roberto Montero "/>
    <n v="1"/>
    <m/>
    <x v="53"/>
  </r>
  <r>
    <s v="15. Tristan Voet "/>
    <n v="3"/>
    <m/>
    <x v="118"/>
  </r>
  <r>
    <s v="15. Uday Adeeb "/>
    <n v="2"/>
    <m/>
    <x v="70"/>
  </r>
  <r>
    <s v="15. Zsolt Novák "/>
    <n v="1"/>
    <m/>
    <x v="119"/>
  </r>
  <r>
    <s v="16. Adamantios Fikias "/>
    <n v="1"/>
    <m/>
    <x v="34"/>
  </r>
  <r>
    <s v="16. Adamantios Fikias "/>
    <n v="1"/>
    <m/>
    <x v="34"/>
  </r>
  <r>
    <s v="16. Andrija Miškovic "/>
    <n v="1"/>
    <m/>
    <x v="35"/>
  </r>
  <r>
    <s v="16. Dan Veneau "/>
    <n v="1"/>
    <m/>
    <x v="120"/>
  </r>
  <r>
    <s v="16. Gastone Cianelli "/>
    <n v="1"/>
    <m/>
    <x v="121"/>
  </r>
  <r>
    <s v="16. Horacy Dzienis "/>
    <n v="1"/>
    <m/>
    <x v="93"/>
  </r>
  <r>
    <s v="16. Joãozinho do Mato "/>
    <n v="2"/>
    <m/>
    <x v="22"/>
  </r>
  <r>
    <s v="16. José Luis Valdés Saavedra "/>
    <n v="1"/>
    <m/>
    <x v="122"/>
  </r>
  <r>
    <s v="16. Ludovic Gygax "/>
    <n v="1"/>
    <m/>
    <x v="123"/>
  </r>
  <r>
    <s v="16. Ludwik Mojescik "/>
    <n v="2"/>
    <m/>
    <x v="81"/>
  </r>
  <r>
    <s v="16. Martijn Collinet "/>
    <n v="2"/>
    <m/>
    <x v="124"/>
  </r>
  <r>
    <s v="16. Ulf Schenkel "/>
    <n v="2"/>
    <m/>
    <x v="125"/>
  </r>
  <r>
    <s v="17. Andres Kalvet "/>
    <n v="1"/>
    <m/>
    <x v="126"/>
  </r>
  <r>
    <s v="17. Catalin Corobea "/>
    <n v="1"/>
    <m/>
    <x v="127"/>
  </r>
  <r>
    <s v="17. Dimitris Prokos "/>
    <n v="1"/>
    <m/>
    <x v="128"/>
  </r>
  <r>
    <s v="17. Ellák Deák "/>
    <n v="1"/>
    <m/>
    <x v="102"/>
  </r>
  <r>
    <s v="17. Fernando Juárez Sierra "/>
    <n v="1"/>
    <m/>
    <x v="129"/>
  </r>
  <r>
    <s v="17. Iacob Sarpe "/>
    <n v="1"/>
    <m/>
    <x v="130"/>
  </r>
  <r>
    <s v="17. Krzysztof Buras "/>
    <n v="1"/>
    <m/>
    <x v="131"/>
  </r>
  <r>
    <s v="17. Morgan Gomes "/>
    <n v="1"/>
    <m/>
    <x v="132"/>
  </r>
  <r>
    <s v="17. Nicolai Stentoft "/>
    <n v="2"/>
    <m/>
    <x v="50"/>
  </r>
  <r>
    <s v="17. Zsolt Novák "/>
    <n v="1"/>
    <m/>
    <x v="119"/>
  </r>
  <r>
    <s v="18. Carlos Ipinza "/>
    <n v="1"/>
    <m/>
    <x v="114"/>
  </r>
  <r>
    <s v="18. Dolf Fohringer "/>
    <n v="1"/>
    <m/>
    <x v="76"/>
  </r>
  <r>
    <s v="18. Finlay MacGrory "/>
    <n v="1"/>
    <m/>
    <x v="133"/>
  </r>
  <r>
    <s v="18. Marcin Lulewicz "/>
    <n v="1"/>
    <m/>
    <x v="134"/>
  </r>
  <r>
    <s v="18. Nicolau Caraduxe "/>
    <n v="1"/>
    <m/>
    <x v="135"/>
  </r>
  <r>
    <s v="18. Pau Redondo "/>
    <n v="1"/>
    <m/>
    <x v="98"/>
  </r>
  <r>
    <s v="18. Stefano Spanu "/>
    <n v="1"/>
    <m/>
    <x v="111"/>
  </r>
  <r>
    <s v="19. Christophe Méjean "/>
    <n v="1"/>
    <m/>
    <x v="136"/>
  </r>
  <r>
    <s v="19. Fere Pulido "/>
    <n v="1"/>
    <m/>
    <x v="91"/>
  </r>
  <r>
    <s v="19. Gawel Nanowski "/>
    <n v="1"/>
    <m/>
    <x v="137"/>
  </r>
  <r>
    <s v="19. Jacobo Ferrueros "/>
    <n v="1"/>
    <m/>
    <x v="43"/>
  </r>
  <r>
    <s v="2. Adam Moss "/>
    <n v="9"/>
    <m/>
    <x v="15"/>
  </r>
  <r>
    <s v="2. Adamantios Fikias "/>
    <n v="8"/>
    <m/>
    <x v="34"/>
  </r>
  <r>
    <s v="2. Alex Txantre "/>
    <n v="6"/>
    <m/>
    <x v="138"/>
  </r>
  <r>
    <s v="2. Andrin Bärtsch "/>
    <n v="10"/>
    <m/>
    <x v="36"/>
  </r>
  <r>
    <s v="2. Brunon Chuda "/>
    <n v="5"/>
    <m/>
    <x v="17"/>
  </r>
  <r>
    <s v="2. Co Wolbers "/>
    <n v="7"/>
    <m/>
    <x v="139"/>
  </r>
  <r>
    <s v="2. Cornel Boicea "/>
    <n v="10"/>
    <m/>
    <x v="140"/>
  </r>
  <r>
    <s v="2. David Garcia-Spiess "/>
    <n v="15"/>
    <m/>
    <x v="18"/>
  </r>
  <r>
    <s v="2. Gianfranco Rezza "/>
    <n v="7"/>
    <m/>
    <x v="103"/>
  </r>
  <r>
    <s v="2. Joãozinho do Mato "/>
    <n v="2"/>
    <m/>
    <x v="22"/>
  </r>
  <r>
    <s v="2. John Chung "/>
    <n v="6"/>
    <m/>
    <x v="141"/>
  </r>
  <r>
    <s v="2. Kendor Nagiturri "/>
    <n v="16"/>
    <m/>
    <x v="142"/>
  </r>
  <r>
    <s v="2. Kendor Nagiturri "/>
    <n v="8"/>
    <m/>
    <x v="142"/>
  </r>
  <r>
    <s v="2. Leo Hilpinen "/>
    <n v="7"/>
    <m/>
    <x v="23"/>
  </r>
  <r>
    <s v="2. Manolo Negrín "/>
    <n v="7"/>
    <m/>
    <x v="26"/>
  </r>
  <r>
    <s v="2. Mattia Sambri "/>
    <n v="4"/>
    <m/>
    <x v="143"/>
  </r>
  <r>
    <s v="2. Melcior Calmet "/>
    <n v="6"/>
    <m/>
    <x v="28"/>
  </r>
  <r>
    <s v="2. Nicolau Caraduxe "/>
    <n v="9"/>
    <m/>
    <x v="135"/>
  </r>
  <r>
    <s v="2. Pere Beltran "/>
    <n v="5"/>
    <m/>
    <x v="30"/>
  </r>
  <r>
    <s v="2. Pere Beltran "/>
    <n v="4"/>
    <m/>
    <x v="30"/>
  </r>
  <r>
    <s v="2. Rasheed Da'na "/>
    <n v="13"/>
    <m/>
    <x v="66"/>
  </r>
  <r>
    <s v="2. Renato Galeano "/>
    <n v="7"/>
    <m/>
    <x v="144"/>
  </r>
  <r>
    <s v="2. Roberto Abenoza "/>
    <n v="5"/>
    <m/>
    <x v="145"/>
  </r>
  <r>
    <s v="2. Saúl Piña "/>
    <n v="14"/>
    <m/>
    <x v="32"/>
  </r>
  <r>
    <s v="2. Saúl Piña "/>
    <n v="10"/>
    <m/>
    <x v="32"/>
  </r>
  <r>
    <s v="2. Tommaso Niscola "/>
    <n v="12"/>
    <m/>
    <x v="146"/>
  </r>
  <r>
    <s v="20. David Erbiti "/>
    <n v="1"/>
    <m/>
    <x v="147"/>
  </r>
  <r>
    <s v="20. David Knuff "/>
    <n v="1"/>
    <m/>
    <x v="75"/>
  </r>
  <r>
    <s v="20. Harald Georg Berchthold "/>
    <n v="1"/>
    <m/>
    <x v="148"/>
  </r>
  <r>
    <s v="20. Jan Jessen "/>
    <n v="1"/>
    <m/>
    <x v="149"/>
  </r>
  <r>
    <s v="21. Enis Kalan "/>
    <n v="1"/>
    <m/>
    <x v="150"/>
  </r>
  <r>
    <s v="21. José Manuel Carneiro "/>
    <n v="1"/>
    <m/>
    <x v="151"/>
  </r>
  <r>
    <s v="22. Ludvig Andreasson "/>
    <n v="1"/>
    <m/>
    <x v="152"/>
  </r>
  <r>
    <s v="23. Luigi Tripodo "/>
    <n v="1"/>
    <m/>
    <x v="153"/>
  </r>
  <r>
    <s v="24. Christophe Méjean "/>
    <n v="1"/>
    <m/>
    <x v="136"/>
  </r>
  <r>
    <s v="25. Aamos Vara "/>
    <n v="1"/>
    <m/>
    <x v="88"/>
  </r>
  <r>
    <s v="3. Adam Moss "/>
    <n v="14"/>
    <m/>
    <x v="15"/>
  </r>
  <r>
    <s v="3. Adamantios Fikias "/>
    <n v="5"/>
    <m/>
    <x v="34"/>
  </r>
  <r>
    <s v="3. Andrin Bärtsch "/>
    <n v="10"/>
    <m/>
    <x v="36"/>
  </r>
  <r>
    <s v="3. Andrin Bärtsch "/>
    <n v="7"/>
    <m/>
    <x v="36"/>
  </r>
  <r>
    <s v="3. Brunon Chuda "/>
    <n v="8"/>
    <m/>
    <x v="17"/>
  </r>
  <r>
    <s v="3. Brunon Chuda "/>
    <n v="5"/>
    <m/>
    <x v="17"/>
  </r>
  <r>
    <s v="3. Co Wolbers "/>
    <n v="6"/>
    <m/>
    <x v="139"/>
  </r>
  <r>
    <s v="3. Cornel Boicea "/>
    <n v="9"/>
    <m/>
    <x v="140"/>
  </r>
  <r>
    <s v="3. Damiano Clementi "/>
    <n v="3"/>
    <m/>
    <x v="154"/>
  </r>
  <r>
    <s v="3. Gianfranco Rezza "/>
    <n v="11"/>
    <m/>
    <x v="103"/>
  </r>
  <r>
    <s v="3. Harald Georg Berchthold "/>
    <n v="4"/>
    <m/>
    <x v="148"/>
  </r>
  <r>
    <s v="3. John Chung "/>
    <n v="8"/>
    <m/>
    <x v="141"/>
  </r>
  <r>
    <s v="3. Jos Pittoors "/>
    <n v="8"/>
    <m/>
    <x v="79"/>
  </r>
  <r>
    <s v="3. Leonardo Baltico "/>
    <n v="2"/>
    <m/>
    <x v="24"/>
  </r>
  <r>
    <s v="3. Mario Omarini "/>
    <n v="7"/>
    <m/>
    <x v="94"/>
  </r>
  <r>
    <s v="3. Miklós Gábriel "/>
    <n v="6"/>
    <m/>
    <x v="106"/>
  </r>
  <r>
    <s v="3. Miklós Gábriel "/>
    <n v="5"/>
    <m/>
    <x v="106"/>
  </r>
  <r>
    <s v="3. Nikolay Gerasimenko "/>
    <n v="5"/>
    <m/>
    <x v="96"/>
  </r>
  <r>
    <s v="3. Nikolay Gerasimenko "/>
    <n v="3"/>
    <m/>
    <x v="96"/>
  </r>
  <r>
    <s v="3. Pablo Gil Fano "/>
    <n v="4"/>
    <m/>
    <x v="155"/>
  </r>
  <r>
    <s v="3. Rasheed Da'na "/>
    <n v="6"/>
    <m/>
    <x v="66"/>
  </r>
  <r>
    <s v="3. Rasheed Da'na "/>
    <n v="13"/>
    <m/>
    <x v="66"/>
  </r>
  <r>
    <s v="3. Raúl Riquelme "/>
    <n v="2"/>
    <m/>
    <x v="156"/>
  </r>
  <r>
    <s v="3. Roberto Abenoza "/>
    <n v="3"/>
    <m/>
    <x v="145"/>
  </r>
  <r>
    <s v="3. Sejo Sáenz Marín "/>
    <n v="4"/>
    <m/>
    <x v="157"/>
  </r>
  <r>
    <s v="3. Tommaso Niscola "/>
    <n v="7"/>
    <m/>
    <x v="146"/>
  </r>
  <r>
    <s v="4. Aimar Lasalde "/>
    <n v="9"/>
    <m/>
    <x v="158"/>
  </r>
  <r>
    <s v="4. Ellák Deák "/>
    <n v="5"/>
    <m/>
    <x v="102"/>
  </r>
  <r>
    <s v="4. Ellák Deák "/>
    <n v="6"/>
    <m/>
    <x v="102"/>
  </r>
  <r>
    <s v="4. Gianfranco Rezza "/>
    <n v="6"/>
    <m/>
    <x v="103"/>
  </r>
  <r>
    <s v="4. Gianfranco Rezza "/>
    <n v="12"/>
    <m/>
    <x v="103"/>
  </r>
  <r>
    <s v="4. Gongotzon Ialdebere "/>
    <n v="7"/>
    <m/>
    <x v="159"/>
  </r>
  <r>
    <s v="4. Hansjürg Devier "/>
    <n v="4"/>
    <m/>
    <x v="160"/>
  </r>
  <r>
    <s v="4. Iyad Chaabo "/>
    <n v="6"/>
    <m/>
    <x v="161"/>
  </r>
  <r>
    <s v="4. Jörg Londorf "/>
    <n v="4"/>
    <m/>
    <x v="162"/>
  </r>
  <r>
    <s v="4. Leonardo Baltico "/>
    <n v="11"/>
    <m/>
    <x v="24"/>
  </r>
  <r>
    <s v="4. Ludwik Mojescik "/>
    <n v="7"/>
    <m/>
    <x v="81"/>
  </r>
  <r>
    <s v="4. Nikolas Lakkotripi "/>
    <n v="7"/>
    <m/>
    <x v="29"/>
  </r>
  <r>
    <s v="4. Nikolay Gerasimenko "/>
    <n v="8"/>
    <m/>
    <x v="96"/>
  </r>
  <r>
    <s v="4. Pepijn Zwaan "/>
    <n v="6"/>
    <m/>
    <x v="163"/>
  </r>
  <r>
    <s v="4. Pere Beltran "/>
    <n v="2"/>
    <m/>
    <x v="30"/>
  </r>
  <r>
    <s v="4. Petru Pena "/>
    <n v="3"/>
    <m/>
    <x v="164"/>
  </r>
  <r>
    <s v="4. Ragip Övgü "/>
    <n v="5"/>
    <m/>
    <x v="107"/>
  </r>
  <r>
    <s v="4. Rasheed Da'na "/>
    <n v="9"/>
    <m/>
    <x v="66"/>
  </r>
  <r>
    <s v="4. Relf Härteis "/>
    <n v="3"/>
    <m/>
    <x v="165"/>
  </r>
  <r>
    <s v="4. Relf Härteis "/>
    <n v="4"/>
    <m/>
    <x v="165"/>
  </r>
  <r>
    <s v="4. Renato Galeano "/>
    <n v="8"/>
    <m/>
    <x v="144"/>
  </r>
  <r>
    <s v="4. Roberto Abenoza "/>
    <n v="4"/>
    <m/>
    <x v="145"/>
  </r>
  <r>
    <s v="4. Zeno Baets "/>
    <n v="3"/>
    <m/>
    <x v="166"/>
  </r>
  <r>
    <s v="5. Adam Moss "/>
    <n v="10"/>
    <m/>
    <x v="15"/>
  </r>
  <r>
    <s v="5. Adam Moss "/>
    <n v="6"/>
    <m/>
    <x v="15"/>
  </r>
  <r>
    <s v="5. Aimar Lasalde "/>
    <n v="6"/>
    <m/>
    <x v="158"/>
  </r>
  <r>
    <s v="5. Aiurdi Azpileta "/>
    <n v="3"/>
    <m/>
    <x v="167"/>
  </r>
  <r>
    <s v="5. Casildo Abraldes "/>
    <n v="2"/>
    <m/>
    <x v="168"/>
  </r>
  <r>
    <s v="5. David Erbiti "/>
    <n v="3"/>
    <m/>
    <x v="147"/>
  </r>
  <r>
    <s v="5. Ernst Lammers "/>
    <n v="4"/>
    <m/>
    <x v="169"/>
  </r>
  <r>
    <s v="5. Fere Pulido "/>
    <n v="5"/>
    <m/>
    <x v="91"/>
  </r>
  <r>
    <s v="5. Gianfranco Rezza "/>
    <n v="6"/>
    <m/>
    <x v="103"/>
  </r>
  <r>
    <s v="5. Gino van Hoesel "/>
    <n v="6"/>
    <m/>
    <x v="77"/>
  </r>
  <r>
    <s v="5. Horacy Dzienis "/>
    <n v="7"/>
    <m/>
    <x v="93"/>
  </r>
  <r>
    <s v="5. Ibiur Altxakoa "/>
    <n v="5"/>
    <m/>
    <x v="170"/>
  </r>
  <r>
    <s v="5. Iuliu Pana "/>
    <n v="3"/>
    <m/>
    <x v="171"/>
  </r>
  <r>
    <s v="5. Joãozinho do Mato "/>
    <n v="8"/>
    <m/>
    <x v="22"/>
  </r>
  <r>
    <s v="5. Mauro Vaz "/>
    <n v="2"/>
    <m/>
    <x v="172"/>
  </r>
  <r>
    <s v="5. Michele Giampieri "/>
    <n v="6"/>
    <m/>
    <x v="173"/>
  </r>
  <r>
    <s v="5. Nikolay Gerasimenko "/>
    <n v="4"/>
    <m/>
    <x v="96"/>
  </r>
  <r>
    <s v="5. Pablo Gil Fano "/>
    <n v="2"/>
    <m/>
    <x v="155"/>
  </r>
  <r>
    <s v="5. Pere Beltran "/>
    <n v="8"/>
    <m/>
    <x v="30"/>
  </r>
  <r>
    <s v="5. Rasheed Da'na "/>
    <n v="6"/>
    <m/>
    <x v="66"/>
  </r>
  <r>
    <s v="5. Rasheed Da'na "/>
    <n v="11"/>
    <m/>
    <x v="66"/>
  </r>
  <r>
    <s v="5. Raúl Riquelme "/>
    <n v="3"/>
    <m/>
    <x v="156"/>
  </r>
  <r>
    <s v="5. Richey Cowper "/>
    <n v="3"/>
    <m/>
    <x v="174"/>
  </r>
  <r>
    <s v="5. Zbyšek Hamrozi "/>
    <n v="1"/>
    <m/>
    <x v="175"/>
  </r>
  <r>
    <s v="6. Aimar Lasalde "/>
    <n v="6"/>
    <m/>
    <x v="158"/>
  </r>
  <r>
    <s v="6. Boleslaw Starzomski "/>
    <n v="5"/>
    <m/>
    <x v="58"/>
  </r>
  <r>
    <s v="6. Brunon Chuda "/>
    <n v="5"/>
    <m/>
    <x v="17"/>
  </r>
  <r>
    <s v="6. Christophe Bodin "/>
    <n v="2"/>
    <m/>
    <x v="176"/>
  </r>
  <r>
    <s v="6. David Berkenbosch "/>
    <n v="3"/>
    <m/>
    <x v="177"/>
  </r>
  <r>
    <s v="6. David Knuff "/>
    <n v="3"/>
    <m/>
    <x v="75"/>
  </r>
  <r>
    <s v="6. Domenic Janjic "/>
    <n v="2"/>
    <m/>
    <x v="178"/>
  </r>
  <r>
    <s v="6. Fernando Gazón "/>
    <n v="2"/>
    <m/>
    <x v="92"/>
  </r>
  <r>
    <s v="6. Fernando Gazón "/>
    <n v="2"/>
    <m/>
    <x v="92"/>
  </r>
  <r>
    <s v="6. Gastone Cianelli "/>
    <n v="3"/>
    <m/>
    <x v="121"/>
  </r>
  <r>
    <s v="6. Ibiur Altxakoa "/>
    <n v="4"/>
    <m/>
    <x v="170"/>
  </r>
  <r>
    <s v="6. Jorge Walter Whitaker "/>
    <n v="4"/>
    <m/>
    <x v="44"/>
  </r>
  <r>
    <s v="6. Juan Gabriel de Minaya "/>
    <n v="2"/>
    <m/>
    <x v="179"/>
  </r>
  <r>
    <s v="6. Kendor Nagiturri "/>
    <n v="6"/>
    <m/>
    <x v="142"/>
  </r>
  <r>
    <s v="6. Krzysztof Buras "/>
    <n v="3"/>
    <m/>
    <x v="131"/>
  </r>
  <r>
    <s v="6. Ludwik Mojescik "/>
    <n v="7"/>
    <m/>
    <x v="81"/>
  </r>
  <r>
    <s v="6. Malte Neulinger "/>
    <n v="5"/>
    <m/>
    <x v="25"/>
  </r>
  <r>
    <s v="6. Nikolas Lakkotripi "/>
    <n v="1"/>
    <m/>
    <x v="29"/>
  </r>
  <r>
    <s v="6. Pasqual Vilar "/>
    <n v="7"/>
    <m/>
    <x v="97"/>
  </r>
  <r>
    <s v="6. Pepijn Zwaan "/>
    <n v="10"/>
    <m/>
    <x v="163"/>
  </r>
  <r>
    <s v="6. Roelant Bierman "/>
    <n v="5"/>
    <m/>
    <x v="31"/>
  </r>
  <r>
    <s v="6. Romain Grière "/>
    <n v="4"/>
    <m/>
    <x v="67"/>
  </r>
  <r>
    <s v="6. Saúl Piña "/>
    <n v="11"/>
    <m/>
    <x v="32"/>
  </r>
  <r>
    <s v="6. Stanislaw Zdankiewicz "/>
    <n v="5"/>
    <m/>
    <x v="180"/>
  </r>
  <r>
    <s v="6. Torsten Kortenhof "/>
    <n v="6"/>
    <m/>
    <x v="181"/>
  </r>
  <r>
    <s v="7. ? (Pan) ?? (Yuandong) "/>
    <n v="3"/>
    <m/>
    <x v="87"/>
  </r>
  <r>
    <s v="7. Adam Moss "/>
    <n v="4"/>
    <m/>
    <x v="15"/>
  </r>
  <r>
    <s v="7. Alexander Pahl "/>
    <n v="1"/>
    <m/>
    <x v="182"/>
  </r>
  <r>
    <s v="7. Alfonso Londoño "/>
    <n v="1"/>
    <m/>
    <x v="183"/>
  </r>
  <r>
    <s v="7. Andrea Califano "/>
    <n v="4"/>
    <m/>
    <x v="71"/>
  </r>
  <r>
    <s v="7. Andrin Bärtsch "/>
    <n v="9"/>
    <m/>
    <x v="36"/>
  </r>
  <r>
    <s v="7. Andrin Bärtsch "/>
    <n v="10"/>
    <m/>
    <x v="36"/>
  </r>
  <r>
    <s v="7. Arjo Olthuis "/>
    <n v="6"/>
    <m/>
    <x v="89"/>
  </r>
  <r>
    <s v="7. Aureliusz Staszczuk "/>
    <n v="3"/>
    <m/>
    <x v="56"/>
  </r>
  <r>
    <s v="7. Eckardt Hägerling "/>
    <n v="2"/>
    <m/>
    <x v="40"/>
  </r>
  <r>
    <s v="7. Fabien Fabre "/>
    <n v="3"/>
    <m/>
    <x v="60"/>
  </r>
  <r>
    <s v="7. Giulio Procaccianti "/>
    <n v="4"/>
    <m/>
    <x v="184"/>
  </r>
  <r>
    <s v="7. Honesto Cousa "/>
    <n v="3"/>
    <m/>
    <x v="61"/>
  </r>
  <r>
    <s v="7. Iacob Sarpe "/>
    <n v="2"/>
    <m/>
    <x v="130"/>
  </r>
  <r>
    <s v="7. Jaime Ocón "/>
    <n v="2"/>
    <m/>
    <x v="185"/>
  </r>
  <r>
    <s v="7. Lars Pouilliers "/>
    <n v="5"/>
    <m/>
    <x v="47"/>
  </r>
  <r>
    <s v="7. Manuel Parejo "/>
    <n v="2"/>
    <m/>
    <x v="186"/>
  </r>
  <r>
    <s v="7. Markus Currie "/>
    <n v="5"/>
    <m/>
    <x v="48"/>
  </r>
  <r>
    <s v="7. Michele Giampieri "/>
    <n v="3"/>
    <m/>
    <x v="173"/>
  </r>
  <r>
    <s v="7. Pasqual Vilar "/>
    <n v="6"/>
    <m/>
    <x v="97"/>
  </r>
  <r>
    <s v="7. Patrick Werner "/>
    <n v="5"/>
    <m/>
    <x v="64"/>
  </r>
  <r>
    <s v="7. Stanislaw Zdankiewicz "/>
    <n v="3"/>
    <m/>
    <x v="180"/>
  </r>
  <r>
    <s v="7. Tomasz Artymiuk "/>
    <n v="5"/>
    <m/>
    <x v="86"/>
  </r>
  <r>
    <s v="7. Vincent Gautsch "/>
    <n v="2"/>
    <m/>
    <x v="112"/>
  </r>
  <r>
    <s v="7. Wicher Ossedrijver "/>
    <n v="6"/>
    <m/>
    <x v="187"/>
  </r>
  <r>
    <s v="8. Andrin Bärtsch "/>
    <n v="1"/>
    <m/>
    <x v="36"/>
  </r>
  <r>
    <s v="8. Arnold Kalckstein "/>
    <n v="9"/>
    <m/>
    <x v="72"/>
  </r>
  <r>
    <s v="8. Carlos Ipinza "/>
    <n v="2"/>
    <m/>
    <x v="114"/>
  </r>
  <r>
    <s v="8. Christophe Méjean "/>
    <n v="2"/>
    <m/>
    <x v="136"/>
  </r>
  <r>
    <s v="8. Co Wolbers "/>
    <n v="2"/>
    <m/>
    <x v="139"/>
  </r>
  <r>
    <s v="8. Csaba Mezo "/>
    <n v="3"/>
    <m/>
    <x v="74"/>
  </r>
  <r>
    <s v="8. Emilio Rojas "/>
    <n v="3"/>
    <m/>
    <x v="19"/>
  </r>
  <r>
    <s v="8. Felipe Andrés Massarelli "/>
    <n v="2"/>
    <m/>
    <x v="188"/>
  </r>
  <r>
    <s v="8. Fernando Juárez Sierra "/>
    <n v="4"/>
    <m/>
    <x v="129"/>
  </r>
  <r>
    <s v="8. Gregor Freischläger "/>
    <n v="9"/>
    <m/>
    <x v="42"/>
  </r>
  <r>
    <s v="8. Gregorio Manrique "/>
    <n v="1"/>
    <m/>
    <x v="189"/>
  </r>
  <r>
    <s v="8. Ibiur Altxakoa "/>
    <n v="4"/>
    <m/>
    <x v="170"/>
  </r>
  <r>
    <s v="8. Iuliu Pana "/>
    <n v="4"/>
    <m/>
    <x v="171"/>
  </r>
  <r>
    <s v="8. José Rubianes "/>
    <n v="2"/>
    <m/>
    <x v="190"/>
  </r>
  <r>
    <s v="8. Manuel Parejo "/>
    <n v="1"/>
    <m/>
    <x v="186"/>
  </r>
  <r>
    <s v="8. Martin Herber "/>
    <n v="5"/>
    <m/>
    <x v="191"/>
  </r>
  <r>
    <s v="8. Morgan Thomas "/>
    <n v="3"/>
    <m/>
    <x v="49"/>
  </r>
  <r>
    <s v="8. Pau Redondo "/>
    <n v="3"/>
    <m/>
    <x v="98"/>
  </r>
  <r>
    <s v="8. Ragip Övgü "/>
    <n v="6"/>
    <m/>
    <x v="107"/>
  </r>
  <r>
    <s v="8. Ricardo Esquerdo "/>
    <n v="4"/>
    <m/>
    <x v="108"/>
  </r>
  <r>
    <s v="8. Ricardo Esquerdo "/>
    <n v="4"/>
    <m/>
    <x v="108"/>
  </r>
  <r>
    <s v="8. Roelant Bierman "/>
    <n v="3"/>
    <m/>
    <x v="31"/>
  </r>
  <r>
    <s v="8. Stanislaw Zdankiewicz "/>
    <n v="4"/>
    <m/>
    <x v="180"/>
  </r>
  <r>
    <s v="8. Tijl van Hamburg "/>
    <n v="2"/>
    <m/>
    <x v="192"/>
  </r>
  <r>
    <s v="8. Tommaso Niscola "/>
    <n v="3"/>
    <m/>
    <x v="146"/>
  </r>
  <r>
    <s v="8. Xofre Taín "/>
    <n v="2"/>
    <m/>
    <x v="100"/>
  </r>
  <r>
    <s v="9. Adam Moss "/>
    <n v="5"/>
    <m/>
    <x v="15"/>
  </r>
  <r>
    <s v="9. Adamantios Fikias "/>
    <n v="1"/>
    <m/>
    <x v="34"/>
  </r>
  <r>
    <s v="9. Aimar Lasalde "/>
    <n v="3"/>
    <m/>
    <x v="158"/>
  </r>
  <r>
    <s v="9. Arnold Kalckstein "/>
    <n v="3"/>
    <m/>
    <x v="72"/>
  </r>
  <r>
    <s v="9. Cornel Caraba "/>
    <n v="3"/>
    <m/>
    <x v="90"/>
  </r>
  <r>
    <s v="9. Dan Veneau "/>
    <n v="3"/>
    <m/>
    <x v="120"/>
  </r>
  <r>
    <s v="9. David Erbiti "/>
    <n v="2"/>
    <m/>
    <x v="147"/>
  </r>
  <r>
    <s v="9. Emilio Rojas "/>
    <n v="3"/>
    <m/>
    <x v="19"/>
  </r>
  <r>
    <s v="9. Enis Kalan "/>
    <n v="2"/>
    <m/>
    <x v="150"/>
  </r>
  <r>
    <s v="9. Feliciano Becerril "/>
    <n v="8"/>
    <m/>
    <x v="193"/>
  </r>
  <r>
    <s v="9. Giulio Procaccianti "/>
    <n v="5"/>
    <m/>
    <x v="184"/>
  </r>
  <r>
    <s v="9. Gustaw Bugajski "/>
    <n v="1"/>
    <m/>
    <x v="194"/>
  </r>
  <r>
    <s v="9. Ilari Santasalmi "/>
    <n v="3"/>
    <m/>
    <x v="21"/>
  </r>
  <r>
    <s v="9. Jos Pittoors "/>
    <n v="1"/>
    <m/>
    <x v="79"/>
  </r>
  <r>
    <s v="9. Karst van Gils "/>
    <n v="2"/>
    <m/>
    <x v="195"/>
  </r>
  <r>
    <s v="9. Leonardo Baltico "/>
    <n v="3"/>
    <m/>
    <x v="24"/>
  </r>
  <r>
    <s v="9. Manolo Negrín "/>
    <n v="2"/>
    <m/>
    <x v="26"/>
  </r>
  <r>
    <s v="9. Mateusz Brzostowski "/>
    <n v="1"/>
    <m/>
    <x v="105"/>
  </r>
  <r>
    <s v="9. Mauro Vaz "/>
    <n v="1"/>
    <m/>
    <x v="172"/>
  </r>
  <r>
    <s v="9. Miguel Fernández "/>
    <n v="2"/>
    <m/>
    <x v="63"/>
  </r>
  <r>
    <s v="9. Morgan Thomas "/>
    <n v="3"/>
    <m/>
    <x v="49"/>
  </r>
  <r>
    <s v="9. Pepijn Zwaan "/>
    <n v="2"/>
    <m/>
    <x v="163"/>
  </r>
  <r>
    <s v="9. Pere Beltran "/>
    <n v="4"/>
    <m/>
    <x v="30"/>
  </r>
  <r>
    <s v="9. Raffaele Sitter "/>
    <n v="5"/>
    <m/>
    <x v="84"/>
  </r>
  <r>
    <s v="9. Raúl Riquelme "/>
    <n v="1"/>
    <m/>
    <x v="156"/>
  </r>
  <r>
    <s v="9. Renato Galeano "/>
    <n v="4"/>
    <m/>
    <x v="144"/>
  </r>
  <r>
    <s v="9. Udo Mier "/>
    <n v="2"/>
    <m/>
    <x v="196"/>
  </r>
  <r>
    <s v="9. Ulf Schenkel "/>
    <n v="3"/>
    <m/>
    <x v="125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  <r>
    <m/>
    <m/>
    <m/>
    <x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477ED-5AC2-4BBA-ABD9-AE68B170C5CE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:H200" firstHeaderRow="1" firstDataRow="1" firstDataCol="1"/>
  <pivotFields count="4">
    <pivotField showAll="0"/>
    <pivotField dataField="1" showAll="0"/>
    <pivotField showAll="0"/>
    <pivotField axis="axisRow" showAll="0" sortType="descending">
      <items count="396">
        <item m="1" x="378"/>
        <item m="1" x="268"/>
        <item m="1" x="273"/>
        <item m="1" x="216"/>
        <item m="1" x="235"/>
        <item m="1" x="362"/>
        <item m="1" x="238"/>
        <item m="1" x="301"/>
        <item m="1" x="209"/>
        <item m="1" x="240"/>
        <item m="1" x="381"/>
        <item m="1" x="364"/>
        <item m="1" x="356"/>
        <item m="1" x="351"/>
        <item m="1" x="236"/>
        <item m="1" x="219"/>
        <item m="1" x="375"/>
        <item m="1" x="269"/>
        <item m="1" x="198"/>
        <item m="1" x="222"/>
        <item m="1" x="293"/>
        <item m="1" x="266"/>
        <item m="1" x="299"/>
        <item m="1" x="297"/>
        <item m="1" x="363"/>
        <item m="1" x="300"/>
        <item m="1" x="305"/>
        <item m="1" x="260"/>
        <item m="1" x="387"/>
        <item m="1" x="262"/>
        <item m="1" x="278"/>
        <item m="1" x="357"/>
        <item m="1" x="245"/>
        <item m="1" x="242"/>
        <item m="1" x="336"/>
        <item m="1" x="210"/>
        <item m="1" x="206"/>
        <item m="1" x="237"/>
        <item m="1" x="215"/>
        <item m="1" x="230"/>
        <item m="1" x="325"/>
        <item m="1" x="253"/>
        <item m="1" x="291"/>
        <item m="1" x="267"/>
        <item m="1" x="323"/>
        <item m="1" x="232"/>
        <item m="1" x="295"/>
        <item m="1" x="330"/>
        <item m="1" x="256"/>
        <item m="1" x="355"/>
        <item m="1" x="332"/>
        <item m="1" x="326"/>
        <item m="1" x="298"/>
        <item m="1" x="204"/>
        <item m="1" x="318"/>
        <item m="1" x="261"/>
        <item m="1" x="328"/>
        <item m="1" x="208"/>
        <item m="1" x="343"/>
        <item m="1" x="331"/>
        <item m="1" x="255"/>
        <item m="1" x="225"/>
        <item m="1" x="338"/>
        <item m="1" x="289"/>
        <item m="1" x="281"/>
        <item m="1" x="384"/>
        <item m="1" x="244"/>
        <item m="1" x="307"/>
        <item m="1" x="223"/>
        <item m="1" x="213"/>
        <item m="1" x="272"/>
        <item m="1" x="352"/>
        <item m="1" x="389"/>
        <item m="1" x="345"/>
        <item m="1" x="394"/>
        <item m="1" x="283"/>
        <item m="1" x="294"/>
        <item m="1" x="376"/>
        <item m="1" x="353"/>
        <item m="1" x="284"/>
        <item m="1" x="288"/>
        <item m="1" x="314"/>
        <item m="1" x="214"/>
        <item m="1" x="327"/>
        <item m="1" x="340"/>
        <item m="1" x="250"/>
        <item m="1" x="372"/>
        <item m="1" x="211"/>
        <item m="1" x="276"/>
        <item m="1" x="203"/>
        <item m="1" x="201"/>
        <item m="1" x="259"/>
        <item m="1" x="264"/>
        <item m="1" x="212"/>
        <item m="1" x="360"/>
        <item m="1" x="279"/>
        <item m="1" x="228"/>
        <item m="1" x="286"/>
        <item m="1" x="226"/>
        <item m="1" x="317"/>
        <item m="1" x="227"/>
        <item m="1" x="248"/>
        <item m="1" x="346"/>
        <item m="1" x="370"/>
        <item m="1" x="324"/>
        <item m="1" x="385"/>
        <item m="1" x="368"/>
        <item m="1" x="341"/>
        <item m="1" x="377"/>
        <item m="1" x="199"/>
        <item m="1" x="254"/>
        <item m="1" x="308"/>
        <item m="1" x="233"/>
        <item m="1" x="319"/>
        <item m="1" x="329"/>
        <item m="1" x="247"/>
        <item m="1" x="239"/>
        <item m="1" x="287"/>
        <item m="1" x="292"/>
        <item m="1" x="373"/>
        <item m="1" x="322"/>
        <item m="1" x="348"/>
        <item m="1" x="220"/>
        <item m="1" x="290"/>
        <item m="1" x="221"/>
        <item m="1" x="374"/>
        <item m="1" x="388"/>
        <item m="1" x="350"/>
        <item m="1" x="217"/>
        <item m="1" x="263"/>
        <item m="1" x="358"/>
        <item m="1" x="234"/>
        <item m="1" x="391"/>
        <item m="1" x="349"/>
        <item m="1" x="371"/>
        <item m="1" x="342"/>
        <item m="1" x="309"/>
        <item m="1" x="316"/>
        <item m="1" x="383"/>
        <item m="1" x="380"/>
        <item m="1" x="270"/>
        <item m="1" x="382"/>
        <item m="1" x="369"/>
        <item m="1" x="275"/>
        <item m="1" x="337"/>
        <item m="1" x="202"/>
        <item m="1" x="366"/>
        <item m="1" x="354"/>
        <item m="1" x="200"/>
        <item m="1" x="231"/>
        <item m="1" x="312"/>
        <item m="1" x="310"/>
        <item m="1" x="306"/>
        <item m="1" x="257"/>
        <item m="1" x="243"/>
        <item m="1" x="367"/>
        <item m="1" x="335"/>
        <item m="1" x="320"/>
        <item m="1" x="277"/>
        <item m="1" x="392"/>
        <item m="1" x="315"/>
        <item m="1" x="282"/>
        <item m="1" x="334"/>
        <item m="1" x="302"/>
        <item m="1" x="361"/>
        <item m="1" x="271"/>
        <item m="1" x="207"/>
        <item m="1" x="359"/>
        <item m="1" x="241"/>
        <item m="1" x="296"/>
        <item m="1" x="347"/>
        <item m="1" x="379"/>
        <item m="1" x="333"/>
        <item m="1" x="249"/>
        <item m="1" x="311"/>
        <item m="1" x="251"/>
        <item m="1" x="304"/>
        <item m="1" x="258"/>
        <item m="1" x="393"/>
        <item m="1" x="344"/>
        <item m="1" x="365"/>
        <item m="1" x="246"/>
        <item m="1" x="265"/>
        <item m="1" x="224"/>
        <item m="1" x="386"/>
        <item m="1" x="303"/>
        <item m="1" x="229"/>
        <item m="1" x="218"/>
        <item m="1" x="390"/>
        <item m="1" x="313"/>
        <item m="1" x="280"/>
        <item m="1" x="205"/>
        <item m="1" x="339"/>
        <item m="1" x="321"/>
        <item m="1" x="274"/>
        <item m="1" x="252"/>
        <item m="1" x="285"/>
        <item x="1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99">
    <i>
      <x v="205"/>
    </i>
    <i>
      <x v="230"/>
    </i>
    <i>
      <x v="207"/>
    </i>
    <i>
      <x v="264"/>
    </i>
    <i>
      <x v="213"/>
    </i>
    <i>
      <x v="222"/>
    </i>
    <i>
      <x v="198"/>
    </i>
    <i>
      <x v="234"/>
    </i>
    <i>
      <x v="208"/>
    </i>
    <i>
      <x v="301"/>
    </i>
    <i>
      <x v="200"/>
    </i>
    <i>
      <x v="228"/>
    </i>
    <i>
      <x v="215"/>
    </i>
    <i>
      <x v="206"/>
    </i>
    <i>
      <x v="340"/>
    </i>
    <i>
      <x v="223"/>
    </i>
    <i>
      <x v="203"/>
    </i>
    <i>
      <x v="220"/>
    </i>
    <i>
      <x v="294"/>
    </i>
    <i>
      <x v="356"/>
    </i>
    <i>
      <x v="221"/>
    </i>
    <i>
      <x v="216"/>
    </i>
    <i>
      <x v="212"/>
    </i>
    <i>
      <x v="227"/>
    </i>
    <i>
      <x v="344"/>
    </i>
    <i>
      <x v="229"/>
    </i>
    <i>
      <x v="232"/>
    </i>
    <i>
      <x v="279"/>
    </i>
    <i>
      <x v="342"/>
    </i>
    <i>
      <x v="338"/>
    </i>
    <i>
      <x v="209"/>
    </i>
    <i>
      <x v="361"/>
    </i>
    <i>
      <x v="204"/>
    </i>
    <i>
      <x v="295"/>
    </i>
    <i>
      <x v="277"/>
    </i>
    <i>
      <x v="217"/>
    </i>
    <i>
      <x v="224"/>
    </i>
    <i>
      <x v="226"/>
    </i>
    <i>
      <x v="305"/>
    </i>
    <i>
      <x v="337"/>
    </i>
    <i>
      <x v="339"/>
    </i>
    <i>
      <x v="270"/>
    </i>
    <i>
      <x v="210"/>
    </i>
    <i>
      <x v="211"/>
    </i>
    <i>
      <x v="368"/>
    </i>
    <i>
      <x v="300"/>
    </i>
    <i>
      <x v="240"/>
    </i>
    <i>
      <x v="343"/>
    </i>
    <i>
      <x v="378"/>
    </i>
    <i>
      <x v="304"/>
    </i>
    <i>
      <x v="282"/>
    </i>
    <i>
      <x v="275"/>
    </i>
    <i>
      <x v="306"/>
    </i>
    <i>
      <x v="291"/>
    </i>
    <i>
      <x v="218"/>
    </i>
    <i>
      <x v="333"/>
    </i>
    <i>
      <x v="245"/>
    </i>
    <i>
      <x v="235"/>
    </i>
    <i>
      <x v="202"/>
    </i>
    <i>
      <x v="247"/>
    </i>
    <i>
      <x v="371"/>
    </i>
    <i>
      <x v="287"/>
    </i>
    <i>
      <x v="382"/>
    </i>
    <i>
      <x v="262"/>
    </i>
    <i>
      <x v="214"/>
    </i>
    <i>
      <x v="261"/>
    </i>
    <i>
      <x v="292"/>
    </i>
    <i>
      <x v="391"/>
    </i>
    <i>
      <x v="363"/>
    </i>
    <i>
      <x v="289"/>
    </i>
    <i>
      <x v="357"/>
    </i>
    <i>
      <x v="246"/>
    </i>
    <i>
      <x v="199"/>
    </i>
    <i>
      <x v="369"/>
    </i>
    <i>
      <x v="244"/>
    </i>
    <i>
      <x v="225"/>
    </i>
    <i>
      <x v="336"/>
    </i>
    <i>
      <x v="359"/>
    </i>
    <i>
      <x v="290"/>
    </i>
    <i>
      <x v="242"/>
    </i>
    <i>
      <x v="379"/>
    </i>
    <i>
      <x v="256"/>
    </i>
    <i>
      <x v="354"/>
    </i>
    <i>
      <x v="273"/>
    </i>
    <i>
      <x v="248"/>
    </i>
    <i>
      <x v="258"/>
    </i>
    <i>
      <x v="271"/>
    </i>
    <i>
      <x v="259"/>
    </i>
    <i>
      <x v="385"/>
    </i>
    <i>
      <x v="345"/>
    </i>
    <i>
      <x v="265"/>
    </i>
    <i>
      <x v="353"/>
    </i>
    <i>
      <x v="284"/>
    </i>
    <i>
      <x v="219"/>
    </i>
    <i>
      <x v="389"/>
    </i>
    <i>
      <x v="254"/>
    </i>
    <i>
      <x v="272"/>
    </i>
    <i>
      <x v="241"/>
    </i>
    <i>
      <x v="288"/>
    </i>
    <i>
      <x v="346"/>
    </i>
    <i>
      <x v="253"/>
    </i>
    <i>
      <x v="323"/>
    </i>
    <i>
      <x v="269"/>
    </i>
    <i>
      <x v="327"/>
    </i>
    <i>
      <x v="296"/>
    </i>
    <i>
      <x v="334"/>
    </i>
    <i>
      <x v="355"/>
    </i>
    <i>
      <x v="274"/>
    </i>
    <i>
      <x v="341"/>
    </i>
    <i>
      <x v="268"/>
    </i>
    <i>
      <x v="360"/>
    </i>
    <i>
      <x v="238"/>
    </i>
    <i>
      <x v="285"/>
    </i>
    <i>
      <x v="318"/>
    </i>
    <i>
      <x v="329"/>
    </i>
    <i>
      <x v="319"/>
    </i>
    <i>
      <x v="367"/>
    </i>
    <i>
      <x v="358"/>
    </i>
    <i>
      <x v="257"/>
    </i>
    <i>
      <x v="312"/>
    </i>
    <i>
      <x v="372"/>
    </i>
    <i>
      <x v="365"/>
    </i>
    <i>
      <x v="316"/>
    </i>
    <i>
      <x v="251"/>
    </i>
    <i>
      <x v="370"/>
    </i>
    <i>
      <x v="328"/>
    </i>
    <i>
      <x v="231"/>
    </i>
    <i>
      <x v="201"/>
    </i>
    <i>
      <x v="364"/>
    </i>
    <i>
      <x v="237"/>
    </i>
    <i>
      <x v="309"/>
    </i>
    <i>
      <x v="293"/>
    </i>
    <i>
      <x v="310"/>
    </i>
    <i>
      <x v="348"/>
    </i>
    <i>
      <x v="375"/>
    </i>
    <i>
      <x v="352"/>
    </i>
    <i>
      <x v="384"/>
    </i>
    <i>
      <x v="298"/>
    </i>
    <i>
      <x v="302"/>
    </i>
    <i>
      <x v="362"/>
    </i>
    <i>
      <x v="376"/>
    </i>
    <i>
      <x v="322"/>
    </i>
    <i>
      <x v="260"/>
    </i>
    <i>
      <x v="276"/>
    </i>
    <i>
      <x v="374"/>
    </i>
    <i>
      <x v="394"/>
    </i>
    <i>
      <x v="249"/>
    </i>
    <i>
      <x v="278"/>
    </i>
    <i>
      <x v="388"/>
    </i>
    <i>
      <x v="263"/>
    </i>
    <i>
      <x v="303"/>
    </i>
    <i>
      <x v="233"/>
    </i>
    <i>
      <x v="317"/>
    </i>
    <i>
      <x v="366"/>
    </i>
    <i>
      <x v="377"/>
    </i>
    <i>
      <x v="307"/>
    </i>
    <i>
      <x v="383"/>
    </i>
    <i>
      <x v="308"/>
    </i>
    <i>
      <x v="386"/>
    </i>
    <i>
      <x v="243"/>
    </i>
    <i>
      <x v="390"/>
    </i>
    <i>
      <x v="286"/>
    </i>
    <i>
      <x v="393"/>
    </i>
    <i>
      <x v="239"/>
    </i>
    <i>
      <x v="236"/>
    </i>
    <i>
      <x v="299"/>
    </i>
    <i>
      <x v="332"/>
    </i>
    <i>
      <x v="387"/>
    </i>
    <i>
      <x v="280"/>
    </i>
    <i>
      <x v="255"/>
    </i>
    <i>
      <x v="267"/>
    </i>
    <i>
      <x v="326"/>
    </i>
    <i>
      <x v="381"/>
    </i>
    <i>
      <x v="320"/>
    </i>
    <i>
      <x v="314"/>
    </i>
    <i>
      <x v="321"/>
    </i>
    <i>
      <x v="315"/>
    </i>
    <i>
      <x v="283"/>
    </i>
    <i>
      <x v="250"/>
    </i>
    <i>
      <x v="347"/>
    </i>
    <i>
      <x v="380"/>
    </i>
    <i>
      <x v="330"/>
    </i>
    <i>
      <x v="313"/>
    </i>
    <i>
      <x v="349"/>
    </i>
    <i>
      <x v="252"/>
    </i>
    <i>
      <x v="373"/>
    </i>
    <i>
      <x v="335"/>
    </i>
    <i>
      <x v="350"/>
    </i>
    <i>
      <x v="281"/>
    </i>
    <i>
      <x v="351"/>
    </i>
    <i>
      <x v="266"/>
    </i>
    <i>
      <x v="331"/>
    </i>
    <i>
      <x v="392"/>
    </i>
    <i>
      <x v="297"/>
    </i>
    <i>
      <x v="324"/>
    </i>
    <i>
      <x v="325"/>
    </i>
    <i>
      <x v="311"/>
    </i>
    <i>
      <x v="197"/>
    </i>
    <i t="grand">
      <x/>
    </i>
  </rowItems>
  <colItems count="1">
    <i/>
  </colItems>
  <dataFields count="1">
    <dataField name="Suma de Goles" fld="1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TablaDinámica1" cacheId="0" applyNumberFormats="0" applyBorderFormats="0" applyFontFormats="0" applyPatternFormats="0" applyAlignmentFormats="0" applyWidthHeightFormats="1" dataCaption="Valores" missingCaption="" updatedVersion="6" minRefreshableVersion="3" useAutoFormatting="1" createdVersion="4" indent="0" multipleFieldFilters="0">
  <location ref="J1:M13" firstHeaderRow="0" firstDataRow="1" firstDataCol="1"/>
  <pivotFields count="8">
    <pivotField dataField="1" showAll="0" includeNewItemsInFilter="1" sortType="ascending"/>
    <pivotField showAll="0" includeNewItemsInFilter="1" sortType="ascending"/>
    <pivotField showAll="0" includeNewItemsInFilter="1" sortType="ascending"/>
    <pivotField axis="axisRow" showAll="0" includeNewItemsInFilter="1" sortType="ascending">
      <items count="14">
        <item m="1" x="12"/>
        <item x="0"/>
        <item x="1"/>
        <item x="2"/>
        <item x="3"/>
        <item x="4"/>
        <item x="5"/>
        <item x="6"/>
        <item x="7"/>
        <item x="9"/>
        <item x="8"/>
        <item x="10"/>
        <item h="1" x="11"/>
        <item t="default"/>
      </items>
    </pivotField>
    <pivotField showAll="0" includeNewItemsInFilter="1" sortType="ascending"/>
    <pivotField dataField="1" showAll="0" includeNewItemsInFilter="1" sortType="ascending"/>
    <pivotField dataField="1" showAll="0" includeNewItemsInFilter="1" sortType="ascending"/>
    <pivotField showAll="0" includeNewItemsInFilter="1" sortType="ascending"/>
  </pivotFields>
  <rowFields count="1"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rtidos" fld="0" subtotal="count" baseField="0" baseItem="0"/>
    <dataField name="Suma de OcasionesFalladas" fld="5" baseField="0" baseItem="0"/>
    <dataField name="Suma de CAs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79998168889431442"/>
  </sheetPr>
  <dimension ref="A20:A26"/>
  <sheetViews>
    <sheetView workbookViewId="0">
      <selection activeCell="B21" sqref="B21"/>
    </sheetView>
  </sheetViews>
  <sheetFormatPr baseColWidth="10" defaultColWidth="10.7109375" defaultRowHeight="15" x14ac:dyDescent="0.25"/>
  <sheetData>
    <row r="20" spans="1:1" x14ac:dyDescent="0.25">
      <c r="A20" s="264">
        <v>44412</v>
      </c>
    </row>
    <row r="26" spans="1:1" x14ac:dyDescent="0.25">
      <c r="A26" s="278"/>
    </row>
  </sheetData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DEE8"/>
  </sheetPr>
  <dimension ref="A1:S31"/>
  <sheetViews>
    <sheetView workbookViewId="0">
      <selection activeCell="D4" sqref="D4"/>
    </sheetView>
  </sheetViews>
  <sheetFormatPr baseColWidth="10" defaultColWidth="11.42578125" defaultRowHeight="15" x14ac:dyDescent="0.25"/>
  <cols>
    <col min="1" max="1" width="18.85546875" customWidth="1"/>
    <col min="2" max="2" width="5.42578125" customWidth="1"/>
    <col min="3" max="3" width="3" customWidth="1"/>
    <col min="4" max="4" width="4.85546875" customWidth="1"/>
    <col min="5" max="6" width="6" customWidth="1"/>
    <col min="7" max="8" width="4.85546875" customWidth="1"/>
    <col min="9" max="10" width="7.7109375" customWidth="1"/>
    <col min="12" max="12" width="48.140625" customWidth="1"/>
    <col min="14" max="14" width="7.7109375" customWidth="1"/>
    <col min="15" max="15" width="22" customWidth="1"/>
    <col min="16" max="17" width="6" customWidth="1"/>
    <col min="18" max="18" width="8.7109375" customWidth="1"/>
    <col min="19" max="19" width="4.85546875" customWidth="1"/>
  </cols>
  <sheetData>
    <row r="1" spans="1:19" x14ac:dyDescent="0.25">
      <c r="A1" s="23">
        <v>43062</v>
      </c>
      <c r="E1" s="78" t="s">
        <v>370</v>
      </c>
      <c r="F1" s="79" t="s">
        <v>371</v>
      </c>
      <c r="G1" s="80"/>
      <c r="H1" s="80"/>
      <c r="I1" s="81" t="s">
        <v>370</v>
      </c>
      <c r="J1" s="82" t="s">
        <v>371</v>
      </c>
      <c r="P1" s="78" t="s">
        <v>370</v>
      </c>
      <c r="Q1" s="79" t="s">
        <v>371</v>
      </c>
      <c r="R1" s="78"/>
      <c r="S1" s="79"/>
    </row>
    <row r="2" spans="1:19" x14ac:dyDescent="0.25">
      <c r="A2" s="83" t="s">
        <v>177</v>
      </c>
      <c r="B2" s="83" t="s">
        <v>372</v>
      </c>
      <c r="C2" s="83" t="s">
        <v>373</v>
      </c>
      <c r="D2" s="83" t="s">
        <v>130</v>
      </c>
      <c r="E2" s="78" t="s">
        <v>112</v>
      </c>
      <c r="F2" s="79" t="s">
        <v>112</v>
      </c>
      <c r="G2" s="80" t="s">
        <v>111</v>
      </c>
      <c r="H2" s="80" t="s">
        <v>111</v>
      </c>
      <c r="I2" s="81" t="s">
        <v>374</v>
      </c>
      <c r="J2" s="82" t="s">
        <v>374</v>
      </c>
      <c r="P2" s="78" t="s">
        <v>112</v>
      </c>
      <c r="Q2" s="79" t="s">
        <v>112</v>
      </c>
      <c r="R2" s="78" t="s">
        <v>111</v>
      </c>
      <c r="S2" s="79" t="s">
        <v>111</v>
      </c>
    </row>
    <row r="3" spans="1:19" x14ac:dyDescent="0.25">
      <c r="A3" s="41" t="str">
        <f>PLANTILLA!D4</f>
        <v>Cosme Fonteboa</v>
      </c>
      <c r="B3">
        <f>PLANTILLA!E4</f>
        <v>30</v>
      </c>
      <c r="C3">
        <f>PLANTILLA!H4</f>
        <v>4</v>
      </c>
      <c r="D3" s="24">
        <f>PLANTILLA!I4</f>
        <v>12</v>
      </c>
      <c r="E3" s="84">
        <f t="shared" ref="E3" si="0">D3</f>
        <v>12</v>
      </c>
      <c r="F3" s="84">
        <f t="shared" ref="F3" si="1">E3+0.1</f>
        <v>12.1</v>
      </c>
      <c r="G3" s="84">
        <f t="shared" ref="G3" si="2">C3</f>
        <v>4</v>
      </c>
      <c r="H3" s="84">
        <f t="shared" ref="H3" si="3">G3+0.99</f>
        <v>4.99</v>
      </c>
      <c r="I3" s="85">
        <f t="shared" ref="I3" si="4">G3*G3*E3</f>
        <v>192</v>
      </c>
      <c r="J3" s="85">
        <f t="shared" ref="J3" si="5">H3*H3*F3</f>
        <v>301.29121000000004</v>
      </c>
      <c r="K3" s="86"/>
      <c r="N3" s="41" t="s">
        <v>374</v>
      </c>
      <c r="O3" s="25" t="str">
        <f>A12</f>
        <v>Enrique Cubas</v>
      </c>
      <c r="P3" s="87">
        <f>E12</f>
        <v>11</v>
      </c>
      <c r="Q3" s="87">
        <f t="shared" ref="Q3:S3" si="6">F12</f>
        <v>11.1</v>
      </c>
      <c r="R3" s="87">
        <f t="shared" si="6"/>
        <v>1</v>
      </c>
      <c r="S3" s="87">
        <f t="shared" si="6"/>
        <v>1.99</v>
      </c>
    </row>
    <row r="4" spans="1:19" x14ac:dyDescent="0.25">
      <c r="A4" s="41" t="str">
        <f>PLANTILLA!D5</f>
        <v>Nicolae Hornet</v>
      </c>
      <c r="B4">
        <f>PLANTILLA!E5</f>
        <v>30</v>
      </c>
      <c r="C4">
        <f>PLANTILLA!H5</f>
        <v>5</v>
      </c>
      <c r="D4" s="24">
        <f>PLANTILLA!I5</f>
        <v>2.2999999999999998</v>
      </c>
      <c r="E4" s="84">
        <f t="shared" ref="E4:E19" si="7">D4</f>
        <v>2.2999999999999998</v>
      </c>
      <c r="F4" s="84">
        <f t="shared" ref="F4:F19" si="8">E4+0.1</f>
        <v>2.4</v>
      </c>
      <c r="G4" s="84">
        <f t="shared" ref="G4:G19" si="9">C4</f>
        <v>5</v>
      </c>
      <c r="H4" s="84">
        <f t="shared" ref="H4:H19" si="10">G4+0.99</f>
        <v>5.99</v>
      </c>
      <c r="I4" s="85">
        <f t="shared" ref="I4:I19" si="11">G4*G4*E4</f>
        <v>57.499999999999993</v>
      </c>
      <c r="J4" s="85">
        <f t="shared" ref="J4:J19" si="12">H4*H4*F4</f>
        <v>86.112240000000014</v>
      </c>
      <c r="K4" s="86"/>
      <c r="O4" t="str">
        <f>A18</f>
        <v>Nicolás Galaz</v>
      </c>
      <c r="P4" s="87">
        <f>E18</f>
        <v>7.6</v>
      </c>
      <c r="Q4" s="87">
        <f t="shared" ref="Q4:S4" si="13">F18</f>
        <v>7.6999999999999993</v>
      </c>
      <c r="R4" s="87">
        <f t="shared" si="13"/>
        <v>1</v>
      </c>
      <c r="S4" s="87">
        <f t="shared" si="13"/>
        <v>1.99</v>
      </c>
    </row>
    <row r="5" spans="1:19" x14ac:dyDescent="0.25">
      <c r="A5" s="41" t="str">
        <f>PLANTILLA!D6</f>
        <v>Iván Real Figueroa</v>
      </c>
      <c r="B5">
        <f>PLANTILLA!E6</f>
        <v>30</v>
      </c>
      <c r="C5">
        <f>PLANTILLA!H6</f>
        <v>4</v>
      </c>
      <c r="D5" s="24">
        <f>PLANTILLA!I6</f>
        <v>8.4</v>
      </c>
      <c r="E5" s="84">
        <f t="shared" si="7"/>
        <v>8.4</v>
      </c>
      <c r="F5" s="84">
        <f t="shared" si="8"/>
        <v>8.5</v>
      </c>
      <c r="G5" s="84">
        <f t="shared" si="9"/>
        <v>4</v>
      </c>
      <c r="H5" s="84">
        <f t="shared" si="10"/>
        <v>4.99</v>
      </c>
      <c r="I5" s="85">
        <f t="shared" si="11"/>
        <v>134.4</v>
      </c>
      <c r="J5" s="85">
        <f t="shared" si="12"/>
        <v>211.65085000000002</v>
      </c>
      <c r="K5" s="86"/>
      <c r="O5" t="str">
        <f>A3</f>
        <v>Cosme Fonteboa</v>
      </c>
      <c r="P5" s="87">
        <f>E3</f>
        <v>12</v>
      </c>
      <c r="Q5" s="87">
        <f t="shared" ref="Q5:S5" si="14">F3</f>
        <v>12.1</v>
      </c>
      <c r="R5" s="87">
        <f t="shared" si="14"/>
        <v>4</v>
      </c>
      <c r="S5" s="87">
        <f t="shared" si="14"/>
        <v>4.99</v>
      </c>
    </row>
    <row r="6" spans="1:19" x14ac:dyDescent="0.25">
      <c r="A6" s="41" t="str">
        <f>PLANTILLA!D7</f>
        <v>Berto Abandero</v>
      </c>
      <c r="B6">
        <f>PLANTILLA!E7</f>
        <v>30</v>
      </c>
      <c r="C6">
        <f>PLANTILLA!H7</f>
        <v>1</v>
      </c>
      <c r="D6" s="24">
        <f>PLANTILLA!I7</f>
        <v>8.5</v>
      </c>
      <c r="E6" s="84">
        <f t="shared" si="7"/>
        <v>8.5</v>
      </c>
      <c r="F6" s="84">
        <f t="shared" si="8"/>
        <v>8.6</v>
      </c>
      <c r="G6" s="84">
        <f t="shared" si="9"/>
        <v>1</v>
      </c>
      <c r="H6" s="84">
        <f t="shared" si="10"/>
        <v>1.99</v>
      </c>
      <c r="I6" s="85">
        <f t="shared" si="11"/>
        <v>8.5</v>
      </c>
      <c r="J6" s="85">
        <f t="shared" si="12"/>
        <v>34.05686</v>
      </c>
      <c r="K6" s="86"/>
      <c r="O6" t="str">
        <f>A16</f>
        <v>Bogdan Pivovarov</v>
      </c>
      <c r="P6" s="87">
        <f>E16</f>
        <v>9.8000000000000007</v>
      </c>
      <c r="Q6" s="87">
        <f t="shared" ref="Q6:S6" si="15">F16</f>
        <v>9.9</v>
      </c>
      <c r="R6" s="87">
        <f t="shared" si="15"/>
        <v>1</v>
      </c>
      <c r="S6" s="87">
        <f t="shared" si="15"/>
        <v>1.99</v>
      </c>
    </row>
    <row r="7" spans="1:19" x14ac:dyDescent="0.25">
      <c r="A7" s="41" t="str">
        <f>PLANTILLA!D8</f>
        <v>Guillermo Pedrajas</v>
      </c>
      <c r="B7">
        <f>PLANTILLA!E8</f>
        <v>30</v>
      </c>
      <c r="C7">
        <f>PLANTILLA!H8</f>
        <v>4</v>
      </c>
      <c r="D7" s="24">
        <f>PLANTILLA!I8</f>
        <v>9.3000000000000007</v>
      </c>
      <c r="E7" s="84">
        <f t="shared" si="7"/>
        <v>9.3000000000000007</v>
      </c>
      <c r="F7" s="84">
        <f t="shared" si="8"/>
        <v>9.4</v>
      </c>
      <c r="G7" s="84">
        <f t="shared" si="9"/>
        <v>4</v>
      </c>
      <c r="H7" s="84">
        <f t="shared" si="10"/>
        <v>4.99</v>
      </c>
      <c r="I7" s="85">
        <f t="shared" si="11"/>
        <v>148.80000000000001</v>
      </c>
      <c r="J7" s="85">
        <f t="shared" si="12"/>
        <v>234.06094000000002</v>
      </c>
      <c r="K7" s="86"/>
      <c r="O7" t="str">
        <f>A13</f>
        <v>J. G. Peñuela</v>
      </c>
      <c r="P7" s="87">
        <f>E13</f>
        <v>9.4</v>
      </c>
      <c r="Q7" s="87">
        <f t="shared" ref="Q7:S7" si="16">F13</f>
        <v>9.5</v>
      </c>
      <c r="R7" s="87">
        <f t="shared" si="16"/>
        <v>6</v>
      </c>
      <c r="S7" s="87">
        <f t="shared" si="16"/>
        <v>6.99</v>
      </c>
    </row>
    <row r="8" spans="1:19" x14ac:dyDescent="0.25">
      <c r="A8" s="41" t="str">
        <f>PLANTILLA!D9</f>
        <v>Venanci Oset</v>
      </c>
      <c r="B8">
        <f>PLANTILLA!E9</f>
        <v>30</v>
      </c>
      <c r="C8">
        <f>PLANTILLA!H9</f>
        <v>2</v>
      </c>
      <c r="D8" s="24">
        <f>PLANTILLA!I9</f>
        <v>8.4</v>
      </c>
      <c r="E8" s="84">
        <f t="shared" si="7"/>
        <v>8.4</v>
      </c>
      <c r="F8" s="84">
        <f t="shared" si="8"/>
        <v>8.5</v>
      </c>
      <c r="G8" s="84">
        <f t="shared" si="9"/>
        <v>2</v>
      </c>
      <c r="H8" s="84">
        <f t="shared" si="10"/>
        <v>2.99</v>
      </c>
      <c r="I8" s="85">
        <f t="shared" si="11"/>
        <v>33.6</v>
      </c>
      <c r="J8" s="85">
        <f t="shared" si="12"/>
        <v>75.990850000000009</v>
      </c>
      <c r="K8" s="86"/>
      <c r="O8" t="str">
        <f>A10</f>
        <v>Will Duffill</v>
      </c>
      <c r="P8" s="87">
        <f>E10</f>
        <v>11</v>
      </c>
      <c r="Q8" s="87">
        <f t="shared" ref="Q8:S8" si="17">F10</f>
        <v>11.1</v>
      </c>
      <c r="R8" s="87">
        <f t="shared" si="17"/>
        <v>3</v>
      </c>
      <c r="S8" s="87">
        <f t="shared" si="17"/>
        <v>3.99</v>
      </c>
    </row>
    <row r="9" spans="1:19" x14ac:dyDescent="0.25">
      <c r="A9" s="41" t="str">
        <f>PLANTILLA!D10</f>
        <v>Francesc Añigas</v>
      </c>
      <c r="B9">
        <f>PLANTILLA!E10</f>
        <v>30</v>
      </c>
      <c r="C9">
        <f>PLANTILLA!H10</f>
        <v>5</v>
      </c>
      <c r="D9" s="24">
        <f>PLANTILLA!I10</f>
        <v>10.3</v>
      </c>
      <c r="E9" s="84">
        <f t="shared" si="7"/>
        <v>10.3</v>
      </c>
      <c r="F9" s="84">
        <f t="shared" si="8"/>
        <v>10.4</v>
      </c>
      <c r="G9" s="84">
        <f t="shared" si="9"/>
        <v>5</v>
      </c>
      <c r="H9" s="84">
        <f t="shared" si="10"/>
        <v>5.99</v>
      </c>
      <c r="I9" s="85">
        <f t="shared" si="11"/>
        <v>257.5</v>
      </c>
      <c r="J9" s="85">
        <f t="shared" si="12"/>
        <v>373.15304000000009</v>
      </c>
      <c r="K9" s="86"/>
      <c r="O9" t="str">
        <f>A11</f>
        <v>Valeri Gomis</v>
      </c>
      <c r="P9" s="87">
        <f>E11</f>
        <v>10</v>
      </c>
      <c r="Q9" s="87">
        <f t="shared" ref="Q9:S9" si="18">F11</f>
        <v>10.1</v>
      </c>
      <c r="R9" s="87">
        <f t="shared" si="18"/>
        <v>6</v>
      </c>
      <c r="S9" s="87">
        <f t="shared" si="18"/>
        <v>6.99</v>
      </c>
    </row>
    <row r="10" spans="1:19" x14ac:dyDescent="0.25">
      <c r="A10" s="41" t="str">
        <f>PLANTILLA!D11</f>
        <v>Will Duffill</v>
      </c>
      <c r="B10">
        <f>PLANTILLA!E11</f>
        <v>30</v>
      </c>
      <c r="C10">
        <f>PLANTILLA!H11</f>
        <v>3</v>
      </c>
      <c r="D10" s="24">
        <f>PLANTILLA!I11</f>
        <v>11</v>
      </c>
      <c r="E10" s="84">
        <f t="shared" si="7"/>
        <v>11</v>
      </c>
      <c r="F10" s="84">
        <f t="shared" si="8"/>
        <v>11.1</v>
      </c>
      <c r="G10" s="84">
        <f t="shared" si="9"/>
        <v>3</v>
      </c>
      <c r="H10" s="84">
        <f t="shared" si="10"/>
        <v>3.99</v>
      </c>
      <c r="I10" s="85">
        <f t="shared" si="11"/>
        <v>99</v>
      </c>
      <c r="J10" s="85">
        <f t="shared" si="12"/>
        <v>176.71311</v>
      </c>
      <c r="K10" s="86"/>
      <c r="O10" t="str">
        <f>A17</f>
        <v>Sabir Bekrija</v>
      </c>
      <c r="P10" s="87">
        <f>E17</f>
        <v>10.8</v>
      </c>
      <c r="Q10" s="87">
        <f t="shared" ref="Q10:S10" si="19">F17</f>
        <v>10.9</v>
      </c>
      <c r="R10" s="87">
        <f t="shared" si="19"/>
        <v>4</v>
      </c>
      <c r="S10" s="87">
        <f t="shared" si="19"/>
        <v>4.99</v>
      </c>
    </row>
    <row r="11" spans="1:19" x14ac:dyDescent="0.25">
      <c r="A11" s="41" t="str">
        <f>PLANTILLA!D12</f>
        <v>Valeri Gomis</v>
      </c>
      <c r="B11">
        <f>PLANTILLA!E12</f>
        <v>30</v>
      </c>
      <c r="C11">
        <f>PLANTILLA!H12</f>
        <v>6</v>
      </c>
      <c r="D11" s="24">
        <f>PLANTILLA!I12</f>
        <v>10</v>
      </c>
      <c r="E11" s="84">
        <f t="shared" si="7"/>
        <v>10</v>
      </c>
      <c r="F11" s="84">
        <f t="shared" si="8"/>
        <v>10.1</v>
      </c>
      <c r="G11" s="84">
        <f t="shared" si="9"/>
        <v>6</v>
      </c>
      <c r="H11" s="84">
        <f t="shared" si="10"/>
        <v>6.99</v>
      </c>
      <c r="I11" s="85">
        <f t="shared" si="11"/>
        <v>360</v>
      </c>
      <c r="J11" s="85">
        <f t="shared" si="12"/>
        <v>493.48701</v>
      </c>
      <c r="K11" s="86"/>
      <c r="O11" t="str">
        <f>A8</f>
        <v>Venanci Oset</v>
      </c>
      <c r="P11" s="87">
        <f>E8</f>
        <v>8.4</v>
      </c>
      <c r="Q11" s="87">
        <f t="shared" ref="Q11:S11" si="20">F8</f>
        <v>8.5</v>
      </c>
      <c r="R11" s="87">
        <f t="shared" si="20"/>
        <v>2</v>
      </c>
      <c r="S11" s="87">
        <f t="shared" si="20"/>
        <v>2.99</v>
      </c>
    </row>
    <row r="12" spans="1:19" x14ac:dyDescent="0.25">
      <c r="A12" s="41" t="str">
        <f>PLANTILLA!D13</f>
        <v>Enrique Cubas</v>
      </c>
      <c r="B12">
        <f>PLANTILLA!E13</f>
        <v>30</v>
      </c>
      <c r="C12">
        <f>PLANTILLA!H13</f>
        <v>1</v>
      </c>
      <c r="D12" s="24">
        <f>PLANTILLA!I13</f>
        <v>11</v>
      </c>
      <c r="E12" s="84">
        <f t="shared" si="7"/>
        <v>11</v>
      </c>
      <c r="F12" s="84">
        <f t="shared" si="8"/>
        <v>11.1</v>
      </c>
      <c r="G12" s="84">
        <f t="shared" si="9"/>
        <v>1</v>
      </c>
      <c r="H12" s="84">
        <f t="shared" si="10"/>
        <v>1.99</v>
      </c>
      <c r="I12" s="85">
        <f t="shared" si="11"/>
        <v>11</v>
      </c>
      <c r="J12" s="85">
        <f t="shared" si="12"/>
        <v>43.95711</v>
      </c>
      <c r="K12" s="86"/>
      <c r="O12" t="str">
        <f>A7</f>
        <v>Guillermo Pedrajas</v>
      </c>
      <c r="P12" s="87">
        <f>E7</f>
        <v>9.3000000000000007</v>
      </c>
      <c r="Q12" s="87">
        <f t="shared" ref="Q12:S12" si="21">F7</f>
        <v>9.4</v>
      </c>
      <c r="R12" s="87">
        <f t="shared" si="21"/>
        <v>4</v>
      </c>
      <c r="S12" s="87">
        <f t="shared" si="21"/>
        <v>4.99</v>
      </c>
    </row>
    <row r="13" spans="1:19" x14ac:dyDescent="0.25">
      <c r="A13" s="41" t="str">
        <f>PLANTILLA!D14</f>
        <v>J. G. Peñuela</v>
      </c>
      <c r="B13">
        <f>PLANTILLA!E14</f>
        <v>30</v>
      </c>
      <c r="C13">
        <f>PLANTILLA!H14</f>
        <v>6</v>
      </c>
      <c r="D13" s="24">
        <f>PLANTILLA!I14</f>
        <v>9.4</v>
      </c>
      <c r="E13" s="84">
        <f t="shared" si="7"/>
        <v>9.4</v>
      </c>
      <c r="F13" s="84">
        <f t="shared" si="8"/>
        <v>9.5</v>
      </c>
      <c r="G13" s="84">
        <f t="shared" si="9"/>
        <v>6</v>
      </c>
      <c r="H13" s="84">
        <f t="shared" si="10"/>
        <v>6.99</v>
      </c>
      <c r="I13" s="85">
        <f t="shared" si="11"/>
        <v>338.40000000000003</v>
      </c>
      <c r="J13" s="85">
        <f t="shared" si="12"/>
        <v>464.17095</v>
      </c>
      <c r="K13" s="86"/>
      <c r="O13" t="str">
        <f>A9</f>
        <v>Francesc Añigas</v>
      </c>
      <c r="P13" s="87">
        <f>E9</f>
        <v>10.3</v>
      </c>
      <c r="Q13" s="87">
        <f t="shared" ref="Q13:S13" si="22">F9</f>
        <v>10.4</v>
      </c>
      <c r="R13" s="87">
        <f t="shared" si="22"/>
        <v>5</v>
      </c>
      <c r="S13" s="87">
        <f t="shared" si="22"/>
        <v>5.99</v>
      </c>
    </row>
    <row r="14" spans="1:19" x14ac:dyDescent="0.25">
      <c r="A14" s="41" t="str">
        <f>PLANTILLA!D15</f>
        <v>Lenadro Faias</v>
      </c>
      <c r="B14">
        <f>PLANTILLA!E15</f>
        <v>33</v>
      </c>
      <c r="C14">
        <f>PLANTILLA!H15</f>
        <v>1</v>
      </c>
      <c r="D14" s="24">
        <f>PLANTILLA!I15</f>
        <v>8</v>
      </c>
      <c r="E14" s="84">
        <f t="shared" si="7"/>
        <v>8</v>
      </c>
      <c r="F14" s="84">
        <f t="shared" si="8"/>
        <v>8.1</v>
      </c>
      <c r="G14" s="84">
        <f t="shared" si="9"/>
        <v>1</v>
      </c>
      <c r="H14" s="84">
        <f t="shared" si="10"/>
        <v>1.99</v>
      </c>
      <c r="I14" s="85">
        <f t="shared" si="11"/>
        <v>8</v>
      </c>
      <c r="J14" s="85">
        <f t="shared" si="12"/>
        <v>32.076810000000002</v>
      </c>
      <c r="K14" s="86"/>
      <c r="P14" s="27">
        <f>SUM(P4:P13)/10</f>
        <v>9.8600000000000012</v>
      </c>
      <c r="Q14" s="27">
        <f>SUM(Q4:Q13)/10</f>
        <v>9.9600000000000009</v>
      </c>
      <c r="R14" s="27"/>
      <c r="S14" s="27"/>
    </row>
    <row r="15" spans="1:19" x14ac:dyDescent="0.25">
      <c r="A15" s="41" t="str">
        <f>PLANTILLA!D16</f>
        <v>Elmar Kolberg</v>
      </c>
      <c r="B15">
        <f>PLANTILLA!E16</f>
        <v>33</v>
      </c>
      <c r="C15">
        <f>PLANTILLA!H16</f>
        <v>2</v>
      </c>
      <c r="D15" s="24">
        <f>PLANTILLA!I16</f>
        <v>9</v>
      </c>
      <c r="E15" s="84">
        <f t="shared" si="7"/>
        <v>9</v>
      </c>
      <c r="F15" s="84">
        <f t="shared" si="8"/>
        <v>9.1</v>
      </c>
      <c r="G15" s="84">
        <f t="shared" si="9"/>
        <v>2</v>
      </c>
      <c r="H15" s="84">
        <f t="shared" si="10"/>
        <v>2.99</v>
      </c>
      <c r="I15" s="85">
        <f t="shared" si="11"/>
        <v>36</v>
      </c>
      <c r="J15" s="85">
        <f t="shared" si="12"/>
        <v>81.354910000000004</v>
      </c>
      <c r="K15" s="86"/>
    </row>
    <row r="16" spans="1:19" x14ac:dyDescent="0.25">
      <c r="A16" s="41" t="str">
        <f>PLANTILLA!D17</f>
        <v>Bogdan Pivovarov</v>
      </c>
      <c r="B16">
        <f>PLANTILLA!E17</f>
        <v>31</v>
      </c>
      <c r="C16">
        <f>PLANTILLA!H17</f>
        <v>1</v>
      </c>
      <c r="D16" s="24">
        <f>PLANTILLA!I17</f>
        <v>9.8000000000000007</v>
      </c>
      <c r="E16" s="84">
        <f t="shared" si="7"/>
        <v>9.8000000000000007</v>
      </c>
      <c r="F16" s="84">
        <f t="shared" si="8"/>
        <v>9.9</v>
      </c>
      <c r="G16" s="84">
        <f t="shared" si="9"/>
        <v>1</v>
      </c>
      <c r="H16" s="84">
        <f t="shared" si="10"/>
        <v>1.99</v>
      </c>
      <c r="I16" s="85">
        <f t="shared" si="11"/>
        <v>9.8000000000000007</v>
      </c>
      <c r="J16" s="85">
        <f t="shared" si="12"/>
        <v>39.204990000000002</v>
      </c>
      <c r="K16" s="86"/>
      <c r="L16" s="46" t="s">
        <v>375</v>
      </c>
      <c r="O16" t="s">
        <v>376</v>
      </c>
      <c r="P16" s="24">
        <f>SUM(P3:P13)</f>
        <v>109.60000000000001</v>
      </c>
      <c r="Q16" s="24">
        <f>SUM(Q3:Q13)</f>
        <v>110.70000000000002</v>
      </c>
      <c r="R16" s="24"/>
    </row>
    <row r="17" spans="1:18" x14ac:dyDescent="0.25">
      <c r="A17" s="41" t="str">
        <f>PLANTILLA!D18</f>
        <v>Sabir Bekrija</v>
      </c>
      <c r="B17">
        <f>PLANTILLA!E18</f>
        <v>31</v>
      </c>
      <c r="C17">
        <f>PLANTILLA!H18</f>
        <v>4</v>
      </c>
      <c r="D17" s="24">
        <f>PLANTILLA!I18</f>
        <v>10.8</v>
      </c>
      <c r="E17" s="84">
        <f t="shared" si="7"/>
        <v>10.8</v>
      </c>
      <c r="F17" s="84">
        <f t="shared" si="8"/>
        <v>10.9</v>
      </c>
      <c r="G17" s="84">
        <f t="shared" si="9"/>
        <v>4</v>
      </c>
      <c r="H17" s="84">
        <f t="shared" si="10"/>
        <v>4.99</v>
      </c>
      <c r="I17" s="85">
        <f t="shared" si="11"/>
        <v>172.8</v>
      </c>
      <c r="J17" s="85">
        <f t="shared" si="12"/>
        <v>271.41109</v>
      </c>
      <c r="K17" s="86"/>
      <c r="O17" t="s">
        <v>377</v>
      </c>
      <c r="P17" s="27">
        <f>P16/17</f>
        <v>6.447058823529412</v>
      </c>
      <c r="Q17" s="27">
        <f>Q16/17</f>
        <v>6.5117647058823538</v>
      </c>
      <c r="R17" s="27"/>
    </row>
    <row r="18" spans="1:18" x14ac:dyDescent="0.25">
      <c r="A18" s="41" t="str">
        <f>PLANTILLA!D19</f>
        <v>Nicolás Galaz</v>
      </c>
      <c r="B18">
        <f>PLANTILLA!E19</f>
        <v>30</v>
      </c>
      <c r="C18">
        <f>PLANTILLA!H19</f>
        <v>1</v>
      </c>
      <c r="D18" s="24">
        <f>PLANTILLA!I19</f>
        <v>7.6</v>
      </c>
      <c r="E18" s="84">
        <f t="shared" si="7"/>
        <v>7.6</v>
      </c>
      <c r="F18" s="84">
        <f t="shared" si="8"/>
        <v>7.6999999999999993</v>
      </c>
      <c r="G18" s="84">
        <f t="shared" si="9"/>
        <v>1</v>
      </c>
      <c r="H18" s="84">
        <f t="shared" si="10"/>
        <v>1.99</v>
      </c>
      <c r="I18" s="85">
        <f t="shared" si="11"/>
        <v>7.6</v>
      </c>
      <c r="J18" s="85">
        <f t="shared" si="12"/>
        <v>30.49277</v>
      </c>
      <c r="K18" s="86"/>
      <c r="L18" s="46" t="s">
        <v>378</v>
      </c>
      <c r="O18" t="s">
        <v>379</v>
      </c>
      <c r="P18" s="24">
        <f>R3^2</f>
        <v>1</v>
      </c>
      <c r="Q18" s="24">
        <f>S3^2</f>
        <v>3.9601000000000002</v>
      </c>
      <c r="R18" s="24"/>
    </row>
    <row r="19" spans="1:18" x14ac:dyDescent="0.25">
      <c r="A19" s="41" t="str">
        <f>PLANTILLA!D20</f>
        <v>Rodolfo Rinaldo Paso</v>
      </c>
      <c r="B19">
        <f>PLANTILLA!E20</f>
        <v>30</v>
      </c>
      <c r="C19">
        <f>PLANTILLA!H20</f>
        <v>1</v>
      </c>
      <c r="D19" s="24">
        <f>PLANTILLA!I20</f>
        <v>8.3000000000000007</v>
      </c>
      <c r="E19" s="84">
        <f t="shared" si="7"/>
        <v>8.3000000000000007</v>
      </c>
      <c r="F19" s="84">
        <f t="shared" si="8"/>
        <v>8.4</v>
      </c>
      <c r="G19" s="84">
        <f t="shared" si="9"/>
        <v>1</v>
      </c>
      <c r="H19" s="84">
        <f t="shared" si="10"/>
        <v>1.99</v>
      </c>
      <c r="I19" s="85">
        <f t="shared" si="11"/>
        <v>8.3000000000000007</v>
      </c>
      <c r="J19" s="85">
        <f t="shared" si="12"/>
        <v>33.26484</v>
      </c>
      <c r="K19" s="86"/>
      <c r="L19" s="46" t="s">
        <v>380</v>
      </c>
      <c r="O19" t="s">
        <v>381</v>
      </c>
      <c r="P19" s="24">
        <f>P18*P3</f>
        <v>11</v>
      </c>
      <c r="Q19" s="24">
        <f>Q18*Q3</f>
        <v>43.95711</v>
      </c>
      <c r="R19" s="24"/>
    </row>
    <row r="20" spans="1:18" x14ac:dyDescent="0.25">
      <c r="A20" s="41"/>
      <c r="D20" s="24"/>
      <c r="E20" s="84"/>
      <c r="F20" s="84"/>
      <c r="G20" s="84"/>
      <c r="H20" s="84"/>
      <c r="I20" s="85"/>
      <c r="J20" s="85"/>
      <c r="K20" s="86"/>
      <c r="L20" s="46" t="s">
        <v>382</v>
      </c>
      <c r="O20" t="s">
        <v>383</v>
      </c>
      <c r="P20" s="27">
        <f>(P19^(2/3))/30</f>
        <v>0.16486958144162336</v>
      </c>
      <c r="Q20" s="27">
        <f>(Q19^(2/3))/30</f>
        <v>0.41517529190461822</v>
      </c>
      <c r="R20" s="27"/>
    </row>
    <row r="21" spans="1:18" x14ac:dyDescent="0.25">
      <c r="A21" s="41"/>
      <c r="D21" s="24"/>
      <c r="E21" s="84"/>
      <c r="F21" s="84"/>
      <c r="G21" s="84"/>
      <c r="H21" s="84"/>
      <c r="I21" s="85"/>
      <c r="J21" s="85"/>
      <c r="K21" s="86"/>
      <c r="L21" s="46" t="s">
        <v>384</v>
      </c>
      <c r="O21" s="54" t="s">
        <v>385</v>
      </c>
      <c r="P21" s="71">
        <f>P17+P20</f>
        <v>6.6119284049710352</v>
      </c>
      <c r="Q21" s="71">
        <f>Q17+Q20</f>
        <v>6.9269399977869721</v>
      </c>
    </row>
    <row r="22" spans="1:18" x14ac:dyDescent="0.25">
      <c r="A22" s="41"/>
      <c r="D22" s="24"/>
      <c r="E22" s="84"/>
      <c r="F22" s="84"/>
      <c r="G22" s="84"/>
      <c r="H22" s="84"/>
      <c r="I22" s="85"/>
      <c r="J22" s="85"/>
      <c r="K22" s="86"/>
      <c r="L22" t="s">
        <v>386</v>
      </c>
    </row>
    <row r="23" spans="1:18" x14ac:dyDescent="0.25">
      <c r="A23" s="41"/>
      <c r="D23" s="24"/>
      <c r="E23" s="84"/>
      <c r="F23" s="84"/>
      <c r="G23" s="84"/>
      <c r="H23" s="84"/>
      <c r="I23" s="85"/>
      <c r="J23" s="85"/>
      <c r="K23" s="86"/>
      <c r="O23" s="23"/>
    </row>
    <row r="24" spans="1:18" x14ac:dyDescent="0.25">
      <c r="A24" s="41"/>
      <c r="D24" s="24"/>
      <c r="E24" s="84"/>
      <c r="F24" s="84"/>
      <c r="G24" s="84"/>
      <c r="H24" s="84"/>
      <c r="I24" s="85"/>
      <c r="J24" s="85"/>
    </row>
    <row r="25" spans="1:18" x14ac:dyDescent="0.25">
      <c r="A25" s="41"/>
      <c r="D25" s="24"/>
      <c r="E25" s="84"/>
      <c r="F25" s="84"/>
      <c r="G25" s="84"/>
      <c r="H25" s="84"/>
      <c r="I25" s="85"/>
      <c r="J25" s="85"/>
    </row>
    <row r="26" spans="1:18" x14ac:dyDescent="0.25">
      <c r="A26" s="41"/>
      <c r="D26" s="24"/>
      <c r="E26" s="84"/>
      <c r="F26" s="84"/>
      <c r="G26" s="84"/>
      <c r="H26" s="84"/>
      <c r="I26" s="85"/>
      <c r="J26" s="85"/>
    </row>
    <row r="27" spans="1:18" x14ac:dyDescent="0.25">
      <c r="A27" s="41"/>
      <c r="D27" s="24"/>
      <c r="E27" s="84"/>
      <c r="F27" s="84"/>
      <c r="G27" s="84"/>
      <c r="H27" s="84"/>
      <c r="I27" s="85"/>
      <c r="J27" s="85"/>
    </row>
    <row r="28" spans="1:18" x14ac:dyDescent="0.25">
      <c r="A28" s="41"/>
      <c r="D28" s="24"/>
      <c r="E28" s="84"/>
      <c r="F28" s="84"/>
      <c r="G28" s="84"/>
      <c r="H28" s="84"/>
      <c r="I28" s="85"/>
      <c r="J28" s="85"/>
    </row>
    <row r="29" spans="1:18" x14ac:dyDescent="0.25">
      <c r="A29" s="41"/>
      <c r="D29" s="24"/>
      <c r="E29" s="84"/>
      <c r="F29" s="84"/>
      <c r="G29" s="84"/>
      <c r="H29" s="84"/>
      <c r="I29" s="85"/>
      <c r="J29" s="85"/>
    </row>
    <row r="30" spans="1:18" x14ac:dyDescent="0.25">
      <c r="A30" s="41"/>
      <c r="D30" s="24"/>
      <c r="E30" s="84"/>
      <c r="F30" s="84"/>
      <c r="G30" s="84"/>
      <c r="H30" s="84"/>
      <c r="I30" s="85"/>
      <c r="J30" s="85"/>
    </row>
    <row r="31" spans="1:18" x14ac:dyDescent="0.25">
      <c r="A31" s="41"/>
      <c r="D31" s="24"/>
      <c r="E31" s="84"/>
      <c r="F31" s="84"/>
      <c r="G31" s="84"/>
      <c r="H31" s="84"/>
      <c r="I31" s="85"/>
      <c r="J31" s="85"/>
    </row>
  </sheetData>
  <conditionalFormatting sqref="D3:D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J31">
    <cfRule type="cellIs" dxfId="21" priority="2" operator="between">
      <formula>70</formula>
      <formula>100</formula>
    </cfRule>
  </conditionalFormatting>
  <conditionalFormatting sqref="I3:J31">
    <cfRule type="cellIs" dxfId="20" priority="3" operator="greaterThan">
      <formula>100</formula>
    </cfRule>
  </conditionalFormatting>
  <pageMargins left="0.7" right="0.7" top="0.75" bottom="0.75" header="0.3" footer="0.3"/>
  <pageSetup paperSize="9" fitToWidth="0" pageOrder="overThenDown"/>
  <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7DEE8"/>
  </sheetPr>
  <dimension ref="A1:T28"/>
  <sheetViews>
    <sheetView workbookViewId="0">
      <selection activeCell="H9" sqref="H9"/>
    </sheetView>
  </sheetViews>
  <sheetFormatPr baseColWidth="10" defaultColWidth="10.7109375" defaultRowHeight="15" x14ac:dyDescent="0.25"/>
  <cols>
    <col min="1" max="1" width="19" customWidth="1"/>
    <col min="2" max="3" width="4.5703125" customWidth="1"/>
    <col min="4" max="4" width="5.85546875" customWidth="1"/>
    <col min="5" max="5" width="4.5703125" customWidth="1"/>
    <col min="6" max="6" width="4.85546875" customWidth="1"/>
    <col min="8" max="8" width="18" customWidth="1"/>
    <col min="9" max="10" width="4.5703125" customWidth="1"/>
    <col min="11" max="11" width="7.7109375" customWidth="1"/>
    <col min="12" max="13" width="6.28515625" customWidth="1"/>
    <col min="15" max="15" width="18" customWidth="1"/>
    <col min="16" max="17" width="5.5703125" customWidth="1"/>
    <col min="18" max="18" width="7.7109375" customWidth="1"/>
    <col min="19" max="20" width="6.28515625" customWidth="1"/>
  </cols>
  <sheetData>
    <row r="1" spans="1:20" x14ac:dyDescent="0.25">
      <c r="A1" s="99" t="s">
        <v>177</v>
      </c>
      <c r="B1" s="99" t="s">
        <v>183</v>
      </c>
      <c r="C1" s="99" t="s">
        <v>186</v>
      </c>
      <c r="D1" s="100" t="s">
        <v>387</v>
      </c>
      <c r="E1" s="100" t="s">
        <v>370</v>
      </c>
      <c r="F1" s="100" t="s">
        <v>371</v>
      </c>
      <c r="H1" s="99" t="s">
        <v>388</v>
      </c>
      <c r="I1" s="99" t="s">
        <v>183</v>
      </c>
      <c r="J1" s="99" t="s">
        <v>186</v>
      </c>
      <c r="K1" s="99" t="str">
        <f>D1</f>
        <v>N_CA</v>
      </c>
      <c r="L1" s="100" t="s">
        <v>370</v>
      </c>
      <c r="M1" s="100" t="s">
        <v>371</v>
      </c>
      <c r="O1" s="99" t="s">
        <v>388</v>
      </c>
      <c r="P1" s="99" t="s">
        <v>183</v>
      </c>
      <c r="Q1" s="99" t="s">
        <v>186</v>
      </c>
      <c r="R1" s="99" t="str">
        <f>K1</f>
        <v>N_CA</v>
      </c>
      <c r="S1" s="100" t="s">
        <v>370</v>
      </c>
      <c r="T1" s="100" t="s">
        <v>371</v>
      </c>
    </row>
    <row r="2" spans="1:20" x14ac:dyDescent="0.25">
      <c r="A2" t="str">
        <f>PLANTILLA!D4</f>
        <v>Cosme Fonteboa</v>
      </c>
      <c r="B2" s="24">
        <f ca="1">PLANTILLA!Y4+PLANTILLA!N4+PLANTILLA!J4</f>
        <v>15.653194042349213</v>
      </c>
      <c r="C2" s="24">
        <f ca="1">PLANTILLA!AB4+PLANTILLA!N4+PLANTILLA!J4</f>
        <v>3.4389083280634996</v>
      </c>
      <c r="D2" s="71">
        <f t="shared" ref="D2" ca="1" si="0">(C2*2+B2)/8</f>
        <v>2.8163763373095265</v>
      </c>
      <c r="E2" s="24">
        <f ca="1">D2*PLANTILLA!R4</f>
        <v>2.6074578216049589</v>
      </c>
      <c r="F2" s="24">
        <f ca="1">D2*PLANTILLA!S4</f>
        <v>2.8143639209487357</v>
      </c>
      <c r="H2" s="27" t="str">
        <f t="shared" ref="H2:J3" si="1">A6</f>
        <v>Guillermo Pedrajas</v>
      </c>
      <c r="I2" s="24">
        <f t="shared" ca="1" si="1"/>
        <v>15.478810598071913</v>
      </c>
      <c r="J2" s="24">
        <f t="shared" ca="1" si="1"/>
        <v>13.434167740929055</v>
      </c>
      <c r="K2" s="71">
        <f ca="1">(J2*2+I2)/8</f>
        <v>5.2933932599912534</v>
      </c>
      <c r="L2" s="27">
        <f ca="1">E6</f>
        <v>4.4737338356328609</v>
      </c>
      <c r="M2" s="27">
        <f ca="1">F6</f>
        <v>4.8966442314752046</v>
      </c>
      <c r="O2" t="str">
        <f>A2</f>
        <v>Cosme Fonteboa</v>
      </c>
      <c r="P2" s="24">
        <f t="shared" ref="P2:Q5" ca="1" si="2">I2</f>
        <v>15.478810598071913</v>
      </c>
      <c r="Q2" s="24">
        <f t="shared" ca="1" si="2"/>
        <v>13.434167740929055</v>
      </c>
      <c r="R2" s="71">
        <f ca="1">(Q2*2+P2)/8</f>
        <v>5.2933932599912534</v>
      </c>
      <c r="S2" s="27">
        <f ca="1">E2</f>
        <v>2.6074578216049589</v>
      </c>
      <c r="T2" s="27">
        <f ca="1">F2</f>
        <v>2.8143639209487357</v>
      </c>
    </row>
    <row r="3" spans="1:20" x14ac:dyDescent="0.25">
      <c r="A3" t="str">
        <f>PLANTILLA!D5</f>
        <v>Nicolae Hornet</v>
      </c>
      <c r="B3" s="24">
        <f ca="1">PLANTILLA!Y5+PLANTILLA!N5+PLANTILLA!J5</f>
        <v>7.4823037813567908</v>
      </c>
      <c r="C3" s="24">
        <f ca="1">PLANTILLA!AB5+PLANTILLA!N5+PLANTILLA!J5</f>
        <v>2.4823037813567903</v>
      </c>
      <c r="D3" s="71">
        <f t="shared" ref="D3:D4" ca="1" si="3">(C3*2+B3)/8</f>
        <v>1.5558639180087965</v>
      </c>
      <c r="E3" s="24">
        <f ca="1">D3*PLANTILLA!R5</f>
        <v>1.1761225716885324</v>
      </c>
      <c r="F3" s="24">
        <f ca="1">D3*PLANTILLA!S5</f>
        <v>1.31362940694283</v>
      </c>
      <c r="H3" s="27" t="str">
        <f t="shared" si="1"/>
        <v>Venanci Oset</v>
      </c>
      <c r="I3" s="24">
        <f t="shared" ca="1" si="1"/>
        <v>17.232372381415843</v>
      </c>
      <c r="J3" s="24">
        <f t="shared" ca="1" si="1"/>
        <v>14.454594603638064</v>
      </c>
      <c r="K3" s="71">
        <f ca="1">(J3*2+I3)/8</f>
        <v>5.7676951985864964</v>
      </c>
      <c r="L3" s="27">
        <f ca="1">E7</f>
        <v>5.3398481442130157</v>
      </c>
      <c r="M3" s="27">
        <f ca="1">F7</f>
        <v>5.7635739438990718</v>
      </c>
      <c r="O3" t="str">
        <f>A7</f>
        <v>Venanci Oset</v>
      </c>
      <c r="P3" s="24">
        <f t="shared" ca="1" si="2"/>
        <v>17.232372381415843</v>
      </c>
      <c r="Q3" s="24">
        <f t="shared" ca="1" si="2"/>
        <v>14.454594603638064</v>
      </c>
      <c r="R3" s="71">
        <f ca="1">(Q3*2+P3)/8</f>
        <v>5.7676951985864964</v>
      </c>
      <c r="S3" s="27">
        <f ca="1">E7</f>
        <v>5.3398481442130157</v>
      </c>
      <c r="T3" s="27">
        <f ca="1">F7</f>
        <v>5.7635739438990718</v>
      </c>
    </row>
    <row r="4" spans="1:20" x14ac:dyDescent="0.25">
      <c r="A4" t="str">
        <f>PLANTILLA!D6</f>
        <v>Iván Real Figueroa</v>
      </c>
      <c r="B4" s="24">
        <f ca="1">PLANTILLA!Y6+PLANTILLA!N6+PLANTILLA!J6</f>
        <v>18.275850642285409</v>
      </c>
      <c r="C4" s="24">
        <f ca="1">PLANTILLA!AB6+PLANTILLA!N6+PLANTILLA!J6</f>
        <v>11.232372381415843</v>
      </c>
      <c r="D4" s="71">
        <f t="shared" ca="1" si="3"/>
        <v>5.0925744256396364</v>
      </c>
      <c r="E4" s="24">
        <f ca="1">D4*PLANTILLA!R6</f>
        <v>4.3040109433509706</v>
      </c>
      <c r="F4" s="24">
        <f ca="1">D4*PLANTILLA!S6</f>
        <v>4.7108771179241051</v>
      </c>
      <c r="H4" t="str">
        <f>A10</f>
        <v>Valeri Gomis</v>
      </c>
      <c r="I4" s="24">
        <f ca="1">B10</f>
        <v>15.666666666666668</v>
      </c>
      <c r="J4" s="24">
        <f ca="1">C10</f>
        <v>12.333333333333334</v>
      </c>
      <c r="K4" s="71">
        <f ca="1">(J4*2+I4)/8</f>
        <v>5.041666666666667</v>
      </c>
      <c r="L4" s="27">
        <f ca="1">E10</f>
        <v>4.2609860342562715</v>
      </c>
      <c r="M4" s="27">
        <f ca="1">F10</f>
        <v>4.6637849840000269</v>
      </c>
      <c r="O4" t="str">
        <f>A4</f>
        <v>Iván Real Figueroa</v>
      </c>
      <c r="P4" s="24">
        <f t="shared" ca="1" si="2"/>
        <v>15.666666666666668</v>
      </c>
      <c r="Q4" s="24">
        <f t="shared" ca="1" si="2"/>
        <v>12.333333333333334</v>
      </c>
      <c r="R4" s="71">
        <f ca="1">(Q4*2+P4)/8</f>
        <v>5.041666666666667</v>
      </c>
      <c r="S4" s="27">
        <f ca="1">E4</f>
        <v>4.3040109433509706</v>
      </c>
      <c r="T4" s="27">
        <f ca="1">F4</f>
        <v>4.7108771179241051</v>
      </c>
    </row>
    <row r="5" spans="1:20" x14ac:dyDescent="0.25">
      <c r="A5" t="str">
        <f>PLANTILLA!D7</f>
        <v>Berto Abandero</v>
      </c>
      <c r="B5" s="24">
        <f ca="1">PLANTILLA!Y7+PLANTILLA!N7+PLANTILLA!J7</f>
        <v>17.239225234285723</v>
      </c>
      <c r="C5" s="24">
        <f ca="1">PLANTILLA!AB7+PLANTILLA!N7+PLANTILLA!J7</f>
        <v>14.239225234285724</v>
      </c>
      <c r="D5" s="71">
        <f t="shared" ref="D5:D19" ca="1" si="4">(C5*2+B5)/8</f>
        <v>5.7147094628571464</v>
      </c>
      <c r="E5" s="24">
        <f ca="1">D5*PLANTILLA!R7</f>
        <v>4.3199143010592902</v>
      </c>
      <c r="F5" s="24">
        <f ca="1">D5*PLANTILLA!S7</f>
        <v>4.8249787887305251</v>
      </c>
      <c r="H5" s="27" t="str">
        <f>A8</f>
        <v>Francesc Añigas</v>
      </c>
      <c r="I5" s="24">
        <f ca="1">B8</f>
        <v>16.725449632940229</v>
      </c>
      <c r="J5" s="24">
        <f ca="1">C8</f>
        <v>11.350449632940229</v>
      </c>
      <c r="K5" s="71">
        <f ca="1">(J5*2+I5)/8</f>
        <v>4.9282936123525865</v>
      </c>
      <c r="L5" s="27">
        <f ca="1">E8</f>
        <v>3.7254397960551717</v>
      </c>
      <c r="M5" s="27">
        <f ca="1">F8</f>
        <v>4.1610010620467799</v>
      </c>
      <c r="O5" s="27" t="str">
        <f>H5</f>
        <v>Francesc Añigas</v>
      </c>
      <c r="P5" s="24">
        <f t="shared" ca="1" si="2"/>
        <v>16.725449632940229</v>
      </c>
      <c r="Q5" s="24">
        <f t="shared" ca="1" si="2"/>
        <v>11.350449632940229</v>
      </c>
      <c r="R5" s="71">
        <f ca="1">(Q5*2+P5)/8</f>
        <v>4.9282936123525865</v>
      </c>
      <c r="S5" s="27">
        <f ca="1">L5</f>
        <v>3.7254397960551717</v>
      </c>
      <c r="T5" s="27">
        <f ca="1">M5</f>
        <v>4.1610010620467799</v>
      </c>
    </row>
    <row r="6" spans="1:20" x14ac:dyDescent="0.25">
      <c r="A6" t="str">
        <f>PLANTILLA!D8</f>
        <v>Guillermo Pedrajas</v>
      </c>
      <c r="B6" s="24">
        <f ca="1">PLANTILLA!Y8+PLANTILLA!N8+PLANTILLA!J8</f>
        <v>15.478810598071913</v>
      </c>
      <c r="C6" s="24">
        <f ca="1">PLANTILLA!AB8+PLANTILLA!N8+PLANTILLA!J8</f>
        <v>13.434167740929055</v>
      </c>
      <c r="D6" s="71">
        <f t="shared" ca="1" si="4"/>
        <v>5.2933932599912534</v>
      </c>
      <c r="E6" s="24">
        <f ca="1">D6*PLANTILLA!R8</f>
        <v>4.4737338356328609</v>
      </c>
      <c r="F6" s="24">
        <f ca="1">D6*PLANTILLA!S8</f>
        <v>4.8966442314752046</v>
      </c>
      <c r="H6" t="str">
        <f>A4</f>
        <v>Iván Real Figueroa</v>
      </c>
      <c r="I6" s="24">
        <f ca="1">B4</f>
        <v>18.275850642285409</v>
      </c>
      <c r="J6" s="24">
        <f ca="1">C4</f>
        <v>11.232372381415843</v>
      </c>
      <c r="K6" s="71">
        <f ca="1">(J6*2+I6)/8</f>
        <v>5.0925744256396364</v>
      </c>
      <c r="L6" s="27">
        <f ca="1">E4</f>
        <v>4.3040109433509706</v>
      </c>
      <c r="M6" s="27">
        <f ca="1">F4</f>
        <v>4.7108771179241051</v>
      </c>
      <c r="R6" s="27"/>
      <c r="S6" s="24"/>
      <c r="T6" s="24"/>
    </row>
    <row r="7" spans="1:20" ht="18.75" x14ac:dyDescent="0.3">
      <c r="A7" t="str">
        <f>PLANTILLA!D9</f>
        <v>Venanci Oset</v>
      </c>
      <c r="B7" s="24">
        <f ca="1">PLANTILLA!Y9+PLANTILLA!N9+PLANTILLA!J9</f>
        <v>17.232372381415843</v>
      </c>
      <c r="C7" s="24">
        <f ca="1">PLANTILLA!AB9+PLANTILLA!N9+PLANTILLA!J9</f>
        <v>14.454594603638064</v>
      </c>
      <c r="D7" s="71">
        <f t="shared" ca="1" si="4"/>
        <v>5.7676951985864964</v>
      </c>
      <c r="E7" s="24">
        <f ca="1">D7*PLANTILLA!R9</f>
        <v>5.3398481442130157</v>
      </c>
      <c r="F7" s="24">
        <f ca="1">D7*PLANTILLA!S9</f>
        <v>5.7635739438990718</v>
      </c>
      <c r="K7" s="101">
        <f ca="1">SUM(K2:K6)</f>
        <v>26.12362316323664</v>
      </c>
      <c r="L7" s="101">
        <f ca="1">SUM(L2:L6)</f>
        <v>22.104018753508289</v>
      </c>
      <c r="M7" s="101">
        <f ca="1">SUM(M2:M6)</f>
        <v>24.195881339345188</v>
      </c>
      <c r="N7" s="101"/>
      <c r="O7" s="101"/>
      <c r="P7" s="101"/>
      <c r="Q7" s="101"/>
      <c r="R7" s="101">
        <f ca="1">SUM(R2:R6)</f>
        <v>21.031048737597004</v>
      </c>
      <c r="S7" s="101">
        <f ca="1">SUM(S2:S6)</f>
        <v>15.976756705224117</v>
      </c>
      <c r="T7" s="101">
        <f ca="1">SUM(T2:T6)</f>
        <v>17.449816044818693</v>
      </c>
    </row>
    <row r="8" spans="1:20" x14ac:dyDescent="0.25">
      <c r="A8" t="str">
        <f>PLANTILLA!D10</f>
        <v>Francesc Añigas</v>
      </c>
      <c r="B8" s="24">
        <f ca="1">PLANTILLA!Y10+PLANTILLA!N10+PLANTILLA!J10</f>
        <v>16.725449632940229</v>
      </c>
      <c r="C8" s="24">
        <f ca="1">PLANTILLA!AB10+PLANTILLA!N10+PLANTILLA!J10</f>
        <v>11.350449632940229</v>
      </c>
      <c r="D8" s="71">
        <f t="shared" ca="1" si="4"/>
        <v>4.9282936123525865</v>
      </c>
      <c r="E8" s="24">
        <f ca="1">D8*PLANTILLA!R10</f>
        <v>3.7254397960551717</v>
      </c>
      <c r="F8" s="24">
        <f ca="1">D8*PLANTILLA!S10</f>
        <v>4.1610010620467799</v>
      </c>
      <c r="L8" s="2">
        <f ca="1">(K7-L7)/K7</f>
        <v>0.15386856503829366</v>
      </c>
      <c r="M8" s="2">
        <f ca="1">(K7-M7)/K7</f>
        <v>7.3793049755989923E-2</v>
      </c>
      <c r="R8" s="27"/>
    </row>
    <row r="9" spans="1:20" x14ac:dyDescent="0.25">
      <c r="A9" t="str">
        <f>PLANTILLA!D11</f>
        <v>Will Duffill</v>
      </c>
      <c r="B9" s="24">
        <f ca="1">PLANTILLA!Y11+PLANTILLA!N11+PLANTILLA!J11</f>
        <v>16.388523580210968</v>
      </c>
      <c r="C9" s="24">
        <f ca="1">PLANTILLA!AB11+PLANTILLA!N11+PLANTILLA!J11</f>
        <v>12.388523580210967</v>
      </c>
      <c r="D9" s="71">
        <f t="shared" ca="1" si="4"/>
        <v>5.1456963425791127</v>
      </c>
      <c r="E9" s="24">
        <f ca="1">D9*PLANTILLA!R11</f>
        <v>4.7639891012858468</v>
      </c>
      <c r="F9" s="24">
        <f ca="1">D9*PLANTILLA!S11</f>
        <v>5.1420195315754524</v>
      </c>
    </row>
    <row r="10" spans="1:20" x14ac:dyDescent="0.25">
      <c r="A10" t="str">
        <f>PLANTILLA!D12</f>
        <v>Valeri Gomis</v>
      </c>
      <c r="B10" s="24">
        <f ca="1">PLANTILLA!Y12+PLANTILLA!N12+PLANTILLA!J12</f>
        <v>15.666666666666668</v>
      </c>
      <c r="C10" s="24">
        <f ca="1">PLANTILLA!AB12+PLANTILLA!N12+PLANTILLA!J12</f>
        <v>12.333333333333334</v>
      </c>
      <c r="D10" s="71">
        <f t="shared" ca="1" si="4"/>
        <v>5.041666666666667</v>
      </c>
      <c r="E10" s="24">
        <f ca="1">D10*PLANTILLA!R12</f>
        <v>4.2609860342562715</v>
      </c>
      <c r="F10" s="24">
        <f ca="1">D10*PLANTILLA!S12</f>
        <v>4.6637849840000269</v>
      </c>
      <c r="H10" s="27"/>
      <c r="I10" s="27"/>
      <c r="J10" s="27"/>
    </row>
    <row r="11" spans="1:20" x14ac:dyDescent="0.25">
      <c r="A11" t="str">
        <f>PLANTILLA!D13</f>
        <v>Enrique Cubas</v>
      </c>
      <c r="B11" s="24">
        <f>PLANTILLA!Y13+PLANTILLA!N13+PLANTILLA!J13</f>
        <v>15.555190246877633</v>
      </c>
      <c r="C11" s="24">
        <f>PLANTILLA!AB13+PLANTILLA!N13+PLANTILLA!J13</f>
        <v>12.888523580210967</v>
      </c>
      <c r="D11" s="71">
        <f t="shared" si="4"/>
        <v>5.1665296759124457</v>
      </c>
      <c r="E11" s="24">
        <f>D11*PLANTILLA!R13</f>
        <v>4.3665145377785475</v>
      </c>
      <c r="F11" s="24">
        <f>D11*PLANTILLA!S13</f>
        <v>4.7792892936021794</v>
      </c>
    </row>
    <row r="12" spans="1:20" x14ac:dyDescent="0.25">
      <c r="A12" t="str">
        <f>PLANTILLA!D14</f>
        <v>J. G. Peñuela</v>
      </c>
      <c r="B12" s="24">
        <f ca="1">PLANTILLA!Y14+PLANTILLA!N14+PLANTILLA!J14</f>
        <v>15.297503804799598</v>
      </c>
      <c r="C12" s="24">
        <f ca="1">PLANTILLA!AB14+PLANTILLA!N14+PLANTILLA!J14</f>
        <v>11.297503804799598</v>
      </c>
      <c r="D12" s="71">
        <f t="shared" ca="1" si="4"/>
        <v>4.7365639267998496</v>
      </c>
      <c r="E12" s="24">
        <f ca="1">D12*PLANTILLA!R14</f>
        <v>4.0031271555285031</v>
      </c>
      <c r="F12" s="24">
        <f ca="1">D12*PLANTILLA!S14</f>
        <v>4.3815502249716376</v>
      </c>
      <c r="H12" s="102" t="s">
        <v>388</v>
      </c>
      <c r="I12" s="102" t="s">
        <v>183</v>
      </c>
      <c r="J12" s="102" t="s">
        <v>186</v>
      </c>
      <c r="K12" s="103" t="s">
        <v>387</v>
      </c>
      <c r="L12" s="103" t="s">
        <v>370</v>
      </c>
      <c r="M12" s="103" t="s">
        <v>371</v>
      </c>
      <c r="O12" s="102" t="s">
        <v>388</v>
      </c>
      <c r="P12" s="102" t="s">
        <v>183</v>
      </c>
      <c r="Q12" s="102" t="s">
        <v>186</v>
      </c>
      <c r="R12" s="102" t="str">
        <f>K12</f>
        <v>N_CA</v>
      </c>
      <c r="S12" s="103" t="s">
        <v>370</v>
      </c>
      <c r="T12" s="103" t="s">
        <v>371</v>
      </c>
    </row>
    <row r="13" spans="1:20" x14ac:dyDescent="0.25">
      <c r="A13" t="str">
        <f>PLANTILLA!D15</f>
        <v>Lenadro Faias</v>
      </c>
      <c r="B13" s="24">
        <f ca="1">PLANTILLA!Y15+PLANTILLA!N15+PLANTILLA!J15</f>
        <v>12.204119982655925</v>
      </c>
      <c r="C13" s="24">
        <f ca="1">PLANTILLA!AB15+PLANTILLA!N15+PLANTILLA!J15</f>
        <v>12.204119982655925</v>
      </c>
      <c r="D13" s="71">
        <f t="shared" ca="1" si="4"/>
        <v>4.5765449934959719</v>
      </c>
      <c r="E13" s="24">
        <f ca="1">D13*PLANTILLA!R15</f>
        <v>3.8678864732096119</v>
      </c>
      <c r="F13" s="24">
        <f ca="1">D13*PLANTILLA!S15</f>
        <v>4.2335249889455229</v>
      </c>
      <c r="H13" s="27" t="str">
        <f t="shared" ref="H13:J17" si="5">H2</f>
        <v>Guillermo Pedrajas</v>
      </c>
      <c r="I13" s="24">
        <f t="shared" ca="1" si="5"/>
        <v>15.478810598071913</v>
      </c>
      <c r="J13" s="24">
        <f t="shared" ca="1" si="5"/>
        <v>13.434167740929055</v>
      </c>
      <c r="K13" s="71">
        <f ca="1">(J13*2+I13)/8</f>
        <v>5.2933932599912534</v>
      </c>
      <c r="L13" s="27">
        <f ca="1">K13*(1-$L$8)</f>
        <v>4.4789064348930241</v>
      </c>
      <c r="M13" s="27">
        <f ca="1">K13*(1-$M$8)</f>
        <v>4.902777627778697</v>
      </c>
      <c r="O13" s="27" t="str">
        <f t="shared" ref="O13:Q16" si="6">H13</f>
        <v>Guillermo Pedrajas</v>
      </c>
      <c r="P13" s="27">
        <f t="shared" ca="1" si="6"/>
        <v>15.478810598071913</v>
      </c>
      <c r="Q13" s="27">
        <f t="shared" ca="1" si="6"/>
        <v>13.434167740929055</v>
      </c>
      <c r="R13" s="71">
        <f ca="1">(Q13*2+P13)/8</f>
        <v>5.2933932599912534</v>
      </c>
      <c r="S13" s="27">
        <f t="shared" ref="S13:T16" ca="1" si="7">L13</f>
        <v>4.4789064348930241</v>
      </c>
      <c r="T13" s="27">
        <f t="shared" ca="1" si="7"/>
        <v>4.902777627778697</v>
      </c>
    </row>
    <row r="14" spans="1:20" x14ac:dyDescent="0.25">
      <c r="A14" t="str">
        <f>PLANTILLA!D16</f>
        <v>Elmar Kolberg</v>
      </c>
      <c r="B14" s="24">
        <f ca="1">PLANTILLA!Y16+PLANTILLA!N16+PLANTILLA!J16</f>
        <v>3.7841788139896142</v>
      </c>
      <c r="C14" s="24">
        <f ca="1">PLANTILLA!AB16+PLANTILLA!N16+PLANTILLA!J16</f>
        <v>14.784178813989614</v>
      </c>
      <c r="D14" s="71">
        <f t="shared" ca="1" si="4"/>
        <v>4.1690670552461055</v>
      </c>
      <c r="E14" s="24">
        <f ca="1">D14*PLANTILLA!R16</f>
        <v>3.5235047599897338</v>
      </c>
      <c r="F14" s="24">
        <f ca="1">D14*PLANTILLA!S16</f>
        <v>3.8565882306537511</v>
      </c>
      <c r="H14" s="27" t="str">
        <f t="shared" si="5"/>
        <v>Venanci Oset</v>
      </c>
      <c r="I14" s="24">
        <f t="shared" ca="1" si="5"/>
        <v>17.232372381415843</v>
      </c>
      <c r="J14" s="24">
        <f t="shared" ca="1" si="5"/>
        <v>14.454594603638064</v>
      </c>
      <c r="K14" s="71">
        <f ca="1">(J14*2+I14)/8</f>
        <v>5.7676951985864964</v>
      </c>
      <c r="L14" s="27">
        <f ca="1">K14*(1-$L$8)</f>
        <v>4.8802282148017362</v>
      </c>
      <c r="M14" s="27">
        <f ca="1">K14*(1-$M$8)</f>
        <v>5.3420793798198192</v>
      </c>
      <c r="O14" s="27" t="str">
        <f t="shared" si="6"/>
        <v>Venanci Oset</v>
      </c>
      <c r="P14" s="27">
        <f t="shared" ca="1" si="6"/>
        <v>17.232372381415843</v>
      </c>
      <c r="Q14" s="27">
        <f t="shared" ca="1" si="6"/>
        <v>14.454594603638064</v>
      </c>
      <c r="R14" s="71">
        <f ca="1">(Q14*2+P14)/8</f>
        <v>5.7676951985864964</v>
      </c>
      <c r="S14" s="27">
        <f t="shared" ca="1" si="7"/>
        <v>4.8802282148017362</v>
      </c>
      <c r="T14" s="27">
        <f t="shared" ca="1" si="7"/>
        <v>5.3420793798198192</v>
      </c>
    </row>
    <row r="15" spans="1:20" x14ac:dyDescent="0.25">
      <c r="A15" t="str">
        <f>PLANTILLA!D17</f>
        <v>Bogdan Pivovarov</v>
      </c>
      <c r="B15" s="24">
        <f ca="1">PLANTILLA!Y17+PLANTILLA!N17+PLANTILLA!J17</f>
        <v>13.321634767589993</v>
      </c>
      <c r="C15" s="24">
        <f ca="1">PLANTILLA!AB17+PLANTILLA!N17+PLANTILLA!J17</f>
        <v>13.321634767589993</v>
      </c>
      <c r="D15" s="71">
        <f t="shared" ca="1" si="4"/>
        <v>4.9956130378462476</v>
      </c>
      <c r="E15" s="24">
        <f ca="1">D15*PLANTILLA!R17</f>
        <v>4.2220636139130061</v>
      </c>
      <c r="F15" s="24">
        <f ca="1">D15*PLANTILLA!S17</f>
        <v>4.6211831547336368</v>
      </c>
      <c r="H15" s="27" t="str">
        <f t="shared" si="5"/>
        <v>Valeri Gomis</v>
      </c>
      <c r="I15" s="24">
        <f t="shared" ca="1" si="5"/>
        <v>15.666666666666668</v>
      </c>
      <c r="J15" s="24">
        <f t="shared" ca="1" si="5"/>
        <v>12.333333333333334</v>
      </c>
      <c r="K15" s="71">
        <f ca="1">(J15*2+I15)/8</f>
        <v>5.041666666666667</v>
      </c>
      <c r="L15" s="27">
        <f ca="1">K15*(1-$L$8)</f>
        <v>4.2659126512652703</v>
      </c>
      <c r="M15" s="27">
        <f ca="1">K15*(1-$M$8)</f>
        <v>4.6696267074802176</v>
      </c>
      <c r="O15" s="27" t="str">
        <f t="shared" si="6"/>
        <v>Valeri Gomis</v>
      </c>
      <c r="P15" s="27">
        <f t="shared" ca="1" si="6"/>
        <v>15.666666666666668</v>
      </c>
      <c r="Q15" s="27">
        <f t="shared" ca="1" si="6"/>
        <v>12.333333333333334</v>
      </c>
      <c r="R15" s="71">
        <f ca="1">(Q15*2+P15)/8</f>
        <v>5.041666666666667</v>
      </c>
      <c r="S15" s="27">
        <f t="shared" ca="1" si="7"/>
        <v>4.2659126512652703</v>
      </c>
      <c r="T15" s="27">
        <f t="shared" ca="1" si="7"/>
        <v>4.6696267074802176</v>
      </c>
    </row>
    <row r="16" spans="1:20" x14ac:dyDescent="0.25">
      <c r="A16" t="str">
        <f>PLANTILLA!D18</f>
        <v>Sabir Bekrija</v>
      </c>
      <c r="B16" s="24">
        <f ca="1">PLANTILLA!Y18+PLANTILLA!N18+PLANTILLA!J18</f>
        <v>5.720445849993494</v>
      </c>
      <c r="C16" s="24">
        <f ca="1">PLANTILLA!AB18+PLANTILLA!N18+PLANTILLA!J18</f>
        <v>11.720445849993492</v>
      </c>
      <c r="D16" s="71">
        <f t="shared" ca="1" si="4"/>
        <v>3.64516719374756</v>
      </c>
      <c r="E16" s="24">
        <f ca="1">D16*PLANTILLA!R18</f>
        <v>3.3747690550029974</v>
      </c>
      <c r="F16" s="24">
        <f ca="1">D16*PLANTILLA!S18</f>
        <v>3.6425625723404922</v>
      </c>
      <c r="H16" s="27" t="str">
        <f t="shared" si="5"/>
        <v>Francesc Añigas</v>
      </c>
      <c r="I16" s="24">
        <f t="shared" ca="1" si="5"/>
        <v>16.725449632940229</v>
      </c>
      <c r="J16" s="24">
        <f t="shared" ca="1" si="5"/>
        <v>11.350449632940229</v>
      </c>
      <c r="K16" s="71">
        <f ca="1">(J16*2+I16)/8</f>
        <v>4.9282936123525865</v>
      </c>
      <c r="L16" s="27">
        <f ca="1">K16*(1-$L$8)</f>
        <v>4.1699841461325056</v>
      </c>
      <c r="M16" s="27">
        <f ca="1">K16*(1-$M$8)</f>
        <v>4.5646197966041253</v>
      </c>
      <c r="O16" s="27" t="str">
        <f t="shared" si="6"/>
        <v>Francesc Añigas</v>
      </c>
      <c r="P16" s="27">
        <f t="shared" ca="1" si="6"/>
        <v>16.725449632940229</v>
      </c>
      <c r="Q16" s="27">
        <f t="shared" ca="1" si="6"/>
        <v>11.350449632940229</v>
      </c>
      <c r="R16" s="71">
        <f ca="1">(Q16*2+P16)/8</f>
        <v>4.9282936123525865</v>
      </c>
      <c r="S16" s="27">
        <f t="shared" ca="1" si="7"/>
        <v>4.1699841461325056</v>
      </c>
      <c r="T16" s="27">
        <f t="shared" ca="1" si="7"/>
        <v>4.5646197966041253</v>
      </c>
    </row>
    <row r="17" spans="1:20" x14ac:dyDescent="0.25">
      <c r="A17" t="str">
        <f>PLANTILLA!D19</f>
        <v>Nicolás Galaz</v>
      </c>
      <c r="B17" s="24">
        <f ca="1">PLANTILLA!Y19+PLANTILLA!N19+PLANTILLA!J19</f>
        <v>6.0540800318473247</v>
      </c>
      <c r="C17" s="24">
        <f ca="1">PLANTILLA!AB19+PLANTILLA!N19+PLANTILLA!J19</f>
        <v>16.054080031847324</v>
      </c>
      <c r="D17" s="71">
        <f t="shared" ca="1" si="4"/>
        <v>4.7702800119427469</v>
      </c>
      <c r="E17" s="24">
        <f ca="1">D17*PLANTILLA!R19</f>
        <v>3.6059927416407809</v>
      </c>
      <c r="F17" s="24">
        <f ca="1">D17*PLANTILLA!S19</f>
        <v>4.0275888080619131</v>
      </c>
      <c r="H17" s="27" t="str">
        <f t="shared" si="5"/>
        <v>Iván Real Figueroa</v>
      </c>
      <c r="I17" s="24">
        <f t="shared" ca="1" si="5"/>
        <v>18.275850642285409</v>
      </c>
      <c r="J17" s="24">
        <f t="shared" ca="1" si="5"/>
        <v>11.232372381415843</v>
      </c>
      <c r="K17" s="71">
        <f ca="1">(J17*2+I17)/8</f>
        <v>5.0925744256396364</v>
      </c>
      <c r="L17" s="27">
        <f ca="1">K17*(1-$L$8)</f>
        <v>4.3089873064157533</v>
      </c>
      <c r="M17" s="27">
        <f ca="1">K17*(1-$M$8)</f>
        <v>4.7167778276623293</v>
      </c>
      <c r="R17" s="27"/>
      <c r="S17" s="24"/>
      <c r="T17" s="24"/>
    </row>
    <row r="18" spans="1:20" ht="18.75" x14ac:dyDescent="0.3">
      <c r="A18" t="str">
        <f>PLANTILLA!D20</f>
        <v>Rodolfo Rinaldo Paso</v>
      </c>
      <c r="B18" s="24">
        <f ca="1">PLANTILLA!Y20+PLANTILLA!N20+PLANTILLA!J20</f>
        <v>6.2254374565014317</v>
      </c>
      <c r="C18" s="24">
        <f ca="1">PLANTILLA!AB20+PLANTILLA!N20+PLANTILLA!J20</f>
        <v>15.225437456501432</v>
      </c>
      <c r="D18" s="71">
        <f t="shared" ca="1" si="4"/>
        <v>4.5845390461880369</v>
      </c>
      <c r="E18" s="24">
        <f ca="1">D18*PLANTILLA!R20</f>
        <v>4.2444583971529664</v>
      </c>
      <c r="F18" s="24">
        <f ca="1">D18*PLANTILLA!S20</f>
        <v>4.5812632050793711</v>
      </c>
      <c r="K18" s="101">
        <f ca="1">SUM(K13:K17)</f>
        <v>26.12362316323664</v>
      </c>
      <c r="L18" s="101">
        <f ca="1">SUM(L13:L17)</f>
        <v>22.104018753508292</v>
      </c>
      <c r="M18" s="101">
        <f ca="1">SUM(M13:M17)</f>
        <v>24.195881339345188</v>
      </c>
      <c r="N18" s="101"/>
      <c r="O18" s="101"/>
      <c r="P18" s="101"/>
      <c r="Q18" s="101"/>
      <c r="R18" s="101">
        <f ca="1">SUM(R13:R17)</f>
        <v>21.031048737597004</v>
      </c>
      <c r="S18" s="101">
        <f ca="1">SUM(S13:S17)</f>
        <v>17.795031447092537</v>
      </c>
      <c r="T18" s="101">
        <f ca="1">SUM(T13:T17)</f>
        <v>19.479103511682858</v>
      </c>
    </row>
    <row r="19" spans="1:20" x14ac:dyDescent="0.25">
      <c r="A19">
        <f>PLANTILLA!D21</f>
        <v>0</v>
      </c>
      <c r="B19" s="24">
        <f>PLANTILLA!Y21+PLANTILLA!N21+PLANTILLA!J21</f>
        <v>0</v>
      </c>
      <c r="C19" s="24">
        <f>PLANTILLA!AB21+PLANTILLA!N21+PLANTILLA!J21</f>
        <v>0</v>
      </c>
      <c r="D19" s="71">
        <f t="shared" si="4"/>
        <v>0</v>
      </c>
      <c r="E19" s="24">
        <f>D19*PLANTILLA!R21</f>
        <v>0</v>
      </c>
      <c r="F19" s="24">
        <f>D19*PLANTILLA!S21</f>
        <v>0</v>
      </c>
    </row>
    <row r="20" spans="1:20" x14ac:dyDescent="0.25">
      <c r="B20" s="24"/>
      <c r="C20" s="24"/>
      <c r="D20" s="71"/>
      <c r="E20" s="24"/>
      <c r="F20" s="24"/>
    </row>
    <row r="21" spans="1:20" x14ac:dyDescent="0.25">
      <c r="B21" s="24"/>
      <c r="C21" s="24"/>
      <c r="D21" s="71"/>
      <c r="E21" s="24"/>
      <c r="F21" s="24"/>
    </row>
    <row r="22" spans="1:20" x14ac:dyDescent="0.25">
      <c r="B22" s="24"/>
      <c r="C22" s="24"/>
      <c r="D22" s="71"/>
      <c r="E22" s="24"/>
      <c r="F22" s="24"/>
    </row>
    <row r="23" spans="1:20" x14ac:dyDescent="0.25">
      <c r="B23" s="24"/>
      <c r="C23" s="24"/>
      <c r="D23" s="71"/>
      <c r="E23" s="24"/>
      <c r="F23" s="24"/>
    </row>
    <row r="24" spans="1:20" x14ac:dyDescent="0.25">
      <c r="B24" s="24"/>
      <c r="C24" s="24"/>
      <c r="D24" s="71"/>
      <c r="E24" s="24"/>
      <c r="F24" s="24"/>
    </row>
    <row r="25" spans="1:20" x14ac:dyDescent="0.25">
      <c r="B25" s="24"/>
      <c r="C25" s="24"/>
      <c r="D25" s="71"/>
      <c r="E25" s="24"/>
      <c r="F25" s="24"/>
    </row>
    <row r="26" spans="1:20" x14ac:dyDescent="0.25">
      <c r="B26" s="24"/>
      <c r="C26" s="24"/>
      <c r="D26" s="71"/>
      <c r="E26" s="24"/>
      <c r="F26" s="24"/>
    </row>
    <row r="27" spans="1:20" x14ac:dyDescent="0.25">
      <c r="B27" s="24"/>
      <c r="C27" s="24"/>
      <c r="D27" s="71"/>
      <c r="E27" s="24"/>
      <c r="F27" s="24"/>
    </row>
    <row r="28" spans="1:20" x14ac:dyDescent="0.25">
      <c r="B28" s="24"/>
      <c r="C28" s="24"/>
      <c r="D28" s="71"/>
      <c r="E28" s="24"/>
      <c r="F28" s="24"/>
    </row>
  </sheetData>
  <conditionalFormatting sqref="R2:R5 K2:K6 R13:R16 K13:K17 D2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7DEE8"/>
  </sheetPr>
  <dimension ref="A1:N226"/>
  <sheetViews>
    <sheetView workbookViewId="0">
      <selection activeCell="J17" sqref="J17"/>
    </sheetView>
  </sheetViews>
  <sheetFormatPr baseColWidth="10" defaultColWidth="10.7109375" defaultRowHeight="15" x14ac:dyDescent="0.25"/>
  <cols>
    <col min="1" max="1" width="12.5703125" style="42" customWidth="1"/>
    <col min="2" max="2" width="27.42578125" style="42" customWidth="1"/>
    <col min="3" max="3" width="27.140625" style="42" customWidth="1"/>
    <col min="4" max="4" width="11.7109375" style="42" customWidth="1"/>
    <col min="5" max="5" width="16.85546875" style="42" customWidth="1"/>
    <col min="6" max="6" width="17.28515625" style="42" customWidth="1"/>
    <col min="7" max="7" width="4.28515625" style="42" customWidth="1"/>
    <col min="8" max="8" width="13.5703125" style="42" customWidth="1"/>
    <col min="10" max="10" width="17.5703125" bestFit="1" customWidth="1"/>
    <col min="11" max="11" width="8.28515625" bestFit="1" customWidth="1"/>
    <col min="12" max="12" width="25.42578125" bestFit="1" customWidth="1"/>
    <col min="13" max="13" width="12.28515625" bestFit="1" customWidth="1"/>
  </cols>
  <sheetData>
    <row r="1" spans="1:14" x14ac:dyDescent="0.25">
      <c r="A1" s="43" t="s">
        <v>194</v>
      </c>
      <c r="B1" s="43" t="s">
        <v>389</v>
      </c>
      <c r="C1" s="43" t="s">
        <v>390</v>
      </c>
      <c r="D1" s="43" t="s">
        <v>391</v>
      </c>
      <c r="E1" s="43" t="s">
        <v>392</v>
      </c>
      <c r="F1" s="43" t="s">
        <v>393</v>
      </c>
      <c r="G1" s="43" t="s">
        <v>394</v>
      </c>
      <c r="H1" s="43" t="s">
        <v>395</v>
      </c>
      <c r="J1" s="267" t="s">
        <v>396</v>
      </c>
      <c r="K1" t="s">
        <v>397</v>
      </c>
      <c r="L1" t="s">
        <v>398</v>
      </c>
      <c r="M1" t="s">
        <v>399</v>
      </c>
      <c r="N1" s="42" t="s">
        <v>400</v>
      </c>
    </row>
    <row r="2" spans="1:14" x14ac:dyDescent="0.25">
      <c r="A2" s="266">
        <v>43670</v>
      </c>
      <c r="B2" s="42" t="s">
        <v>255</v>
      </c>
      <c r="C2" s="42" t="s">
        <v>401</v>
      </c>
      <c r="D2" s="42">
        <v>14</v>
      </c>
      <c r="E2" s="29">
        <f>(7+11+14+11+10+12+14+11+13+14+10)/11</f>
        <v>11.545454545454545</v>
      </c>
      <c r="F2" s="42">
        <v>7</v>
      </c>
      <c r="G2" s="42">
        <v>2</v>
      </c>
      <c r="H2" s="38">
        <f t="shared" ref="H2:H33" si="0">G2/F2</f>
        <v>0.2857142857142857</v>
      </c>
      <c r="J2" s="190">
        <v>14</v>
      </c>
      <c r="K2" s="268">
        <v>1</v>
      </c>
      <c r="L2" s="268">
        <v>7</v>
      </c>
      <c r="M2" s="268">
        <v>2</v>
      </c>
      <c r="N2" s="58">
        <f t="shared" ref="N2:N12" si="1">M2/L2</f>
        <v>0.2857142857142857</v>
      </c>
    </row>
    <row r="3" spans="1:14" x14ac:dyDescent="0.25">
      <c r="A3" s="266">
        <v>43617</v>
      </c>
      <c r="B3" s="42" t="s">
        <v>402</v>
      </c>
      <c r="C3" s="42" t="s">
        <v>255</v>
      </c>
      <c r="D3" s="42">
        <v>15</v>
      </c>
      <c r="E3" s="29">
        <f>(15+8+9+11+14+11+14+9+13+13+12)/11</f>
        <v>11.727272727272727</v>
      </c>
      <c r="F3" s="42">
        <v>9</v>
      </c>
      <c r="G3" s="42">
        <v>2</v>
      </c>
      <c r="H3" s="38">
        <f t="shared" si="0"/>
        <v>0.22222222222222221</v>
      </c>
      <c r="J3" s="190">
        <v>15</v>
      </c>
      <c r="K3" s="268">
        <v>3</v>
      </c>
      <c r="L3" s="268">
        <v>24</v>
      </c>
      <c r="M3" s="268">
        <v>8</v>
      </c>
      <c r="N3" s="58">
        <f t="shared" si="1"/>
        <v>0.33333333333333331</v>
      </c>
    </row>
    <row r="4" spans="1:14" x14ac:dyDescent="0.25">
      <c r="A4" s="266">
        <v>43684</v>
      </c>
      <c r="B4" s="42" t="s">
        <v>403</v>
      </c>
      <c r="C4" s="42" t="s">
        <v>255</v>
      </c>
      <c r="D4" s="42">
        <v>15</v>
      </c>
      <c r="E4" s="29">
        <f>(6+10+12+11+12+9+11+12+12+12+9)/11</f>
        <v>10.545454545454545</v>
      </c>
      <c r="F4" s="42">
        <v>9</v>
      </c>
      <c r="G4" s="42">
        <v>4</v>
      </c>
      <c r="H4" s="38">
        <f t="shared" si="0"/>
        <v>0.44444444444444442</v>
      </c>
      <c r="J4" s="190">
        <v>16</v>
      </c>
      <c r="K4" s="268">
        <v>20</v>
      </c>
      <c r="L4" s="268">
        <v>126</v>
      </c>
      <c r="M4" s="268">
        <v>51</v>
      </c>
      <c r="N4" s="58">
        <f t="shared" si="1"/>
        <v>0.40476190476190477</v>
      </c>
    </row>
    <row r="5" spans="1:14" x14ac:dyDescent="0.25">
      <c r="A5" s="266">
        <v>43691</v>
      </c>
      <c r="B5" s="42" t="s">
        <v>404</v>
      </c>
      <c r="C5" s="42" t="s">
        <v>255</v>
      </c>
      <c r="D5" s="42">
        <v>15</v>
      </c>
      <c r="E5" s="29">
        <f>(6+10+12+11+14+9+13+12+11+12+9)/11</f>
        <v>10.818181818181818</v>
      </c>
      <c r="F5" s="42">
        <v>6</v>
      </c>
      <c r="G5" s="42">
        <v>2</v>
      </c>
      <c r="H5" s="38">
        <f t="shared" si="0"/>
        <v>0.33333333333333331</v>
      </c>
      <c r="J5" s="190">
        <v>17</v>
      </c>
      <c r="K5" s="268">
        <v>15</v>
      </c>
      <c r="L5" s="268">
        <v>101</v>
      </c>
      <c r="M5" s="268">
        <v>38</v>
      </c>
      <c r="N5" s="58">
        <f t="shared" si="1"/>
        <v>0.37623762376237624</v>
      </c>
    </row>
    <row r="6" spans="1:14" x14ac:dyDescent="0.25">
      <c r="A6" s="266">
        <v>43680</v>
      </c>
      <c r="B6" s="42" t="s">
        <v>255</v>
      </c>
      <c r="C6" s="42" t="s">
        <v>405</v>
      </c>
      <c r="D6" s="42">
        <v>16</v>
      </c>
      <c r="E6" s="29">
        <f>(15+11+14+11+14+12+13+13+14+5+8)/11</f>
        <v>11.818181818181818</v>
      </c>
      <c r="F6" s="42">
        <v>4</v>
      </c>
      <c r="G6" s="43">
        <v>1</v>
      </c>
      <c r="H6" s="38">
        <f t="shared" si="0"/>
        <v>0.25</v>
      </c>
      <c r="J6" s="190">
        <v>18</v>
      </c>
      <c r="K6" s="268">
        <v>22</v>
      </c>
      <c r="L6" s="268">
        <v>143</v>
      </c>
      <c r="M6" s="268">
        <v>50</v>
      </c>
      <c r="N6" s="58">
        <f t="shared" si="1"/>
        <v>0.34965034965034963</v>
      </c>
    </row>
    <row r="7" spans="1:14" x14ac:dyDescent="0.25">
      <c r="A7" s="266">
        <v>43677</v>
      </c>
      <c r="B7" s="42" t="s">
        <v>406</v>
      </c>
      <c r="C7" s="42" t="s">
        <v>255</v>
      </c>
      <c r="D7" s="42">
        <v>16</v>
      </c>
      <c r="E7" s="29">
        <f>(15+9+10+8+12+8+12+13+13+9+12)/11</f>
        <v>11</v>
      </c>
      <c r="F7" s="42">
        <v>7</v>
      </c>
      <c r="G7" s="42">
        <v>3</v>
      </c>
      <c r="H7" s="38">
        <f t="shared" si="0"/>
        <v>0.42857142857142855</v>
      </c>
      <c r="J7" s="190">
        <v>19</v>
      </c>
      <c r="K7" s="268">
        <v>32</v>
      </c>
      <c r="L7" s="268">
        <v>245</v>
      </c>
      <c r="M7" s="268">
        <v>102</v>
      </c>
      <c r="N7" s="58">
        <f t="shared" si="1"/>
        <v>0.41632653061224489</v>
      </c>
    </row>
    <row r="8" spans="1:14" x14ac:dyDescent="0.25">
      <c r="A8" s="266">
        <v>43642</v>
      </c>
      <c r="B8" s="42" t="s">
        <v>255</v>
      </c>
      <c r="C8" s="42" t="s">
        <v>407</v>
      </c>
      <c r="D8" s="42">
        <v>16</v>
      </c>
      <c r="E8" s="29">
        <f t="shared" ref="E8:E19" si="2">(15+10+14+14+11+10+13+14+13+10+10)/11</f>
        <v>12.181818181818182</v>
      </c>
      <c r="F8" s="42">
        <v>9</v>
      </c>
      <c r="G8" s="42">
        <v>3</v>
      </c>
      <c r="H8" s="38">
        <f t="shared" si="0"/>
        <v>0.33333333333333331</v>
      </c>
      <c r="J8" s="190">
        <v>20</v>
      </c>
      <c r="K8" s="268">
        <v>14</v>
      </c>
      <c r="L8" s="268">
        <v>104</v>
      </c>
      <c r="M8" s="268">
        <v>42</v>
      </c>
      <c r="N8" s="58">
        <f t="shared" si="1"/>
        <v>0.40384615384615385</v>
      </c>
    </row>
    <row r="9" spans="1:14" x14ac:dyDescent="0.25">
      <c r="A9" s="266">
        <v>43641</v>
      </c>
      <c r="B9" s="42" t="s">
        <v>408</v>
      </c>
      <c r="C9" s="42" t="s">
        <v>255</v>
      </c>
      <c r="D9" s="42">
        <v>16</v>
      </c>
      <c r="E9" s="29">
        <f t="shared" si="2"/>
        <v>12.181818181818182</v>
      </c>
      <c r="F9" s="42">
        <v>6</v>
      </c>
      <c r="G9" s="42">
        <v>2</v>
      </c>
      <c r="H9" s="38">
        <f t="shared" si="0"/>
        <v>0.33333333333333331</v>
      </c>
      <c r="J9" s="190">
        <v>21</v>
      </c>
      <c r="K9" s="268">
        <v>22</v>
      </c>
      <c r="L9" s="268">
        <v>187</v>
      </c>
      <c r="M9" s="268">
        <v>81</v>
      </c>
      <c r="N9" s="58">
        <f t="shared" si="1"/>
        <v>0.43315508021390375</v>
      </c>
    </row>
    <row r="10" spans="1:14" x14ac:dyDescent="0.25">
      <c r="A10" s="266">
        <v>43641</v>
      </c>
      <c r="B10" s="42" t="s">
        <v>255</v>
      </c>
      <c r="C10" s="42" t="s">
        <v>410</v>
      </c>
      <c r="D10" s="42">
        <v>16</v>
      </c>
      <c r="E10" s="29">
        <f t="shared" si="2"/>
        <v>12.181818181818182</v>
      </c>
      <c r="F10" s="42">
        <v>4</v>
      </c>
      <c r="G10" s="42">
        <v>2</v>
      </c>
      <c r="H10" s="38">
        <f t="shared" si="0"/>
        <v>0.5</v>
      </c>
      <c r="J10" s="190">
        <v>22</v>
      </c>
      <c r="K10" s="268">
        <v>12</v>
      </c>
      <c r="L10" s="268">
        <v>92</v>
      </c>
      <c r="M10" s="268">
        <v>36</v>
      </c>
      <c r="N10" s="58">
        <f t="shared" si="1"/>
        <v>0.39130434782608697</v>
      </c>
    </row>
    <row r="11" spans="1:14" x14ac:dyDescent="0.25">
      <c r="A11" s="266">
        <v>43640</v>
      </c>
      <c r="B11" s="42" t="s">
        <v>411</v>
      </c>
      <c r="C11" s="42" t="s">
        <v>255</v>
      </c>
      <c r="D11" s="42">
        <v>16</v>
      </c>
      <c r="E11" s="29">
        <f t="shared" si="2"/>
        <v>12.181818181818182</v>
      </c>
      <c r="F11" s="42">
        <v>3</v>
      </c>
      <c r="G11" s="42">
        <v>2</v>
      </c>
      <c r="H11" s="38">
        <f t="shared" si="0"/>
        <v>0.66666666666666663</v>
      </c>
      <c r="I11" s="29"/>
      <c r="J11" s="190">
        <v>23</v>
      </c>
      <c r="K11" s="268">
        <v>27</v>
      </c>
      <c r="L11" s="268">
        <v>208</v>
      </c>
      <c r="M11" s="268">
        <v>95</v>
      </c>
      <c r="N11" s="58">
        <f t="shared" si="1"/>
        <v>0.45673076923076922</v>
      </c>
    </row>
    <row r="12" spans="1:14" x14ac:dyDescent="0.25">
      <c r="A12" s="266">
        <v>43636</v>
      </c>
      <c r="B12" s="42" t="s">
        <v>412</v>
      </c>
      <c r="C12" s="42" t="s">
        <v>255</v>
      </c>
      <c r="D12" s="42">
        <v>16</v>
      </c>
      <c r="E12" s="29">
        <f t="shared" si="2"/>
        <v>12.181818181818182</v>
      </c>
      <c r="F12" s="42">
        <v>9</v>
      </c>
      <c r="G12" s="42">
        <v>2</v>
      </c>
      <c r="H12" s="38">
        <f t="shared" si="0"/>
        <v>0.22222222222222221</v>
      </c>
      <c r="J12" s="190">
        <v>24</v>
      </c>
      <c r="K12" s="268">
        <v>16</v>
      </c>
      <c r="L12" s="268">
        <v>129</v>
      </c>
      <c r="M12" s="268">
        <v>63</v>
      </c>
      <c r="N12" s="58">
        <f t="shared" si="1"/>
        <v>0.48837209302325579</v>
      </c>
    </row>
    <row r="13" spans="1:14" x14ac:dyDescent="0.25">
      <c r="A13" s="266">
        <v>43635</v>
      </c>
      <c r="B13" s="42" t="s">
        <v>255</v>
      </c>
      <c r="C13" s="42" t="s">
        <v>413</v>
      </c>
      <c r="D13" s="42">
        <v>16</v>
      </c>
      <c r="E13" s="29">
        <f t="shared" si="2"/>
        <v>12.181818181818182</v>
      </c>
      <c r="F13" s="42">
        <v>7</v>
      </c>
      <c r="G13" s="42">
        <v>2</v>
      </c>
      <c r="H13" s="38">
        <f t="shared" si="0"/>
        <v>0.2857142857142857</v>
      </c>
      <c r="J13" s="190" t="s">
        <v>409</v>
      </c>
      <c r="K13" s="268">
        <v>184</v>
      </c>
      <c r="L13" s="268">
        <v>1366</v>
      </c>
      <c r="M13" s="268">
        <v>568</v>
      </c>
      <c r="N13" s="58"/>
    </row>
    <row r="14" spans="1:14" x14ac:dyDescent="0.25">
      <c r="A14" s="266">
        <v>43635</v>
      </c>
      <c r="B14" s="42" t="s">
        <v>255</v>
      </c>
      <c r="C14" s="42" t="s">
        <v>414</v>
      </c>
      <c r="D14" s="42">
        <v>16</v>
      </c>
      <c r="E14" s="29">
        <f t="shared" si="2"/>
        <v>12.181818181818182</v>
      </c>
      <c r="F14" s="42">
        <v>5</v>
      </c>
      <c r="G14" s="42">
        <v>2</v>
      </c>
      <c r="H14" s="38">
        <f t="shared" si="0"/>
        <v>0.4</v>
      </c>
    </row>
    <row r="15" spans="1:14" x14ac:dyDescent="0.25">
      <c r="A15" s="266">
        <v>43634</v>
      </c>
      <c r="B15" s="42" t="s">
        <v>415</v>
      </c>
      <c r="C15" s="42" t="s">
        <v>255</v>
      </c>
      <c r="D15" s="42">
        <v>16</v>
      </c>
      <c r="E15" s="29">
        <f t="shared" si="2"/>
        <v>12.181818181818182</v>
      </c>
      <c r="F15" s="42">
        <v>9</v>
      </c>
      <c r="G15" s="42">
        <v>3</v>
      </c>
      <c r="H15" s="38">
        <f t="shared" si="0"/>
        <v>0.33333333333333331</v>
      </c>
    </row>
    <row r="16" spans="1:14" x14ac:dyDescent="0.25">
      <c r="A16" s="266">
        <v>43634</v>
      </c>
      <c r="B16" s="42" t="s">
        <v>416</v>
      </c>
      <c r="C16" s="42" t="s">
        <v>255</v>
      </c>
      <c r="D16" s="42">
        <v>16</v>
      </c>
      <c r="E16" s="29">
        <f t="shared" si="2"/>
        <v>12.181818181818182</v>
      </c>
      <c r="F16" s="42">
        <v>6</v>
      </c>
      <c r="G16" s="42">
        <v>2</v>
      </c>
      <c r="H16" s="38">
        <f t="shared" si="0"/>
        <v>0.33333333333333331</v>
      </c>
    </row>
    <row r="17" spans="1:8" x14ac:dyDescent="0.25">
      <c r="A17" s="266">
        <v>43633</v>
      </c>
      <c r="B17" s="42" t="s">
        <v>255</v>
      </c>
      <c r="C17" s="42" t="s">
        <v>417</v>
      </c>
      <c r="D17" s="42">
        <v>16</v>
      </c>
      <c r="E17" s="29">
        <f t="shared" si="2"/>
        <v>12.181818181818182</v>
      </c>
      <c r="F17" s="42">
        <v>10</v>
      </c>
      <c r="G17" s="42">
        <v>3</v>
      </c>
      <c r="H17" s="38">
        <f t="shared" si="0"/>
        <v>0.3</v>
      </c>
    </row>
    <row r="18" spans="1:8" x14ac:dyDescent="0.25">
      <c r="A18" s="266">
        <v>43633</v>
      </c>
      <c r="B18" s="42" t="s">
        <v>255</v>
      </c>
      <c r="C18" s="42" t="s">
        <v>418</v>
      </c>
      <c r="D18" s="42">
        <v>16</v>
      </c>
      <c r="E18" s="29">
        <f t="shared" si="2"/>
        <v>12.181818181818182</v>
      </c>
      <c r="F18" s="42">
        <v>7</v>
      </c>
      <c r="G18" s="42">
        <v>3</v>
      </c>
      <c r="H18" s="38">
        <f t="shared" si="0"/>
        <v>0.42857142857142855</v>
      </c>
    </row>
    <row r="19" spans="1:8" x14ac:dyDescent="0.25">
      <c r="A19" s="266">
        <v>43624</v>
      </c>
      <c r="B19" s="42" t="s">
        <v>419</v>
      </c>
      <c r="C19" s="42" t="s">
        <v>255</v>
      </c>
      <c r="D19" s="42">
        <v>16</v>
      </c>
      <c r="E19" s="29">
        <f t="shared" si="2"/>
        <v>12.181818181818182</v>
      </c>
      <c r="F19" s="42">
        <v>4</v>
      </c>
      <c r="G19" s="42">
        <v>2</v>
      </c>
      <c r="H19" s="38">
        <f t="shared" si="0"/>
        <v>0.5</v>
      </c>
    </row>
    <row r="20" spans="1:8" x14ac:dyDescent="0.25">
      <c r="A20" s="266">
        <v>43617</v>
      </c>
      <c r="B20" s="42" t="s">
        <v>420</v>
      </c>
      <c r="C20" s="42" t="s">
        <v>255</v>
      </c>
      <c r="D20" s="42">
        <v>16</v>
      </c>
      <c r="E20" s="29">
        <f>(15+10+14+10+11+10+13+14+13+10+12)/11</f>
        <v>12</v>
      </c>
      <c r="F20" s="42">
        <v>5</v>
      </c>
      <c r="G20" s="42">
        <v>3</v>
      </c>
      <c r="H20" s="38">
        <f t="shared" si="0"/>
        <v>0.6</v>
      </c>
    </row>
    <row r="21" spans="1:8" x14ac:dyDescent="0.25">
      <c r="A21" s="266">
        <v>43615</v>
      </c>
      <c r="B21" s="42" t="s">
        <v>255</v>
      </c>
      <c r="C21" s="42" t="s">
        <v>421</v>
      </c>
      <c r="D21" s="42">
        <v>16</v>
      </c>
      <c r="E21" s="29">
        <f>(15+11+11+14+14+10+14+13+13+9+12)/11</f>
        <v>12.363636363636363</v>
      </c>
      <c r="F21" s="42">
        <v>9</v>
      </c>
      <c r="G21" s="42">
        <v>4</v>
      </c>
      <c r="H21" s="38">
        <f t="shared" si="0"/>
        <v>0.44444444444444442</v>
      </c>
    </row>
    <row r="22" spans="1:8" x14ac:dyDescent="0.25">
      <c r="A22" s="266">
        <v>43610</v>
      </c>
      <c r="B22" s="42" t="s">
        <v>255</v>
      </c>
      <c r="C22" s="42" t="s">
        <v>422</v>
      </c>
      <c r="D22" s="42">
        <v>16</v>
      </c>
      <c r="E22" s="29">
        <f>(15+11+11+14+14+10+14+13+13+9+9)/11</f>
        <v>12.090909090909092</v>
      </c>
      <c r="F22" s="42">
        <v>5</v>
      </c>
      <c r="G22" s="42">
        <v>3</v>
      </c>
      <c r="H22" s="38">
        <f t="shared" si="0"/>
        <v>0.6</v>
      </c>
    </row>
    <row r="23" spans="1:8" x14ac:dyDescent="0.25">
      <c r="A23" s="266">
        <v>43602</v>
      </c>
      <c r="B23" s="42" t="s">
        <v>423</v>
      </c>
      <c r="C23" s="42" t="s">
        <v>255</v>
      </c>
      <c r="D23" s="42">
        <v>16</v>
      </c>
      <c r="E23" s="29">
        <f>(15+11+11+14+14+10+14+13+13+9+9)/11</f>
        <v>12.090909090909092</v>
      </c>
      <c r="F23" s="42">
        <v>6</v>
      </c>
      <c r="G23" s="42">
        <v>3</v>
      </c>
      <c r="H23" s="38">
        <f t="shared" si="0"/>
        <v>0.5</v>
      </c>
    </row>
    <row r="24" spans="1:8" x14ac:dyDescent="0.25">
      <c r="A24" s="266">
        <v>43550</v>
      </c>
      <c r="B24" s="42" t="s">
        <v>424</v>
      </c>
      <c r="C24" s="42" t="s">
        <v>255</v>
      </c>
      <c r="D24" s="42">
        <v>16</v>
      </c>
      <c r="E24" s="29">
        <f>(15+8+9+11+14+11+14+9+13+13+12)/11</f>
        <v>11.727272727272727</v>
      </c>
      <c r="F24" s="42">
        <v>4</v>
      </c>
      <c r="G24" s="42">
        <v>2</v>
      </c>
      <c r="H24" s="38">
        <f t="shared" si="0"/>
        <v>0.5</v>
      </c>
    </row>
    <row r="25" spans="1:8" x14ac:dyDescent="0.25">
      <c r="A25" s="266">
        <v>43644</v>
      </c>
      <c r="B25" s="42" t="s">
        <v>255</v>
      </c>
      <c r="C25" s="42" t="s">
        <v>425</v>
      </c>
      <c r="D25" s="42">
        <v>17</v>
      </c>
      <c r="E25" s="29">
        <f>(15+10+10+14+11+10+13+14+13+10+10)/11</f>
        <v>11.818181818181818</v>
      </c>
      <c r="F25" s="42">
        <v>10</v>
      </c>
      <c r="G25" s="42">
        <v>4</v>
      </c>
      <c r="H25" s="38">
        <f t="shared" si="0"/>
        <v>0.4</v>
      </c>
    </row>
    <row r="26" spans="1:8" x14ac:dyDescent="0.25">
      <c r="A26" s="266">
        <v>43643</v>
      </c>
      <c r="B26" s="42" t="s">
        <v>426</v>
      </c>
      <c r="C26" s="42" t="s">
        <v>255</v>
      </c>
      <c r="D26" s="42">
        <v>17</v>
      </c>
      <c r="E26" s="29">
        <f t="shared" ref="E26:E31" si="3">(15+10+14+14+11+10+13+14+13+10+10)/11</f>
        <v>12.181818181818182</v>
      </c>
      <c r="F26" s="42">
        <v>4</v>
      </c>
      <c r="G26" s="42">
        <v>2</v>
      </c>
      <c r="H26" s="38">
        <f t="shared" si="0"/>
        <v>0.5</v>
      </c>
    </row>
    <row r="27" spans="1:8" x14ac:dyDescent="0.25">
      <c r="A27" s="266">
        <v>43643</v>
      </c>
      <c r="B27" s="42" t="s">
        <v>255</v>
      </c>
      <c r="C27" s="42" t="s">
        <v>427</v>
      </c>
      <c r="D27" s="42">
        <v>17</v>
      </c>
      <c r="E27" s="29">
        <f t="shared" si="3"/>
        <v>12.181818181818182</v>
      </c>
      <c r="F27" s="42">
        <v>6</v>
      </c>
      <c r="G27" s="42">
        <v>1</v>
      </c>
      <c r="H27" s="38">
        <f t="shared" si="0"/>
        <v>0.16666666666666666</v>
      </c>
    </row>
    <row r="28" spans="1:8" x14ac:dyDescent="0.25">
      <c r="A28" s="266">
        <v>43643</v>
      </c>
      <c r="B28" s="42" t="s">
        <v>428</v>
      </c>
      <c r="C28" s="42" t="s">
        <v>255</v>
      </c>
      <c r="D28" s="42">
        <v>17</v>
      </c>
      <c r="E28" s="29">
        <f t="shared" si="3"/>
        <v>12.181818181818182</v>
      </c>
      <c r="F28" s="42">
        <v>7</v>
      </c>
      <c r="G28" s="42">
        <v>3</v>
      </c>
      <c r="H28" s="38">
        <f t="shared" si="0"/>
        <v>0.42857142857142855</v>
      </c>
    </row>
    <row r="29" spans="1:8" x14ac:dyDescent="0.25">
      <c r="A29" s="266">
        <v>43642</v>
      </c>
      <c r="B29" s="42" t="s">
        <v>429</v>
      </c>
      <c r="C29" s="42" t="s">
        <v>255</v>
      </c>
      <c r="D29" s="42">
        <v>17</v>
      </c>
      <c r="E29" s="29">
        <f t="shared" si="3"/>
        <v>12.181818181818182</v>
      </c>
      <c r="F29" s="42">
        <v>7</v>
      </c>
      <c r="G29" s="42">
        <v>1</v>
      </c>
      <c r="H29" s="38">
        <f t="shared" si="0"/>
        <v>0.14285714285714285</v>
      </c>
    </row>
    <row r="30" spans="1:8" x14ac:dyDescent="0.25">
      <c r="A30" s="266">
        <v>43641</v>
      </c>
      <c r="B30" s="42" t="s">
        <v>255</v>
      </c>
      <c r="C30" s="42" t="s">
        <v>430</v>
      </c>
      <c r="D30" s="42">
        <v>17</v>
      </c>
      <c r="E30" s="29">
        <f t="shared" si="3"/>
        <v>12.181818181818182</v>
      </c>
      <c r="F30" s="42">
        <v>8</v>
      </c>
      <c r="G30" s="42">
        <v>3</v>
      </c>
      <c r="H30" s="38">
        <f t="shared" si="0"/>
        <v>0.375</v>
      </c>
    </row>
    <row r="31" spans="1:8" x14ac:dyDescent="0.25">
      <c r="A31" s="266">
        <v>43636</v>
      </c>
      <c r="B31" s="42" t="s">
        <v>431</v>
      </c>
      <c r="C31" s="42" t="s">
        <v>255</v>
      </c>
      <c r="D31" s="42">
        <v>17</v>
      </c>
      <c r="E31" s="29">
        <f t="shared" si="3"/>
        <v>12.181818181818182</v>
      </c>
      <c r="F31" s="42">
        <v>8</v>
      </c>
      <c r="G31" s="42">
        <v>3</v>
      </c>
      <c r="H31" s="38">
        <f t="shared" si="0"/>
        <v>0.375</v>
      </c>
    </row>
    <row r="32" spans="1:8" x14ac:dyDescent="0.25">
      <c r="A32" s="266">
        <v>43603</v>
      </c>
      <c r="B32" s="42" t="s">
        <v>432</v>
      </c>
      <c r="C32" s="42" t="s">
        <v>255</v>
      </c>
      <c r="D32" s="42">
        <v>17</v>
      </c>
      <c r="E32" s="29">
        <f>(15+11+11+14+14+10+14+13+13+9+9)/11</f>
        <v>12.090909090909092</v>
      </c>
      <c r="F32" s="42">
        <v>9</v>
      </c>
      <c r="G32" s="42">
        <v>5</v>
      </c>
      <c r="H32" s="38">
        <f t="shared" si="0"/>
        <v>0.55555555555555558</v>
      </c>
    </row>
    <row r="33" spans="1:8" x14ac:dyDescent="0.25">
      <c r="A33" s="266">
        <v>43596</v>
      </c>
      <c r="B33" s="42" t="s">
        <v>255</v>
      </c>
      <c r="C33" s="42" t="s">
        <v>405</v>
      </c>
      <c r="D33" s="42">
        <v>17</v>
      </c>
      <c r="E33" s="29">
        <f>(15+11+11+14+14+10+14+13+13+9+9)/11</f>
        <v>12.090909090909092</v>
      </c>
      <c r="F33" s="42">
        <v>6</v>
      </c>
      <c r="G33" s="42">
        <v>1</v>
      </c>
      <c r="H33" s="38">
        <f t="shared" si="0"/>
        <v>0.16666666666666666</v>
      </c>
    </row>
    <row r="34" spans="1:8" x14ac:dyDescent="0.25">
      <c r="A34" s="266">
        <v>43589</v>
      </c>
      <c r="B34" s="42" t="s">
        <v>433</v>
      </c>
      <c r="C34" s="42" t="s">
        <v>255</v>
      </c>
      <c r="D34" s="42">
        <v>17</v>
      </c>
      <c r="E34" s="29">
        <f>(15+11+11+14+14+10+14+11+13+9+9)/11</f>
        <v>11.909090909090908</v>
      </c>
      <c r="F34" s="42">
        <v>8</v>
      </c>
      <c r="G34" s="42">
        <v>4</v>
      </c>
      <c r="H34" s="38">
        <f t="shared" ref="H34:H65" si="4">G34/F34</f>
        <v>0.5</v>
      </c>
    </row>
    <row r="35" spans="1:8" x14ac:dyDescent="0.25">
      <c r="A35" s="266">
        <v>43547</v>
      </c>
      <c r="B35" s="42" t="s">
        <v>255</v>
      </c>
      <c r="C35" s="42" t="s">
        <v>419</v>
      </c>
      <c r="D35" s="42">
        <v>17</v>
      </c>
      <c r="E35" s="29">
        <f>(15+11+14+11+14+10+13+11+14+9+9)/11</f>
        <v>11.909090909090908</v>
      </c>
      <c r="F35" s="42">
        <v>5</v>
      </c>
      <c r="G35" s="42">
        <v>1</v>
      </c>
      <c r="H35" s="38">
        <f t="shared" si="4"/>
        <v>0.2</v>
      </c>
    </row>
    <row r="36" spans="1:8" x14ac:dyDescent="0.25">
      <c r="A36" s="266">
        <v>43540</v>
      </c>
      <c r="B36" s="42" t="s">
        <v>434</v>
      </c>
      <c r="C36" s="42" t="s">
        <v>255</v>
      </c>
      <c r="D36" s="42">
        <v>17</v>
      </c>
      <c r="E36" s="29">
        <f>(15+8+9+11+14+11+14+9+13+13+12)/11</f>
        <v>11.727272727272727</v>
      </c>
      <c r="F36" s="42">
        <v>7</v>
      </c>
      <c r="G36" s="42">
        <v>3</v>
      </c>
      <c r="H36" s="38">
        <f t="shared" si="4"/>
        <v>0.42857142857142855</v>
      </c>
    </row>
    <row r="37" spans="1:8" x14ac:dyDescent="0.25">
      <c r="A37" s="266">
        <v>43537</v>
      </c>
      <c r="B37" s="42" t="s">
        <v>435</v>
      </c>
      <c r="C37" s="42" t="s">
        <v>255</v>
      </c>
      <c r="D37" s="42">
        <v>17</v>
      </c>
      <c r="E37" s="29">
        <f>(15+8+9+11+14+11+14+9+13+13+12)/11</f>
        <v>11.727272727272727</v>
      </c>
      <c r="F37" s="42">
        <v>7</v>
      </c>
      <c r="G37" s="42">
        <v>4</v>
      </c>
      <c r="H37" s="38">
        <f t="shared" si="4"/>
        <v>0.5714285714285714</v>
      </c>
    </row>
    <row r="38" spans="1:8" x14ac:dyDescent="0.25">
      <c r="A38" s="266">
        <v>43704</v>
      </c>
      <c r="B38" s="42" t="s">
        <v>255</v>
      </c>
      <c r="C38" s="42" t="s">
        <v>436</v>
      </c>
      <c r="D38" s="42">
        <v>18</v>
      </c>
      <c r="E38" s="29">
        <f>(15+12+15+11+12+12+13+13+14+12+9)/11</f>
        <v>12.545454545454545</v>
      </c>
      <c r="F38" s="42">
        <v>4</v>
      </c>
      <c r="G38" s="42">
        <v>1</v>
      </c>
      <c r="H38" s="38">
        <f t="shared" si="4"/>
        <v>0.25</v>
      </c>
    </row>
    <row r="39" spans="1:8" x14ac:dyDescent="0.25">
      <c r="A39" s="266">
        <v>43656</v>
      </c>
      <c r="B39" s="42" t="s">
        <v>437</v>
      </c>
      <c r="C39" s="42" t="s">
        <v>255</v>
      </c>
      <c r="D39" s="42">
        <v>18</v>
      </c>
      <c r="E39" s="29">
        <f>(12+10+14+13+14+10+12+10+14+10+15)/11</f>
        <v>12.181818181818182</v>
      </c>
      <c r="F39" s="42">
        <v>6</v>
      </c>
      <c r="G39" s="42">
        <v>2</v>
      </c>
      <c r="H39" s="38">
        <f t="shared" si="4"/>
        <v>0.33333333333333331</v>
      </c>
    </row>
    <row r="40" spans="1:8" x14ac:dyDescent="0.25">
      <c r="A40" s="266">
        <v>43656</v>
      </c>
      <c r="B40" s="42" t="s">
        <v>255</v>
      </c>
      <c r="C40" s="42" t="s">
        <v>438</v>
      </c>
      <c r="D40" s="42">
        <v>18</v>
      </c>
      <c r="E40" s="29">
        <f>(15+10+14+10+12+10+14+13+12+10+12)/11</f>
        <v>12</v>
      </c>
      <c r="F40" s="42">
        <v>3</v>
      </c>
      <c r="G40" s="42">
        <v>1</v>
      </c>
      <c r="H40" s="38">
        <f t="shared" si="4"/>
        <v>0.33333333333333331</v>
      </c>
    </row>
    <row r="41" spans="1:8" x14ac:dyDescent="0.25">
      <c r="A41" s="266">
        <v>43655</v>
      </c>
      <c r="B41" s="42" t="s">
        <v>255</v>
      </c>
      <c r="C41" s="42" t="s">
        <v>439</v>
      </c>
      <c r="D41" s="42">
        <v>18</v>
      </c>
      <c r="E41" s="29">
        <f>(15+10+14+10+12+10+14+13+14+10+9)/11</f>
        <v>11.909090909090908</v>
      </c>
      <c r="F41" s="42">
        <v>5</v>
      </c>
      <c r="G41" s="42">
        <v>1</v>
      </c>
      <c r="H41" s="38">
        <f t="shared" si="4"/>
        <v>0.2</v>
      </c>
    </row>
    <row r="42" spans="1:8" x14ac:dyDescent="0.25">
      <c r="A42" s="266">
        <v>43582</v>
      </c>
      <c r="B42" s="42" t="s">
        <v>255</v>
      </c>
      <c r="C42" s="42" t="s">
        <v>433</v>
      </c>
      <c r="D42" s="42">
        <v>18</v>
      </c>
      <c r="E42" s="29">
        <f>(15+11+11+14+14+10+14+11+13+9+9)/11</f>
        <v>11.909090909090908</v>
      </c>
      <c r="F42" s="42">
        <v>7</v>
      </c>
      <c r="G42" s="42">
        <v>2</v>
      </c>
      <c r="H42" s="38">
        <f t="shared" si="4"/>
        <v>0.2857142857142857</v>
      </c>
    </row>
    <row r="43" spans="1:8" x14ac:dyDescent="0.25">
      <c r="A43" s="266">
        <v>43575</v>
      </c>
      <c r="B43" s="42" t="s">
        <v>405</v>
      </c>
      <c r="C43" s="42" t="s">
        <v>255</v>
      </c>
      <c r="D43" s="42">
        <v>18</v>
      </c>
      <c r="E43" s="29">
        <f>(15+11+11+14+14+10+14+11+13+9+9)/11</f>
        <v>11.909090909090908</v>
      </c>
      <c r="F43" s="42">
        <v>9</v>
      </c>
      <c r="G43" s="42">
        <v>3</v>
      </c>
      <c r="H43" s="38">
        <f t="shared" si="4"/>
        <v>0.33333333333333331</v>
      </c>
    </row>
    <row r="44" spans="1:8" x14ac:dyDescent="0.25">
      <c r="A44" s="266">
        <v>43568</v>
      </c>
      <c r="B44" s="42" t="s">
        <v>255</v>
      </c>
      <c r="C44" s="42" t="s">
        <v>432</v>
      </c>
      <c r="D44" s="42">
        <v>18</v>
      </c>
      <c r="E44" s="29">
        <f>(15+11+11+14+14+10+14+11+13+9+9)/11</f>
        <v>11.909090909090908</v>
      </c>
      <c r="F44" s="42">
        <v>8</v>
      </c>
      <c r="G44" s="42">
        <v>3</v>
      </c>
      <c r="H44" s="38">
        <f t="shared" si="4"/>
        <v>0.375</v>
      </c>
    </row>
    <row r="45" spans="1:8" x14ac:dyDescent="0.25">
      <c r="A45" s="266">
        <v>43561</v>
      </c>
      <c r="B45" s="42" t="s">
        <v>422</v>
      </c>
      <c r="C45" s="42" t="s">
        <v>255</v>
      </c>
      <c r="D45" s="42">
        <v>18</v>
      </c>
      <c r="E45" s="29">
        <f>(15+11+11+14+14+10+14+11+13+9+9)/11</f>
        <v>11.909090909090908</v>
      </c>
      <c r="F45" s="42">
        <v>8</v>
      </c>
      <c r="G45" s="42">
        <v>3</v>
      </c>
      <c r="H45" s="38">
        <f t="shared" si="4"/>
        <v>0.375</v>
      </c>
    </row>
    <row r="46" spans="1:8" x14ac:dyDescent="0.25">
      <c r="A46" s="266">
        <v>43554</v>
      </c>
      <c r="B46" s="42" t="s">
        <v>255</v>
      </c>
      <c r="C46" s="42" t="s">
        <v>420</v>
      </c>
      <c r="D46" s="42">
        <v>18</v>
      </c>
      <c r="E46" s="29">
        <f>(15+11+14+11+14+10+13+11+14+9+9)/11</f>
        <v>11.909090909090908</v>
      </c>
      <c r="F46" s="42">
        <v>6</v>
      </c>
      <c r="G46" s="42">
        <v>1</v>
      </c>
      <c r="H46" s="38">
        <f t="shared" si="4"/>
        <v>0.16666666666666666</v>
      </c>
    </row>
    <row r="47" spans="1:8" x14ac:dyDescent="0.25">
      <c r="A47" s="266">
        <v>43687</v>
      </c>
      <c r="B47" s="42" t="s">
        <v>440</v>
      </c>
      <c r="C47" s="42" t="s">
        <v>255</v>
      </c>
      <c r="D47" s="42">
        <v>18</v>
      </c>
      <c r="E47" s="29">
        <f>(15+12+13+11+14+12+13+13+14+9+12)/11</f>
        <v>12.545454545454545</v>
      </c>
      <c r="F47" s="42">
        <v>5</v>
      </c>
      <c r="G47" s="42">
        <v>1</v>
      </c>
      <c r="H47" s="38">
        <f t="shared" si="4"/>
        <v>0.2</v>
      </c>
    </row>
    <row r="48" spans="1:8" x14ac:dyDescent="0.25">
      <c r="A48" s="266">
        <v>43701</v>
      </c>
      <c r="B48" s="42" t="s">
        <v>255</v>
      </c>
      <c r="C48" s="42" t="s">
        <v>441</v>
      </c>
      <c r="D48" s="42">
        <v>18</v>
      </c>
      <c r="E48" s="29">
        <f>(15+12+15+12+12+12+13+13+11+14+12)/11</f>
        <v>12.818181818181818</v>
      </c>
      <c r="F48" s="42">
        <v>8</v>
      </c>
      <c r="G48" s="42">
        <v>3</v>
      </c>
      <c r="H48" s="38">
        <f t="shared" si="4"/>
        <v>0.375</v>
      </c>
    </row>
    <row r="49" spans="1:8" x14ac:dyDescent="0.25">
      <c r="A49" s="266">
        <v>43666</v>
      </c>
      <c r="B49" s="42" t="s">
        <v>419</v>
      </c>
      <c r="C49" s="42" t="s">
        <v>255</v>
      </c>
      <c r="D49" s="42">
        <v>19</v>
      </c>
      <c r="E49" s="29">
        <f>(15+9+9+12+10+14+12+10+13+12+10)/11</f>
        <v>11.454545454545455</v>
      </c>
      <c r="F49" s="42">
        <v>5</v>
      </c>
      <c r="G49" s="42">
        <v>2</v>
      </c>
      <c r="H49" s="38">
        <f t="shared" si="4"/>
        <v>0.4</v>
      </c>
    </row>
    <row r="50" spans="1:8" x14ac:dyDescent="0.25">
      <c r="A50" s="266">
        <v>43657</v>
      </c>
      <c r="B50" s="42" t="s">
        <v>255</v>
      </c>
      <c r="C50" s="42" t="s">
        <v>442</v>
      </c>
      <c r="D50" s="42">
        <v>19</v>
      </c>
      <c r="E50" s="29">
        <f>(15+10+14+10+12+10+14+13+14+10+9)/11</f>
        <v>11.909090909090908</v>
      </c>
      <c r="F50" s="42">
        <v>12</v>
      </c>
      <c r="G50" s="42">
        <v>5</v>
      </c>
      <c r="H50" s="38">
        <f t="shared" si="4"/>
        <v>0.41666666666666669</v>
      </c>
    </row>
    <row r="51" spans="1:8" x14ac:dyDescent="0.25">
      <c r="A51" s="266">
        <v>43652</v>
      </c>
      <c r="B51" s="42" t="s">
        <v>255</v>
      </c>
      <c r="C51" s="42" t="s">
        <v>443</v>
      </c>
      <c r="D51" s="42">
        <v>19</v>
      </c>
      <c r="E51" s="29">
        <f>(15+10+14+10+12+10+14+13+14+10+9)/11</f>
        <v>11.909090909090908</v>
      </c>
      <c r="F51" s="42">
        <v>9</v>
      </c>
      <c r="G51" s="42">
        <v>5</v>
      </c>
      <c r="H51" s="38">
        <f t="shared" si="4"/>
        <v>0.55555555555555558</v>
      </c>
    </row>
    <row r="52" spans="1:8" x14ac:dyDescent="0.25">
      <c r="A52" s="266">
        <v>43677</v>
      </c>
      <c r="B52" s="42" t="s">
        <v>255</v>
      </c>
      <c r="C52" s="42" t="s">
        <v>444</v>
      </c>
      <c r="D52" s="42">
        <v>20</v>
      </c>
      <c r="E52" s="29">
        <f>(15+11+14+10+12+12+13+13+14+12+9)/11</f>
        <v>12.272727272727273</v>
      </c>
      <c r="F52" s="42">
        <v>6</v>
      </c>
      <c r="G52" s="42">
        <v>2</v>
      </c>
      <c r="H52" s="38">
        <f t="shared" si="4"/>
        <v>0.33333333333333331</v>
      </c>
    </row>
    <row r="53" spans="1:8" x14ac:dyDescent="0.25">
      <c r="A53" s="266">
        <v>43672</v>
      </c>
      <c r="B53" s="42" t="s">
        <v>445</v>
      </c>
      <c r="C53" s="42" t="s">
        <v>255</v>
      </c>
      <c r="D53" s="42">
        <v>20</v>
      </c>
      <c r="E53" s="29">
        <f>(15+12+12+10+14+10+13+13+14+10+12)/11</f>
        <v>12.272727272727273</v>
      </c>
      <c r="F53" s="42">
        <v>5</v>
      </c>
      <c r="G53" s="42">
        <v>3</v>
      </c>
      <c r="H53" s="38">
        <f t="shared" si="4"/>
        <v>0.6</v>
      </c>
    </row>
    <row r="54" spans="1:8" x14ac:dyDescent="0.25">
      <c r="A54" s="266">
        <v>43663</v>
      </c>
      <c r="B54" s="42" t="s">
        <v>255</v>
      </c>
      <c r="C54" s="42" t="s">
        <v>446</v>
      </c>
      <c r="D54" s="42">
        <v>20</v>
      </c>
      <c r="E54" s="29">
        <f>(15+12+14.5+10+12+11+14+13+14+9+12)/11</f>
        <v>12.409090909090908</v>
      </c>
      <c r="F54" s="42">
        <v>7</v>
      </c>
      <c r="G54" s="42">
        <v>4</v>
      </c>
      <c r="H54" s="38">
        <f t="shared" si="4"/>
        <v>0.5714285714285714</v>
      </c>
    </row>
    <row r="55" spans="1:8" x14ac:dyDescent="0.25">
      <c r="A55" s="266">
        <v>43708</v>
      </c>
      <c r="B55" s="42" t="s">
        <v>255</v>
      </c>
      <c r="C55" s="42" t="s">
        <v>447</v>
      </c>
      <c r="D55" s="42">
        <v>17</v>
      </c>
      <c r="E55" s="29">
        <f>(15+11+15+11+13+12+13+14+13+9+12)/11</f>
        <v>12.545454545454545</v>
      </c>
      <c r="F55" s="42">
        <v>4</v>
      </c>
      <c r="G55" s="42">
        <v>2</v>
      </c>
      <c r="H55" s="38">
        <f t="shared" si="4"/>
        <v>0.5</v>
      </c>
    </row>
    <row r="56" spans="1:8" x14ac:dyDescent="0.25">
      <c r="A56" s="266">
        <v>43711</v>
      </c>
      <c r="B56" s="42" t="s">
        <v>448</v>
      </c>
      <c r="C56" s="42" t="s">
        <v>255</v>
      </c>
      <c r="D56" s="42">
        <v>16</v>
      </c>
      <c r="E56" s="29">
        <f>(15+11+15+13+13+12+14+13+13+9+12)/11</f>
        <v>12.727272727272727</v>
      </c>
      <c r="F56" s="42">
        <v>7</v>
      </c>
      <c r="G56" s="42">
        <v>4</v>
      </c>
      <c r="H56" s="38">
        <f t="shared" si="4"/>
        <v>0.5714285714285714</v>
      </c>
    </row>
    <row r="57" spans="1:8" x14ac:dyDescent="0.25">
      <c r="A57" s="266">
        <v>43713</v>
      </c>
      <c r="B57" s="42" t="s">
        <v>255</v>
      </c>
      <c r="C57" s="42" t="s">
        <v>449</v>
      </c>
      <c r="D57" s="42">
        <v>19</v>
      </c>
      <c r="E57" s="29">
        <f>(15+12+15+13+13+12+13+13+14+12+12)/11</f>
        <v>13.090909090909092</v>
      </c>
      <c r="F57" s="42">
        <v>10</v>
      </c>
      <c r="G57" s="42">
        <v>3</v>
      </c>
      <c r="H57" s="38">
        <f t="shared" si="4"/>
        <v>0.3</v>
      </c>
    </row>
    <row r="58" spans="1:8" x14ac:dyDescent="0.25">
      <c r="A58" s="266">
        <v>43713</v>
      </c>
      <c r="B58" s="42" t="s">
        <v>255</v>
      </c>
      <c r="C58" s="42" t="s">
        <v>450</v>
      </c>
      <c r="D58" s="42">
        <v>18</v>
      </c>
      <c r="E58" s="29">
        <f>(15+12+15+13+13+12+13+13+14+12+12)/11</f>
        <v>13.090909090909092</v>
      </c>
      <c r="F58" s="42">
        <v>4</v>
      </c>
      <c r="G58" s="42">
        <v>2</v>
      </c>
      <c r="H58" s="38">
        <f t="shared" si="4"/>
        <v>0.5</v>
      </c>
    </row>
    <row r="59" spans="1:8" x14ac:dyDescent="0.25">
      <c r="A59" s="266">
        <v>43715</v>
      </c>
      <c r="B59" s="42" t="s">
        <v>405</v>
      </c>
      <c r="C59" s="42" t="s">
        <v>255</v>
      </c>
      <c r="D59" s="42">
        <v>19</v>
      </c>
      <c r="E59" s="29">
        <f>(15+12+15+13+13+12+13+13+14+12+9)/11</f>
        <v>12.818181818181818</v>
      </c>
      <c r="F59" s="42">
        <v>7</v>
      </c>
      <c r="G59" s="42">
        <v>4</v>
      </c>
      <c r="H59" s="38">
        <f t="shared" si="4"/>
        <v>0.5714285714285714</v>
      </c>
    </row>
    <row r="60" spans="1:8" x14ac:dyDescent="0.25">
      <c r="A60" s="266">
        <v>43717</v>
      </c>
      <c r="B60" s="42" t="s">
        <v>255</v>
      </c>
      <c r="C60" s="42" t="s">
        <v>451</v>
      </c>
      <c r="D60" s="42">
        <v>18</v>
      </c>
      <c r="E60" s="29">
        <f>(15+10+14+10+12+10+14+13+14+10+9)/11</f>
        <v>11.909090909090908</v>
      </c>
      <c r="F60" s="42">
        <v>6</v>
      </c>
      <c r="G60" s="42">
        <v>3</v>
      </c>
      <c r="H60" s="38">
        <f t="shared" si="4"/>
        <v>0.5</v>
      </c>
    </row>
    <row r="61" spans="1:8" x14ac:dyDescent="0.25">
      <c r="A61" s="266">
        <v>43719</v>
      </c>
      <c r="B61" s="42" t="s">
        <v>452</v>
      </c>
      <c r="C61" s="42" t="s">
        <v>255</v>
      </c>
      <c r="D61" s="42">
        <v>18</v>
      </c>
      <c r="E61" s="29">
        <f>(15+12+15+13+13+12+13+13+14+12+12)/11</f>
        <v>13.090909090909092</v>
      </c>
      <c r="F61" s="42">
        <v>4</v>
      </c>
      <c r="G61" s="42">
        <v>1</v>
      </c>
      <c r="H61" s="38">
        <f t="shared" si="4"/>
        <v>0.25</v>
      </c>
    </row>
    <row r="62" spans="1:8" x14ac:dyDescent="0.25">
      <c r="A62" s="266">
        <v>43722</v>
      </c>
      <c r="B62" s="42" t="s">
        <v>434</v>
      </c>
      <c r="C62" s="42" t="s">
        <v>255</v>
      </c>
      <c r="D62" s="42">
        <v>18</v>
      </c>
      <c r="E62" s="29">
        <f>(15+12+12+13+13+12+5+14+12+12+13)/11</f>
        <v>12.090909090909092</v>
      </c>
      <c r="F62" s="42">
        <v>3</v>
      </c>
      <c r="G62" s="42">
        <v>1</v>
      </c>
      <c r="H62" s="38">
        <f t="shared" si="4"/>
        <v>0.33333333333333331</v>
      </c>
    </row>
    <row r="63" spans="1:8" x14ac:dyDescent="0.25">
      <c r="A63" s="266">
        <v>43724</v>
      </c>
      <c r="B63" s="42" t="s">
        <v>255</v>
      </c>
      <c r="C63" s="42" t="s">
        <v>453</v>
      </c>
      <c r="D63" s="42">
        <v>19</v>
      </c>
      <c r="E63" s="29">
        <f>(13+12+15+13+15+13+13+13+13+9+12)/11</f>
        <v>12.818181818181818</v>
      </c>
      <c r="F63" s="42">
        <v>6</v>
      </c>
      <c r="G63" s="42">
        <v>2</v>
      </c>
      <c r="H63" s="38">
        <f t="shared" si="4"/>
        <v>0.33333333333333331</v>
      </c>
    </row>
    <row r="64" spans="1:8" x14ac:dyDescent="0.25">
      <c r="A64" s="266">
        <v>43731</v>
      </c>
      <c r="B64" s="42" t="s">
        <v>454</v>
      </c>
      <c r="C64" s="42" t="s">
        <v>255</v>
      </c>
      <c r="D64" s="42">
        <v>18</v>
      </c>
      <c r="E64" s="29">
        <f>(15+12+13+13+15+12+14+13+13+12+9)/11</f>
        <v>12.818181818181818</v>
      </c>
      <c r="F64" s="42">
        <v>9</v>
      </c>
      <c r="G64" s="42">
        <v>4</v>
      </c>
      <c r="H64" s="38">
        <f t="shared" si="4"/>
        <v>0.44444444444444442</v>
      </c>
    </row>
    <row r="65" spans="1:8" x14ac:dyDescent="0.25">
      <c r="A65" s="266">
        <v>43736</v>
      </c>
      <c r="B65" s="42" t="s">
        <v>455</v>
      </c>
      <c r="C65" s="42" t="s">
        <v>255</v>
      </c>
      <c r="D65" s="42">
        <v>19</v>
      </c>
      <c r="E65" s="29">
        <f>(15+15+13+13+15+13+13+13+13+5+12)/11</f>
        <v>12.727272727272727</v>
      </c>
      <c r="F65" s="42">
        <v>4</v>
      </c>
      <c r="G65" s="42">
        <v>2</v>
      </c>
      <c r="H65" s="38">
        <f t="shared" si="4"/>
        <v>0.5</v>
      </c>
    </row>
    <row r="66" spans="1:8" x14ac:dyDescent="0.25">
      <c r="A66" s="266">
        <v>43738</v>
      </c>
      <c r="B66" s="42" t="s">
        <v>255</v>
      </c>
      <c r="C66" s="42" t="s">
        <v>456</v>
      </c>
      <c r="D66" s="42">
        <v>19</v>
      </c>
      <c r="E66" s="29">
        <f>(15+15+13+13+15+13+13+13+13+9+12)/11</f>
        <v>13.090909090909092</v>
      </c>
      <c r="F66" s="42">
        <v>9</v>
      </c>
      <c r="G66" s="42">
        <v>5</v>
      </c>
      <c r="H66" s="38">
        <f t="shared" ref="H66:H185" si="5">G66/F66</f>
        <v>0.55555555555555558</v>
      </c>
    </row>
    <row r="67" spans="1:8" x14ac:dyDescent="0.25">
      <c r="A67" s="266">
        <v>43739</v>
      </c>
      <c r="B67" s="42" t="s">
        <v>457</v>
      </c>
      <c r="C67" s="42" t="s">
        <v>255</v>
      </c>
      <c r="D67" s="42">
        <v>18</v>
      </c>
      <c r="E67" s="29">
        <f t="shared" ref="E67:E73" si="6">(15+13+13+13+15+12+14+13+13+12+12)/11</f>
        <v>13.181818181818182</v>
      </c>
      <c r="F67" s="42">
        <v>7</v>
      </c>
      <c r="G67" s="42">
        <v>3</v>
      </c>
      <c r="H67" s="38">
        <f t="shared" si="5"/>
        <v>0.42857142857142855</v>
      </c>
    </row>
    <row r="68" spans="1:8" x14ac:dyDescent="0.25">
      <c r="A68" s="266">
        <v>43742</v>
      </c>
      <c r="B68" s="42" t="s">
        <v>255</v>
      </c>
      <c r="C68" s="42" t="s">
        <v>458</v>
      </c>
      <c r="D68" s="42">
        <v>19</v>
      </c>
      <c r="E68" s="29">
        <f t="shared" si="6"/>
        <v>13.181818181818182</v>
      </c>
      <c r="F68" s="42">
        <v>6</v>
      </c>
      <c r="G68" s="42">
        <v>3</v>
      </c>
      <c r="H68" s="38">
        <f t="shared" si="5"/>
        <v>0.5</v>
      </c>
    </row>
    <row r="69" spans="1:8" x14ac:dyDescent="0.25">
      <c r="A69" s="266">
        <v>43743</v>
      </c>
      <c r="B69" s="42" t="s">
        <v>457</v>
      </c>
      <c r="C69" s="42" t="s">
        <v>255</v>
      </c>
      <c r="D69" s="42">
        <v>18</v>
      </c>
      <c r="E69" s="29">
        <f t="shared" si="6"/>
        <v>13.181818181818182</v>
      </c>
      <c r="F69" s="42">
        <v>10</v>
      </c>
      <c r="G69" s="42">
        <v>3</v>
      </c>
      <c r="H69" s="38">
        <f t="shared" si="5"/>
        <v>0.3</v>
      </c>
    </row>
    <row r="70" spans="1:8" x14ac:dyDescent="0.25">
      <c r="A70" s="266">
        <v>43745</v>
      </c>
      <c r="B70" s="42" t="s">
        <v>459</v>
      </c>
      <c r="C70" s="42" t="s">
        <v>255</v>
      </c>
      <c r="D70" s="42">
        <v>19</v>
      </c>
      <c r="E70" s="29">
        <f t="shared" si="6"/>
        <v>13.181818181818182</v>
      </c>
      <c r="F70" s="42">
        <v>7</v>
      </c>
      <c r="G70" s="42">
        <v>4</v>
      </c>
      <c r="H70" s="38">
        <f t="shared" si="5"/>
        <v>0.5714285714285714</v>
      </c>
    </row>
    <row r="71" spans="1:8" x14ac:dyDescent="0.25">
      <c r="A71" s="266">
        <v>43745</v>
      </c>
      <c r="B71" s="42" t="s">
        <v>460</v>
      </c>
      <c r="C71" s="42" t="s">
        <v>255</v>
      </c>
      <c r="D71" s="42">
        <v>19</v>
      </c>
      <c r="E71" s="29">
        <f t="shared" si="6"/>
        <v>13.181818181818182</v>
      </c>
      <c r="F71" s="42">
        <v>7</v>
      </c>
      <c r="G71" s="42">
        <v>2</v>
      </c>
      <c r="H71" s="38">
        <f t="shared" si="5"/>
        <v>0.2857142857142857</v>
      </c>
    </row>
    <row r="72" spans="1:8" x14ac:dyDescent="0.25">
      <c r="A72" s="266">
        <v>43745</v>
      </c>
      <c r="B72" s="42" t="s">
        <v>255</v>
      </c>
      <c r="C72" s="42" t="s">
        <v>461</v>
      </c>
      <c r="D72" s="42">
        <v>19</v>
      </c>
      <c r="E72" s="29">
        <f t="shared" si="6"/>
        <v>13.181818181818182</v>
      </c>
      <c r="F72" s="42">
        <v>12</v>
      </c>
      <c r="G72" s="42">
        <v>3</v>
      </c>
      <c r="H72" s="38">
        <f t="shared" si="5"/>
        <v>0.25</v>
      </c>
    </row>
    <row r="73" spans="1:8" x14ac:dyDescent="0.25">
      <c r="A73" s="266">
        <v>43745</v>
      </c>
      <c r="B73" s="42" t="s">
        <v>255</v>
      </c>
      <c r="C73" s="42" t="s">
        <v>462</v>
      </c>
      <c r="D73" s="42">
        <v>19</v>
      </c>
      <c r="E73" s="29">
        <f t="shared" si="6"/>
        <v>13.181818181818182</v>
      </c>
      <c r="F73" s="42">
        <v>9</v>
      </c>
      <c r="G73" s="42">
        <v>5</v>
      </c>
      <c r="H73" s="38">
        <f t="shared" si="5"/>
        <v>0.55555555555555558</v>
      </c>
    </row>
    <row r="74" spans="1:8" x14ac:dyDescent="0.25">
      <c r="A74" s="266">
        <v>43746</v>
      </c>
      <c r="B74" s="42" t="s">
        <v>463</v>
      </c>
      <c r="C74" s="42" t="s">
        <v>255</v>
      </c>
      <c r="D74" s="42">
        <v>18</v>
      </c>
      <c r="E74" s="29">
        <f>(15+13+13+13+15+12+13+13+14+12+12)/11</f>
        <v>13.181818181818182</v>
      </c>
      <c r="F74" s="42">
        <v>9</v>
      </c>
      <c r="G74" s="42">
        <v>3</v>
      </c>
      <c r="H74" s="38">
        <f t="shared" si="5"/>
        <v>0.33333333333333331</v>
      </c>
    </row>
    <row r="75" spans="1:8" x14ac:dyDescent="0.25">
      <c r="A75" s="266">
        <v>43746</v>
      </c>
      <c r="B75" s="42" t="s">
        <v>464</v>
      </c>
      <c r="C75" s="42" t="s">
        <v>255</v>
      </c>
      <c r="D75" s="42">
        <v>19</v>
      </c>
      <c r="E75" s="29">
        <f>(15+13+13+13+15+12+13+13+14+12+12)/11</f>
        <v>13.181818181818182</v>
      </c>
      <c r="F75" s="42">
        <v>10</v>
      </c>
      <c r="G75" s="42">
        <v>5</v>
      </c>
      <c r="H75" s="38">
        <f t="shared" si="5"/>
        <v>0.5</v>
      </c>
    </row>
    <row r="76" spans="1:8" x14ac:dyDescent="0.25">
      <c r="A76" s="266">
        <v>43747</v>
      </c>
      <c r="B76" s="42" t="s">
        <v>465</v>
      </c>
      <c r="C76" s="42" t="s">
        <v>255</v>
      </c>
      <c r="D76" s="42">
        <v>19</v>
      </c>
      <c r="E76" s="29">
        <f t="shared" ref="E76:E86" si="7">(15+13+15+13+13+13+13+13+14+8+12)/11</f>
        <v>12.909090909090908</v>
      </c>
      <c r="F76" s="42">
        <v>10</v>
      </c>
      <c r="G76" s="42">
        <v>2</v>
      </c>
      <c r="H76" s="38">
        <f t="shared" si="5"/>
        <v>0.2</v>
      </c>
    </row>
    <row r="77" spans="1:8" x14ac:dyDescent="0.25">
      <c r="A77" s="266">
        <v>43748</v>
      </c>
      <c r="B77" s="42" t="s">
        <v>255</v>
      </c>
      <c r="C77" s="42" t="s">
        <v>466</v>
      </c>
      <c r="D77" s="42">
        <v>18</v>
      </c>
      <c r="E77" s="29">
        <f t="shared" si="7"/>
        <v>12.909090909090908</v>
      </c>
      <c r="F77" s="42">
        <v>8</v>
      </c>
      <c r="G77" s="42">
        <v>3</v>
      </c>
      <c r="H77" s="38">
        <f t="shared" si="5"/>
        <v>0.375</v>
      </c>
    </row>
    <row r="78" spans="1:8" x14ac:dyDescent="0.25">
      <c r="A78" s="266">
        <v>43748</v>
      </c>
      <c r="B78" s="42" t="s">
        <v>255</v>
      </c>
      <c r="C78" s="42" t="s">
        <v>467</v>
      </c>
      <c r="D78" s="42">
        <v>19</v>
      </c>
      <c r="E78" s="29">
        <f t="shared" si="7"/>
        <v>12.909090909090908</v>
      </c>
      <c r="F78" s="42">
        <v>7</v>
      </c>
      <c r="G78" s="42">
        <v>3</v>
      </c>
      <c r="H78" s="38">
        <f t="shared" si="5"/>
        <v>0.42857142857142855</v>
      </c>
    </row>
    <row r="79" spans="1:8" x14ac:dyDescent="0.25">
      <c r="A79" s="266">
        <v>43748</v>
      </c>
      <c r="B79" s="42" t="s">
        <v>255</v>
      </c>
      <c r="C79" s="42" t="s">
        <v>468</v>
      </c>
      <c r="D79" s="42">
        <v>19</v>
      </c>
      <c r="E79" s="29">
        <f t="shared" si="7"/>
        <v>12.909090909090908</v>
      </c>
      <c r="F79" s="42">
        <v>8</v>
      </c>
      <c r="G79" s="42">
        <v>3</v>
      </c>
      <c r="H79" s="38">
        <f t="shared" si="5"/>
        <v>0.375</v>
      </c>
    </row>
    <row r="80" spans="1:8" x14ac:dyDescent="0.25">
      <c r="A80" s="266">
        <v>43753</v>
      </c>
      <c r="B80" s="42" t="s">
        <v>469</v>
      </c>
      <c r="C80" s="42" t="s">
        <v>255</v>
      </c>
      <c r="D80" s="42">
        <v>18</v>
      </c>
      <c r="E80" s="29">
        <f t="shared" si="7"/>
        <v>12.909090909090908</v>
      </c>
      <c r="F80" s="42">
        <v>8</v>
      </c>
      <c r="G80" s="42">
        <v>3</v>
      </c>
      <c r="H80" s="38">
        <f t="shared" si="5"/>
        <v>0.375</v>
      </c>
    </row>
    <row r="81" spans="1:8" x14ac:dyDescent="0.25">
      <c r="A81" s="266">
        <v>43753</v>
      </c>
      <c r="B81" s="42" t="s">
        <v>470</v>
      </c>
      <c r="C81" s="42" t="s">
        <v>255</v>
      </c>
      <c r="D81" s="42">
        <v>19</v>
      </c>
      <c r="E81" s="29">
        <f t="shared" si="7"/>
        <v>12.909090909090908</v>
      </c>
      <c r="F81" s="42">
        <v>6</v>
      </c>
      <c r="G81" s="42">
        <v>1</v>
      </c>
      <c r="H81" s="38">
        <f t="shared" si="5"/>
        <v>0.16666666666666666</v>
      </c>
    </row>
    <row r="82" spans="1:8" x14ac:dyDescent="0.25">
      <c r="A82" s="266">
        <v>43753</v>
      </c>
      <c r="B82" s="42" t="s">
        <v>471</v>
      </c>
      <c r="C82" s="42" t="s">
        <v>255</v>
      </c>
      <c r="D82" s="42">
        <v>19</v>
      </c>
      <c r="E82" s="29">
        <f t="shared" si="7"/>
        <v>12.909090909090908</v>
      </c>
      <c r="F82" s="42">
        <v>9</v>
      </c>
      <c r="G82" s="42">
        <v>4</v>
      </c>
      <c r="H82" s="38">
        <f t="shared" si="5"/>
        <v>0.44444444444444442</v>
      </c>
    </row>
    <row r="83" spans="1:8" x14ac:dyDescent="0.25">
      <c r="A83" s="266">
        <v>43754</v>
      </c>
      <c r="B83" s="42" t="s">
        <v>255</v>
      </c>
      <c r="C83" s="42" t="s">
        <v>472</v>
      </c>
      <c r="D83" s="42">
        <v>19</v>
      </c>
      <c r="E83" s="29">
        <f t="shared" si="7"/>
        <v>12.909090909090908</v>
      </c>
      <c r="F83" s="42">
        <v>9</v>
      </c>
      <c r="G83" s="42">
        <v>4</v>
      </c>
      <c r="H83" s="38">
        <f t="shared" si="5"/>
        <v>0.44444444444444442</v>
      </c>
    </row>
    <row r="84" spans="1:8" x14ac:dyDescent="0.25">
      <c r="A84" s="266">
        <v>43754</v>
      </c>
      <c r="B84" s="42" t="s">
        <v>473</v>
      </c>
      <c r="C84" s="42" t="s">
        <v>255</v>
      </c>
      <c r="D84" s="42">
        <v>19</v>
      </c>
      <c r="E84" s="29">
        <f t="shared" si="7"/>
        <v>12.909090909090908</v>
      </c>
      <c r="F84" s="42">
        <v>7</v>
      </c>
      <c r="G84" s="42">
        <v>3</v>
      </c>
      <c r="H84" s="38">
        <f t="shared" si="5"/>
        <v>0.42857142857142855</v>
      </c>
    </row>
    <row r="85" spans="1:8" x14ac:dyDescent="0.25">
      <c r="A85" s="266">
        <v>43754</v>
      </c>
      <c r="B85" s="42" t="s">
        <v>255</v>
      </c>
      <c r="C85" s="42" t="s">
        <v>474</v>
      </c>
      <c r="D85" s="42">
        <v>19</v>
      </c>
      <c r="E85" s="29">
        <f t="shared" si="7"/>
        <v>12.909090909090908</v>
      </c>
      <c r="F85" s="42">
        <v>6</v>
      </c>
      <c r="G85" s="42">
        <v>2</v>
      </c>
      <c r="H85" s="38">
        <f t="shared" si="5"/>
        <v>0.33333333333333331</v>
      </c>
    </row>
    <row r="86" spans="1:8" x14ac:dyDescent="0.25">
      <c r="A86" s="266">
        <v>43755</v>
      </c>
      <c r="B86" s="42" t="s">
        <v>255</v>
      </c>
      <c r="C86" s="42" t="s">
        <v>475</v>
      </c>
      <c r="D86" s="42">
        <v>19</v>
      </c>
      <c r="E86" s="29">
        <f t="shared" si="7"/>
        <v>12.909090909090908</v>
      </c>
      <c r="F86" s="42">
        <v>8</v>
      </c>
      <c r="G86" s="42">
        <v>4</v>
      </c>
      <c r="H86" s="38">
        <f t="shared" si="5"/>
        <v>0.5</v>
      </c>
    </row>
    <row r="87" spans="1:8" x14ac:dyDescent="0.25">
      <c r="A87" s="266">
        <v>43764</v>
      </c>
      <c r="B87" s="42" t="s">
        <v>255</v>
      </c>
      <c r="C87" s="42" t="s">
        <v>261</v>
      </c>
      <c r="D87" s="42">
        <v>19</v>
      </c>
      <c r="F87" s="42">
        <v>6</v>
      </c>
      <c r="G87" s="42">
        <v>3</v>
      </c>
      <c r="H87" s="38">
        <f t="shared" si="5"/>
        <v>0.5</v>
      </c>
    </row>
    <row r="88" spans="1:8" x14ac:dyDescent="0.25">
      <c r="A88" s="266">
        <v>43771</v>
      </c>
      <c r="B88" s="42" t="s">
        <v>269</v>
      </c>
      <c r="C88" s="42" t="s">
        <v>255</v>
      </c>
      <c r="D88" s="42">
        <v>19</v>
      </c>
      <c r="F88" s="42">
        <v>8</v>
      </c>
      <c r="G88" s="42">
        <v>4</v>
      </c>
      <c r="H88" s="38">
        <f t="shared" si="5"/>
        <v>0.5</v>
      </c>
    </row>
    <row r="89" spans="1:8" x14ac:dyDescent="0.25">
      <c r="A89" s="266">
        <v>43773</v>
      </c>
      <c r="B89" s="42" t="s">
        <v>678</v>
      </c>
      <c r="C89" s="42" t="s">
        <v>255</v>
      </c>
      <c r="D89" s="42">
        <v>20</v>
      </c>
      <c r="F89" s="42">
        <v>6</v>
      </c>
      <c r="G89" s="42">
        <v>3</v>
      </c>
      <c r="H89" s="38">
        <f t="shared" si="5"/>
        <v>0.5</v>
      </c>
    </row>
    <row r="90" spans="1:8" x14ac:dyDescent="0.25">
      <c r="A90" s="266">
        <v>43775</v>
      </c>
      <c r="B90" s="42" t="s">
        <v>679</v>
      </c>
      <c r="C90" s="42" t="s">
        <v>255</v>
      </c>
      <c r="D90" s="42">
        <v>20</v>
      </c>
      <c r="F90" s="42">
        <v>9</v>
      </c>
      <c r="G90" s="42">
        <v>2</v>
      </c>
      <c r="H90" s="38">
        <f t="shared" si="5"/>
        <v>0.22222222222222221</v>
      </c>
    </row>
    <row r="91" spans="1:8" x14ac:dyDescent="0.25">
      <c r="A91" s="266">
        <v>43781</v>
      </c>
      <c r="B91" s="42" t="s">
        <v>680</v>
      </c>
      <c r="C91" s="42" t="s">
        <v>255</v>
      </c>
      <c r="D91" s="42">
        <v>20</v>
      </c>
      <c r="F91" s="42">
        <v>8</v>
      </c>
      <c r="G91" s="42">
        <v>3</v>
      </c>
      <c r="H91" s="38">
        <f t="shared" si="5"/>
        <v>0.375</v>
      </c>
    </row>
    <row r="92" spans="1:8" x14ac:dyDescent="0.25">
      <c r="A92" s="266">
        <v>43782</v>
      </c>
      <c r="B92" s="42" t="s">
        <v>255</v>
      </c>
      <c r="C92" s="42" t="s">
        <v>681</v>
      </c>
      <c r="D92" s="42">
        <v>18</v>
      </c>
      <c r="F92" s="42">
        <v>6</v>
      </c>
      <c r="G92" s="42">
        <v>3</v>
      </c>
      <c r="H92" s="38">
        <f t="shared" si="5"/>
        <v>0.5</v>
      </c>
    </row>
    <row r="93" spans="1:8" x14ac:dyDescent="0.25">
      <c r="A93" s="266">
        <v>43785</v>
      </c>
      <c r="B93" s="42" t="s">
        <v>276</v>
      </c>
      <c r="C93" s="42" t="s">
        <v>255</v>
      </c>
      <c r="D93" s="42">
        <v>21</v>
      </c>
      <c r="F93" s="42">
        <v>9</v>
      </c>
      <c r="G93" s="42">
        <v>4</v>
      </c>
      <c r="H93" s="38">
        <f t="shared" si="5"/>
        <v>0.44444444444444442</v>
      </c>
    </row>
    <row r="94" spans="1:8" x14ac:dyDescent="0.25">
      <c r="A94" s="266">
        <v>43787</v>
      </c>
      <c r="B94" s="42" t="s">
        <v>450</v>
      </c>
      <c r="C94" s="42" t="s">
        <v>255</v>
      </c>
      <c r="D94" s="42">
        <v>19</v>
      </c>
      <c r="F94" s="42">
        <v>10</v>
      </c>
      <c r="G94" s="42">
        <v>5</v>
      </c>
      <c r="H94" s="38">
        <f t="shared" si="5"/>
        <v>0.5</v>
      </c>
    </row>
    <row r="95" spans="1:8" x14ac:dyDescent="0.25">
      <c r="A95" s="266">
        <v>43789</v>
      </c>
      <c r="B95" s="42" t="s">
        <v>255</v>
      </c>
      <c r="C95" s="42" t="s">
        <v>682</v>
      </c>
      <c r="D95" s="42">
        <v>21</v>
      </c>
      <c r="F95" s="42">
        <v>7</v>
      </c>
      <c r="G95" s="42">
        <v>2</v>
      </c>
      <c r="H95" s="38">
        <f t="shared" si="5"/>
        <v>0.2857142857142857</v>
      </c>
    </row>
    <row r="96" spans="1:8" x14ac:dyDescent="0.25">
      <c r="A96" s="266">
        <v>43792</v>
      </c>
      <c r="B96" s="42" t="s">
        <v>255</v>
      </c>
      <c r="C96" s="42" t="s">
        <v>281</v>
      </c>
      <c r="D96" s="42">
        <v>21</v>
      </c>
      <c r="F96" s="42">
        <v>7</v>
      </c>
      <c r="G96" s="42">
        <v>2</v>
      </c>
      <c r="H96" s="38">
        <f t="shared" si="5"/>
        <v>0.2857142857142857</v>
      </c>
    </row>
    <row r="97" spans="1:8" x14ac:dyDescent="0.25">
      <c r="A97" s="266">
        <v>43794</v>
      </c>
      <c r="B97" s="42" t="s">
        <v>255</v>
      </c>
      <c r="C97" s="42" t="s">
        <v>683</v>
      </c>
      <c r="D97" s="42">
        <v>19</v>
      </c>
      <c r="F97" s="42">
        <v>6</v>
      </c>
      <c r="G97" s="42">
        <v>2</v>
      </c>
      <c r="H97" s="38">
        <f t="shared" si="5"/>
        <v>0.33333333333333331</v>
      </c>
    </row>
    <row r="98" spans="1:8" x14ac:dyDescent="0.25">
      <c r="A98" s="266">
        <v>43796</v>
      </c>
      <c r="B98" s="42" t="s">
        <v>255</v>
      </c>
      <c r="C98" s="42" t="s">
        <v>684</v>
      </c>
      <c r="D98" s="42">
        <v>19</v>
      </c>
      <c r="F98" s="42">
        <v>6</v>
      </c>
      <c r="G98" s="42">
        <v>3</v>
      </c>
      <c r="H98" s="38">
        <f t="shared" si="5"/>
        <v>0.5</v>
      </c>
    </row>
    <row r="99" spans="1:8" x14ac:dyDescent="0.25">
      <c r="A99" s="266">
        <v>43796</v>
      </c>
      <c r="B99" s="42" t="s">
        <v>680</v>
      </c>
      <c r="C99" s="42" t="s">
        <v>255</v>
      </c>
      <c r="D99" s="42">
        <v>19</v>
      </c>
      <c r="F99" s="42">
        <v>7</v>
      </c>
      <c r="G99" s="42">
        <v>2</v>
      </c>
      <c r="H99" s="38">
        <f t="shared" si="5"/>
        <v>0.2857142857142857</v>
      </c>
    </row>
    <row r="100" spans="1:8" x14ac:dyDescent="0.25">
      <c r="A100" s="266">
        <v>43799</v>
      </c>
      <c r="B100" s="42" t="s">
        <v>271</v>
      </c>
      <c r="C100" s="42" t="s">
        <v>255</v>
      </c>
      <c r="D100" s="42">
        <v>19</v>
      </c>
      <c r="F100" s="42">
        <v>8</v>
      </c>
      <c r="G100" s="42">
        <v>3</v>
      </c>
      <c r="H100" s="38">
        <f t="shared" si="5"/>
        <v>0.375</v>
      </c>
    </row>
    <row r="101" spans="1:8" x14ac:dyDescent="0.25">
      <c r="A101" s="266">
        <v>43800</v>
      </c>
      <c r="B101" s="42" t="s">
        <v>685</v>
      </c>
      <c r="C101" s="42" t="s">
        <v>255</v>
      </c>
      <c r="D101" s="42">
        <v>19</v>
      </c>
      <c r="F101" s="42">
        <v>6</v>
      </c>
      <c r="G101" s="42">
        <v>3</v>
      </c>
      <c r="H101" s="38">
        <f t="shared" si="5"/>
        <v>0.5</v>
      </c>
    </row>
    <row r="102" spans="1:8" x14ac:dyDescent="0.25">
      <c r="A102" s="266">
        <v>43803</v>
      </c>
      <c r="B102" s="42" t="s">
        <v>686</v>
      </c>
      <c r="C102" s="42" t="s">
        <v>255</v>
      </c>
      <c r="D102" s="42">
        <v>20</v>
      </c>
      <c r="F102" s="42">
        <v>7</v>
      </c>
      <c r="G102" s="42">
        <v>3</v>
      </c>
      <c r="H102" s="38">
        <f t="shared" si="5"/>
        <v>0.42857142857142855</v>
      </c>
    </row>
    <row r="103" spans="1:8" x14ac:dyDescent="0.25">
      <c r="A103" s="266">
        <v>43804</v>
      </c>
      <c r="B103" s="42" t="s">
        <v>687</v>
      </c>
      <c r="C103" s="42" t="s">
        <v>255</v>
      </c>
      <c r="D103" s="42">
        <v>20</v>
      </c>
      <c r="F103" s="42">
        <v>8</v>
      </c>
      <c r="G103" s="42">
        <v>3</v>
      </c>
      <c r="H103" s="38">
        <f t="shared" si="5"/>
        <v>0.375</v>
      </c>
    </row>
    <row r="104" spans="1:8" x14ac:dyDescent="0.25">
      <c r="A104" s="266">
        <v>43806</v>
      </c>
      <c r="B104" s="42" t="s">
        <v>255</v>
      </c>
      <c r="C104" s="42" t="s">
        <v>265</v>
      </c>
      <c r="D104" s="42">
        <v>19</v>
      </c>
      <c r="F104" s="42">
        <v>5</v>
      </c>
      <c r="G104" s="42">
        <v>1</v>
      </c>
      <c r="H104" s="38">
        <f t="shared" si="5"/>
        <v>0.2</v>
      </c>
    </row>
    <row r="105" spans="1:8" x14ac:dyDescent="0.25">
      <c r="A105" s="266">
        <v>43810</v>
      </c>
      <c r="B105" s="42" t="s">
        <v>255</v>
      </c>
      <c r="C105" s="42" t="s">
        <v>688</v>
      </c>
      <c r="D105" s="42">
        <v>20</v>
      </c>
      <c r="F105" s="42">
        <v>7</v>
      </c>
      <c r="G105" s="42">
        <v>2</v>
      </c>
      <c r="H105" s="38">
        <f t="shared" si="5"/>
        <v>0.2857142857142857</v>
      </c>
    </row>
    <row r="106" spans="1:8" x14ac:dyDescent="0.25">
      <c r="A106" s="266">
        <v>43820</v>
      </c>
      <c r="B106" s="42" t="s">
        <v>255</v>
      </c>
      <c r="C106" s="42" t="s">
        <v>271</v>
      </c>
      <c r="D106" s="42">
        <v>20</v>
      </c>
      <c r="F106" s="42">
        <v>9</v>
      </c>
      <c r="G106" s="42">
        <v>5</v>
      </c>
      <c r="H106" s="38">
        <f t="shared" si="5"/>
        <v>0.55555555555555558</v>
      </c>
    </row>
    <row r="107" spans="1:8" x14ac:dyDescent="0.25">
      <c r="A107" s="266">
        <v>43827</v>
      </c>
      <c r="B107" s="42" t="s">
        <v>281</v>
      </c>
      <c r="C107" s="42" t="s">
        <v>255</v>
      </c>
      <c r="D107" s="42">
        <v>20</v>
      </c>
      <c r="F107" s="42">
        <v>9</v>
      </c>
      <c r="G107" s="42">
        <v>3</v>
      </c>
      <c r="H107" s="38">
        <f t="shared" si="5"/>
        <v>0.33333333333333331</v>
      </c>
    </row>
    <row r="108" spans="1:8" x14ac:dyDescent="0.25">
      <c r="A108" s="266">
        <v>43837</v>
      </c>
      <c r="B108" s="42" t="s">
        <v>425</v>
      </c>
      <c r="C108" s="42" t="s">
        <v>255</v>
      </c>
      <c r="D108" s="42">
        <v>21</v>
      </c>
      <c r="F108" s="42">
        <v>9</v>
      </c>
      <c r="G108" s="42">
        <v>4</v>
      </c>
      <c r="H108" s="38">
        <f t="shared" si="5"/>
        <v>0.44444444444444442</v>
      </c>
    </row>
    <row r="109" spans="1:8" x14ac:dyDescent="0.25">
      <c r="A109" s="266">
        <v>43841</v>
      </c>
      <c r="B109" s="42" t="s">
        <v>286</v>
      </c>
      <c r="C109" s="42" t="s">
        <v>255</v>
      </c>
      <c r="D109" s="42">
        <v>21</v>
      </c>
      <c r="F109" s="42">
        <v>8</v>
      </c>
      <c r="G109" s="42">
        <v>3</v>
      </c>
      <c r="H109" s="38">
        <f t="shared" si="5"/>
        <v>0.375</v>
      </c>
    </row>
    <row r="110" spans="1:8" x14ac:dyDescent="0.25">
      <c r="A110" s="266">
        <v>43841</v>
      </c>
      <c r="B110" s="42" t="s">
        <v>689</v>
      </c>
      <c r="C110" s="42" t="s">
        <v>255</v>
      </c>
      <c r="D110" s="42">
        <v>21</v>
      </c>
      <c r="F110" s="42">
        <v>9</v>
      </c>
      <c r="G110" s="42">
        <v>4</v>
      </c>
      <c r="H110" s="38">
        <f t="shared" si="5"/>
        <v>0.44444444444444442</v>
      </c>
    </row>
    <row r="111" spans="1:8" x14ac:dyDescent="0.25">
      <c r="A111" s="266">
        <v>43848</v>
      </c>
      <c r="B111" s="42" t="s">
        <v>255</v>
      </c>
      <c r="C111" s="42" t="s">
        <v>269</v>
      </c>
      <c r="D111" s="42">
        <v>20</v>
      </c>
      <c r="F111" s="42">
        <v>7</v>
      </c>
      <c r="G111" s="42">
        <v>2</v>
      </c>
      <c r="H111" s="38">
        <f t="shared" si="5"/>
        <v>0.2857142857142857</v>
      </c>
    </row>
    <row r="112" spans="1:8" x14ac:dyDescent="0.25">
      <c r="A112" s="266">
        <v>43854</v>
      </c>
      <c r="B112" s="42" t="s">
        <v>690</v>
      </c>
      <c r="C112" s="42" t="s">
        <v>255</v>
      </c>
      <c r="D112" s="42">
        <v>21</v>
      </c>
      <c r="F112" s="42">
        <v>6</v>
      </c>
      <c r="G112" s="42">
        <v>2</v>
      </c>
      <c r="H112" s="38">
        <f t="shared" si="5"/>
        <v>0.33333333333333331</v>
      </c>
    </row>
    <row r="113" spans="1:8" x14ac:dyDescent="0.25">
      <c r="A113" s="266">
        <v>43855</v>
      </c>
      <c r="B113" s="42" t="s">
        <v>261</v>
      </c>
      <c r="C113" s="42" t="s">
        <v>255</v>
      </c>
      <c r="D113" s="42">
        <v>20</v>
      </c>
      <c r="F113" s="42">
        <v>7</v>
      </c>
      <c r="G113" s="42">
        <v>3</v>
      </c>
      <c r="H113" s="38">
        <f t="shared" si="5"/>
        <v>0.42857142857142855</v>
      </c>
    </row>
    <row r="114" spans="1:8" x14ac:dyDescent="0.25">
      <c r="A114" s="266">
        <v>43862</v>
      </c>
      <c r="B114" s="42" t="s">
        <v>691</v>
      </c>
      <c r="C114" s="42" t="s">
        <v>255</v>
      </c>
      <c r="D114" s="42">
        <v>21</v>
      </c>
      <c r="F114" s="42">
        <v>11</v>
      </c>
      <c r="G114" s="42">
        <v>4</v>
      </c>
      <c r="H114" s="38">
        <f t="shared" si="5"/>
        <v>0.36363636363636365</v>
      </c>
    </row>
    <row r="115" spans="1:8" x14ac:dyDescent="0.25">
      <c r="A115" s="266">
        <v>43880</v>
      </c>
      <c r="B115" s="42" t="s">
        <v>692</v>
      </c>
      <c r="C115" s="42" t="s">
        <v>255</v>
      </c>
      <c r="D115" s="42">
        <v>21</v>
      </c>
      <c r="F115" s="42">
        <v>10</v>
      </c>
      <c r="G115" s="42">
        <v>6</v>
      </c>
      <c r="H115" s="38">
        <f t="shared" si="5"/>
        <v>0.6</v>
      </c>
    </row>
    <row r="116" spans="1:8" x14ac:dyDescent="0.25">
      <c r="A116" s="266">
        <v>43883</v>
      </c>
      <c r="B116" s="42" t="s">
        <v>693</v>
      </c>
      <c r="C116" s="42" t="s">
        <v>255</v>
      </c>
      <c r="D116" s="42">
        <v>23</v>
      </c>
      <c r="F116" s="42">
        <v>10</v>
      </c>
      <c r="G116" s="42">
        <v>4</v>
      </c>
      <c r="H116" s="38">
        <f t="shared" si="5"/>
        <v>0.4</v>
      </c>
    </row>
    <row r="117" spans="1:8" x14ac:dyDescent="0.25">
      <c r="A117" s="266">
        <v>43887</v>
      </c>
      <c r="B117" s="42" t="s">
        <v>694</v>
      </c>
      <c r="C117" s="42" t="s">
        <v>255</v>
      </c>
      <c r="D117" s="42">
        <v>22</v>
      </c>
      <c r="F117" s="42">
        <v>6</v>
      </c>
      <c r="G117" s="42">
        <v>2</v>
      </c>
      <c r="H117" s="38">
        <f t="shared" si="5"/>
        <v>0.33333333333333331</v>
      </c>
    </row>
    <row r="118" spans="1:8" x14ac:dyDescent="0.25">
      <c r="A118" s="266">
        <v>43890</v>
      </c>
      <c r="B118" s="42" t="s">
        <v>695</v>
      </c>
      <c r="C118" s="42" t="s">
        <v>255</v>
      </c>
      <c r="D118" s="42">
        <v>23</v>
      </c>
      <c r="F118" s="42">
        <v>8</v>
      </c>
      <c r="G118" s="42">
        <v>2</v>
      </c>
      <c r="H118" s="38">
        <f t="shared" si="5"/>
        <v>0.25</v>
      </c>
    </row>
    <row r="119" spans="1:8" x14ac:dyDescent="0.25">
      <c r="A119" s="266">
        <v>43897</v>
      </c>
      <c r="B119" s="42" t="s">
        <v>255</v>
      </c>
      <c r="C119" s="42" t="s">
        <v>696</v>
      </c>
      <c r="D119" s="42">
        <v>21</v>
      </c>
      <c r="F119" s="42">
        <v>6</v>
      </c>
      <c r="G119" s="42">
        <v>4</v>
      </c>
      <c r="H119" s="38">
        <f t="shared" si="5"/>
        <v>0.66666666666666663</v>
      </c>
    </row>
    <row r="120" spans="1:8" x14ac:dyDescent="0.25">
      <c r="A120" s="266">
        <v>43901</v>
      </c>
      <c r="B120" s="42" t="s">
        <v>697</v>
      </c>
      <c r="C120" s="42" t="s">
        <v>255</v>
      </c>
      <c r="D120" s="42">
        <v>20</v>
      </c>
      <c r="F120" s="42">
        <v>9</v>
      </c>
      <c r="G120" s="42">
        <v>4</v>
      </c>
      <c r="H120" s="38">
        <f t="shared" si="5"/>
        <v>0.44444444444444442</v>
      </c>
    </row>
    <row r="121" spans="1:8" x14ac:dyDescent="0.25">
      <c r="A121" s="266">
        <v>43904</v>
      </c>
      <c r="B121" s="42" t="s">
        <v>698</v>
      </c>
      <c r="C121" s="42" t="s">
        <v>255</v>
      </c>
      <c r="D121" s="42">
        <v>21</v>
      </c>
      <c r="F121" s="42">
        <v>9</v>
      </c>
      <c r="G121" s="42">
        <v>5</v>
      </c>
      <c r="H121" s="38">
        <f t="shared" si="5"/>
        <v>0.55555555555555558</v>
      </c>
    </row>
    <row r="122" spans="1:8" x14ac:dyDescent="0.25">
      <c r="A122" s="266">
        <v>43908</v>
      </c>
      <c r="B122" s="42" t="s">
        <v>255</v>
      </c>
      <c r="C122" s="42" t="s">
        <v>699</v>
      </c>
      <c r="D122" s="42">
        <v>21</v>
      </c>
      <c r="F122" s="42">
        <v>8</v>
      </c>
      <c r="G122" s="42">
        <v>2</v>
      </c>
      <c r="H122" s="38">
        <f t="shared" si="5"/>
        <v>0.25</v>
      </c>
    </row>
    <row r="123" spans="1:8" x14ac:dyDescent="0.25">
      <c r="A123" s="266">
        <v>43910</v>
      </c>
      <c r="B123" s="42" t="s">
        <v>255</v>
      </c>
      <c r="C123" s="42" t="s">
        <v>700</v>
      </c>
      <c r="D123" s="42">
        <v>21</v>
      </c>
      <c r="F123" s="42">
        <v>10</v>
      </c>
      <c r="G123" s="42">
        <v>7</v>
      </c>
      <c r="H123" s="38">
        <f t="shared" si="5"/>
        <v>0.7</v>
      </c>
    </row>
    <row r="124" spans="1:8" x14ac:dyDescent="0.25">
      <c r="A124" s="266">
        <v>43911</v>
      </c>
      <c r="B124" s="42" t="s">
        <v>255</v>
      </c>
      <c r="C124" s="42" t="s">
        <v>701</v>
      </c>
      <c r="D124" s="42">
        <v>22</v>
      </c>
      <c r="F124" s="42">
        <v>8</v>
      </c>
      <c r="G124" s="42">
        <v>3</v>
      </c>
      <c r="H124" s="38">
        <f t="shared" si="5"/>
        <v>0.375</v>
      </c>
    </row>
    <row r="125" spans="1:8" x14ac:dyDescent="0.25">
      <c r="A125" s="266">
        <v>43911</v>
      </c>
      <c r="B125" s="42" t="s">
        <v>255</v>
      </c>
      <c r="C125" s="42" t="s">
        <v>702</v>
      </c>
      <c r="D125" s="42">
        <v>22</v>
      </c>
      <c r="F125" s="42">
        <v>9</v>
      </c>
      <c r="G125" s="42">
        <v>3</v>
      </c>
      <c r="H125" s="38">
        <f t="shared" si="5"/>
        <v>0.33333333333333331</v>
      </c>
    </row>
    <row r="126" spans="1:8" x14ac:dyDescent="0.25">
      <c r="A126" s="266">
        <v>43913</v>
      </c>
      <c r="B126" s="42" t="s">
        <v>255</v>
      </c>
      <c r="C126" s="42" t="s">
        <v>703</v>
      </c>
      <c r="D126" s="42">
        <v>21</v>
      </c>
      <c r="F126" s="42">
        <v>10</v>
      </c>
      <c r="G126" s="42">
        <v>5</v>
      </c>
      <c r="H126" s="38">
        <f t="shared" si="5"/>
        <v>0.5</v>
      </c>
    </row>
    <row r="127" spans="1:8" x14ac:dyDescent="0.25">
      <c r="A127" s="266">
        <v>43915</v>
      </c>
      <c r="B127" s="42" t="s">
        <v>704</v>
      </c>
      <c r="C127" s="42" t="s">
        <v>255</v>
      </c>
      <c r="D127" s="42">
        <v>21</v>
      </c>
      <c r="F127" s="42">
        <v>9</v>
      </c>
      <c r="G127" s="42">
        <v>3</v>
      </c>
      <c r="H127" s="38">
        <f t="shared" si="5"/>
        <v>0.33333333333333331</v>
      </c>
    </row>
    <row r="128" spans="1:8" x14ac:dyDescent="0.25">
      <c r="A128" s="266">
        <v>43916</v>
      </c>
      <c r="B128" s="42" t="s">
        <v>255</v>
      </c>
      <c r="C128" s="42" t="s">
        <v>705</v>
      </c>
      <c r="D128" s="42">
        <v>21</v>
      </c>
      <c r="F128" s="42">
        <v>10</v>
      </c>
      <c r="G128" s="42">
        <v>3</v>
      </c>
      <c r="H128" s="38">
        <f t="shared" si="5"/>
        <v>0.3</v>
      </c>
    </row>
    <row r="129" spans="1:8" x14ac:dyDescent="0.25">
      <c r="A129" s="266">
        <v>43916</v>
      </c>
      <c r="B129" s="42" t="s">
        <v>255</v>
      </c>
      <c r="C129" s="42" t="s">
        <v>706</v>
      </c>
      <c r="D129" s="42">
        <v>21</v>
      </c>
      <c r="F129" s="42">
        <v>11</v>
      </c>
      <c r="G129" s="42">
        <v>4</v>
      </c>
      <c r="H129" s="38">
        <f t="shared" si="5"/>
        <v>0.36363636363636365</v>
      </c>
    </row>
    <row r="130" spans="1:8" x14ac:dyDescent="0.25">
      <c r="A130" s="266">
        <v>43918</v>
      </c>
      <c r="B130" s="42" t="s">
        <v>707</v>
      </c>
      <c r="C130" s="42" t="s">
        <v>255</v>
      </c>
      <c r="D130" s="42">
        <v>22</v>
      </c>
      <c r="F130" s="42">
        <v>8</v>
      </c>
      <c r="G130" s="42">
        <v>2</v>
      </c>
      <c r="H130" s="38">
        <f t="shared" si="5"/>
        <v>0.25</v>
      </c>
    </row>
    <row r="131" spans="1:8" x14ac:dyDescent="0.25">
      <c r="A131" s="266">
        <v>43925</v>
      </c>
      <c r="B131" s="42" t="s">
        <v>255</v>
      </c>
      <c r="C131" s="42" t="s">
        <v>707</v>
      </c>
      <c r="D131" s="42">
        <v>23</v>
      </c>
      <c r="F131" s="42">
        <v>9</v>
      </c>
      <c r="G131" s="42">
        <v>4</v>
      </c>
      <c r="H131" s="38">
        <f t="shared" si="5"/>
        <v>0.44444444444444442</v>
      </c>
    </row>
    <row r="132" spans="1:8" x14ac:dyDescent="0.25">
      <c r="A132" s="266">
        <v>43929</v>
      </c>
      <c r="B132" s="42" t="s">
        <v>708</v>
      </c>
      <c r="C132" s="42" t="s">
        <v>255</v>
      </c>
      <c r="D132" s="42">
        <v>23</v>
      </c>
      <c r="F132" s="42">
        <v>6</v>
      </c>
      <c r="G132" s="42">
        <v>4</v>
      </c>
      <c r="H132" s="38">
        <f t="shared" si="5"/>
        <v>0.66666666666666663</v>
      </c>
    </row>
    <row r="133" spans="1:8" x14ac:dyDescent="0.25">
      <c r="A133" s="266">
        <v>43932</v>
      </c>
      <c r="B133" s="42" t="s">
        <v>701</v>
      </c>
      <c r="C133" s="42" t="s">
        <v>255</v>
      </c>
      <c r="D133" s="42">
        <v>23</v>
      </c>
      <c r="F133" s="42">
        <v>8</v>
      </c>
      <c r="G133" s="42">
        <v>5</v>
      </c>
      <c r="H133" s="38">
        <f t="shared" si="5"/>
        <v>0.625</v>
      </c>
    </row>
    <row r="134" spans="1:8" x14ac:dyDescent="0.25">
      <c r="A134" s="266">
        <v>43939</v>
      </c>
      <c r="B134" s="42" t="s">
        <v>255</v>
      </c>
      <c r="C134" s="42" t="s">
        <v>709</v>
      </c>
      <c r="D134" s="42">
        <v>22</v>
      </c>
      <c r="F134" s="42">
        <v>7</v>
      </c>
      <c r="G134" s="42">
        <v>2</v>
      </c>
      <c r="H134" s="38">
        <f t="shared" si="5"/>
        <v>0.2857142857142857</v>
      </c>
    </row>
    <row r="135" spans="1:8" x14ac:dyDescent="0.25">
      <c r="A135" s="266">
        <v>43943</v>
      </c>
      <c r="B135" s="42" t="s">
        <v>710</v>
      </c>
      <c r="C135" s="42" t="s">
        <v>255</v>
      </c>
      <c r="D135" s="42">
        <v>22</v>
      </c>
      <c r="F135" s="42">
        <v>9</v>
      </c>
      <c r="G135" s="42">
        <v>4</v>
      </c>
      <c r="H135" s="38">
        <f t="shared" si="5"/>
        <v>0.44444444444444442</v>
      </c>
    </row>
    <row r="136" spans="1:8" x14ac:dyDescent="0.25">
      <c r="A136" s="266">
        <v>43946</v>
      </c>
      <c r="B136" s="42" t="s">
        <v>696</v>
      </c>
      <c r="C136" s="42" t="s">
        <v>255</v>
      </c>
      <c r="D136" s="42">
        <v>24</v>
      </c>
      <c r="F136" s="42">
        <v>9</v>
      </c>
      <c r="G136" s="42">
        <v>4</v>
      </c>
      <c r="H136" s="38">
        <f t="shared" si="5"/>
        <v>0.44444444444444442</v>
      </c>
    </row>
    <row r="137" spans="1:8" x14ac:dyDescent="0.25">
      <c r="A137" s="266">
        <v>43949</v>
      </c>
      <c r="B137" s="42" t="s">
        <v>710</v>
      </c>
      <c r="C137" s="42" t="s">
        <v>255</v>
      </c>
      <c r="D137" s="42">
        <v>24</v>
      </c>
      <c r="F137" s="42">
        <v>9</v>
      </c>
      <c r="G137" s="42">
        <v>5</v>
      </c>
      <c r="H137" s="38">
        <f t="shared" si="5"/>
        <v>0.55555555555555558</v>
      </c>
    </row>
    <row r="138" spans="1:8" x14ac:dyDescent="0.25">
      <c r="A138" s="266">
        <v>43953</v>
      </c>
      <c r="B138" s="42" t="s">
        <v>255</v>
      </c>
      <c r="C138" s="42" t="s">
        <v>695</v>
      </c>
      <c r="D138" s="42">
        <v>23</v>
      </c>
      <c r="F138" s="42">
        <v>8</v>
      </c>
      <c r="G138" s="42">
        <v>4</v>
      </c>
      <c r="H138" s="38">
        <f t="shared" si="5"/>
        <v>0.5</v>
      </c>
    </row>
    <row r="139" spans="1:8" x14ac:dyDescent="0.25">
      <c r="A139" s="266">
        <v>43960</v>
      </c>
      <c r="B139" s="42" t="s">
        <v>255</v>
      </c>
      <c r="C139" s="42" t="s">
        <v>693</v>
      </c>
      <c r="D139" s="42">
        <v>24</v>
      </c>
      <c r="F139" s="42">
        <v>7</v>
      </c>
      <c r="G139" s="42">
        <v>4</v>
      </c>
      <c r="H139" s="38">
        <f t="shared" si="5"/>
        <v>0.5714285714285714</v>
      </c>
    </row>
    <row r="140" spans="1:8" x14ac:dyDescent="0.25">
      <c r="A140" s="266">
        <v>43967</v>
      </c>
      <c r="B140" s="42" t="s">
        <v>711</v>
      </c>
      <c r="C140" s="42" t="s">
        <v>255</v>
      </c>
      <c r="D140" s="42">
        <v>21</v>
      </c>
      <c r="F140" s="42">
        <v>9</v>
      </c>
      <c r="G140" s="42">
        <v>4</v>
      </c>
      <c r="H140" s="38">
        <f t="shared" si="5"/>
        <v>0.44444444444444442</v>
      </c>
    </row>
    <row r="141" spans="1:8" x14ac:dyDescent="0.25">
      <c r="A141" s="266">
        <v>43969</v>
      </c>
      <c r="B141" s="42" t="s">
        <v>255</v>
      </c>
      <c r="C141" s="42" t="s">
        <v>712</v>
      </c>
      <c r="D141" s="42">
        <v>23</v>
      </c>
      <c r="F141" s="42">
        <v>9</v>
      </c>
      <c r="G141" s="42">
        <v>4</v>
      </c>
      <c r="H141" s="38">
        <f t="shared" si="5"/>
        <v>0.44444444444444442</v>
      </c>
    </row>
    <row r="142" spans="1:8" x14ac:dyDescent="0.25">
      <c r="A142" s="266">
        <v>43970</v>
      </c>
      <c r="B142" s="42" t="s">
        <v>713</v>
      </c>
      <c r="C142" s="42" t="s">
        <v>255</v>
      </c>
      <c r="D142" s="42">
        <v>23</v>
      </c>
      <c r="F142" s="42">
        <v>8</v>
      </c>
      <c r="G142" s="42">
        <v>5</v>
      </c>
      <c r="H142" s="38">
        <f t="shared" si="5"/>
        <v>0.625</v>
      </c>
    </row>
    <row r="143" spans="1:8" x14ac:dyDescent="0.25">
      <c r="A143" s="266">
        <v>43970</v>
      </c>
      <c r="B143" s="42" t="s">
        <v>714</v>
      </c>
      <c r="C143" s="42" t="s">
        <v>255</v>
      </c>
      <c r="D143" s="42">
        <v>21</v>
      </c>
      <c r="F143" s="42">
        <v>9</v>
      </c>
      <c r="G143" s="42">
        <v>5</v>
      </c>
      <c r="H143" s="38">
        <f t="shared" si="5"/>
        <v>0.55555555555555558</v>
      </c>
    </row>
    <row r="144" spans="1:8" x14ac:dyDescent="0.25">
      <c r="A144" s="266">
        <v>43971</v>
      </c>
      <c r="B144" s="42" t="s">
        <v>255</v>
      </c>
      <c r="C144" s="42" t="s">
        <v>715</v>
      </c>
      <c r="D144" s="42">
        <v>23</v>
      </c>
      <c r="F144" s="42">
        <v>9</v>
      </c>
      <c r="G144" s="42">
        <v>3</v>
      </c>
      <c r="H144" s="38">
        <f t="shared" si="5"/>
        <v>0.33333333333333331</v>
      </c>
    </row>
    <row r="145" spans="1:8" x14ac:dyDescent="0.25">
      <c r="A145" s="266">
        <v>43971</v>
      </c>
      <c r="B145" s="42" t="s">
        <v>716</v>
      </c>
      <c r="C145" s="42" t="s">
        <v>255</v>
      </c>
      <c r="D145" s="42">
        <v>22</v>
      </c>
      <c r="F145" s="42">
        <v>9</v>
      </c>
      <c r="G145" s="42">
        <v>2</v>
      </c>
      <c r="H145" s="38">
        <f t="shared" si="5"/>
        <v>0.22222222222222221</v>
      </c>
    </row>
    <row r="146" spans="1:8" x14ac:dyDescent="0.25">
      <c r="A146" s="266">
        <v>43972</v>
      </c>
      <c r="B146" s="42" t="s">
        <v>717</v>
      </c>
      <c r="C146" s="42" t="s">
        <v>255</v>
      </c>
      <c r="D146" s="42">
        <v>23</v>
      </c>
      <c r="F146" s="42">
        <v>8</v>
      </c>
      <c r="G146" s="42">
        <v>5</v>
      </c>
      <c r="H146" s="38">
        <f t="shared" si="5"/>
        <v>0.625</v>
      </c>
    </row>
    <row r="147" spans="1:8" x14ac:dyDescent="0.25">
      <c r="A147" s="266">
        <v>43972</v>
      </c>
      <c r="B147" s="42" t="s">
        <v>255</v>
      </c>
      <c r="C147" s="42" t="s">
        <v>718</v>
      </c>
      <c r="D147" s="42">
        <v>22</v>
      </c>
      <c r="F147" s="42">
        <v>5</v>
      </c>
      <c r="G147" s="42">
        <v>2</v>
      </c>
      <c r="H147" s="38">
        <f t="shared" si="5"/>
        <v>0.4</v>
      </c>
    </row>
    <row r="148" spans="1:8" x14ac:dyDescent="0.25">
      <c r="A148" s="266">
        <v>43972</v>
      </c>
      <c r="B148" s="42" t="s">
        <v>719</v>
      </c>
      <c r="C148" s="42" t="s">
        <v>255</v>
      </c>
      <c r="D148" s="42">
        <v>21</v>
      </c>
      <c r="F148" s="42">
        <v>5</v>
      </c>
      <c r="G148" s="42">
        <v>2</v>
      </c>
      <c r="H148" s="38">
        <f t="shared" si="5"/>
        <v>0.4</v>
      </c>
    </row>
    <row r="149" spans="1:8" x14ac:dyDescent="0.25">
      <c r="A149" s="266">
        <v>43973</v>
      </c>
      <c r="B149" s="42" t="s">
        <v>720</v>
      </c>
      <c r="C149" s="42" t="s">
        <v>255</v>
      </c>
      <c r="D149" s="42">
        <v>21</v>
      </c>
      <c r="F149" s="42">
        <v>10</v>
      </c>
      <c r="G149" s="42">
        <v>4</v>
      </c>
      <c r="H149" s="38">
        <f t="shared" si="5"/>
        <v>0.4</v>
      </c>
    </row>
    <row r="150" spans="1:8" x14ac:dyDescent="0.25">
      <c r="A150" s="266">
        <v>43976</v>
      </c>
      <c r="B150" s="42" t="s">
        <v>255</v>
      </c>
      <c r="C150" s="42" t="s">
        <v>721</v>
      </c>
      <c r="D150" s="42">
        <v>22</v>
      </c>
      <c r="F150" s="42">
        <v>6</v>
      </c>
      <c r="G150" s="42">
        <v>4</v>
      </c>
      <c r="H150" s="38">
        <f t="shared" si="5"/>
        <v>0.66666666666666663</v>
      </c>
    </row>
    <row r="151" spans="1:8" x14ac:dyDescent="0.25">
      <c r="A151" s="266">
        <v>43977</v>
      </c>
      <c r="B151" s="42" t="s">
        <v>255</v>
      </c>
      <c r="C151" s="42" t="s">
        <v>722</v>
      </c>
      <c r="D151" s="42">
        <v>23</v>
      </c>
      <c r="F151" s="42">
        <v>6</v>
      </c>
      <c r="G151" s="42">
        <v>4</v>
      </c>
      <c r="H151" s="38">
        <f t="shared" si="5"/>
        <v>0.66666666666666663</v>
      </c>
    </row>
    <row r="152" spans="1:8" x14ac:dyDescent="0.25">
      <c r="A152" s="266">
        <v>43977</v>
      </c>
      <c r="B152" s="42" t="s">
        <v>723</v>
      </c>
      <c r="C152" s="42" t="s">
        <v>255</v>
      </c>
      <c r="D152" s="42">
        <v>23</v>
      </c>
      <c r="F152" s="42">
        <v>8</v>
      </c>
      <c r="G152" s="42">
        <v>3</v>
      </c>
      <c r="H152" s="38">
        <f t="shared" si="5"/>
        <v>0.375</v>
      </c>
    </row>
    <row r="153" spans="1:8" x14ac:dyDescent="0.25">
      <c r="A153" s="266">
        <v>43977</v>
      </c>
      <c r="B153" s="42" t="s">
        <v>724</v>
      </c>
      <c r="C153" s="42" t="s">
        <v>255</v>
      </c>
      <c r="D153" s="42">
        <v>23</v>
      </c>
      <c r="F153" s="42">
        <v>6</v>
      </c>
      <c r="G153" s="42">
        <v>2</v>
      </c>
      <c r="H153" s="38">
        <f t="shared" si="5"/>
        <v>0.33333333333333331</v>
      </c>
    </row>
    <row r="154" spans="1:8" x14ac:dyDescent="0.25">
      <c r="A154" s="266">
        <v>43978</v>
      </c>
      <c r="B154" s="42" t="s">
        <v>255</v>
      </c>
      <c r="C154" s="42" t="s">
        <v>725</v>
      </c>
      <c r="D154" s="42">
        <v>23</v>
      </c>
      <c r="F154" s="42">
        <v>7</v>
      </c>
      <c r="G154" s="42">
        <v>3</v>
      </c>
      <c r="H154" s="38">
        <f t="shared" si="5"/>
        <v>0.42857142857142855</v>
      </c>
    </row>
    <row r="155" spans="1:8" x14ac:dyDescent="0.25">
      <c r="A155" s="266">
        <v>43978</v>
      </c>
      <c r="B155" s="42" t="s">
        <v>726</v>
      </c>
      <c r="C155" s="42" t="s">
        <v>255</v>
      </c>
      <c r="D155" s="42">
        <v>23</v>
      </c>
      <c r="F155" s="42">
        <v>7</v>
      </c>
      <c r="G155" s="42">
        <v>3</v>
      </c>
      <c r="H155" s="38">
        <f t="shared" si="5"/>
        <v>0.42857142857142855</v>
      </c>
    </row>
    <row r="156" spans="1:8" x14ac:dyDescent="0.25">
      <c r="A156" s="266">
        <v>43978</v>
      </c>
      <c r="B156" s="42" t="s">
        <v>255</v>
      </c>
      <c r="C156" s="42" t="s">
        <v>727</v>
      </c>
      <c r="D156" s="42">
        <v>24</v>
      </c>
      <c r="F156" s="42">
        <v>9</v>
      </c>
      <c r="G156" s="42">
        <v>4</v>
      </c>
      <c r="H156" s="38">
        <f t="shared" si="5"/>
        <v>0.44444444444444442</v>
      </c>
    </row>
    <row r="157" spans="1:8" x14ac:dyDescent="0.25">
      <c r="A157" s="266">
        <v>43979</v>
      </c>
      <c r="B157" s="42" t="s">
        <v>255</v>
      </c>
      <c r="C157" s="42" t="s">
        <v>728</v>
      </c>
      <c r="D157" s="42">
        <v>23</v>
      </c>
      <c r="F157" s="42">
        <v>7</v>
      </c>
      <c r="G157" s="42">
        <v>4</v>
      </c>
      <c r="H157" s="38">
        <f t="shared" si="5"/>
        <v>0.5714285714285714</v>
      </c>
    </row>
    <row r="158" spans="1:8" x14ac:dyDescent="0.25">
      <c r="A158" s="266">
        <v>43979</v>
      </c>
      <c r="B158" s="42" t="s">
        <v>255</v>
      </c>
      <c r="C158" s="42" t="s">
        <v>729</v>
      </c>
      <c r="D158" s="42">
        <v>23</v>
      </c>
      <c r="F158" s="42">
        <v>8</v>
      </c>
      <c r="G158" s="42">
        <v>3</v>
      </c>
      <c r="H158" s="38">
        <f t="shared" si="5"/>
        <v>0.375</v>
      </c>
    </row>
    <row r="159" spans="1:8" x14ac:dyDescent="0.25">
      <c r="A159" s="266">
        <v>43979</v>
      </c>
      <c r="B159" s="42" t="s">
        <v>730</v>
      </c>
      <c r="C159" s="42" t="s">
        <v>255</v>
      </c>
      <c r="D159" s="42">
        <v>24</v>
      </c>
      <c r="F159" s="42">
        <v>8</v>
      </c>
      <c r="G159" s="42">
        <v>3</v>
      </c>
      <c r="H159" s="38">
        <f t="shared" si="5"/>
        <v>0.375</v>
      </c>
    </row>
    <row r="160" spans="1:8" x14ac:dyDescent="0.25">
      <c r="A160" s="266">
        <v>43988</v>
      </c>
      <c r="B160" s="42" t="s">
        <v>707</v>
      </c>
      <c r="C160" s="42" t="s">
        <v>255</v>
      </c>
      <c r="D160" s="42">
        <v>23</v>
      </c>
      <c r="F160" s="42">
        <v>7</v>
      </c>
      <c r="G160" s="42">
        <v>3</v>
      </c>
      <c r="H160" s="38">
        <f t="shared" si="5"/>
        <v>0.42857142857142855</v>
      </c>
    </row>
    <row r="161" spans="1:8" x14ac:dyDescent="0.25">
      <c r="A161" s="266">
        <v>43992</v>
      </c>
      <c r="B161" s="42" t="s">
        <v>732</v>
      </c>
      <c r="C161" s="42" t="s">
        <v>255</v>
      </c>
      <c r="D161" s="42">
        <v>17</v>
      </c>
      <c r="F161" s="42">
        <v>5</v>
      </c>
      <c r="G161" s="42">
        <v>1</v>
      </c>
      <c r="H161" s="38">
        <f t="shared" si="5"/>
        <v>0.2</v>
      </c>
    </row>
    <row r="162" spans="1:8" x14ac:dyDescent="0.25">
      <c r="A162" s="266">
        <v>43995</v>
      </c>
      <c r="C162" s="42" t="s">
        <v>733</v>
      </c>
      <c r="D162" s="42">
        <v>22</v>
      </c>
      <c r="F162" s="42">
        <v>7</v>
      </c>
      <c r="G162" s="42">
        <v>3</v>
      </c>
      <c r="H162" s="38">
        <f t="shared" si="5"/>
        <v>0.42857142857142855</v>
      </c>
    </row>
    <row r="163" spans="1:8" x14ac:dyDescent="0.25">
      <c r="A163" s="266">
        <v>43999</v>
      </c>
      <c r="B163" s="42" t="s">
        <v>734</v>
      </c>
      <c r="D163" s="42">
        <v>21</v>
      </c>
      <c r="F163" s="42">
        <v>5</v>
      </c>
      <c r="G163" s="42">
        <v>2</v>
      </c>
      <c r="H163" s="38">
        <f t="shared" si="5"/>
        <v>0.4</v>
      </c>
    </row>
    <row r="164" spans="1:8" x14ac:dyDescent="0.25">
      <c r="A164" s="266">
        <v>44002</v>
      </c>
      <c r="B164" s="42" t="s">
        <v>698</v>
      </c>
      <c r="D164" s="42">
        <v>23</v>
      </c>
      <c r="F164" s="42">
        <v>9</v>
      </c>
      <c r="G164" s="42">
        <v>4</v>
      </c>
      <c r="H164" s="38">
        <f t="shared" si="5"/>
        <v>0.44444444444444442</v>
      </c>
    </row>
    <row r="165" spans="1:8" x14ac:dyDescent="0.25">
      <c r="A165" s="266">
        <v>44006</v>
      </c>
      <c r="B165" s="42" t="s">
        <v>735</v>
      </c>
      <c r="D165" s="42">
        <v>22</v>
      </c>
      <c r="F165" s="42">
        <v>9</v>
      </c>
      <c r="G165" s="42">
        <v>5</v>
      </c>
      <c r="H165" s="38">
        <f t="shared" si="5"/>
        <v>0.55555555555555558</v>
      </c>
    </row>
    <row r="166" spans="1:8" x14ac:dyDescent="0.25">
      <c r="A166" s="266">
        <v>44007</v>
      </c>
      <c r="B166" s="42" t="s">
        <v>736</v>
      </c>
      <c r="D166" s="42">
        <v>23</v>
      </c>
      <c r="F166" s="42">
        <v>8</v>
      </c>
      <c r="G166" s="42">
        <v>5</v>
      </c>
      <c r="H166" s="38">
        <f t="shared" si="5"/>
        <v>0.625</v>
      </c>
    </row>
    <row r="167" spans="1:8" x14ac:dyDescent="0.25">
      <c r="A167" s="266">
        <v>44008</v>
      </c>
      <c r="B167" s="42" t="s">
        <v>737</v>
      </c>
      <c r="D167" s="42">
        <v>24</v>
      </c>
      <c r="F167" s="42">
        <v>7</v>
      </c>
      <c r="G167" s="42">
        <v>3</v>
      </c>
      <c r="H167" s="38">
        <f t="shared" si="5"/>
        <v>0.42857142857142855</v>
      </c>
    </row>
    <row r="168" spans="1:8" x14ac:dyDescent="0.25">
      <c r="A168" s="266">
        <v>44010</v>
      </c>
      <c r="C168" s="42" t="s">
        <v>738</v>
      </c>
      <c r="D168" s="42">
        <v>24</v>
      </c>
      <c r="F168" s="42">
        <v>7</v>
      </c>
      <c r="G168" s="42">
        <v>2</v>
      </c>
      <c r="H168" s="38">
        <f t="shared" si="5"/>
        <v>0.2857142857142857</v>
      </c>
    </row>
    <row r="169" spans="1:8" x14ac:dyDescent="0.25">
      <c r="A169" s="266">
        <v>44012</v>
      </c>
      <c r="B169" s="42" t="s">
        <v>739</v>
      </c>
      <c r="D169" s="42">
        <v>24</v>
      </c>
      <c r="F169" s="42">
        <v>7</v>
      </c>
      <c r="G169" s="42">
        <v>4</v>
      </c>
      <c r="H169" s="38">
        <f t="shared" si="5"/>
        <v>0.5714285714285714</v>
      </c>
    </row>
    <row r="170" spans="1:8" x14ac:dyDescent="0.25">
      <c r="A170" s="266">
        <v>44013</v>
      </c>
      <c r="B170" s="42" t="s">
        <v>740</v>
      </c>
      <c r="D170" s="42">
        <v>23</v>
      </c>
      <c r="F170" s="42">
        <v>7</v>
      </c>
      <c r="G170" s="42">
        <v>2</v>
      </c>
      <c r="H170" s="38">
        <f t="shared" si="5"/>
        <v>0.2857142857142857</v>
      </c>
    </row>
    <row r="171" spans="1:8" x14ac:dyDescent="0.25">
      <c r="A171" s="266">
        <v>44014</v>
      </c>
      <c r="C171" s="42" t="s">
        <v>741</v>
      </c>
      <c r="D171" s="42">
        <v>24</v>
      </c>
      <c r="F171" s="42">
        <v>9</v>
      </c>
      <c r="G171" s="42">
        <v>6</v>
      </c>
      <c r="H171" s="38">
        <f t="shared" si="5"/>
        <v>0.66666666666666663</v>
      </c>
    </row>
    <row r="172" spans="1:8" x14ac:dyDescent="0.25">
      <c r="A172" s="266">
        <v>44015</v>
      </c>
      <c r="B172" s="42" t="s">
        <v>742</v>
      </c>
      <c r="D172" s="42">
        <v>24</v>
      </c>
      <c r="F172" s="42">
        <v>7</v>
      </c>
      <c r="G172" s="42">
        <v>2</v>
      </c>
      <c r="H172" s="38">
        <f t="shared" si="5"/>
        <v>0.2857142857142857</v>
      </c>
    </row>
    <row r="173" spans="1:8" x14ac:dyDescent="0.25">
      <c r="A173" s="266">
        <v>44017</v>
      </c>
      <c r="B173" s="42" t="s">
        <v>743</v>
      </c>
      <c r="D173" s="42">
        <v>24</v>
      </c>
      <c r="F173" s="42">
        <v>9</v>
      </c>
      <c r="G173" s="42">
        <v>5</v>
      </c>
      <c r="H173" s="38">
        <f t="shared" si="5"/>
        <v>0.55555555555555558</v>
      </c>
    </row>
    <row r="174" spans="1:8" x14ac:dyDescent="0.25">
      <c r="A174" s="266">
        <v>44019</v>
      </c>
      <c r="C174" s="42" t="s">
        <v>744</v>
      </c>
      <c r="D174" s="42">
        <v>24</v>
      </c>
      <c r="F174" s="42">
        <v>9</v>
      </c>
      <c r="G174" s="42">
        <v>5</v>
      </c>
      <c r="H174" s="38">
        <f t="shared" si="5"/>
        <v>0.55555555555555558</v>
      </c>
    </row>
    <row r="175" spans="1:8" x14ac:dyDescent="0.25">
      <c r="A175" s="266">
        <v>44020</v>
      </c>
      <c r="B175" s="42" t="s">
        <v>745</v>
      </c>
      <c r="D175" s="42">
        <v>23</v>
      </c>
      <c r="F175" s="42">
        <v>8</v>
      </c>
      <c r="G175" s="42">
        <v>2</v>
      </c>
      <c r="H175" s="38">
        <f t="shared" si="5"/>
        <v>0.25</v>
      </c>
    </row>
    <row r="176" spans="1:8" x14ac:dyDescent="0.25">
      <c r="A176" s="266">
        <v>44023</v>
      </c>
      <c r="B176" s="42" t="s">
        <v>746</v>
      </c>
      <c r="D176" s="42">
        <v>24</v>
      </c>
      <c r="F176" s="42">
        <v>8</v>
      </c>
      <c r="G176" s="42">
        <v>5</v>
      </c>
      <c r="H176" s="38">
        <f t="shared" si="5"/>
        <v>0.625</v>
      </c>
    </row>
    <row r="177" spans="1:8" x14ac:dyDescent="0.25">
      <c r="A177" s="266">
        <v>44026</v>
      </c>
      <c r="B177" s="42" t="s">
        <v>747</v>
      </c>
      <c r="D177" s="42">
        <v>24</v>
      </c>
      <c r="F177" s="42">
        <v>9</v>
      </c>
      <c r="G177" s="42">
        <v>5</v>
      </c>
      <c r="H177" s="38">
        <f t="shared" si="5"/>
        <v>0.55555555555555558</v>
      </c>
    </row>
    <row r="178" spans="1:8" x14ac:dyDescent="0.25">
      <c r="A178" s="266">
        <v>44027</v>
      </c>
      <c r="B178" s="42" t="s">
        <v>748</v>
      </c>
      <c r="D178" s="42">
        <v>22</v>
      </c>
      <c r="F178" s="42">
        <v>9</v>
      </c>
      <c r="G178" s="42">
        <v>4</v>
      </c>
      <c r="H178" s="38">
        <f t="shared" si="5"/>
        <v>0.44444444444444442</v>
      </c>
    </row>
    <row r="179" spans="1:8" x14ac:dyDescent="0.25">
      <c r="A179" s="266">
        <v>44028</v>
      </c>
      <c r="C179" s="42" t="s">
        <v>749</v>
      </c>
      <c r="D179" s="42">
        <v>23</v>
      </c>
      <c r="F179" s="42">
        <v>9</v>
      </c>
      <c r="G179" s="42">
        <v>4</v>
      </c>
      <c r="H179" s="38">
        <f t="shared" si="5"/>
        <v>0.44444444444444442</v>
      </c>
    </row>
    <row r="180" spans="1:8" x14ac:dyDescent="0.25">
      <c r="A180" s="266">
        <v>44029</v>
      </c>
      <c r="B180" s="42" t="s">
        <v>750</v>
      </c>
      <c r="D180" s="42">
        <v>24</v>
      </c>
      <c r="F180" s="42">
        <v>8</v>
      </c>
      <c r="G180" s="42">
        <v>3</v>
      </c>
      <c r="H180" s="38">
        <f t="shared" si="5"/>
        <v>0.375</v>
      </c>
    </row>
    <row r="181" spans="1:8" x14ac:dyDescent="0.25">
      <c r="A181" s="266">
        <v>44030</v>
      </c>
      <c r="C181" s="42" t="s">
        <v>751</v>
      </c>
      <c r="D181" s="42">
        <v>23</v>
      </c>
      <c r="F181" s="42">
        <v>10</v>
      </c>
      <c r="G181" s="42">
        <v>4</v>
      </c>
      <c r="H181" s="38">
        <f t="shared" si="5"/>
        <v>0.4</v>
      </c>
    </row>
    <row r="182" spans="1:8" x14ac:dyDescent="0.25">
      <c r="A182" s="266">
        <v>44031</v>
      </c>
      <c r="B182" s="42" t="s">
        <v>752</v>
      </c>
      <c r="D182" s="42">
        <v>23</v>
      </c>
      <c r="F182" s="42">
        <v>8</v>
      </c>
      <c r="G182" s="42">
        <v>3</v>
      </c>
      <c r="H182" s="38">
        <f t="shared" si="5"/>
        <v>0.375</v>
      </c>
    </row>
    <row r="183" spans="1:8" x14ac:dyDescent="0.25">
      <c r="A183" s="266">
        <v>44033</v>
      </c>
      <c r="C183" s="42" t="s">
        <v>753</v>
      </c>
      <c r="D183" s="42">
        <v>24</v>
      </c>
      <c r="F183" s="42">
        <v>7</v>
      </c>
      <c r="G183" s="42">
        <v>3</v>
      </c>
      <c r="H183" s="38">
        <f t="shared" si="5"/>
        <v>0.42857142857142855</v>
      </c>
    </row>
    <row r="184" spans="1:8" x14ac:dyDescent="0.25">
      <c r="A184" s="266">
        <v>44034</v>
      </c>
      <c r="C184" s="42" t="s">
        <v>754</v>
      </c>
      <c r="D184" s="42">
        <v>23</v>
      </c>
      <c r="F184" s="42">
        <v>3</v>
      </c>
      <c r="G184" s="42">
        <v>2</v>
      </c>
      <c r="H184" s="38">
        <f t="shared" si="5"/>
        <v>0.66666666666666663</v>
      </c>
    </row>
    <row r="185" spans="1:8" x14ac:dyDescent="0.25">
      <c r="A185" s="266">
        <v>44035</v>
      </c>
      <c r="C185" s="42" t="s">
        <v>755</v>
      </c>
      <c r="D185" s="42">
        <v>23</v>
      </c>
      <c r="F185" s="42">
        <v>7</v>
      </c>
      <c r="G185" s="42">
        <v>4</v>
      </c>
      <c r="H185" s="38">
        <f t="shared" si="5"/>
        <v>0.5714285714285714</v>
      </c>
    </row>
    <row r="186" spans="1:8" x14ac:dyDescent="0.25">
      <c r="A186" s="266"/>
      <c r="H186" s="38"/>
    </row>
    <row r="187" spans="1:8" x14ac:dyDescent="0.25">
      <c r="A187" s="266"/>
      <c r="H187" s="38"/>
    </row>
    <row r="188" spans="1:8" x14ac:dyDescent="0.25">
      <c r="A188" s="266"/>
      <c r="H188" s="38"/>
    </row>
    <row r="189" spans="1:8" x14ac:dyDescent="0.25">
      <c r="A189" s="266"/>
      <c r="H189" s="38"/>
    </row>
    <row r="190" spans="1:8" x14ac:dyDescent="0.25">
      <c r="A190" s="266"/>
      <c r="H190" s="38"/>
    </row>
    <row r="191" spans="1:8" x14ac:dyDescent="0.25">
      <c r="A191" s="266"/>
      <c r="H191" s="38"/>
    </row>
    <row r="192" spans="1:8" x14ac:dyDescent="0.25">
      <c r="A192" s="266"/>
    </row>
    <row r="193" spans="1:1" x14ac:dyDescent="0.25">
      <c r="A193" s="266"/>
    </row>
    <row r="194" spans="1:1" x14ac:dyDescent="0.25">
      <c r="A194" s="266"/>
    </row>
    <row r="195" spans="1:1" x14ac:dyDescent="0.25">
      <c r="A195" s="266"/>
    </row>
    <row r="196" spans="1:1" x14ac:dyDescent="0.25">
      <c r="A196" s="266"/>
    </row>
    <row r="197" spans="1:1" x14ac:dyDescent="0.25">
      <c r="A197" s="266"/>
    </row>
    <row r="198" spans="1:1" x14ac:dyDescent="0.25">
      <c r="A198" s="266"/>
    </row>
    <row r="199" spans="1:1" x14ac:dyDescent="0.25">
      <c r="A199" s="266"/>
    </row>
    <row r="200" spans="1:1" x14ac:dyDescent="0.25">
      <c r="A200" s="266"/>
    </row>
    <row r="201" spans="1:1" x14ac:dyDescent="0.25">
      <c r="A201" s="266"/>
    </row>
    <row r="202" spans="1:1" x14ac:dyDescent="0.25">
      <c r="A202" s="266"/>
    </row>
    <row r="203" spans="1:1" x14ac:dyDescent="0.25">
      <c r="A203" s="266"/>
    </row>
    <row r="204" spans="1:1" x14ac:dyDescent="0.25">
      <c r="A204" s="266"/>
    </row>
    <row r="205" spans="1:1" x14ac:dyDescent="0.25">
      <c r="A205" s="266"/>
    </row>
    <row r="206" spans="1:1" x14ac:dyDescent="0.25">
      <c r="A206" s="266"/>
    </row>
    <row r="207" spans="1:1" x14ac:dyDescent="0.25">
      <c r="A207" s="266"/>
    </row>
    <row r="208" spans="1:1" x14ac:dyDescent="0.25">
      <c r="A208" s="266"/>
    </row>
    <row r="209" spans="1:1" x14ac:dyDescent="0.25">
      <c r="A209" s="266"/>
    </row>
    <row r="210" spans="1:1" x14ac:dyDescent="0.25">
      <c r="A210" s="266"/>
    </row>
    <row r="211" spans="1:1" x14ac:dyDescent="0.25">
      <c r="A211" s="266"/>
    </row>
    <row r="212" spans="1:1" x14ac:dyDescent="0.25">
      <c r="A212" s="266"/>
    </row>
    <row r="213" spans="1:1" x14ac:dyDescent="0.25">
      <c r="A213" s="266"/>
    </row>
    <row r="214" spans="1:1" x14ac:dyDescent="0.25">
      <c r="A214" s="266"/>
    </row>
    <row r="215" spans="1:1" x14ac:dyDescent="0.25">
      <c r="A215" s="266"/>
    </row>
    <row r="216" spans="1:1" x14ac:dyDescent="0.25">
      <c r="A216" s="266"/>
    </row>
    <row r="217" spans="1:1" x14ac:dyDescent="0.25">
      <c r="A217" s="266"/>
    </row>
    <row r="218" spans="1:1" x14ac:dyDescent="0.25">
      <c r="A218" s="266"/>
    </row>
    <row r="219" spans="1:1" x14ac:dyDescent="0.25">
      <c r="A219" s="266"/>
    </row>
    <row r="220" spans="1:1" x14ac:dyDescent="0.25">
      <c r="A220" s="266"/>
    </row>
    <row r="221" spans="1:1" x14ac:dyDescent="0.25">
      <c r="A221" s="266"/>
    </row>
    <row r="222" spans="1:1" x14ac:dyDescent="0.25">
      <c r="A222" s="266"/>
    </row>
    <row r="223" spans="1:1" x14ac:dyDescent="0.25">
      <c r="A223" s="266"/>
    </row>
    <row r="224" spans="1:1" x14ac:dyDescent="0.25">
      <c r="A224" s="266"/>
    </row>
    <row r="225" spans="1:1" x14ac:dyDescent="0.25">
      <c r="A225" s="266"/>
    </row>
    <row r="226" spans="1:1" x14ac:dyDescent="0.25">
      <c r="A226" s="266"/>
    </row>
  </sheetData>
  <autoFilter ref="A1:H159" xr:uid="{00000000-0009-0000-0000-000008000000}"/>
  <pageMargins left="0.7" right="0.7" top="0.75" bottom="0.75" header="0.3" footer="0.3"/>
  <pageSetup paperSize="9" fitToWidth="0"/>
  <drawing r:id="rId2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7DEE8"/>
  </sheetPr>
  <dimension ref="A1:AV68"/>
  <sheetViews>
    <sheetView topLeftCell="A37" zoomScale="90" workbookViewId="0">
      <selection activeCell="P59" sqref="P59"/>
    </sheetView>
  </sheetViews>
  <sheetFormatPr baseColWidth="10" defaultColWidth="10.7109375" defaultRowHeight="15" x14ac:dyDescent="0.25"/>
  <cols>
    <col min="1" max="1" width="30.5703125" customWidth="1"/>
    <col min="2" max="2" width="12.7109375" bestFit="1" customWidth="1"/>
    <col min="3" max="5" width="12.42578125" customWidth="1"/>
    <col min="6" max="6" width="12.7109375" bestFit="1" customWidth="1"/>
    <col min="7" max="7" width="13.5703125" customWidth="1"/>
    <col min="8" max="10" width="12.42578125" customWidth="1"/>
    <col min="11" max="11" width="14.85546875" customWidth="1"/>
    <col min="12" max="15" width="12.42578125" customWidth="1"/>
    <col min="16" max="16" width="12.7109375" bestFit="1" customWidth="1"/>
    <col min="17" max="17" width="12.42578125" customWidth="1"/>
    <col min="18" max="18" width="12.7109375" bestFit="1" customWidth="1"/>
    <col min="19" max="19" width="11.5703125" bestFit="1" customWidth="1"/>
    <col min="20" max="20" width="12.7109375" bestFit="1" customWidth="1"/>
    <col min="21" max="21" width="12.42578125" bestFit="1" customWidth="1"/>
    <col min="22" max="22" width="12.7109375" bestFit="1" customWidth="1"/>
    <col min="24" max="24" width="12" customWidth="1"/>
    <col min="26" max="30" width="12.42578125" customWidth="1"/>
    <col min="31" max="37" width="6.5703125" customWidth="1"/>
  </cols>
  <sheetData>
    <row r="1" spans="1:36" ht="40.5" x14ac:dyDescent="0.25">
      <c r="M1" s="197" t="s">
        <v>476</v>
      </c>
      <c r="N1" s="197" t="s">
        <v>477</v>
      </c>
      <c r="O1" s="197" t="s">
        <v>478</v>
      </c>
      <c r="P1" s="197" t="s">
        <v>479</v>
      </c>
      <c r="Q1" s="197" t="s">
        <v>480</v>
      </c>
      <c r="R1" s="197" t="s">
        <v>481</v>
      </c>
      <c r="S1" s="197" t="s">
        <v>482</v>
      </c>
      <c r="U1" s="197" t="s">
        <v>483</v>
      </c>
    </row>
    <row r="2" spans="1:36" x14ac:dyDescent="0.25">
      <c r="C2" s="198" t="s">
        <v>484</v>
      </c>
      <c r="D2" s="518" t="s">
        <v>485</v>
      </c>
      <c r="E2" s="518"/>
      <c r="F2" s="519" t="s">
        <v>486</v>
      </c>
      <c r="G2" s="519"/>
      <c r="H2" s="520" t="s">
        <v>487</v>
      </c>
      <c r="I2" s="520"/>
      <c r="K2" s="54"/>
      <c r="M2" s="199">
        <v>11</v>
      </c>
      <c r="N2" s="200">
        <v>14.98</v>
      </c>
      <c r="O2" s="200">
        <v>5.95</v>
      </c>
      <c r="P2" s="201">
        <f t="shared" ref="P2:P12" si="0">U2*0.97</f>
        <v>5.3253000000000004</v>
      </c>
      <c r="Q2" s="200">
        <v>0.68000000000000016</v>
      </c>
      <c r="R2" s="202">
        <v>27.09</v>
      </c>
      <c r="U2" s="200">
        <v>5.49</v>
      </c>
    </row>
    <row r="3" spans="1:36" x14ac:dyDescent="0.25">
      <c r="A3" s="203" t="s">
        <v>488</v>
      </c>
      <c r="B3" s="204">
        <f>B4+B5+B6+B7</f>
        <v>68746</v>
      </c>
      <c r="C3" s="205">
        <f>C4+C5+C6+C7</f>
        <v>73555</v>
      </c>
      <c r="D3" s="18" t="s">
        <v>489</v>
      </c>
      <c r="E3" s="18" t="s">
        <v>490</v>
      </c>
      <c r="F3" s="18" t="s">
        <v>489</v>
      </c>
      <c r="G3" s="18" t="s">
        <v>491</v>
      </c>
      <c r="H3" s="18" t="s">
        <v>489</v>
      </c>
      <c r="I3" s="206" t="s">
        <v>492</v>
      </c>
      <c r="J3" s="18" t="s">
        <v>493</v>
      </c>
      <c r="K3" s="18" t="s">
        <v>494</v>
      </c>
      <c r="M3" s="199">
        <v>10</v>
      </c>
      <c r="N3" s="207">
        <v>14.23</v>
      </c>
      <c r="O3" s="207">
        <v>5.59</v>
      </c>
      <c r="P3" s="201">
        <f t="shared" si="0"/>
        <v>4.9179000000000004</v>
      </c>
      <c r="Q3" s="207">
        <v>0.62</v>
      </c>
      <c r="R3" s="208">
        <v>25.52</v>
      </c>
      <c r="U3" s="207">
        <v>5.07</v>
      </c>
    </row>
    <row r="4" spans="1:36" x14ac:dyDescent="0.25">
      <c r="A4" s="203" t="s">
        <v>495</v>
      </c>
      <c r="B4" s="452">
        <v>39341</v>
      </c>
      <c r="C4" s="209">
        <v>41656</v>
      </c>
      <c r="D4" s="210">
        <v>45</v>
      </c>
      <c r="E4" s="211">
        <f>D4*(C4-B4)</f>
        <v>104175</v>
      </c>
      <c r="F4" s="212">
        <v>0.5</v>
      </c>
      <c r="G4" s="211">
        <f>(C4-B4)*F4</f>
        <v>1157.5</v>
      </c>
      <c r="H4" s="212">
        <v>7</v>
      </c>
      <c r="I4" s="213">
        <f>(C4-B4)*H4</f>
        <v>16205</v>
      </c>
      <c r="J4" s="211">
        <f>H4*C4</f>
        <v>291592</v>
      </c>
      <c r="K4" s="18">
        <f>B4*F4</f>
        <v>19670.5</v>
      </c>
      <c r="L4" s="27">
        <f>5000*N13*F4</f>
        <v>1382.4289405684756</v>
      </c>
      <c r="M4" s="199">
        <v>9</v>
      </c>
      <c r="N4" s="200">
        <v>13.49</v>
      </c>
      <c r="O4" s="200">
        <v>5.24</v>
      </c>
      <c r="P4" s="201">
        <f t="shared" si="0"/>
        <v>4.5202</v>
      </c>
      <c r="Q4" s="200">
        <v>0.56999999999999995</v>
      </c>
      <c r="R4" s="202">
        <v>23.95</v>
      </c>
      <c r="U4" s="200">
        <v>4.66</v>
      </c>
    </row>
    <row r="5" spans="1:36" x14ac:dyDescent="0.25">
      <c r="A5" s="203" t="s">
        <v>496</v>
      </c>
      <c r="B5" s="452">
        <v>15100</v>
      </c>
      <c r="C5" s="214">
        <v>16181</v>
      </c>
      <c r="D5" s="215">
        <v>75</v>
      </c>
      <c r="E5" s="211">
        <f>D5*(C5-B5)</f>
        <v>81075</v>
      </c>
      <c r="F5" s="216">
        <v>0.7</v>
      </c>
      <c r="G5" s="211">
        <f>(C5-B5)*F5</f>
        <v>756.69999999999993</v>
      </c>
      <c r="H5" s="216">
        <v>10</v>
      </c>
      <c r="I5" s="213">
        <f>(C5-B5)*H5</f>
        <v>10810</v>
      </c>
      <c r="J5" s="211">
        <f>H5*C5</f>
        <v>161810</v>
      </c>
      <c r="K5" s="18">
        <f>B5*F5</f>
        <v>10570</v>
      </c>
      <c r="L5" s="27">
        <f>5000*O13*F5</f>
        <v>768.73385012919903</v>
      </c>
      <c r="M5" s="199">
        <v>8</v>
      </c>
      <c r="N5" s="207">
        <v>12.74</v>
      </c>
      <c r="O5" s="207">
        <v>4.8899999999999997</v>
      </c>
      <c r="P5" s="201">
        <f t="shared" si="0"/>
        <v>4.1224999999999996</v>
      </c>
      <c r="Q5" s="207">
        <v>0.51</v>
      </c>
      <c r="R5" s="208">
        <v>22.39</v>
      </c>
      <c r="U5" s="207">
        <v>4.25</v>
      </c>
    </row>
    <row r="6" spans="1:36" x14ac:dyDescent="0.25">
      <c r="A6" s="203" t="s">
        <v>497</v>
      </c>
      <c r="B6" s="452">
        <v>12730</v>
      </c>
      <c r="C6" s="214">
        <v>13958</v>
      </c>
      <c r="D6" s="210">
        <v>90</v>
      </c>
      <c r="E6" s="211">
        <f>D6*(C6-B6)</f>
        <v>110520</v>
      </c>
      <c r="F6" s="212">
        <v>1</v>
      </c>
      <c r="G6" s="211">
        <f>(C6-B6)*F6</f>
        <v>1228</v>
      </c>
      <c r="H6" s="212">
        <v>19</v>
      </c>
      <c r="I6" s="213">
        <f>(C6-B6)*H6</f>
        <v>23332</v>
      </c>
      <c r="J6" s="211">
        <f>H6*C6</f>
        <v>265202</v>
      </c>
      <c r="K6" s="18">
        <f>B6*F6</f>
        <v>12730</v>
      </c>
      <c r="L6" s="27">
        <f>5000*P13*F6</f>
        <v>982.89036544850512</v>
      </c>
      <c r="M6" s="199">
        <v>7</v>
      </c>
      <c r="N6" s="200">
        <v>12</v>
      </c>
      <c r="O6" s="200">
        <v>4.53</v>
      </c>
      <c r="P6" s="201">
        <f t="shared" si="0"/>
        <v>3.7247999999999997</v>
      </c>
      <c r="Q6" s="200">
        <v>0.46000000000000008</v>
      </c>
      <c r="R6" s="202">
        <v>20.83</v>
      </c>
      <c r="U6" s="200">
        <v>3.84</v>
      </c>
    </row>
    <row r="7" spans="1:36" x14ac:dyDescent="0.25">
      <c r="A7" s="203" t="s">
        <v>498</v>
      </c>
      <c r="B7" s="452">
        <v>1575</v>
      </c>
      <c r="C7" s="217">
        <v>1760</v>
      </c>
      <c r="D7" s="215">
        <v>300</v>
      </c>
      <c r="E7" s="211">
        <f>D7*(C7-B7)</f>
        <v>55500</v>
      </c>
      <c r="F7" s="216">
        <v>2.5</v>
      </c>
      <c r="G7" s="211">
        <f>(C7-B7)*F7</f>
        <v>462.5</v>
      </c>
      <c r="H7" s="216">
        <v>35</v>
      </c>
      <c r="I7" s="213">
        <f>(C7-B7)*H7</f>
        <v>6475</v>
      </c>
      <c r="J7" s="211">
        <f>H7*C7</f>
        <v>61600</v>
      </c>
      <c r="K7" s="18">
        <f>B7*F7</f>
        <v>3937.5</v>
      </c>
      <c r="L7" s="27">
        <f>5000*Q13*F7</f>
        <v>313.76891842008126</v>
      </c>
      <c r="M7" s="199">
        <v>6</v>
      </c>
      <c r="N7" s="207">
        <v>11.26</v>
      </c>
      <c r="O7" s="207">
        <v>4.17</v>
      </c>
      <c r="P7" s="201">
        <f t="shared" si="0"/>
        <v>3.3367999999999998</v>
      </c>
      <c r="Q7" s="207">
        <v>0.41</v>
      </c>
      <c r="R7" s="208">
        <v>19.27</v>
      </c>
      <c r="U7" s="207">
        <v>3.44</v>
      </c>
    </row>
    <row r="8" spans="1:36" x14ac:dyDescent="0.25">
      <c r="C8" s="218">
        <f>C4/$C$3</f>
        <v>0.56632451906736458</v>
      </c>
      <c r="J8" s="211">
        <f>J7+J6+J5+J4</f>
        <v>780204</v>
      </c>
      <c r="K8" s="18">
        <f>K7+K6+K5+K4</f>
        <v>46908</v>
      </c>
      <c r="L8" s="18">
        <f>L7+L6+L5+L4</f>
        <v>3447.8220745662611</v>
      </c>
      <c r="M8" s="199">
        <v>5</v>
      </c>
      <c r="N8" s="200">
        <v>10.52</v>
      </c>
      <c r="O8" s="200">
        <v>3.81</v>
      </c>
      <c r="P8" s="201">
        <f t="shared" si="0"/>
        <v>2.9390999999999998</v>
      </c>
      <c r="Q8" s="200">
        <v>0.35</v>
      </c>
      <c r="R8" s="202">
        <v>17.719999999999995</v>
      </c>
      <c r="U8" s="200">
        <v>3.03</v>
      </c>
    </row>
    <row r="9" spans="1:36" x14ac:dyDescent="0.25">
      <c r="C9" s="219">
        <f>C5/$C$3</f>
        <v>0.21998504520426893</v>
      </c>
      <c r="E9" s="25">
        <f>C4-B4</f>
        <v>2315</v>
      </c>
      <c r="F9">
        <f>D4*C4</f>
        <v>1874520</v>
      </c>
      <c r="H9">
        <f>H10+H11+H12+H13</f>
        <v>73556.777600000001</v>
      </c>
      <c r="M9" s="199">
        <v>4</v>
      </c>
      <c r="N9" s="207">
        <v>9.8000000000000007</v>
      </c>
      <c r="O9" s="207">
        <v>3.46</v>
      </c>
      <c r="P9" s="201">
        <f t="shared" si="0"/>
        <v>2.5510999999999999</v>
      </c>
      <c r="Q9" s="207">
        <v>0.3</v>
      </c>
      <c r="R9" s="208">
        <v>16.170000000000002</v>
      </c>
      <c r="U9" s="207">
        <v>2.63</v>
      </c>
    </row>
    <row r="10" spans="1:36" x14ac:dyDescent="0.25">
      <c r="B10" s="220">
        <f>B11/B13</f>
        <v>2.7680128435795943E-2</v>
      </c>
      <c r="C10" s="219">
        <f>C6/$C$3</f>
        <v>0.18976276255862959</v>
      </c>
      <c r="E10" s="25">
        <f>C5-B5</f>
        <v>1081</v>
      </c>
      <c r="F10">
        <f t="shared" ref="F10:F12" si="1">D5*C5</f>
        <v>1213575</v>
      </c>
      <c r="H10">
        <v>41657.120000000003</v>
      </c>
      <c r="I10" s="58">
        <f>H10/$H$9</f>
        <v>0.56632605939496727</v>
      </c>
      <c r="M10" s="199">
        <v>3</v>
      </c>
      <c r="N10" s="200">
        <v>9.09</v>
      </c>
      <c r="O10" s="200">
        <v>3.1</v>
      </c>
      <c r="P10" s="201">
        <f t="shared" si="0"/>
        <v>2.1436999999999999</v>
      </c>
      <c r="Q10" s="200">
        <v>0.24</v>
      </c>
      <c r="R10" s="202">
        <v>14.63</v>
      </c>
      <c r="U10" s="200">
        <v>2.21</v>
      </c>
    </row>
    <row r="11" spans="1:36" x14ac:dyDescent="0.25">
      <c r="A11" s="189" t="s">
        <v>499</v>
      </c>
      <c r="B11" s="221">
        <v>10000</v>
      </c>
      <c r="C11" s="219">
        <f>C7/$C$3</f>
        <v>2.3927673169736933E-2</v>
      </c>
      <c r="E11" s="25">
        <f>C6-B6</f>
        <v>1228</v>
      </c>
      <c r="F11">
        <f t="shared" si="1"/>
        <v>1256220</v>
      </c>
      <c r="H11">
        <v>16181.12</v>
      </c>
      <c r="I11" s="58">
        <f>H11/$H$9</f>
        <v>0.21998136035801547</v>
      </c>
      <c r="M11" s="199">
        <v>2</v>
      </c>
      <c r="N11" s="207">
        <v>8.42</v>
      </c>
      <c r="O11" s="207">
        <v>2.73</v>
      </c>
      <c r="P11" s="201">
        <f t="shared" si="0"/>
        <v>1.7168999999999999</v>
      </c>
      <c r="Q11" s="207">
        <v>0.17999999999999997</v>
      </c>
      <c r="R11" s="208">
        <v>13.090000000000002</v>
      </c>
      <c r="U11" s="207">
        <v>1.77</v>
      </c>
    </row>
    <row r="12" spans="1:36" x14ac:dyDescent="0.25">
      <c r="A12" s="189" t="s">
        <v>500</v>
      </c>
      <c r="B12" s="222">
        <f>E7+E6+E5+E4</f>
        <v>351270</v>
      </c>
      <c r="E12" s="25">
        <f>C7-B7</f>
        <v>185</v>
      </c>
      <c r="F12">
        <f t="shared" si="1"/>
        <v>528000</v>
      </c>
      <c r="H12">
        <v>13958.3776</v>
      </c>
      <c r="I12" s="58">
        <f>H12/$H$9</f>
        <v>0.18976331013173692</v>
      </c>
      <c r="M12" s="199">
        <v>1</v>
      </c>
      <c r="N12" s="200">
        <v>7.8499999999999988</v>
      </c>
      <c r="O12" s="200">
        <v>2.34</v>
      </c>
      <c r="P12" s="201">
        <f t="shared" si="0"/>
        <v>1.1931</v>
      </c>
      <c r="Q12" s="200">
        <v>0.1</v>
      </c>
      <c r="R12" s="202">
        <v>11.53</v>
      </c>
      <c r="U12" s="200">
        <v>1.23</v>
      </c>
    </row>
    <row r="13" spans="1:36" x14ac:dyDescent="0.25">
      <c r="A13" s="223" t="s">
        <v>369</v>
      </c>
      <c r="B13" s="224">
        <f>B11+B12</f>
        <v>361270</v>
      </c>
      <c r="H13">
        <v>1760.1599999999999</v>
      </c>
      <c r="I13" s="58">
        <f>H13/$H$9</f>
        <v>2.3929270115280305E-2</v>
      </c>
      <c r="N13">
        <f>N2/R2</f>
        <v>0.55297157622739024</v>
      </c>
      <c r="O13">
        <f>O2/R2</f>
        <v>0.21963824289405687</v>
      </c>
      <c r="P13" s="201">
        <f>P2/R2</f>
        <v>0.19657807308970102</v>
      </c>
      <c r="Q13">
        <f>Q2/R2</f>
        <v>2.5101513473606504E-2</v>
      </c>
    </row>
    <row r="15" spans="1:36" x14ac:dyDescent="0.25">
      <c r="A15" s="43"/>
      <c r="B15" s="225" t="s">
        <v>323</v>
      </c>
      <c r="C15" s="225" t="s">
        <v>324</v>
      </c>
      <c r="D15" s="225" t="s">
        <v>325</v>
      </c>
      <c r="E15" s="225" t="s">
        <v>326</v>
      </c>
      <c r="F15" s="225" t="s">
        <v>327</v>
      </c>
      <c r="G15" s="225" t="s">
        <v>328</v>
      </c>
      <c r="H15" s="225" t="s">
        <v>329</v>
      </c>
      <c r="I15" s="225" t="s">
        <v>330</v>
      </c>
      <c r="J15" s="225" t="s">
        <v>331</v>
      </c>
      <c r="K15" s="225" t="s">
        <v>332</v>
      </c>
      <c r="L15" s="225" t="s">
        <v>333</v>
      </c>
      <c r="M15" s="225" t="s">
        <v>334</v>
      </c>
      <c r="N15" s="225" t="s">
        <v>335</v>
      </c>
      <c r="O15" s="225" t="s">
        <v>336</v>
      </c>
      <c r="P15" s="225" t="s">
        <v>337</v>
      </c>
      <c r="Q15" s="225" t="s">
        <v>338</v>
      </c>
      <c r="R15" s="225" t="s">
        <v>323</v>
      </c>
      <c r="S15" s="225" t="s">
        <v>324</v>
      </c>
      <c r="T15" s="225" t="s">
        <v>325</v>
      </c>
      <c r="U15" s="225" t="s">
        <v>326</v>
      </c>
      <c r="V15" s="225" t="s">
        <v>327</v>
      </c>
      <c r="W15" s="225" t="s">
        <v>328</v>
      </c>
      <c r="X15" s="225" t="s">
        <v>329</v>
      </c>
      <c r="Y15" s="225" t="s">
        <v>330</v>
      </c>
      <c r="Z15" s="225" t="s">
        <v>331</v>
      </c>
      <c r="AA15" s="225" t="s">
        <v>332</v>
      </c>
      <c r="AB15" s="225" t="s">
        <v>333</v>
      </c>
      <c r="AC15" s="225" t="s">
        <v>334</v>
      </c>
      <c r="AD15" s="225" t="s">
        <v>335</v>
      </c>
      <c r="AE15" s="225" t="s">
        <v>336</v>
      </c>
      <c r="AF15" s="225" t="s">
        <v>337</v>
      </c>
      <c r="AG15" s="225" t="s">
        <v>338</v>
      </c>
      <c r="AH15" s="225"/>
      <c r="AI15" s="225"/>
    </row>
    <row r="16" spans="1:36" x14ac:dyDescent="0.25">
      <c r="A16" s="226" t="s">
        <v>501</v>
      </c>
      <c r="B16" s="227">
        <v>3088</v>
      </c>
      <c r="C16" s="227">
        <f>B16</f>
        <v>3088</v>
      </c>
      <c r="D16" s="227">
        <f t="shared" ref="D16:AJ16" si="2">C16</f>
        <v>3088</v>
      </c>
      <c r="E16" s="227">
        <f t="shared" si="2"/>
        <v>3088</v>
      </c>
      <c r="F16" s="227">
        <f t="shared" si="2"/>
        <v>3088</v>
      </c>
      <c r="G16" s="227">
        <f t="shared" si="2"/>
        <v>3088</v>
      </c>
      <c r="H16" s="227">
        <f t="shared" si="2"/>
        <v>3088</v>
      </c>
      <c r="I16" s="227">
        <f t="shared" si="2"/>
        <v>3088</v>
      </c>
      <c r="J16" s="227">
        <f t="shared" si="2"/>
        <v>3088</v>
      </c>
      <c r="K16" s="227">
        <f t="shared" si="2"/>
        <v>3088</v>
      </c>
      <c r="L16" s="227">
        <f t="shared" si="2"/>
        <v>3088</v>
      </c>
      <c r="M16" s="227">
        <f t="shared" si="2"/>
        <v>3088</v>
      </c>
      <c r="N16" s="227">
        <f t="shared" si="2"/>
        <v>3088</v>
      </c>
      <c r="O16" s="227">
        <f t="shared" si="2"/>
        <v>3088</v>
      </c>
      <c r="P16" s="227">
        <f t="shared" si="2"/>
        <v>3088</v>
      </c>
      <c r="Q16" s="227">
        <f t="shared" si="2"/>
        <v>3088</v>
      </c>
      <c r="R16" s="227">
        <f t="shared" si="2"/>
        <v>3088</v>
      </c>
      <c r="S16" s="227">
        <f t="shared" si="2"/>
        <v>3088</v>
      </c>
      <c r="T16" s="227">
        <f t="shared" si="2"/>
        <v>3088</v>
      </c>
      <c r="U16" s="227">
        <f t="shared" si="2"/>
        <v>3088</v>
      </c>
      <c r="V16" s="227">
        <f t="shared" si="2"/>
        <v>3088</v>
      </c>
      <c r="W16" s="227">
        <f t="shared" si="2"/>
        <v>3088</v>
      </c>
      <c r="X16" s="227">
        <f t="shared" si="2"/>
        <v>3088</v>
      </c>
      <c r="Y16" s="227">
        <f t="shared" si="2"/>
        <v>3088</v>
      </c>
      <c r="Z16" s="227">
        <f t="shared" si="2"/>
        <v>3088</v>
      </c>
      <c r="AA16" s="227">
        <f t="shared" si="2"/>
        <v>3088</v>
      </c>
      <c r="AB16" s="227">
        <f t="shared" si="2"/>
        <v>3088</v>
      </c>
      <c r="AC16" s="227">
        <f t="shared" si="2"/>
        <v>3088</v>
      </c>
      <c r="AD16" s="227">
        <f t="shared" si="2"/>
        <v>3088</v>
      </c>
      <c r="AE16" s="227">
        <f t="shared" si="2"/>
        <v>3088</v>
      </c>
      <c r="AF16" s="227">
        <f t="shared" si="2"/>
        <v>3088</v>
      </c>
      <c r="AG16" s="227">
        <f t="shared" si="2"/>
        <v>3088</v>
      </c>
      <c r="AH16" s="227">
        <f t="shared" si="2"/>
        <v>3088</v>
      </c>
      <c r="AI16" s="227">
        <f t="shared" si="2"/>
        <v>3088</v>
      </c>
      <c r="AJ16" s="227">
        <f t="shared" si="2"/>
        <v>3088</v>
      </c>
    </row>
    <row r="17" spans="1:48" s="41" customFormat="1" x14ac:dyDescent="0.25">
      <c r="A17" s="237"/>
      <c r="B17" s="238">
        <f t="shared" ref="B17:AD17" si="3">B18+B19+B20+B21</f>
        <v>73556.777600000001</v>
      </c>
      <c r="C17" s="238">
        <f t="shared" si="3"/>
        <v>73556.777600000001</v>
      </c>
      <c r="D17" s="238">
        <f t="shared" si="3"/>
        <v>73556.777600000001</v>
      </c>
      <c r="E17" s="238">
        <f t="shared" si="3"/>
        <v>73556.777600000001</v>
      </c>
      <c r="F17" s="238">
        <f t="shared" si="3"/>
        <v>73556.777600000001</v>
      </c>
      <c r="G17" s="238">
        <f t="shared" si="3"/>
        <v>73556.777600000001</v>
      </c>
      <c r="H17" s="238">
        <f t="shared" si="3"/>
        <v>73556.777600000001</v>
      </c>
      <c r="I17" s="238">
        <f t="shared" si="3"/>
        <v>73556.777600000001</v>
      </c>
      <c r="J17" s="238">
        <f t="shared" si="3"/>
        <v>73556.777600000001</v>
      </c>
      <c r="K17" s="238">
        <f t="shared" si="3"/>
        <v>73556.777600000001</v>
      </c>
      <c r="L17" s="238">
        <f t="shared" si="3"/>
        <v>73556.777600000001</v>
      </c>
      <c r="M17" s="238">
        <f t="shared" si="3"/>
        <v>73556.777600000001</v>
      </c>
      <c r="N17" s="238">
        <f t="shared" si="3"/>
        <v>73556.777600000001</v>
      </c>
      <c r="O17" s="238">
        <f t="shared" si="3"/>
        <v>73556.777600000001</v>
      </c>
      <c r="P17" s="238">
        <f t="shared" si="3"/>
        <v>73556.777600000001</v>
      </c>
      <c r="Q17" s="238">
        <f t="shared" si="3"/>
        <v>73556.777600000001</v>
      </c>
      <c r="R17" s="238">
        <f t="shared" si="3"/>
        <v>68746.600000000006</v>
      </c>
      <c r="S17" s="238">
        <f t="shared" si="3"/>
        <v>68746.600000000006</v>
      </c>
      <c r="T17" s="238">
        <f t="shared" si="3"/>
        <v>68746.600000000006</v>
      </c>
      <c r="U17" s="238">
        <f t="shared" si="3"/>
        <v>68746.600000000006</v>
      </c>
      <c r="V17" s="238">
        <f t="shared" si="3"/>
        <v>68746.600000000006</v>
      </c>
      <c r="W17" s="238">
        <f t="shared" si="3"/>
        <v>68746.600000000006</v>
      </c>
      <c r="X17" s="238">
        <f t="shared" si="3"/>
        <v>68746.600000000006</v>
      </c>
      <c r="Y17" s="238">
        <f t="shared" si="3"/>
        <v>68746.600000000006</v>
      </c>
      <c r="Z17" s="238">
        <f t="shared" si="3"/>
        <v>68746.600000000006</v>
      </c>
      <c r="AA17" s="238">
        <f t="shared" si="3"/>
        <v>68746.600000000006</v>
      </c>
      <c r="AB17" s="238">
        <f t="shared" si="3"/>
        <v>68746.600000000006</v>
      </c>
      <c r="AC17" s="238">
        <f t="shared" si="3"/>
        <v>68746.600000000006</v>
      </c>
      <c r="AD17" s="238">
        <f t="shared" si="3"/>
        <v>68746.600000000006</v>
      </c>
      <c r="AE17" s="238"/>
      <c r="AF17" s="238"/>
      <c r="AG17" s="238"/>
      <c r="AH17" s="238"/>
      <c r="AI17" s="238"/>
    </row>
    <row r="18" spans="1:48" x14ac:dyDescent="0.25">
      <c r="A18" s="228" t="s">
        <v>502</v>
      </c>
      <c r="B18" s="229">
        <f>B16*$N$4</f>
        <v>41657.120000000003</v>
      </c>
      <c r="C18" s="229">
        <f t="shared" ref="C18:Q18" si="4">C16*$N$4</f>
        <v>41657.120000000003</v>
      </c>
      <c r="D18" s="229">
        <f t="shared" si="4"/>
        <v>41657.120000000003</v>
      </c>
      <c r="E18" s="229">
        <f t="shared" si="4"/>
        <v>41657.120000000003</v>
      </c>
      <c r="F18" s="229">
        <f t="shared" si="4"/>
        <v>41657.120000000003</v>
      </c>
      <c r="G18" s="229">
        <f t="shared" si="4"/>
        <v>41657.120000000003</v>
      </c>
      <c r="H18" s="229">
        <f t="shared" si="4"/>
        <v>41657.120000000003</v>
      </c>
      <c r="I18" s="229">
        <f t="shared" si="4"/>
        <v>41657.120000000003</v>
      </c>
      <c r="J18" s="229">
        <f t="shared" si="4"/>
        <v>41657.120000000003</v>
      </c>
      <c r="K18" s="229">
        <f t="shared" si="4"/>
        <v>41657.120000000003</v>
      </c>
      <c r="L18" s="229">
        <f t="shared" si="4"/>
        <v>41657.120000000003</v>
      </c>
      <c r="M18" s="229">
        <f t="shared" si="4"/>
        <v>41657.120000000003</v>
      </c>
      <c r="N18" s="229">
        <f t="shared" si="4"/>
        <v>41657.120000000003</v>
      </c>
      <c r="O18" s="229">
        <f t="shared" si="4"/>
        <v>41657.120000000003</v>
      </c>
      <c r="P18" s="229">
        <f t="shared" si="4"/>
        <v>41657.120000000003</v>
      </c>
      <c r="Q18" s="229">
        <f t="shared" si="4"/>
        <v>41657.120000000003</v>
      </c>
      <c r="R18" s="229">
        <f t="shared" ref="R18:AK18" si="5">R16*$N$5</f>
        <v>39341.120000000003</v>
      </c>
      <c r="S18" s="229">
        <f t="shared" si="5"/>
        <v>39341.120000000003</v>
      </c>
      <c r="T18" s="229">
        <f t="shared" si="5"/>
        <v>39341.120000000003</v>
      </c>
      <c r="U18" s="229">
        <f t="shared" si="5"/>
        <v>39341.120000000003</v>
      </c>
      <c r="V18" s="229">
        <f t="shared" si="5"/>
        <v>39341.120000000003</v>
      </c>
      <c r="W18" s="229">
        <f t="shared" si="5"/>
        <v>39341.120000000003</v>
      </c>
      <c r="X18" s="229">
        <f t="shared" si="5"/>
        <v>39341.120000000003</v>
      </c>
      <c r="Y18" s="229">
        <f t="shared" si="5"/>
        <v>39341.120000000003</v>
      </c>
      <c r="Z18" s="229">
        <f t="shared" si="5"/>
        <v>39341.120000000003</v>
      </c>
      <c r="AA18" s="229">
        <f t="shared" si="5"/>
        <v>39341.120000000003</v>
      </c>
      <c r="AB18" s="229">
        <f t="shared" si="5"/>
        <v>39341.120000000003</v>
      </c>
      <c r="AC18" s="229">
        <f t="shared" si="5"/>
        <v>39341.120000000003</v>
      </c>
      <c r="AD18" s="229">
        <f t="shared" si="5"/>
        <v>39341.120000000003</v>
      </c>
      <c r="AE18" s="229">
        <f t="shared" si="5"/>
        <v>39341.120000000003</v>
      </c>
      <c r="AF18" s="229">
        <f t="shared" si="5"/>
        <v>39341.120000000003</v>
      </c>
      <c r="AG18" s="229">
        <f t="shared" si="5"/>
        <v>39341.120000000003</v>
      </c>
      <c r="AH18" s="229">
        <f t="shared" si="5"/>
        <v>39341.120000000003</v>
      </c>
      <c r="AI18" s="229">
        <f t="shared" si="5"/>
        <v>39341.120000000003</v>
      </c>
      <c r="AJ18" s="229">
        <f t="shared" si="5"/>
        <v>39341.120000000003</v>
      </c>
      <c r="AK18" s="229">
        <f t="shared" si="5"/>
        <v>0</v>
      </c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</row>
    <row r="19" spans="1:48" x14ac:dyDescent="0.25">
      <c r="A19" s="228" t="s">
        <v>503</v>
      </c>
      <c r="B19" s="229">
        <f>B16*$O$4</f>
        <v>16181.12</v>
      </c>
      <c r="C19" s="229">
        <f t="shared" ref="C19:Q19" si="6">C16*$O$4</f>
        <v>16181.12</v>
      </c>
      <c r="D19" s="229">
        <f t="shared" si="6"/>
        <v>16181.12</v>
      </c>
      <c r="E19" s="229">
        <f t="shared" si="6"/>
        <v>16181.12</v>
      </c>
      <c r="F19" s="229">
        <f t="shared" si="6"/>
        <v>16181.12</v>
      </c>
      <c r="G19" s="229">
        <f t="shared" si="6"/>
        <v>16181.12</v>
      </c>
      <c r="H19" s="229">
        <f t="shared" si="6"/>
        <v>16181.12</v>
      </c>
      <c r="I19" s="229">
        <f t="shared" si="6"/>
        <v>16181.12</v>
      </c>
      <c r="J19" s="229">
        <f t="shared" si="6"/>
        <v>16181.12</v>
      </c>
      <c r="K19" s="229">
        <f t="shared" si="6"/>
        <v>16181.12</v>
      </c>
      <c r="L19" s="229">
        <f t="shared" si="6"/>
        <v>16181.12</v>
      </c>
      <c r="M19" s="229">
        <f t="shared" si="6"/>
        <v>16181.12</v>
      </c>
      <c r="N19" s="229">
        <f t="shared" si="6"/>
        <v>16181.12</v>
      </c>
      <c r="O19" s="229">
        <f t="shared" si="6"/>
        <v>16181.12</v>
      </c>
      <c r="P19" s="229">
        <f t="shared" si="6"/>
        <v>16181.12</v>
      </c>
      <c r="Q19" s="229">
        <f t="shared" si="6"/>
        <v>16181.12</v>
      </c>
      <c r="R19" s="229">
        <f t="shared" ref="R19:AK19" si="7">R16*$O$5</f>
        <v>15100.32</v>
      </c>
      <c r="S19" s="229">
        <f t="shared" si="7"/>
        <v>15100.32</v>
      </c>
      <c r="T19" s="229">
        <f t="shared" si="7"/>
        <v>15100.32</v>
      </c>
      <c r="U19" s="229">
        <f t="shared" si="7"/>
        <v>15100.32</v>
      </c>
      <c r="V19" s="229">
        <f t="shared" si="7"/>
        <v>15100.32</v>
      </c>
      <c r="W19" s="229">
        <f t="shared" si="7"/>
        <v>15100.32</v>
      </c>
      <c r="X19" s="229">
        <f t="shared" si="7"/>
        <v>15100.32</v>
      </c>
      <c r="Y19" s="229">
        <f t="shared" si="7"/>
        <v>15100.32</v>
      </c>
      <c r="Z19" s="229">
        <f t="shared" si="7"/>
        <v>15100.32</v>
      </c>
      <c r="AA19" s="229">
        <f t="shared" si="7"/>
        <v>15100.32</v>
      </c>
      <c r="AB19" s="229">
        <f t="shared" si="7"/>
        <v>15100.32</v>
      </c>
      <c r="AC19" s="229">
        <f t="shared" si="7"/>
        <v>15100.32</v>
      </c>
      <c r="AD19" s="229">
        <f t="shared" si="7"/>
        <v>15100.32</v>
      </c>
      <c r="AE19" s="229">
        <f t="shared" si="7"/>
        <v>15100.32</v>
      </c>
      <c r="AF19" s="229">
        <f t="shared" si="7"/>
        <v>15100.32</v>
      </c>
      <c r="AG19" s="229">
        <f t="shared" si="7"/>
        <v>15100.32</v>
      </c>
      <c r="AH19" s="229">
        <f t="shared" si="7"/>
        <v>15100.32</v>
      </c>
      <c r="AI19" s="229">
        <f t="shared" si="7"/>
        <v>15100.32</v>
      </c>
      <c r="AJ19" s="229">
        <f t="shared" si="7"/>
        <v>15100.32</v>
      </c>
      <c r="AK19" s="229">
        <f t="shared" si="7"/>
        <v>0</v>
      </c>
    </row>
    <row r="20" spans="1:48" x14ac:dyDescent="0.25">
      <c r="A20" s="228" t="s">
        <v>504</v>
      </c>
      <c r="B20" s="229">
        <f>B16*$P$4</f>
        <v>13958.3776</v>
      </c>
      <c r="C20" s="229">
        <f t="shared" ref="C20:Q20" si="8">C16*$P$4</f>
        <v>13958.3776</v>
      </c>
      <c r="D20" s="229">
        <f t="shared" si="8"/>
        <v>13958.3776</v>
      </c>
      <c r="E20" s="229">
        <f t="shared" si="8"/>
        <v>13958.3776</v>
      </c>
      <c r="F20" s="229">
        <f t="shared" si="8"/>
        <v>13958.3776</v>
      </c>
      <c r="G20" s="229">
        <f t="shared" si="8"/>
        <v>13958.3776</v>
      </c>
      <c r="H20" s="229">
        <f t="shared" si="8"/>
        <v>13958.3776</v>
      </c>
      <c r="I20" s="229">
        <f t="shared" si="8"/>
        <v>13958.3776</v>
      </c>
      <c r="J20" s="229">
        <f t="shared" si="8"/>
        <v>13958.3776</v>
      </c>
      <c r="K20" s="229">
        <f t="shared" si="8"/>
        <v>13958.3776</v>
      </c>
      <c r="L20" s="229">
        <f t="shared" si="8"/>
        <v>13958.3776</v>
      </c>
      <c r="M20" s="229">
        <f t="shared" si="8"/>
        <v>13958.3776</v>
      </c>
      <c r="N20" s="229">
        <f t="shared" si="8"/>
        <v>13958.3776</v>
      </c>
      <c r="O20" s="229">
        <f t="shared" si="8"/>
        <v>13958.3776</v>
      </c>
      <c r="P20" s="229">
        <f t="shared" si="8"/>
        <v>13958.3776</v>
      </c>
      <c r="Q20" s="229">
        <f t="shared" si="8"/>
        <v>13958.3776</v>
      </c>
      <c r="R20" s="229">
        <f t="shared" ref="R20:AK20" si="9">R16*$P$5</f>
        <v>12730.279999999999</v>
      </c>
      <c r="S20" s="229">
        <f t="shared" si="9"/>
        <v>12730.279999999999</v>
      </c>
      <c r="T20" s="229">
        <f t="shared" si="9"/>
        <v>12730.279999999999</v>
      </c>
      <c r="U20" s="229">
        <f t="shared" si="9"/>
        <v>12730.279999999999</v>
      </c>
      <c r="V20" s="229">
        <f t="shared" si="9"/>
        <v>12730.279999999999</v>
      </c>
      <c r="W20" s="229">
        <f t="shared" si="9"/>
        <v>12730.279999999999</v>
      </c>
      <c r="X20" s="229">
        <f t="shared" si="9"/>
        <v>12730.279999999999</v>
      </c>
      <c r="Y20" s="229">
        <f t="shared" si="9"/>
        <v>12730.279999999999</v>
      </c>
      <c r="Z20" s="229">
        <f t="shared" si="9"/>
        <v>12730.279999999999</v>
      </c>
      <c r="AA20" s="229">
        <f t="shared" si="9"/>
        <v>12730.279999999999</v>
      </c>
      <c r="AB20" s="229">
        <f t="shared" si="9"/>
        <v>12730.279999999999</v>
      </c>
      <c r="AC20" s="229">
        <f t="shared" si="9"/>
        <v>12730.279999999999</v>
      </c>
      <c r="AD20" s="229">
        <f t="shared" si="9"/>
        <v>12730.279999999999</v>
      </c>
      <c r="AE20" s="229">
        <f t="shared" si="9"/>
        <v>12730.279999999999</v>
      </c>
      <c r="AF20" s="229">
        <f t="shared" si="9"/>
        <v>12730.279999999999</v>
      </c>
      <c r="AG20" s="229">
        <f t="shared" si="9"/>
        <v>12730.279999999999</v>
      </c>
      <c r="AH20" s="229">
        <f t="shared" si="9"/>
        <v>12730.279999999999</v>
      </c>
      <c r="AI20" s="229">
        <f t="shared" si="9"/>
        <v>12730.279999999999</v>
      </c>
      <c r="AJ20" s="229">
        <f t="shared" si="9"/>
        <v>12730.279999999999</v>
      </c>
      <c r="AK20" s="229">
        <f t="shared" si="9"/>
        <v>0</v>
      </c>
    </row>
    <row r="21" spans="1:48" x14ac:dyDescent="0.25">
      <c r="A21" s="228" t="s">
        <v>505</v>
      </c>
      <c r="B21" s="229">
        <f>B16*$Q$4</f>
        <v>1760.1599999999999</v>
      </c>
      <c r="C21" s="229">
        <f t="shared" ref="C21:Q21" si="10">C16*$Q$4</f>
        <v>1760.1599999999999</v>
      </c>
      <c r="D21" s="229">
        <f t="shared" si="10"/>
        <v>1760.1599999999999</v>
      </c>
      <c r="E21" s="229">
        <f t="shared" si="10"/>
        <v>1760.1599999999999</v>
      </c>
      <c r="F21" s="229">
        <f t="shared" si="10"/>
        <v>1760.1599999999999</v>
      </c>
      <c r="G21" s="229">
        <f t="shared" si="10"/>
        <v>1760.1599999999999</v>
      </c>
      <c r="H21" s="229">
        <f t="shared" si="10"/>
        <v>1760.1599999999999</v>
      </c>
      <c r="I21" s="229">
        <f t="shared" si="10"/>
        <v>1760.1599999999999</v>
      </c>
      <c r="J21" s="229">
        <f t="shared" si="10"/>
        <v>1760.1599999999999</v>
      </c>
      <c r="K21" s="229">
        <f t="shared" si="10"/>
        <v>1760.1599999999999</v>
      </c>
      <c r="L21" s="229">
        <f t="shared" si="10"/>
        <v>1760.1599999999999</v>
      </c>
      <c r="M21" s="229">
        <f t="shared" si="10"/>
        <v>1760.1599999999999</v>
      </c>
      <c r="N21" s="229">
        <f t="shared" si="10"/>
        <v>1760.1599999999999</v>
      </c>
      <c r="O21" s="229">
        <f t="shared" si="10"/>
        <v>1760.1599999999999</v>
      </c>
      <c r="P21" s="229">
        <f t="shared" si="10"/>
        <v>1760.1599999999999</v>
      </c>
      <c r="Q21" s="229">
        <f t="shared" si="10"/>
        <v>1760.1599999999999</v>
      </c>
      <c r="R21" s="229">
        <f t="shared" ref="R21:AK21" si="11">R16*$Q$5</f>
        <v>1574.88</v>
      </c>
      <c r="S21" s="229">
        <f t="shared" si="11"/>
        <v>1574.88</v>
      </c>
      <c r="T21" s="229">
        <f t="shared" si="11"/>
        <v>1574.88</v>
      </c>
      <c r="U21" s="229">
        <f t="shared" si="11"/>
        <v>1574.88</v>
      </c>
      <c r="V21" s="229">
        <f t="shared" si="11"/>
        <v>1574.88</v>
      </c>
      <c r="W21" s="229">
        <f t="shared" si="11"/>
        <v>1574.88</v>
      </c>
      <c r="X21" s="229">
        <f t="shared" si="11"/>
        <v>1574.88</v>
      </c>
      <c r="Y21" s="229">
        <f t="shared" si="11"/>
        <v>1574.88</v>
      </c>
      <c r="Z21" s="229">
        <f t="shared" si="11"/>
        <v>1574.88</v>
      </c>
      <c r="AA21" s="229">
        <f t="shared" si="11"/>
        <v>1574.88</v>
      </c>
      <c r="AB21" s="229">
        <f t="shared" si="11"/>
        <v>1574.88</v>
      </c>
      <c r="AC21" s="229">
        <f t="shared" si="11"/>
        <v>1574.88</v>
      </c>
      <c r="AD21" s="229">
        <f t="shared" si="11"/>
        <v>1574.88</v>
      </c>
      <c r="AE21" s="229">
        <f t="shared" si="11"/>
        <v>1574.88</v>
      </c>
      <c r="AF21" s="229">
        <f t="shared" si="11"/>
        <v>1574.88</v>
      </c>
      <c r="AG21" s="229">
        <f t="shared" si="11"/>
        <v>1574.88</v>
      </c>
      <c r="AH21" s="229">
        <f t="shared" si="11"/>
        <v>1574.88</v>
      </c>
      <c r="AI21" s="229">
        <f t="shared" si="11"/>
        <v>1574.88</v>
      </c>
      <c r="AJ21" s="229">
        <f t="shared" si="11"/>
        <v>1574.88</v>
      </c>
      <c r="AK21" s="229">
        <f t="shared" si="11"/>
        <v>0</v>
      </c>
    </row>
    <row r="22" spans="1:48" x14ac:dyDescent="0.25">
      <c r="A22" s="228" t="s">
        <v>506</v>
      </c>
      <c r="B22" s="229">
        <f t="shared" ref="B22:AD22" si="12">MIN(B$18,$C$4)</f>
        <v>41656</v>
      </c>
      <c r="C22" s="229">
        <f t="shared" si="12"/>
        <v>41656</v>
      </c>
      <c r="D22" s="229">
        <f t="shared" si="12"/>
        <v>41656</v>
      </c>
      <c r="E22" s="229">
        <f t="shared" si="12"/>
        <v>41656</v>
      </c>
      <c r="F22" s="229">
        <f t="shared" si="12"/>
        <v>41656</v>
      </c>
      <c r="G22" s="229">
        <f t="shared" si="12"/>
        <v>41656</v>
      </c>
      <c r="H22" s="229">
        <f t="shared" si="12"/>
        <v>41656</v>
      </c>
      <c r="I22" s="229">
        <f t="shared" si="12"/>
        <v>41656</v>
      </c>
      <c r="J22" s="229">
        <f t="shared" si="12"/>
        <v>41656</v>
      </c>
      <c r="K22" s="229">
        <f t="shared" si="12"/>
        <v>41656</v>
      </c>
      <c r="L22" s="229">
        <f t="shared" si="12"/>
        <v>41656</v>
      </c>
      <c r="M22" s="229">
        <f t="shared" si="12"/>
        <v>41656</v>
      </c>
      <c r="N22" s="229">
        <f t="shared" si="12"/>
        <v>41656</v>
      </c>
      <c r="O22" s="229">
        <f t="shared" si="12"/>
        <v>41656</v>
      </c>
      <c r="P22" s="229">
        <f t="shared" si="12"/>
        <v>41656</v>
      </c>
      <c r="Q22" s="229">
        <f t="shared" si="12"/>
        <v>41656</v>
      </c>
      <c r="R22" s="229">
        <f t="shared" si="12"/>
        <v>39341.120000000003</v>
      </c>
      <c r="S22" s="229">
        <f t="shared" si="12"/>
        <v>39341.120000000003</v>
      </c>
      <c r="T22" s="229">
        <f t="shared" si="12"/>
        <v>39341.120000000003</v>
      </c>
      <c r="U22" s="229">
        <f t="shared" si="12"/>
        <v>39341.120000000003</v>
      </c>
      <c r="V22" s="229">
        <f t="shared" si="12"/>
        <v>39341.120000000003</v>
      </c>
      <c r="W22" s="229">
        <f t="shared" si="12"/>
        <v>39341.120000000003</v>
      </c>
      <c r="X22" s="229">
        <f t="shared" si="12"/>
        <v>39341.120000000003</v>
      </c>
      <c r="Y22" s="229">
        <f t="shared" si="12"/>
        <v>39341.120000000003</v>
      </c>
      <c r="Z22" s="229">
        <f t="shared" si="12"/>
        <v>39341.120000000003</v>
      </c>
      <c r="AA22" s="229">
        <f t="shared" si="12"/>
        <v>39341.120000000003</v>
      </c>
      <c r="AB22" s="229">
        <f t="shared" si="12"/>
        <v>39341.120000000003</v>
      </c>
      <c r="AC22" s="229">
        <f t="shared" si="12"/>
        <v>39341.120000000003</v>
      </c>
      <c r="AD22" s="229">
        <f t="shared" si="12"/>
        <v>39341.120000000003</v>
      </c>
      <c r="AE22" s="229"/>
      <c r="AF22" s="229"/>
      <c r="AG22" s="229"/>
      <c r="AH22" s="229"/>
      <c r="AI22" s="229"/>
    </row>
    <row r="23" spans="1:48" x14ac:dyDescent="0.25">
      <c r="A23" s="228" t="s">
        <v>507</v>
      </c>
      <c r="B23" s="229">
        <f t="shared" ref="B23:AD23" si="13">MIN(B$19,$C$5)</f>
        <v>16181</v>
      </c>
      <c r="C23" s="229">
        <f t="shared" si="13"/>
        <v>16181</v>
      </c>
      <c r="D23" s="229">
        <f t="shared" si="13"/>
        <v>16181</v>
      </c>
      <c r="E23" s="229">
        <f t="shared" si="13"/>
        <v>16181</v>
      </c>
      <c r="F23" s="229">
        <f t="shared" si="13"/>
        <v>16181</v>
      </c>
      <c r="G23" s="229">
        <f t="shared" si="13"/>
        <v>16181</v>
      </c>
      <c r="H23" s="229">
        <f t="shared" si="13"/>
        <v>16181</v>
      </c>
      <c r="I23" s="229">
        <f t="shared" si="13"/>
        <v>16181</v>
      </c>
      <c r="J23" s="229">
        <f t="shared" si="13"/>
        <v>16181</v>
      </c>
      <c r="K23" s="229">
        <f t="shared" si="13"/>
        <v>16181</v>
      </c>
      <c r="L23" s="229">
        <f t="shared" si="13"/>
        <v>16181</v>
      </c>
      <c r="M23" s="229">
        <f t="shared" si="13"/>
        <v>16181</v>
      </c>
      <c r="N23" s="229">
        <f t="shared" si="13"/>
        <v>16181</v>
      </c>
      <c r="O23" s="229">
        <f t="shared" si="13"/>
        <v>16181</v>
      </c>
      <c r="P23" s="229">
        <f t="shared" si="13"/>
        <v>16181</v>
      </c>
      <c r="Q23" s="229">
        <f t="shared" si="13"/>
        <v>16181</v>
      </c>
      <c r="R23" s="229">
        <f t="shared" si="13"/>
        <v>15100.32</v>
      </c>
      <c r="S23" s="229">
        <f t="shared" si="13"/>
        <v>15100.32</v>
      </c>
      <c r="T23" s="229">
        <f t="shared" si="13"/>
        <v>15100.32</v>
      </c>
      <c r="U23" s="229">
        <f t="shared" si="13"/>
        <v>15100.32</v>
      </c>
      <c r="V23" s="229">
        <f t="shared" si="13"/>
        <v>15100.32</v>
      </c>
      <c r="W23" s="229">
        <f t="shared" si="13"/>
        <v>15100.32</v>
      </c>
      <c r="X23" s="229">
        <f t="shared" si="13"/>
        <v>15100.32</v>
      </c>
      <c r="Y23" s="229">
        <f t="shared" si="13"/>
        <v>15100.32</v>
      </c>
      <c r="Z23" s="229">
        <f t="shared" si="13"/>
        <v>15100.32</v>
      </c>
      <c r="AA23" s="229">
        <f t="shared" si="13"/>
        <v>15100.32</v>
      </c>
      <c r="AB23" s="229">
        <f t="shared" si="13"/>
        <v>15100.32</v>
      </c>
      <c r="AC23" s="229">
        <f t="shared" si="13"/>
        <v>15100.32</v>
      </c>
      <c r="AD23" s="229">
        <f t="shared" si="13"/>
        <v>15100.32</v>
      </c>
      <c r="AE23" s="229"/>
      <c r="AF23" s="229"/>
      <c r="AG23" s="229"/>
      <c r="AH23" s="229"/>
      <c r="AI23" s="229"/>
    </row>
    <row r="24" spans="1:48" x14ac:dyDescent="0.25">
      <c r="A24" s="228" t="s">
        <v>508</v>
      </c>
      <c r="B24" s="229">
        <f t="shared" ref="B24:AD24" si="14">MIN(B$20,$C$6)</f>
        <v>13958</v>
      </c>
      <c r="C24" s="229">
        <f t="shared" si="14"/>
        <v>13958</v>
      </c>
      <c r="D24" s="229">
        <f t="shared" si="14"/>
        <v>13958</v>
      </c>
      <c r="E24" s="229">
        <f t="shared" si="14"/>
        <v>13958</v>
      </c>
      <c r="F24" s="229">
        <f t="shared" si="14"/>
        <v>13958</v>
      </c>
      <c r="G24" s="229">
        <f t="shared" si="14"/>
        <v>13958</v>
      </c>
      <c r="H24" s="229">
        <f t="shared" si="14"/>
        <v>13958</v>
      </c>
      <c r="I24" s="229">
        <f t="shared" si="14"/>
        <v>13958</v>
      </c>
      <c r="J24" s="229">
        <f t="shared" si="14"/>
        <v>13958</v>
      </c>
      <c r="K24" s="229">
        <f t="shared" si="14"/>
        <v>13958</v>
      </c>
      <c r="L24" s="229">
        <f t="shared" si="14"/>
        <v>13958</v>
      </c>
      <c r="M24" s="229">
        <f t="shared" si="14"/>
        <v>13958</v>
      </c>
      <c r="N24" s="229">
        <f t="shared" si="14"/>
        <v>13958</v>
      </c>
      <c r="O24" s="229">
        <f t="shared" si="14"/>
        <v>13958</v>
      </c>
      <c r="P24" s="229">
        <f t="shared" si="14"/>
        <v>13958</v>
      </c>
      <c r="Q24" s="229">
        <f t="shared" si="14"/>
        <v>13958</v>
      </c>
      <c r="R24" s="229">
        <f t="shared" si="14"/>
        <v>12730.279999999999</v>
      </c>
      <c r="S24" s="229">
        <f t="shared" si="14"/>
        <v>12730.279999999999</v>
      </c>
      <c r="T24" s="229">
        <f t="shared" si="14"/>
        <v>12730.279999999999</v>
      </c>
      <c r="U24" s="229">
        <f t="shared" si="14"/>
        <v>12730.279999999999</v>
      </c>
      <c r="V24" s="229">
        <f t="shared" si="14"/>
        <v>12730.279999999999</v>
      </c>
      <c r="W24" s="229">
        <f t="shared" si="14"/>
        <v>12730.279999999999</v>
      </c>
      <c r="X24" s="229">
        <f t="shared" si="14"/>
        <v>12730.279999999999</v>
      </c>
      <c r="Y24" s="229">
        <f t="shared" si="14"/>
        <v>12730.279999999999</v>
      </c>
      <c r="Z24" s="229">
        <f t="shared" si="14"/>
        <v>12730.279999999999</v>
      </c>
      <c r="AA24" s="229">
        <f t="shared" si="14"/>
        <v>12730.279999999999</v>
      </c>
      <c r="AB24" s="229">
        <f t="shared" si="14"/>
        <v>12730.279999999999</v>
      </c>
      <c r="AC24" s="229">
        <f t="shared" si="14"/>
        <v>12730.279999999999</v>
      </c>
      <c r="AD24" s="229">
        <f t="shared" si="14"/>
        <v>12730.279999999999</v>
      </c>
      <c r="AE24" s="229"/>
      <c r="AF24" s="229"/>
      <c r="AG24" s="229"/>
      <c r="AH24" s="229"/>
      <c r="AI24" s="229"/>
    </row>
    <row r="25" spans="1:48" x14ac:dyDescent="0.25">
      <c r="A25" s="228" t="s">
        <v>509</v>
      </c>
      <c r="B25" s="229">
        <f t="shared" ref="B25:AD25" si="15">MIN(B$21,$C$7)</f>
        <v>1760</v>
      </c>
      <c r="C25" s="229">
        <f t="shared" si="15"/>
        <v>1760</v>
      </c>
      <c r="D25" s="229">
        <f t="shared" si="15"/>
        <v>1760</v>
      </c>
      <c r="E25" s="229">
        <f t="shared" si="15"/>
        <v>1760</v>
      </c>
      <c r="F25" s="229">
        <f t="shared" si="15"/>
        <v>1760</v>
      </c>
      <c r="G25" s="229">
        <f t="shared" si="15"/>
        <v>1760</v>
      </c>
      <c r="H25" s="229">
        <f t="shared" si="15"/>
        <v>1760</v>
      </c>
      <c r="I25" s="229">
        <f t="shared" si="15"/>
        <v>1760</v>
      </c>
      <c r="J25" s="229">
        <f t="shared" si="15"/>
        <v>1760</v>
      </c>
      <c r="K25" s="229">
        <f t="shared" si="15"/>
        <v>1760</v>
      </c>
      <c r="L25" s="229">
        <f t="shared" si="15"/>
        <v>1760</v>
      </c>
      <c r="M25" s="229">
        <f t="shared" si="15"/>
        <v>1760</v>
      </c>
      <c r="N25" s="229">
        <f t="shared" si="15"/>
        <v>1760</v>
      </c>
      <c r="O25" s="229">
        <f t="shared" si="15"/>
        <v>1760</v>
      </c>
      <c r="P25" s="229">
        <f t="shared" si="15"/>
        <v>1760</v>
      </c>
      <c r="Q25" s="229">
        <f t="shared" si="15"/>
        <v>1760</v>
      </c>
      <c r="R25" s="229">
        <f t="shared" si="15"/>
        <v>1574.88</v>
      </c>
      <c r="S25" s="229">
        <f t="shared" si="15"/>
        <v>1574.88</v>
      </c>
      <c r="T25" s="229">
        <f t="shared" si="15"/>
        <v>1574.88</v>
      </c>
      <c r="U25" s="229">
        <f t="shared" si="15"/>
        <v>1574.88</v>
      </c>
      <c r="V25" s="229">
        <f t="shared" si="15"/>
        <v>1574.88</v>
      </c>
      <c r="W25" s="229">
        <f t="shared" si="15"/>
        <v>1574.88</v>
      </c>
      <c r="X25" s="229">
        <f t="shared" si="15"/>
        <v>1574.88</v>
      </c>
      <c r="Y25" s="229">
        <f t="shared" si="15"/>
        <v>1574.88</v>
      </c>
      <c r="Z25" s="229">
        <f t="shared" si="15"/>
        <v>1574.88</v>
      </c>
      <c r="AA25" s="229">
        <f t="shared" si="15"/>
        <v>1574.88</v>
      </c>
      <c r="AB25" s="229">
        <f t="shared" si="15"/>
        <v>1574.88</v>
      </c>
      <c r="AC25" s="229">
        <f t="shared" si="15"/>
        <v>1574.88</v>
      </c>
      <c r="AD25" s="229">
        <f t="shared" si="15"/>
        <v>1574.88</v>
      </c>
      <c r="AE25" s="229"/>
      <c r="AF25" s="229"/>
      <c r="AG25" s="229"/>
      <c r="AH25" s="229"/>
      <c r="AI25" s="229"/>
    </row>
    <row r="26" spans="1:48" x14ac:dyDescent="0.25">
      <c r="A26" s="230" t="s">
        <v>510</v>
      </c>
      <c r="B26" s="231">
        <f>IF(B22&gt;$B$4,(B22-$B$4)*$H$4,0)</f>
        <v>16205</v>
      </c>
      <c r="C26" s="231">
        <v>0</v>
      </c>
      <c r="D26" s="231">
        <f>IF(D22&gt;$B$4,(D22-$B$4)*$H$4,0)</f>
        <v>16205</v>
      </c>
      <c r="E26" s="231">
        <v>0</v>
      </c>
      <c r="F26" s="231">
        <f>IF(F22&gt;$B$4,(F22-$B$4)*$H$4,0)</f>
        <v>16205</v>
      </c>
      <c r="G26" s="231">
        <v>0</v>
      </c>
      <c r="H26" s="231">
        <f>IF(H22&gt;$B$4,(H22-$B$4)*$H$4,0)</f>
        <v>16205</v>
      </c>
      <c r="I26" s="231">
        <v>0</v>
      </c>
      <c r="J26" s="231">
        <f>IF(J22&gt;$B$4,(J22-$B$4)*$H$4,0)</f>
        <v>16205</v>
      </c>
      <c r="K26" s="231">
        <v>0</v>
      </c>
      <c r="L26" s="231">
        <f>IF(L22&gt;$B$4,(L22-$B$4)*$H$4,0)</f>
        <v>16205</v>
      </c>
      <c r="M26" s="231">
        <v>0</v>
      </c>
      <c r="N26" s="231">
        <f>IF(N22&gt;$B$4,(N22-$B$4)*$H$4,0)</f>
        <v>16205</v>
      </c>
      <c r="O26" s="231">
        <v>0</v>
      </c>
      <c r="P26" s="231">
        <f>IF(P22&gt;$B$4,(P22-$B$4)*$H$4,0)</f>
        <v>16205</v>
      </c>
      <c r="Q26" s="231">
        <v>0</v>
      </c>
      <c r="R26" s="231">
        <f>IF(R22&gt;$B$4,(R22-$B$4)*$H$4,0)</f>
        <v>0.84000000001833541</v>
      </c>
      <c r="S26" s="231">
        <v>0</v>
      </c>
      <c r="T26" s="231">
        <f>IF(T22&gt;$B$4,(T22-$B$4)*$H$4,0)</f>
        <v>0.84000000001833541</v>
      </c>
      <c r="U26" s="231">
        <v>0</v>
      </c>
      <c r="V26" s="231">
        <f>IF(V22&gt;$B$4,(V22-$B$4)*$H$4,0)</f>
        <v>0.84000000001833541</v>
      </c>
      <c r="W26" s="231">
        <v>0</v>
      </c>
      <c r="X26" s="231">
        <f>IF(X22&gt;$B$4,(X22-$B$4)*$H$4,0)</f>
        <v>0.84000000001833541</v>
      </c>
      <c r="Y26" s="231">
        <v>0</v>
      </c>
      <c r="Z26" s="231">
        <f>IF(Z22&gt;$B$4,(Z22-$B$4)*$H$4,0)</f>
        <v>0.84000000001833541</v>
      </c>
      <c r="AA26" s="231">
        <v>0</v>
      </c>
      <c r="AB26" s="231">
        <f>IF(AB22&gt;$B$4,(AB22-$B$4)*$H$4,0)</f>
        <v>0.84000000001833541</v>
      </c>
      <c r="AC26" s="231">
        <v>0</v>
      </c>
      <c r="AD26" s="231">
        <f>IF(AD22&gt;$B$4,(AD22-$B$4)*$H$4,0)</f>
        <v>0.84000000001833541</v>
      </c>
      <c r="AE26" s="231">
        <v>0</v>
      </c>
      <c r="AF26" s="231">
        <f>IF(AF22&gt;$B$4,(AF22-$B$4)*$H$4,0)</f>
        <v>0</v>
      </c>
      <c r="AG26" s="231">
        <v>0</v>
      </c>
      <c r="AH26" s="231">
        <f>IF(AH22&gt;$B$4,(AH22-$B$4)*$H$4,0)</f>
        <v>0</v>
      </c>
      <c r="AI26" s="231">
        <v>0</v>
      </c>
      <c r="AJ26" s="231">
        <f>IF(AJ22&gt;$B$4,(AJ22-$B$4)*$H$4,0)</f>
        <v>0</v>
      </c>
      <c r="AK26" s="231">
        <v>0</v>
      </c>
    </row>
    <row r="27" spans="1:48" x14ac:dyDescent="0.25">
      <c r="A27" s="230" t="s">
        <v>511</v>
      </c>
      <c r="B27" s="231">
        <f>IF(B23&gt;$B$5,(B23-$B$5)*$H$5,0)</f>
        <v>10810</v>
      </c>
      <c r="C27" s="231">
        <v>0</v>
      </c>
      <c r="D27" s="231">
        <f>IF(D23&gt;$B$5,(D23-$B$5)*$H$5,0)</f>
        <v>10810</v>
      </c>
      <c r="E27" s="231">
        <v>0</v>
      </c>
      <c r="F27" s="231">
        <f>IF(F23&gt;$B$5,(F23-$B$5)*$H$5,0)</f>
        <v>10810</v>
      </c>
      <c r="G27" s="231">
        <v>0</v>
      </c>
      <c r="H27" s="231">
        <f>IF(H23&gt;$B$5,(H23-$B$5)*$H$5,0)</f>
        <v>10810</v>
      </c>
      <c r="I27" s="231">
        <v>0</v>
      </c>
      <c r="J27" s="231">
        <f>IF(J23&gt;$B$5,(J23-$B$5)*$H$5,0)</f>
        <v>10810</v>
      </c>
      <c r="K27" s="231">
        <v>0</v>
      </c>
      <c r="L27" s="231">
        <f>IF(L23&gt;$B$5,(L23-$B$5)*$H$5,0)</f>
        <v>10810</v>
      </c>
      <c r="M27" s="231">
        <v>0</v>
      </c>
      <c r="N27" s="231">
        <f>IF(N23&gt;$B$5,(N23-$B$5)*$H$5,0)</f>
        <v>10810</v>
      </c>
      <c r="O27" s="231">
        <v>0</v>
      </c>
      <c r="P27" s="231">
        <f>IF(P23&gt;$B$5,(P23-$B$5)*$H$5,0)</f>
        <v>10810</v>
      </c>
      <c r="Q27" s="231">
        <v>0</v>
      </c>
      <c r="R27" s="231">
        <f>IF(R23&gt;$B$5,(R23-$B$5)*$H$5,0)</f>
        <v>3.1999999999970896</v>
      </c>
      <c r="S27" s="231">
        <v>0</v>
      </c>
      <c r="T27" s="231">
        <f>IF(T23&gt;$B$5,(T23-$B$5)*$H$5,0)</f>
        <v>3.1999999999970896</v>
      </c>
      <c r="U27" s="231">
        <v>0</v>
      </c>
      <c r="V27" s="231">
        <f>IF(V23&gt;$B$5,(V23-$B$5)*$H$5,0)</f>
        <v>3.1999999999970896</v>
      </c>
      <c r="W27" s="231">
        <v>0</v>
      </c>
      <c r="X27" s="231">
        <f>IF(X23&gt;$B$5,(X23-$B$5)*$H$5,0)</f>
        <v>3.1999999999970896</v>
      </c>
      <c r="Y27" s="231">
        <v>0</v>
      </c>
      <c r="Z27" s="231">
        <f>IF(Z23&gt;$B$5,(Z23-$B$5)*$H$5,0)</f>
        <v>3.1999999999970896</v>
      </c>
      <c r="AA27" s="231">
        <v>0</v>
      </c>
      <c r="AB27" s="231">
        <f>IF(AB23&gt;$B$5,(AB23-$B$5)*$H$5,0)</f>
        <v>3.1999999999970896</v>
      </c>
      <c r="AC27" s="231">
        <v>0</v>
      </c>
      <c r="AD27" s="231">
        <f>IF(AD23&gt;$B$5,(AD23-$B$5)*$H$5,0)</f>
        <v>3.1999999999970896</v>
      </c>
      <c r="AE27" s="231">
        <v>0</v>
      </c>
      <c r="AF27" s="231">
        <f>IF(AF23&gt;$B$5,(AF23-$B$5)*$H$5,0)</f>
        <v>0</v>
      </c>
      <c r="AG27" s="231">
        <v>0</v>
      </c>
      <c r="AH27" s="231">
        <f>IF(AH23&gt;$B$5,(AH23-$B$5)*$H$5,0)</f>
        <v>0</v>
      </c>
      <c r="AI27" s="231">
        <v>0</v>
      </c>
      <c r="AJ27" s="231">
        <f>IF(AJ23&gt;$B$5,(AJ23-$B$5)*$H$5,0)</f>
        <v>0</v>
      </c>
      <c r="AK27" s="231">
        <v>0</v>
      </c>
    </row>
    <row r="28" spans="1:48" x14ac:dyDescent="0.25">
      <c r="A28" s="230" t="s">
        <v>512</v>
      </c>
      <c r="B28" s="231">
        <f>IF(B24&gt;$B$6,(B24-$B$6)*$H$6,0)</f>
        <v>23332</v>
      </c>
      <c r="C28" s="231">
        <v>0</v>
      </c>
      <c r="D28" s="231">
        <f>IF(D24&gt;$B$6,(D24-$B$6)*$H$6,0)</f>
        <v>23332</v>
      </c>
      <c r="E28" s="231">
        <v>0</v>
      </c>
      <c r="F28" s="231">
        <f>IF(F24&gt;$B$6,(F24-$B$6)*$H$6,0)</f>
        <v>23332</v>
      </c>
      <c r="G28" s="231">
        <v>0</v>
      </c>
      <c r="H28" s="231">
        <f>IF(H24&gt;$B$6,(H24-$B$6)*$H$6,0)</f>
        <v>23332</v>
      </c>
      <c r="I28" s="231">
        <v>0</v>
      </c>
      <c r="J28" s="231">
        <f>IF(J24&gt;$B$6,(J24-$B$6)*$H$6,0)</f>
        <v>23332</v>
      </c>
      <c r="K28" s="231">
        <v>0</v>
      </c>
      <c r="L28" s="231">
        <f>IF(L24&gt;$B$6,(L24-$B$6)*$H$6,0)</f>
        <v>23332</v>
      </c>
      <c r="M28" s="231">
        <v>0</v>
      </c>
      <c r="N28" s="231">
        <f>IF(N24&gt;$B$6,(N24-$B$6)*$H$6,0)</f>
        <v>23332</v>
      </c>
      <c r="O28" s="231">
        <v>0</v>
      </c>
      <c r="P28" s="231">
        <f>IF(P24&gt;$B$6,(P24-$B$6)*$H$6,0)</f>
        <v>23332</v>
      </c>
      <c r="Q28" s="231">
        <v>0</v>
      </c>
      <c r="R28" s="231">
        <f>IF(R24&gt;$B$6,(R24-$B$6)*$H$6,0)</f>
        <v>5.3199999999778811</v>
      </c>
      <c r="S28" s="231">
        <v>0</v>
      </c>
      <c r="T28" s="231">
        <f>IF(T24&gt;$B$6,(T24-$B$6)*$H$6,0)</f>
        <v>5.3199999999778811</v>
      </c>
      <c r="U28" s="231">
        <v>0</v>
      </c>
      <c r="V28" s="231">
        <f>IF(V24&gt;$B$6,(V24-$B$6)*$H$6,0)</f>
        <v>5.3199999999778811</v>
      </c>
      <c r="W28" s="231">
        <v>0</v>
      </c>
      <c r="X28" s="231">
        <f>IF(X24&gt;$B$6,(X24-$B$6)*$H$6,0)</f>
        <v>5.3199999999778811</v>
      </c>
      <c r="Y28" s="231">
        <v>0</v>
      </c>
      <c r="Z28" s="231">
        <f>IF(Z24&gt;$B$6,(Z24-$B$6)*$H$6,0)</f>
        <v>5.3199999999778811</v>
      </c>
      <c r="AA28" s="231">
        <v>0</v>
      </c>
      <c r="AB28" s="231">
        <f>IF(AB24&gt;$B$6,(AB24-$B$6)*$H$6,0)</f>
        <v>5.3199999999778811</v>
      </c>
      <c r="AC28" s="231">
        <v>0</v>
      </c>
      <c r="AD28" s="231">
        <f>IF(AD24&gt;$B$6,(AD24-$B$6)*$H$6,0)</f>
        <v>5.3199999999778811</v>
      </c>
      <c r="AE28" s="231">
        <v>0</v>
      </c>
      <c r="AF28" s="231">
        <f>IF(AF24&gt;$B$6,(AF24-$B$6)*$H$6,0)</f>
        <v>0</v>
      </c>
      <c r="AG28" s="231">
        <v>0</v>
      </c>
      <c r="AH28" s="231">
        <f>IF(AH24&gt;$B$6,(AH24-$B$6)*$H$6,0)</f>
        <v>0</v>
      </c>
      <c r="AI28" s="231">
        <v>0</v>
      </c>
      <c r="AJ28" s="231">
        <f>IF(AJ24&gt;$B$6,(AJ24-$B$6)*$H$6,0)</f>
        <v>0</v>
      </c>
      <c r="AK28" s="231">
        <v>0</v>
      </c>
    </row>
    <row r="29" spans="1:48" x14ac:dyDescent="0.25">
      <c r="A29" s="230" t="s">
        <v>513</v>
      </c>
      <c r="B29" s="231">
        <f>IF(B25&gt;$B$7,(B25-$B$7)*$H$7,0)</f>
        <v>6475</v>
      </c>
      <c r="C29" s="231">
        <v>0</v>
      </c>
      <c r="D29" s="231">
        <f>IF(D25&gt;$B$7,(D25-$B$7)*$H$7,0)</f>
        <v>6475</v>
      </c>
      <c r="E29" s="231">
        <v>0</v>
      </c>
      <c r="F29" s="231">
        <f>IF(F25&gt;$B$7,(F25-$B$7)*$H$7,0)</f>
        <v>6475</v>
      </c>
      <c r="G29" s="231">
        <v>0</v>
      </c>
      <c r="H29" s="231">
        <f>IF(H25&gt;$B$7,(H25-$B$7)*$H$7,0)</f>
        <v>6475</v>
      </c>
      <c r="I29" s="231">
        <v>0</v>
      </c>
      <c r="J29" s="231">
        <f>IF(J25&gt;$B$7,(J25-$B$7)*$H$7,0)</f>
        <v>6475</v>
      </c>
      <c r="K29" s="231">
        <v>0</v>
      </c>
      <c r="L29" s="231">
        <f>IF(L25&gt;$B$7,(L25-$B$7)*$H$7,0)</f>
        <v>6475</v>
      </c>
      <c r="M29" s="231">
        <v>0</v>
      </c>
      <c r="N29" s="231">
        <f>IF(N25&gt;$B$7,(N25-$B$7)*$H$7,0)</f>
        <v>6475</v>
      </c>
      <c r="O29" s="231">
        <v>0</v>
      </c>
      <c r="P29" s="231">
        <f>IF(P25&gt;$B$7,(P25-$B$7)*$H$7,0)</f>
        <v>6475</v>
      </c>
      <c r="Q29" s="231">
        <v>0</v>
      </c>
      <c r="R29" s="231">
        <f>IF(R25&gt;$B$7,(R25-$B$7)*$H$7,0)</f>
        <v>0</v>
      </c>
      <c r="S29" s="231">
        <v>0</v>
      </c>
      <c r="T29" s="231">
        <f>IF(T25&gt;$B$7,(T25-$B$7)*$H$7,0)</f>
        <v>0</v>
      </c>
      <c r="U29" s="231">
        <v>0</v>
      </c>
      <c r="V29" s="231">
        <f>IF(V25&gt;$B$7,(V25-$B$7)*$H$7,0)</f>
        <v>0</v>
      </c>
      <c r="W29" s="231">
        <v>0</v>
      </c>
      <c r="X29" s="231">
        <f>IF(X25&gt;$B$7,(X25-$B$7)*$H$7,0)</f>
        <v>0</v>
      </c>
      <c r="Y29" s="231">
        <v>0</v>
      </c>
      <c r="Z29" s="231">
        <f>IF(Z25&gt;$B$7,(Z25-$B$7)*$H$7,0)</f>
        <v>0</v>
      </c>
      <c r="AA29" s="231">
        <v>0</v>
      </c>
      <c r="AB29" s="231">
        <f>IF(AB25&gt;$B$7,(AB25-$B$7)*$H$7,0)</f>
        <v>0</v>
      </c>
      <c r="AC29" s="231">
        <v>0</v>
      </c>
      <c r="AD29" s="231">
        <f>IF(AD25&gt;$B$7,(AD25-$B$7)*$H$7,0)</f>
        <v>0</v>
      </c>
      <c r="AE29" s="231">
        <v>0</v>
      </c>
      <c r="AF29" s="231">
        <f>IF(AF25&gt;$B$7,(AF25-$B$7)*$H$7,0)</f>
        <v>0</v>
      </c>
      <c r="AG29" s="231">
        <v>0</v>
      </c>
      <c r="AH29" s="231">
        <f>IF(AH25&gt;$B$7,(AH25-$B$7)*$H$7,0)</f>
        <v>0</v>
      </c>
      <c r="AI29" s="231">
        <v>0</v>
      </c>
      <c r="AJ29" s="231">
        <f>IF(AJ25&gt;$B$7,(AJ25-$B$7)*$H$7,0)</f>
        <v>0</v>
      </c>
      <c r="AK29" s="231">
        <v>0</v>
      </c>
    </row>
    <row r="30" spans="1:48" x14ac:dyDescent="0.25">
      <c r="A30" s="232" t="s">
        <v>514</v>
      </c>
      <c r="B30" s="233">
        <f>G4+G5+G6+G7</f>
        <v>3604.7</v>
      </c>
      <c r="C30" s="233">
        <f t="shared" ref="C30:AD30" si="16">B30</f>
        <v>3604.7</v>
      </c>
      <c r="D30" s="233">
        <f t="shared" si="16"/>
        <v>3604.7</v>
      </c>
      <c r="E30" s="233">
        <f t="shared" si="16"/>
        <v>3604.7</v>
      </c>
      <c r="F30" s="233">
        <f t="shared" si="16"/>
        <v>3604.7</v>
      </c>
      <c r="G30" s="233">
        <f t="shared" si="16"/>
        <v>3604.7</v>
      </c>
      <c r="H30" s="233">
        <f t="shared" si="16"/>
        <v>3604.7</v>
      </c>
      <c r="I30" s="233">
        <f t="shared" si="16"/>
        <v>3604.7</v>
      </c>
      <c r="J30" s="233">
        <f t="shared" si="16"/>
        <v>3604.7</v>
      </c>
      <c r="K30" s="233">
        <f t="shared" si="16"/>
        <v>3604.7</v>
      </c>
      <c r="L30" s="233">
        <f t="shared" si="16"/>
        <v>3604.7</v>
      </c>
      <c r="M30" s="233">
        <f t="shared" si="16"/>
        <v>3604.7</v>
      </c>
      <c r="N30" s="233">
        <f t="shared" si="16"/>
        <v>3604.7</v>
      </c>
      <c r="O30" s="233">
        <f t="shared" si="16"/>
        <v>3604.7</v>
      </c>
      <c r="P30" s="233">
        <f t="shared" si="16"/>
        <v>3604.7</v>
      </c>
      <c r="Q30" s="233">
        <f t="shared" si="16"/>
        <v>3604.7</v>
      </c>
      <c r="R30" s="233">
        <f t="shared" si="16"/>
        <v>3604.7</v>
      </c>
      <c r="S30" s="233">
        <f t="shared" si="16"/>
        <v>3604.7</v>
      </c>
      <c r="T30" s="233">
        <f t="shared" si="16"/>
        <v>3604.7</v>
      </c>
      <c r="U30" s="233">
        <f t="shared" si="16"/>
        <v>3604.7</v>
      </c>
      <c r="V30" s="233">
        <f t="shared" si="16"/>
        <v>3604.7</v>
      </c>
      <c r="W30" s="233">
        <f t="shared" si="16"/>
        <v>3604.7</v>
      </c>
      <c r="X30" s="233">
        <f t="shared" si="16"/>
        <v>3604.7</v>
      </c>
      <c r="Y30" s="233">
        <f t="shared" si="16"/>
        <v>3604.7</v>
      </c>
      <c r="Z30" s="233">
        <f t="shared" si="16"/>
        <v>3604.7</v>
      </c>
      <c r="AA30" s="233">
        <f t="shared" si="16"/>
        <v>3604.7</v>
      </c>
      <c r="AB30" s="233">
        <f t="shared" si="16"/>
        <v>3604.7</v>
      </c>
      <c r="AC30" s="233">
        <f t="shared" si="16"/>
        <v>3604.7</v>
      </c>
      <c r="AD30" s="233">
        <f t="shared" si="16"/>
        <v>3604.7</v>
      </c>
      <c r="AE30" s="233"/>
      <c r="AF30" s="233"/>
      <c r="AG30" s="233"/>
      <c r="AH30" s="233"/>
      <c r="AI30" s="233"/>
    </row>
    <row r="31" spans="1:48" x14ac:dyDescent="0.25">
      <c r="A31" s="234" t="s">
        <v>515</v>
      </c>
      <c r="B31" s="235">
        <f t="shared" ref="B31:AD31" si="17">B26+B27+B28+B29-B30</f>
        <v>53217.3</v>
      </c>
      <c r="C31" s="235">
        <f t="shared" si="17"/>
        <v>-3604.7</v>
      </c>
      <c r="D31" s="235">
        <f t="shared" si="17"/>
        <v>53217.3</v>
      </c>
      <c r="E31" s="235">
        <f t="shared" si="17"/>
        <v>-3604.7</v>
      </c>
      <c r="F31" s="235">
        <f t="shared" si="17"/>
        <v>53217.3</v>
      </c>
      <c r="G31" s="235">
        <f t="shared" si="17"/>
        <v>-3604.7</v>
      </c>
      <c r="H31" s="235">
        <f t="shared" si="17"/>
        <v>53217.3</v>
      </c>
      <c r="I31" s="235">
        <f t="shared" si="17"/>
        <v>-3604.7</v>
      </c>
      <c r="J31" s="235">
        <f t="shared" si="17"/>
        <v>53217.3</v>
      </c>
      <c r="K31" s="235">
        <f t="shared" si="17"/>
        <v>-3604.7</v>
      </c>
      <c r="L31" s="235">
        <f t="shared" si="17"/>
        <v>53217.3</v>
      </c>
      <c r="M31" s="235">
        <f t="shared" si="17"/>
        <v>-3604.7</v>
      </c>
      <c r="N31" s="235">
        <f t="shared" si="17"/>
        <v>53217.3</v>
      </c>
      <c r="O31" s="235">
        <f t="shared" si="17"/>
        <v>-3604.7</v>
      </c>
      <c r="P31" s="235">
        <f t="shared" si="17"/>
        <v>53217.3</v>
      </c>
      <c r="Q31" s="235">
        <f t="shared" si="17"/>
        <v>-3604.7</v>
      </c>
      <c r="R31" s="235">
        <f t="shared" si="17"/>
        <v>-3595.3400000000065</v>
      </c>
      <c r="S31" s="235">
        <f t="shared" si="17"/>
        <v>-3604.7</v>
      </c>
      <c r="T31" s="235">
        <f t="shared" si="17"/>
        <v>-3595.3400000000065</v>
      </c>
      <c r="U31" s="235">
        <f t="shared" si="17"/>
        <v>-3604.7</v>
      </c>
      <c r="V31" s="235">
        <f t="shared" si="17"/>
        <v>-3595.3400000000065</v>
      </c>
      <c r="W31" s="235">
        <f t="shared" si="17"/>
        <v>-3604.7</v>
      </c>
      <c r="X31" s="235">
        <f t="shared" si="17"/>
        <v>-3595.3400000000065</v>
      </c>
      <c r="Y31" s="235">
        <f t="shared" si="17"/>
        <v>-3604.7</v>
      </c>
      <c r="Z31" s="235">
        <f t="shared" si="17"/>
        <v>-3595.3400000000065</v>
      </c>
      <c r="AA31" s="235">
        <f t="shared" si="17"/>
        <v>-3604.7</v>
      </c>
      <c r="AB31" s="235">
        <f t="shared" si="17"/>
        <v>-3595.3400000000065</v>
      </c>
      <c r="AC31" s="235">
        <f t="shared" si="17"/>
        <v>-3604.7</v>
      </c>
      <c r="AD31" s="235">
        <f t="shared" si="17"/>
        <v>-3595.3400000000065</v>
      </c>
      <c r="AE31" s="235"/>
      <c r="AF31" s="235"/>
      <c r="AG31" s="235"/>
      <c r="AH31" s="235"/>
      <c r="AI31" s="235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</row>
    <row r="32" spans="1:48" x14ac:dyDescent="0.25">
      <c r="A32" s="236" t="s">
        <v>516</v>
      </c>
      <c r="B32" s="235">
        <f>-B12-B11+B31</f>
        <v>-308052.7</v>
      </c>
      <c r="C32" s="235">
        <f t="shared" ref="C32:AD32" si="18">B32+C31</f>
        <v>-311657.40000000002</v>
      </c>
      <c r="D32" s="235">
        <f t="shared" si="18"/>
        <v>-258440.10000000003</v>
      </c>
      <c r="E32" s="235">
        <f t="shared" si="18"/>
        <v>-262044.80000000005</v>
      </c>
      <c r="F32" s="235">
        <f t="shared" si="18"/>
        <v>-208827.50000000006</v>
      </c>
      <c r="G32" s="235">
        <f t="shared" si="18"/>
        <v>-212432.20000000007</v>
      </c>
      <c r="H32" s="235">
        <f t="shared" si="18"/>
        <v>-159214.90000000008</v>
      </c>
      <c r="I32" s="235">
        <f t="shared" si="18"/>
        <v>-162819.60000000009</v>
      </c>
      <c r="J32" s="235">
        <f t="shared" si="18"/>
        <v>-109602.30000000009</v>
      </c>
      <c r="K32" s="235">
        <f t="shared" si="18"/>
        <v>-113207.00000000009</v>
      </c>
      <c r="L32" s="235">
        <f t="shared" si="18"/>
        <v>-59989.700000000084</v>
      </c>
      <c r="M32" s="235">
        <f t="shared" si="18"/>
        <v>-63594.400000000081</v>
      </c>
      <c r="N32" s="235">
        <f t="shared" si="18"/>
        <v>-10377.100000000079</v>
      </c>
      <c r="O32" s="235">
        <f t="shared" si="18"/>
        <v>-13981.800000000079</v>
      </c>
      <c r="P32" s="235">
        <f t="shared" si="18"/>
        <v>39235.499999999927</v>
      </c>
      <c r="Q32" s="235">
        <f t="shared" si="18"/>
        <v>35630.79999999993</v>
      </c>
      <c r="R32" s="235">
        <f t="shared" si="18"/>
        <v>32035.459999999923</v>
      </c>
      <c r="S32" s="235">
        <f t="shared" si="18"/>
        <v>28430.759999999922</v>
      </c>
      <c r="T32" s="235">
        <f t="shared" si="18"/>
        <v>24835.419999999915</v>
      </c>
      <c r="U32" s="235">
        <f t="shared" si="18"/>
        <v>21230.719999999914</v>
      </c>
      <c r="V32" s="235">
        <f t="shared" si="18"/>
        <v>17635.379999999906</v>
      </c>
      <c r="W32" s="235">
        <f t="shared" si="18"/>
        <v>14030.679999999906</v>
      </c>
      <c r="X32" s="235">
        <f t="shared" si="18"/>
        <v>10435.339999999898</v>
      </c>
      <c r="Y32" s="235">
        <f t="shared" si="18"/>
        <v>6830.6399999998985</v>
      </c>
      <c r="Z32" s="235">
        <f t="shared" si="18"/>
        <v>3235.299999999892</v>
      </c>
      <c r="AA32" s="235">
        <f t="shared" si="18"/>
        <v>-369.40000000010787</v>
      </c>
      <c r="AB32" s="235">
        <f t="shared" si="18"/>
        <v>-3964.7400000001144</v>
      </c>
      <c r="AC32" s="235">
        <f t="shared" si="18"/>
        <v>-7569.4400000001142</v>
      </c>
      <c r="AD32" s="235">
        <f t="shared" si="18"/>
        <v>-11164.780000000121</v>
      </c>
      <c r="AE32" s="235"/>
      <c r="AF32" s="235"/>
      <c r="AG32" s="235"/>
      <c r="AH32" s="235"/>
      <c r="AI32" s="235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</row>
    <row r="33" spans="1:35" x14ac:dyDescent="0.25">
      <c r="B33" s="58">
        <f t="shared" ref="B33:AD33" si="19">B32/$B$13</f>
        <v>-0.85269383009937172</v>
      </c>
      <c r="C33" s="58">
        <f t="shared" si="19"/>
        <v>-0.86267168599662314</v>
      </c>
      <c r="D33" s="58">
        <f t="shared" si="19"/>
        <v>-0.71536551609599475</v>
      </c>
      <c r="E33" s="58">
        <f t="shared" si="19"/>
        <v>-0.72534337199324617</v>
      </c>
      <c r="F33" s="58">
        <f t="shared" si="19"/>
        <v>-0.57803720209261789</v>
      </c>
      <c r="G33" s="58">
        <f t="shared" si="19"/>
        <v>-0.58801505798986931</v>
      </c>
      <c r="H33" s="58">
        <f t="shared" si="19"/>
        <v>-0.44070888808924097</v>
      </c>
      <c r="I33" s="58">
        <f t="shared" si="19"/>
        <v>-0.45068674398649233</v>
      </c>
      <c r="J33" s="58">
        <f t="shared" si="19"/>
        <v>-0.303380574085864</v>
      </c>
      <c r="K33" s="58">
        <f t="shared" si="19"/>
        <v>-0.31335842998311536</v>
      </c>
      <c r="L33" s="58">
        <f t="shared" si="19"/>
        <v>-0.16605226008248702</v>
      </c>
      <c r="M33" s="58">
        <f t="shared" si="19"/>
        <v>-0.17603011597973836</v>
      </c>
      <c r="N33" s="58">
        <f t="shared" si="19"/>
        <v>-2.8723946079110024E-2</v>
      </c>
      <c r="O33" s="58">
        <f t="shared" si="19"/>
        <v>-3.8701801976361389E-2</v>
      </c>
      <c r="P33" s="58">
        <f t="shared" si="19"/>
        <v>0.10860436792426696</v>
      </c>
      <c r="Q33" s="58">
        <f t="shared" si="19"/>
        <v>9.8626512027015611E-2</v>
      </c>
      <c r="R33" s="58">
        <f t="shared" si="19"/>
        <v>8.8674564729980129E-2</v>
      </c>
      <c r="S33" s="58">
        <f t="shared" si="19"/>
        <v>7.8696708832728765E-2</v>
      </c>
      <c r="T33" s="58">
        <f t="shared" si="19"/>
        <v>6.8744761535693283E-2</v>
      </c>
      <c r="U33" s="58">
        <f t="shared" si="19"/>
        <v>5.8766905638441926E-2</v>
      </c>
      <c r="V33" s="58">
        <f t="shared" si="19"/>
        <v>4.8814958341406443E-2</v>
      </c>
      <c r="W33" s="58">
        <f t="shared" si="19"/>
        <v>3.8837102444155079E-2</v>
      </c>
      <c r="X33" s="58">
        <f t="shared" si="19"/>
        <v>2.88851551471196E-2</v>
      </c>
      <c r="Y33" s="58">
        <f t="shared" si="19"/>
        <v>1.890729924986824E-2</v>
      </c>
      <c r="Z33" s="58">
        <f t="shared" si="19"/>
        <v>8.9553519528327626E-3</v>
      </c>
      <c r="AA33" s="58">
        <f t="shared" si="19"/>
        <v>-1.0225039444186007E-3</v>
      </c>
      <c r="AB33" s="58">
        <f t="shared" si="19"/>
        <v>-1.0974451241454077E-2</v>
      </c>
      <c r="AC33" s="58">
        <f t="shared" si="19"/>
        <v>-2.0952307138705439E-2</v>
      </c>
      <c r="AD33" s="58">
        <f t="shared" si="19"/>
        <v>-3.0904254435740915E-2</v>
      </c>
      <c r="AE33" s="58"/>
      <c r="AF33" s="58"/>
      <c r="AG33" s="58"/>
      <c r="AH33" s="58"/>
      <c r="AI33" s="58"/>
    </row>
    <row r="36" spans="1:35" x14ac:dyDescent="0.25">
      <c r="A36" s="279" t="s">
        <v>1534</v>
      </c>
      <c r="B36" s="451">
        <v>44344</v>
      </c>
      <c r="K36" s="58"/>
    </row>
    <row r="37" spans="1:35" x14ac:dyDescent="0.25">
      <c r="A37" s="452" t="s">
        <v>488</v>
      </c>
      <c r="B37" s="452">
        <f>B38+B39+B40+B41</f>
        <v>68746</v>
      </c>
      <c r="C37" s="42" t="s">
        <v>1540</v>
      </c>
      <c r="D37" t="s">
        <v>1555</v>
      </c>
      <c r="K37" s="61"/>
      <c r="Q37" s="42" t="s">
        <v>1540</v>
      </c>
      <c r="R37" t="s">
        <v>1555</v>
      </c>
    </row>
    <row r="38" spans="1:35" x14ac:dyDescent="0.25">
      <c r="A38" s="452" t="s">
        <v>495</v>
      </c>
      <c r="B38" s="452">
        <v>39341</v>
      </c>
      <c r="C38" s="37">
        <v>2464.1200000000026</v>
      </c>
      <c r="D38" s="25">
        <f>B38-C38</f>
        <v>36876.879999999997</v>
      </c>
      <c r="K38" s="61"/>
      <c r="L38" s="44"/>
      <c r="Q38" s="37">
        <v>1434</v>
      </c>
      <c r="R38">
        <f>B38</f>
        <v>39341</v>
      </c>
    </row>
    <row r="39" spans="1:35" x14ac:dyDescent="0.25">
      <c r="A39" s="452" t="s">
        <v>496</v>
      </c>
      <c r="B39" s="452">
        <v>15100</v>
      </c>
      <c r="C39" s="37">
        <v>1179.3199999999997</v>
      </c>
      <c r="D39" s="25">
        <f t="shared" ref="D39:D41" si="20">B39-C39</f>
        <v>13920.68</v>
      </c>
      <c r="K39" s="61"/>
      <c r="L39" s="44"/>
      <c r="Q39" s="37">
        <v>739</v>
      </c>
      <c r="R39">
        <f t="shared" ref="R39:R41" si="21">B39</f>
        <v>15100</v>
      </c>
    </row>
    <row r="40" spans="1:35" x14ac:dyDescent="0.25">
      <c r="A40" s="452" t="s">
        <v>497</v>
      </c>
      <c r="B40" s="452">
        <v>12730</v>
      </c>
      <c r="C40" s="37">
        <v>1282.2799999999988</v>
      </c>
      <c r="D40" s="25">
        <f t="shared" si="20"/>
        <v>11447.720000000001</v>
      </c>
      <c r="K40" s="61"/>
      <c r="L40" s="44"/>
      <c r="Q40" s="37">
        <v>933</v>
      </c>
      <c r="R40">
        <f t="shared" si="21"/>
        <v>12730</v>
      </c>
    </row>
    <row r="41" spans="1:35" x14ac:dyDescent="0.25">
      <c r="A41" s="452" t="s">
        <v>498</v>
      </c>
      <c r="B41" s="452">
        <v>1575</v>
      </c>
      <c r="C41" s="37">
        <v>160.88000000000011</v>
      </c>
      <c r="D41" s="25">
        <f t="shared" si="20"/>
        <v>1414.12</v>
      </c>
      <c r="K41" s="61"/>
      <c r="L41" s="44"/>
      <c r="Q41" s="37">
        <v>148</v>
      </c>
      <c r="R41">
        <f t="shared" si="21"/>
        <v>1575</v>
      </c>
    </row>
    <row r="44" spans="1:35" s="458" customFormat="1" x14ac:dyDescent="0.25">
      <c r="A44" s="453" t="s">
        <v>194</v>
      </c>
      <c r="B44" s="457">
        <v>44345</v>
      </c>
      <c r="C44" s="457">
        <v>44349</v>
      </c>
      <c r="D44" s="457">
        <v>44359</v>
      </c>
      <c r="F44" s="457">
        <v>44373</v>
      </c>
      <c r="H44" s="457">
        <v>44387</v>
      </c>
      <c r="J44" s="457">
        <v>44401</v>
      </c>
      <c r="L44" s="457">
        <v>44415</v>
      </c>
      <c r="O44" s="457">
        <v>44436</v>
      </c>
      <c r="Q44" s="457">
        <v>44450</v>
      </c>
      <c r="S44" s="457">
        <v>44464</v>
      </c>
    </row>
    <row r="45" spans="1:35" s="458" customFormat="1" x14ac:dyDescent="0.25">
      <c r="A45" s="453" t="s">
        <v>1541</v>
      </c>
      <c r="B45" s="458">
        <v>5</v>
      </c>
      <c r="C45" s="458">
        <v>6</v>
      </c>
      <c r="D45" s="458">
        <v>7</v>
      </c>
      <c r="E45" s="458">
        <v>8</v>
      </c>
      <c r="F45" s="458">
        <v>9</v>
      </c>
      <c r="G45" s="458">
        <v>10</v>
      </c>
      <c r="H45" s="458">
        <v>11</v>
      </c>
      <c r="I45" s="458">
        <v>12</v>
      </c>
      <c r="J45" s="458">
        <v>13</v>
      </c>
      <c r="K45" s="458">
        <v>14</v>
      </c>
      <c r="L45" s="458">
        <v>15</v>
      </c>
      <c r="M45" s="458">
        <v>16</v>
      </c>
      <c r="N45" s="458">
        <v>1</v>
      </c>
      <c r="O45" s="458">
        <v>2</v>
      </c>
      <c r="P45" s="458">
        <v>3</v>
      </c>
      <c r="Q45" s="458">
        <v>4</v>
      </c>
      <c r="R45" s="458">
        <v>5</v>
      </c>
      <c r="S45" s="458">
        <v>6</v>
      </c>
    </row>
    <row r="46" spans="1:35" s="458" customFormat="1" x14ac:dyDescent="0.25">
      <c r="A46" s="453" t="s">
        <v>1538</v>
      </c>
      <c r="B46" s="458" t="s">
        <v>1556</v>
      </c>
      <c r="C46" s="458" t="s">
        <v>1557</v>
      </c>
      <c r="D46" s="458" t="s">
        <v>1557</v>
      </c>
      <c r="F46" s="458" t="s">
        <v>1557</v>
      </c>
      <c r="H46" s="458" t="s">
        <v>1559</v>
      </c>
      <c r="J46" s="458" t="s">
        <v>1557</v>
      </c>
      <c r="L46" s="458" t="s">
        <v>1562</v>
      </c>
      <c r="O46" s="458" t="s">
        <v>1556</v>
      </c>
      <c r="Q46" s="458" t="s">
        <v>1559</v>
      </c>
      <c r="S46" s="458" t="s">
        <v>1559</v>
      </c>
    </row>
    <row r="47" spans="1:35" s="458" customFormat="1" x14ac:dyDescent="0.25">
      <c r="A47" s="453" t="s">
        <v>1539</v>
      </c>
      <c r="B47" s="458" t="s">
        <v>809</v>
      </c>
      <c r="C47" s="458" t="s">
        <v>1564</v>
      </c>
      <c r="D47" s="458" t="s">
        <v>1558</v>
      </c>
      <c r="F47" s="458" t="s">
        <v>817</v>
      </c>
      <c r="H47" s="458" t="s">
        <v>1560</v>
      </c>
      <c r="J47" s="458" t="s">
        <v>1561</v>
      </c>
      <c r="L47" s="458" t="s">
        <v>1563</v>
      </c>
      <c r="O47" s="458" t="s">
        <v>817</v>
      </c>
      <c r="Q47" s="458" t="s">
        <v>1560</v>
      </c>
      <c r="S47" s="458" t="s">
        <v>1582</v>
      </c>
    </row>
    <row r="48" spans="1:35" s="459" customFormat="1" x14ac:dyDescent="0.25">
      <c r="A48" s="454" t="s">
        <v>477</v>
      </c>
      <c r="B48" s="459">
        <v>0</v>
      </c>
      <c r="C48" s="459">
        <v>0</v>
      </c>
      <c r="D48" s="459">
        <v>0</v>
      </c>
      <c r="F48" s="464">
        <v>2464</v>
      </c>
      <c r="H48" s="464">
        <v>2464</v>
      </c>
      <c r="J48" s="464">
        <v>2464</v>
      </c>
      <c r="L48" s="459">
        <v>0</v>
      </c>
      <c r="O48" s="459">
        <v>0</v>
      </c>
      <c r="Q48" s="459">
        <v>0</v>
      </c>
      <c r="S48" s="464">
        <v>2464</v>
      </c>
    </row>
    <row r="49" spans="1:19" s="459" customFormat="1" x14ac:dyDescent="0.25">
      <c r="A49" s="454" t="s">
        <v>1535</v>
      </c>
      <c r="B49" s="459">
        <v>0</v>
      </c>
      <c r="C49" s="459">
        <v>0</v>
      </c>
      <c r="D49" s="459">
        <v>0</v>
      </c>
      <c r="F49" s="464">
        <v>1179</v>
      </c>
      <c r="H49" s="464">
        <v>1179</v>
      </c>
      <c r="J49" s="464">
        <v>1179</v>
      </c>
      <c r="L49" s="459">
        <v>0</v>
      </c>
      <c r="O49" s="459">
        <v>0</v>
      </c>
      <c r="Q49" s="464">
        <v>1179</v>
      </c>
      <c r="S49" s="464">
        <v>1179</v>
      </c>
    </row>
    <row r="50" spans="1:19" s="459" customFormat="1" x14ac:dyDescent="0.25">
      <c r="A50" s="454" t="s">
        <v>1536</v>
      </c>
      <c r="B50" s="459">
        <v>0</v>
      </c>
      <c r="C50" s="459">
        <v>0</v>
      </c>
      <c r="D50" s="459">
        <v>0</v>
      </c>
      <c r="F50" s="459">
        <v>0</v>
      </c>
      <c r="H50" s="459">
        <v>0</v>
      </c>
      <c r="J50" s="459">
        <v>0</v>
      </c>
      <c r="L50" s="459">
        <v>0</v>
      </c>
      <c r="O50" s="464">
        <v>1282</v>
      </c>
      <c r="Q50" s="459">
        <v>0</v>
      </c>
      <c r="S50" s="459">
        <v>0</v>
      </c>
    </row>
    <row r="51" spans="1:19" s="459" customFormat="1" x14ac:dyDescent="0.25">
      <c r="A51" s="454" t="s">
        <v>1537</v>
      </c>
      <c r="B51" s="459">
        <v>0</v>
      </c>
      <c r="C51" s="459">
        <v>0</v>
      </c>
      <c r="D51" s="459">
        <v>0</v>
      </c>
      <c r="F51" s="464">
        <v>161</v>
      </c>
      <c r="H51" s="464">
        <v>161</v>
      </c>
      <c r="J51" s="464">
        <v>161</v>
      </c>
      <c r="L51" s="459">
        <v>0</v>
      </c>
      <c r="O51" s="464">
        <v>161</v>
      </c>
      <c r="Q51" s="459">
        <f>1494-1414</f>
        <v>80</v>
      </c>
      <c r="S51" s="464">
        <v>161</v>
      </c>
    </row>
    <row r="52" spans="1:19" s="461" customFormat="1" x14ac:dyDescent="0.25">
      <c r="A52" s="455" t="s">
        <v>1548</v>
      </c>
      <c r="B52" s="460">
        <f>B48*$H$4</f>
        <v>0</v>
      </c>
      <c r="C52" s="460">
        <f t="shared" ref="C52:Q52" si="22">C48*$H$4</f>
        <v>0</v>
      </c>
      <c r="D52" s="460">
        <f t="shared" si="22"/>
        <v>0</v>
      </c>
      <c r="E52" s="460">
        <f t="shared" si="22"/>
        <v>0</v>
      </c>
      <c r="F52" s="460">
        <f t="shared" si="22"/>
        <v>17248</v>
      </c>
      <c r="G52" s="460">
        <f t="shared" si="22"/>
        <v>0</v>
      </c>
      <c r="H52" s="460">
        <f t="shared" si="22"/>
        <v>17248</v>
      </c>
      <c r="I52" s="460">
        <f t="shared" si="22"/>
        <v>0</v>
      </c>
      <c r="J52" s="460">
        <f t="shared" si="22"/>
        <v>17248</v>
      </c>
      <c r="K52" s="460">
        <f t="shared" si="22"/>
        <v>0</v>
      </c>
      <c r="L52" s="460">
        <f t="shared" si="22"/>
        <v>0</v>
      </c>
      <c r="M52" s="460">
        <f t="shared" si="22"/>
        <v>0</v>
      </c>
      <c r="N52" s="460">
        <f t="shared" si="22"/>
        <v>0</v>
      </c>
      <c r="O52" s="460">
        <f t="shared" si="22"/>
        <v>0</v>
      </c>
      <c r="P52" s="460">
        <f t="shared" si="22"/>
        <v>0</v>
      </c>
      <c r="Q52" s="460">
        <f t="shared" si="22"/>
        <v>0</v>
      </c>
      <c r="R52" s="460">
        <f t="shared" ref="R52:S52" si="23">R48*$H$4</f>
        <v>0</v>
      </c>
      <c r="S52" s="460">
        <f t="shared" si="23"/>
        <v>17248</v>
      </c>
    </row>
    <row r="53" spans="1:19" s="461" customFormat="1" x14ac:dyDescent="0.25">
      <c r="A53" s="455" t="s">
        <v>1549</v>
      </c>
      <c r="B53" s="460">
        <f>B49*$H$5</f>
        <v>0</v>
      </c>
      <c r="C53" s="460">
        <f t="shared" ref="C53:Q53" si="24">C49*$H$5</f>
        <v>0</v>
      </c>
      <c r="D53" s="460">
        <f t="shared" si="24"/>
        <v>0</v>
      </c>
      <c r="E53" s="460">
        <f t="shared" si="24"/>
        <v>0</v>
      </c>
      <c r="F53" s="460">
        <f t="shared" si="24"/>
        <v>11790</v>
      </c>
      <c r="G53" s="460">
        <f t="shared" si="24"/>
        <v>0</v>
      </c>
      <c r="H53" s="460">
        <f t="shared" si="24"/>
        <v>11790</v>
      </c>
      <c r="I53" s="460">
        <f t="shared" si="24"/>
        <v>0</v>
      </c>
      <c r="J53" s="460">
        <f t="shared" si="24"/>
        <v>11790</v>
      </c>
      <c r="K53" s="460">
        <f t="shared" si="24"/>
        <v>0</v>
      </c>
      <c r="L53" s="460">
        <f t="shared" si="24"/>
        <v>0</v>
      </c>
      <c r="M53" s="460">
        <f t="shared" si="24"/>
        <v>0</v>
      </c>
      <c r="N53" s="460">
        <f t="shared" si="24"/>
        <v>0</v>
      </c>
      <c r="O53" s="460">
        <f t="shared" si="24"/>
        <v>0</v>
      </c>
      <c r="P53" s="460">
        <f t="shared" si="24"/>
        <v>0</v>
      </c>
      <c r="Q53" s="460">
        <f t="shared" si="24"/>
        <v>11790</v>
      </c>
      <c r="R53" s="460">
        <f t="shared" ref="R53:S53" si="25">R49*$H$5</f>
        <v>0</v>
      </c>
      <c r="S53" s="460">
        <f t="shared" si="25"/>
        <v>11790</v>
      </c>
    </row>
    <row r="54" spans="1:19" s="461" customFormat="1" x14ac:dyDescent="0.25">
      <c r="A54" s="455" t="s">
        <v>1550</v>
      </c>
      <c r="B54" s="460">
        <f>B50*$H$6</f>
        <v>0</v>
      </c>
      <c r="C54" s="460">
        <f t="shared" ref="C54:Q54" si="26">C50*$H$6</f>
        <v>0</v>
      </c>
      <c r="D54" s="460">
        <f t="shared" si="26"/>
        <v>0</v>
      </c>
      <c r="E54" s="460">
        <f t="shared" si="26"/>
        <v>0</v>
      </c>
      <c r="F54" s="460">
        <f t="shared" si="26"/>
        <v>0</v>
      </c>
      <c r="G54" s="460">
        <f t="shared" si="26"/>
        <v>0</v>
      </c>
      <c r="H54" s="460">
        <f t="shared" si="26"/>
        <v>0</v>
      </c>
      <c r="I54" s="460">
        <f t="shared" si="26"/>
        <v>0</v>
      </c>
      <c r="J54" s="460">
        <f t="shared" si="26"/>
        <v>0</v>
      </c>
      <c r="K54" s="460">
        <f t="shared" si="26"/>
        <v>0</v>
      </c>
      <c r="L54" s="460">
        <f t="shared" si="26"/>
        <v>0</v>
      </c>
      <c r="M54" s="460">
        <f t="shared" si="26"/>
        <v>0</v>
      </c>
      <c r="N54" s="460">
        <f t="shared" si="26"/>
        <v>0</v>
      </c>
      <c r="O54" s="460">
        <f t="shared" si="26"/>
        <v>24358</v>
      </c>
      <c r="P54" s="460">
        <f t="shared" si="26"/>
        <v>0</v>
      </c>
      <c r="Q54" s="460">
        <f t="shared" si="26"/>
        <v>0</v>
      </c>
      <c r="R54" s="460">
        <f t="shared" ref="R54:S54" si="27">R50*$H$6</f>
        <v>0</v>
      </c>
      <c r="S54" s="460">
        <f t="shared" si="27"/>
        <v>0</v>
      </c>
    </row>
    <row r="55" spans="1:19" s="461" customFormat="1" x14ac:dyDescent="0.25">
      <c r="A55" s="455" t="s">
        <v>1551</v>
      </c>
      <c r="B55" s="460">
        <f>B51*$H$7</f>
        <v>0</v>
      </c>
      <c r="C55" s="460">
        <f t="shared" ref="C55:Q55" si="28">C51*$H$7</f>
        <v>0</v>
      </c>
      <c r="D55" s="460">
        <f t="shared" si="28"/>
        <v>0</v>
      </c>
      <c r="E55" s="460">
        <f t="shared" si="28"/>
        <v>0</v>
      </c>
      <c r="F55" s="460">
        <f t="shared" si="28"/>
        <v>5635</v>
      </c>
      <c r="G55" s="460">
        <f t="shared" si="28"/>
        <v>0</v>
      </c>
      <c r="H55" s="460">
        <f t="shared" si="28"/>
        <v>5635</v>
      </c>
      <c r="I55" s="460">
        <f t="shared" si="28"/>
        <v>0</v>
      </c>
      <c r="J55" s="460">
        <f t="shared" si="28"/>
        <v>5635</v>
      </c>
      <c r="K55" s="460">
        <f t="shared" si="28"/>
        <v>0</v>
      </c>
      <c r="L55" s="460">
        <f t="shared" si="28"/>
        <v>0</v>
      </c>
      <c r="M55" s="460">
        <f t="shared" si="28"/>
        <v>0</v>
      </c>
      <c r="N55" s="460">
        <f t="shared" si="28"/>
        <v>0</v>
      </c>
      <c r="O55" s="460">
        <f t="shared" si="28"/>
        <v>5635</v>
      </c>
      <c r="P55" s="460">
        <f t="shared" si="28"/>
        <v>0</v>
      </c>
      <c r="Q55" s="460">
        <f t="shared" si="28"/>
        <v>2800</v>
      </c>
      <c r="R55" s="460">
        <f t="shared" ref="R55:S55" si="29">R51*$H$7</f>
        <v>0</v>
      </c>
      <c r="S55" s="460">
        <f t="shared" si="29"/>
        <v>5635</v>
      </c>
    </row>
    <row r="56" spans="1:19" s="463" customFormat="1" ht="15.75" x14ac:dyDescent="0.25">
      <c r="A56" s="456" t="s">
        <v>1547</v>
      </c>
      <c r="B56" s="462">
        <f>B55+B54+B53+B52</f>
        <v>0</v>
      </c>
      <c r="C56" s="462">
        <f t="shared" ref="C56:Q56" si="30">C55+C54+C53+C52</f>
        <v>0</v>
      </c>
      <c r="D56" s="462">
        <f t="shared" si="30"/>
        <v>0</v>
      </c>
      <c r="E56" s="462">
        <f t="shared" si="30"/>
        <v>0</v>
      </c>
      <c r="F56" s="462">
        <f t="shared" si="30"/>
        <v>34673</v>
      </c>
      <c r="G56" s="462">
        <f t="shared" si="30"/>
        <v>0</v>
      </c>
      <c r="H56" s="462">
        <f t="shared" si="30"/>
        <v>34673</v>
      </c>
      <c r="I56" s="462">
        <f t="shared" si="30"/>
        <v>0</v>
      </c>
      <c r="J56" s="462">
        <f t="shared" si="30"/>
        <v>34673</v>
      </c>
      <c r="K56" s="462">
        <f t="shared" si="30"/>
        <v>0</v>
      </c>
      <c r="L56" s="462">
        <f t="shared" si="30"/>
        <v>0</v>
      </c>
      <c r="M56" s="462">
        <f t="shared" si="30"/>
        <v>0</v>
      </c>
      <c r="N56" s="462">
        <f t="shared" si="30"/>
        <v>0</v>
      </c>
      <c r="O56" s="462">
        <f t="shared" si="30"/>
        <v>29993</v>
      </c>
      <c r="P56" s="462">
        <f t="shared" si="30"/>
        <v>0</v>
      </c>
      <c r="Q56" s="462">
        <f t="shared" si="30"/>
        <v>14590</v>
      </c>
      <c r="R56" s="462">
        <f t="shared" ref="R56:S56" si="31">R55+R54+R53+R52</f>
        <v>0</v>
      </c>
      <c r="S56" s="462">
        <f t="shared" si="31"/>
        <v>34673</v>
      </c>
    </row>
    <row r="57" spans="1:19" s="463" customFormat="1" ht="15.75" x14ac:dyDescent="0.25">
      <c r="A57" s="456" t="s">
        <v>1553</v>
      </c>
      <c r="B57" s="474">
        <f>B56</f>
        <v>0</v>
      </c>
      <c r="C57" s="462">
        <f>C56+B57</f>
        <v>0</v>
      </c>
      <c r="D57" s="462">
        <f t="shared" ref="D57:S57" si="32">D56+C57</f>
        <v>0</v>
      </c>
      <c r="E57" s="462">
        <f t="shared" si="32"/>
        <v>0</v>
      </c>
      <c r="F57" s="462">
        <f t="shared" si="32"/>
        <v>34673</v>
      </c>
      <c r="G57" s="462">
        <f t="shared" si="32"/>
        <v>34673</v>
      </c>
      <c r="H57" s="462">
        <f t="shared" si="32"/>
        <v>69346</v>
      </c>
      <c r="I57" s="462">
        <f t="shared" si="32"/>
        <v>69346</v>
      </c>
      <c r="J57" s="462">
        <f t="shared" si="32"/>
        <v>104019</v>
      </c>
      <c r="K57" s="462">
        <f t="shared" si="32"/>
        <v>104019</v>
      </c>
      <c r="L57" s="462">
        <f t="shared" si="32"/>
        <v>104019</v>
      </c>
      <c r="M57" s="462">
        <f t="shared" si="32"/>
        <v>104019</v>
      </c>
      <c r="N57" s="462">
        <f t="shared" si="32"/>
        <v>104019</v>
      </c>
      <c r="O57" s="462">
        <f t="shared" si="32"/>
        <v>134012</v>
      </c>
      <c r="P57" s="462">
        <f t="shared" si="32"/>
        <v>134012</v>
      </c>
      <c r="Q57" s="462">
        <f t="shared" si="32"/>
        <v>148602</v>
      </c>
      <c r="R57" s="462">
        <f t="shared" si="32"/>
        <v>148602</v>
      </c>
      <c r="S57" s="462">
        <f t="shared" si="32"/>
        <v>183275</v>
      </c>
    </row>
    <row r="58" spans="1:19" s="468" customFormat="1" x14ac:dyDescent="0.25">
      <c r="A58" s="465" t="s">
        <v>1565</v>
      </c>
      <c r="B58" s="466">
        <f>C38*D4</f>
        <v>110885.40000000011</v>
      </c>
      <c r="C58" s="467">
        <v>0</v>
      </c>
      <c r="D58" s="467">
        <f t="shared" ref="D58:P58" si="33">C58</f>
        <v>0</v>
      </c>
      <c r="E58" s="467">
        <f t="shared" si="33"/>
        <v>0</v>
      </c>
      <c r="F58" s="467">
        <f t="shared" si="33"/>
        <v>0</v>
      </c>
      <c r="G58" s="467">
        <f t="shared" si="33"/>
        <v>0</v>
      </c>
      <c r="H58" s="467">
        <f t="shared" si="33"/>
        <v>0</v>
      </c>
      <c r="I58" s="467">
        <f t="shared" si="33"/>
        <v>0</v>
      </c>
      <c r="J58" s="467">
        <f t="shared" si="33"/>
        <v>0</v>
      </c>
      <c r="K58" s="467">
        <f t="shared" si="33"/>
        <v>0</v>
      </c>
      <c r="L58" s="467">
        <f t="shared" si="33"/>
        <v>0</v>
      </c>
      <c r="M58" s="467">
        <f t="shared" si="33"/>
        <v>0</v>
      </c>
      <c r="N58" s="467">
        <f t="shared" si="33"/>
        <v>0</v>
      </c>
      <c r="O58" s="467">
        <f t="shared" si="33"/>
        <v>0</v>
      </c>
      <c r="P58" s="467">
        <f t="shared" si="33"/>
        <v>0</v>
      </c>
      <c r="Q58" s="467">
        <f>Q38*D4</f>
        <v>64530</v>
      </c>
      <c r="R58" s="467">
        <v>0</v>
      </c>
      <c r="S58" s="467">
        <v>0</v>
      </c>
    </row>
    <row r="59" spans="1:19" s="468" customFormat="1" x14ac:dyDescent="0.25">
      <c r="A59" s="465" t="s">
        <v>1566</v>
      </c>
      <c r="B59" s="466">
        <f>C39*D5</f>
        <v>88448.999999999971</v>
      </c>
      <c r="C59" s="467">
        <v>0</v>
      </c>
      <c r="D59" s="467">
        <f t="shared" ref="D59:P59" si="34">C59</f>
        <v>0</v>
      </c>
      <c r="E59" s="467">
        <f t="shared" si="34"/>
        <v>0</v>
      </c>
      <c r="F59" s="467">
        <f t="shared" si="34"/>
        <v>0</v>
      </c>
      <c r="G59" s="467">
        <f t="shared" si="34"/>
        <v>0</v>
      </c>
      <c r="H59" s="467">
        <f t="shared" si="34"/>
        <v>0</v>
      </c>
      <c r="I59" s="467">
        <f t="shared" si="34"/>
        <v>0</v>
      </c>
      <c r="J59" s="467">
        <f t="shared" si="34"/>
        <v>0</v>
      </c>
      <c r="K59" s="467">
        <f t="shared" si="34"/>
        <v>0</v>
      </c>
      <c r="L59" s="467">
        <f t="shared" si="34"/>
        <v>0</v>
      </c>
      <c r="M59" s="467">
        <f t="shared" si="34"/>
        <v>0</v>
      </c>
      <c r="N59" s="467">
        <f t="shared" si="34"/>
        <v>0</v>
      </c>
      <c r="O59" s="467">
        <f t="shared" si="34"/>
        <v>0</v>
      </c>
      <c r="P59" s="467">
        <f t="shared" si="34"/>
        <v>0</v>
      </c>
      <c r="Q59" s="467">
        <f t="shared" ref="Q59:Q61" si="35">Q39*D5</f>
        <v>55425</v>
      </c>
      <c r="R59" s="467">
        <v>0</v>
      </c>
      <c r="S59" s="467">
        <v>0</v>
      </c>
    </row>
    <row r="60" spans="1:19" s="468" customFormat="1" x14ac:dyDescent="0.25">
      <c r="A60" s="465" t="s">
        <v>1567</v>
      </c>
      <c r="B60" s="466">
        <f>C40*D6</f>
        <v>115405.1999999999</v>
      </c>
      <c r="C60" s="467">
        <v>0</v>
      </c>
      <c r="D60" s="467">
        <f t="shared" ref="D60:P60" si="36">C60</f>
        <v>0</v>
      </c>
      <c r="E60" s="467">
        <f t="shared" si="36"/>
        <v>0</v>
      </c>
      <c r="F60" s="467">
        <f t="shared" si="36"/>
        <v>0</v>
      </c>
      <c r="G60" s="467">
        <f t="shared" si="36"/>
        <v>0</v>
      </c>
      <c r="H60" s="467">
        <f t="shared" si="36"/>
        <v>0</v>
      </c>
      <c r="I60" s="467">
        <f t="shared" si="36"/>
        <v>0</v>
      </c>
      <c r="J60" s="467">
        <f t="shared" si="36"/>
        <v>0</v>
      </c>
      <c r="K60" s="467">
        <f t="shared" si="36"/>
        <v>0</v>
      </c>
      <c r="L60" s="467">
        <f t="shared" si="36"/>
        <v>0</v>
      </c>
      <c r="M60" s="467">
        <f t="shared" si="36"/>
        <v>0</v>
      </c>
      <c r="N60" s="467">
        <f t="shared" si="36"/>
        <v>0</v>
      </c>
      <c r="O60" s="467">
        <f t="shared" si="36"/>
        <v>0</v>
      </c>
      <c r="P60" s="467">
        <f t="shared" si="36"/>
        <v>0</v>
      </c>
      <c r="Q60" s="467">
        <f t="shared" si="35"/>
        <v>83970</v>
      </c>
      <c r="R60" s="467">
        <v>0</v>
      </c>
      <c r="S60" s="467">
        <v>0</v>
      </c>
    </row>
    <row r="61" spans="1:19" s="468" customFormat="1" x14ac:dyDescent="0.25">
      <c r="A61" s="465" t="s">
        <v>1568</v>
      </c>
      <c r="B61" s="466">
        <f>C41*D7</f>
        <v>48264.000000000029</v>
      </c>
      <c r="C61" s="467">
        <v>0</v>
      </c>
      <c r="D61" s="467">
        <f t="shared" ref="D61:P61" si="37">C61</f>
        <v>0</v>
      </c>
      <c r="E61" s="467">
        <f t="shared" si="37"/>
        <v>0</v>
      </c>
      <c r="F61" s="467">
        <f t="shared" si="37"/>
        <v>0</v>
      </c>
      <c r="G61" s="467">
        <f t="shared" si="37"/>
        <v>0</v>
      </c>
      <c r="H61" s="467">
        <f t="shared" si="37"/>
        <v>0</v>
      </c>
      <c r="I61" s="467">
        <f t="shared" si="37"/>
        <v>0</v>
      </c>
      <c r="J61" s="467">
        <f t="shared" si="37"/>
        <v>0</v>
      </c>
      <c r="K61" s="467">
        <f t="shared" si="37"/>
        <v>0</v>
      </c>
      <c r="L61" s="467">
        <f t="shared" si="37"/>
        <v>0</v>
      </c>
      <c r="M61" s="467">
        <f t="shared" si="37"/>
        <v>0</v>
      </c>
      <c r="N61" s="467">
        <f t="shared" si="37"/>
        <v>0</v>
      </c>
      <c r="O61" s="467">
        <f t="shared" si="37"/>
        <v>0</v>
      </c>
      <c r="P61" s="467">
        <f t="shared" si="37"/>
        <v>0</v>
      </c>
      <c r="Q61" s="467">
        <f t="shared" si="35"/>
        <v>44400</v>
      </c>
      <c r="R61" s="467">
        <v>0</v>
      </c>
      <c r="S61" s="467">
        <v>0</v>
      </c>
    </row>
    <row r="62" spans="1:19" s="468" customFormat="1" x14ac:dyDescent="0.25">
      <c r="A62" s="465" t="s">
        <v>1542</v>
      </c>
      <c r="B62" s="466">
        <f>C38*F4</f>
        <v>1232.0600000000013</v>
      </c>
      <c r="C62" s="467">
        <f>B62</f>
        <v>1232.0600000000013</v>
      </c>
      <c r="D62" s="467">
        <f t="shared" ref="D62:S62" si="38">C62</f>
        <v>1232.0600000000013</v>
      </c>
      <c r="E62" s="467">
        <f t="shared" si="38"/>
        <v>1232.0600000000013</v>
      </c>
      <c r="F62" s="467">
        <f t="shared" si="38"/>
        <v>1232.0600000000013</v>
      </c>
      <c r="G62" s="467">
        <f t="shared" si="38"/>
        <v>1232.0600000000013</v>
      </c>
      <c r="H62" s="467">
        <f t="shared" si="38"/>
        <v>1232.0600000000013</v>
      </c>
      <c r="I62" s="467">
        <f t="shared" si="38"/>
        <v>1232.0600000000013</v>
      </c>
      <c r="J62" s="467">
        <f t="shared" si="38"/>
        <v>1232.0600000000013</v>
      </c>
      <c r="K62" s="467">
        <f t="shared" si="38"/>
        <v>1232.0600000000013</v>
      </c>
      <c r="L62" s="467">
        <f t="shared" si="38"/>
        <v>1232.0600000000013</v>
      </c>
      <c r="M62" s="467">
        <f t="shared" si="38"/>
        <v>1232.0600000000013</v>
      </c>
      <c r="N62" s="467">
        <f t="shared" si="38"/>
        <v>1232.0600000000013</v>
      </c>
      <c r="O62" s="467">
        <f t="shared" si="38"/>
        <v>1232.0600000000013</v>
      </c>
      <c r="P62" s="467">
        <f t="shared" si="38"/>
        <v>1232.0600000000013</v>
      </c>
      <c r="Q62" s="467">
        <f>P62+Q38*F4</f>
        <v>1949.0600000000013</v>
      </c>
      <c r="R62" s="467">
        <f t="shared" si="38"/>
        <v>1949.0600000000013</v>
      </c>
      <c r="S62" s="467">
        <f t="shared" si="38"/>
        <v>1949.0600000000013</v>
      </c>
    </row>
    <row r="63" spans="1:19" s="468" customFormat="1" x14ac:dyDescent="0.25">
      <c r="A63" s="465" t="s">
        <v>1543</v>
      </c>
      <c r="B63" s="466">
        <f>C39*F5</f>
        <v>825.52399999999977</v>
      </c>
      <c r="C63" s="467">
        <f t="shared" ref="C63:S65" si="39">B63</f>
        <v>825.52399999999977</v>
      </c>
      <c r="D63" s="467">
        <f t="shared" si="39"/>
        <v>825.52399999999977</v>
      </c>
      <c r="E63" s="467">
        <f t="shared" si="39"/>
        <v>825.52399999999977</v>
      </c>
      <c r="F63" s="467">
        <f t="shared" si="39"/>
        <v>825.52399999999977</v>
      </c>
      <c r="G63" s="467">
        <f t="shared" si="39"/>
        <v>825.52399999999977</v>
      </c>
      <c r="H63" s="467">
        <f t="shared" si="39"/>
        <v>825.52399999999977</v>
      </c>
      <c r="I63" s="467">
        <f t="shared" si="39"/>
        <v>825.52399999999977</v>
      </c>
      <c r="J63" s="467">
        <f t="shared" si="39"/>
        <v>825.52399999999977</v>
      </c>
      <c r="K63" s="467">
        <f t="shared" si="39"/>
        <v>825.52399999999977</v>
      </c>
      <c r="L63" s="467">
        <f t="shared" si="39"/>
        <v>825.52399999999977</v>
      </c>
      <c r="M63" s="467">
        <f t="shared" si="39"/>
        <v>825.52399999999977</v>
      </c>
      <c r="N63" s="467">
        <f t="shared" si="39"/>
        <v>825.52399999999977</v>
      </c>
      <c r="O63" s="467">
        <f t="shared" si="39"/>
        <v>825.52399999999977</v>
      </c>
      <c r="P63" s="467">
        <f t="shared" si="39"/>
        <v>825.52399999999977</v>
      </c>
      <c r="Q63" s="467">
        <f t="shared" ref="Q63:Q65" si="40">P63+Q39*F5</f>
        <v>1342.8239999999996</v>
      </c>
      <c r="R63" s="467">
        <f t="shared" si="39"/>
        <v>1342.8239999999996</v>
      </c>
      <c r="S63" s="467">
        <f t="shared" si="39"/>
        <v>1342.8239999999996</v>
      </c>
    </row>
    <row r="64" spans="1:19" s="468" customFormat="1" x14ac:dyDescent="0.25">
      <c r="A64" s="465" t="s">
        <v>1544</v>
      </c>
      <c r="B64" s="466">
        <f>C40*F6</f>
        <v>1282.2799999999988</v>
      </c>
      <c r="C64" s="467">
        <f t="shared" si="39"/>
        <v>1282.2799999999988</v>
      </c>
      <c r="D64" s="467">
        <f t="shared" si="39"/>
        <v>1282.2799999999988</v>
      </c>
      <c r="E64" s="467">
        <f t="shared" si="39"/>
        <v>1282.2799999999988</v>
      </c>
      <c r="F64" s="467">
        <f t="shared" si="39"/>
        <v>1282.2799999999988</v>
      </c>
      <c r="G64" s="467">
        <f t="shared" si="39"/>
        <v>1282.2799999999988</v>
      </c>
      <c r="H64" s="467">
        <f t="shared" si="39"/>
        <v>1282.2799999999988</v>
      </c>
      <c r="I64" s="467">
        <f t="shared" si="39"/>
        <v>1282.2799999999988</v>
      </c>
      <c r="J64" s="467">
        <f t="shared" si="39"/>
        <v>1282.2799999999988</v>
      </c>
      <c r="K64" s="467">
        <f t="shared" si="39"/>
        <v>1282.2799999999988</v>
      </c>
      <c r="L64" s="467">
        <f t="shared" si="39"/>
        <v>1282.2799999999988</v>
      </c>
      <c r="M64" s="467">
        <f t="shared" si="39"/>
        <v>1282.2799999999988</v>
      </c>
      <c r="N64" s="467">
        <f t="shared" si="39"/>
        <v>1282.2799999999988</v>
      </c>
      <c r="O64" s="467">
        <f t="shared" si="39"/>
        <v>1282.2799999999988</v>
      </c>
      <c r="P64" s="467">
        <f t="shared" si="39"/>
        <v>1282.2799999999988</v>
      </c>
      <c r="Q64" s="467">
        <f t="shared" si="40"/>
        <v>2215.2799999999988</v>
      </c>
      <c r="R64" s="467">
        <f t="shared" si="39"/>
        <v>2215.2799999999988</v>
      </c>
      <c r="S64" s="467">
        <f t="shared" si="39"/>
        <v>2215.2799999999988</v>
      </c>
    </row>
    <row r="65" spans="1:19" s="468" customFormat="1" x14ac:dyDescent="0.25">
      <c r="A65" s="465" t="s">
        <v>1545</v>
      </c>
      <c r="B65" s="466">
        <f>C41*F7</f>
        <v>402.20000000000027</v>
      </c>
      <c r="C65" s="467">
        <f t="shared" si="39"/>
        <v>402.20000000000027</v>
      </c>
      <c r="D65" s="467">
        <f t="shared" si="39"/>
        <v>402.20000000000027</v>
      </c>
      <c r="E65" s="467">
        <f t="shared" si="39"/>
        <v>402.20000000000027</v>
      </c>
      <c r="F65" s="467">
        <f t="shared" si="39"/>
        <v>402.20000000000027</v>
      </c>
      <c r="G65" s="467">
        <f t="shared" si="39"/>
        <v>402.20000000000027</v>
      </c>
      <c r="H65" s="467">
        <f t="shared" si="39"/>
        <v>402.20000000000027</v>
      </c>
      <c r="I65" s="467">
        <f t="shared" si="39"/>
        <v>402.20000000000027</v>
      </c>
      <c r="J65" s="467">
        <f t="shared" si="39"/>
        <v>402.20000000000027</v>
      </c>
      <c r="K65" s="467">
        <f t="shared" si="39"/>
        <v>402.20000000000027</v>
      </c>
      <c r="L65" s="467">
        <f t="shared" si="39"/>
        <v>402.20000000000027</v>
      </c>
      <c r="M65" s="467">
        <f t="shared" si="39"/>
        <v>402.20000000000027</v>
      </c>
      <c r="N65" s="467">
        <f t="shared" si="39"/>
        <v>402.20000000000027</v>
      </c>
      <c r="O65" s="467">
        <f t="shared" si="39"/>
        <v>402.20000000000027</v>
      </c>
      <c r="P65" s="467">
        <f t="shared" si="39"/>
        <v>402.20000000000027</v>
      </c>
      <c r="Q65" s="467">
        <f t="shared" si="40"/>
        <v>772.20000000000027</v>
      </c>
      <c r="R65" s="467">
        <f t="shared" si="39"/>
        <v>772.20000000000027</v>
      </c>
      <c r="S65" s="467">
        <f t="shared" si="39"/>
        <v>772.20000000000027</v>
      </c>
    </row>
    <row r="66" spans="1:19" s="471" customFormat="1" ht="15.75" x14ac:dyDescent="0.25">
      <c r="A66" s="469" t="s">
        <v>1546</v>
      </c>
      <c r="B66" s="470">
        <f>SUM(B58:B65)</f>
        <v>366745.66399999993</v>
      </c>
      <c r="C66" s="470">
        <f t="shared" ref="C66:Q66" si="41">SUM(C58:C65)</f>
        <v>3742.0640000000003</v>
      </c>
      <c r="D66" s="470">
        <f t="shared" si="41"/>
        <v>3742.0640000000003</v>
      </c>
      <c r="E66" s="470">
        <f t="shared" si="41"/>
        <v>3742.0640000000003</v>
      </c>
      <c r="F66" s="470">
        <f t="shared" si="41"/>
        <v>3742.0640000000003</v>
      </c>
      <c r="G66" s="470">
        <f t="shared" si="41"/>
        <v>3742.0640000000003</v>
      </c>
      <c r="H66" s="470">
        <f t="shared" si="41"/>
        <v>3742.0640000000003</v>
      </c>
      <c r="I66" s="470">
        <f t="shared" si="41"/>
        <v>3742.0640000000003</v>
      </c>
      <c r="J66" s="470">
        <f t="shared" si="41"/>
        <v>3742.0640000000003</v>
      </c>
      <c r="K66" s="470">
        <f t="shared" si="41"/>
        <v>3742.0640000000003</v>
      </c>
      <c r="L66" s="470">
        <f t="shared" si="41"/>
        <v>3742.0640000000003</v>
      </c>
      <c r="M66" s="470">
        <f t="shared" si="41"/>
        <v>3742.0640000000003</v>
      </c>
      <c r="N66" s="470">
        <f t="shared" si="41"/>
        <v>3742.0640000000003</v>
      </c>
      <c r="O66" s="470">
        <f t="shared" si="41"/>
        <v>3742.0640000000003</v>
      </c>
      <c r="P66" s="470">
        <f t="shared" si="41"/>
        <v>3742.0640000000003</v>
      </c>
      <c r="Q66" s="470">
        <f t="shared" si="41"/>
        <v>254604.364</v>
      </c>
      <c r="R66" s="470">
        <f t="shared" ref="R66:S66" si="42">SUM(R58:R65)</f>
        <v>6279.3639999999996</v>
      </c>
      <c r="S66" s="470">
        <f t="shared" si="42"/>
        <v>6279.3639999999996</v>
      </c>
    </row>
    <row r="67" spans="1:19" s="473" customFormat="1" ht="15.75" x14ac:dyDescent="0.25">
      <c r="A67" s="469" t="s">
        <v>1554</v>
      </c>
      <c r="B67" s="472">
        <f>B66</f>
        <v>366745.66399999993</v>
      </c>
      <c r="C67" s="472">
        <f>B67+C66</f>
        <v>370487.72799999994</v>
      </c>
      <c r="D67" s="472">
        <f t="shared" ref="D67:S67" si="43">C67+D66</f>
        <v>374229.79199999996</v>
      </c>
      <c r="E67" s="472">
        <f t="shared" si="43"/>
        <v>377971.85599999997</v>
      </c>
      <c r="F67" s="472">
        <f t="shared" si="43"/>
        <v>381713.91999999998</v>
      </c>
      <c r="G67" s="472">
        <f t="shared" si="43"/>
        <v>385455.984</v>
      </c>
      <c r="H67" s="472">
        <f t="shared" si="43"/>
        <v>389198.04800000001</v>
      </c>
      <c r="I67" s="472">
        <f t="shared" si="43"/>
        <v>392940.11200000002</v>
      </c>
      <c r="J67" s="472">
        <f t="shared" si="43"/>
        <v>396682.17600000004</v>
      </c>
      <c r="K67" s="472">
        <f t="shared" si="43"/>
        <v>400424.24000000005</v>
      </c>
      <c r="L67" s="472">
        <f t="shared" si="43"/>
        <v>404166.30400000006</v>
      </c>
      <c r="M67" s="472">
        <f t="shared" si="43"/>
        <v>407908.36800000007</v>
      </c>
      <c r="N67" s="472">
        <f t="shared" si="43"/>
        <v>411650.43200000009</v>
      </c>
      <c r="O67" s="472">
        <f t="shared" si="43"/>
        <v>415392.4960000001</v>
      </c>
      <c r="P67" s="472">
        <f t="shared" si="43"/>
        <v>419134.56000000011</v>
      </c>
      <c r="Q67" s="472">
        <f t="shared" si="43"/>
        <v>673738.92400000012</v>
      </c>
      <c r="R67" s="472">
        <f t="shared" si="43"/>
        <v>680018.28800000006</v>
      </c>
      <c r="S67" s="472">
        <f t="shared" si="43"/>
        <v>686297.652</v>
      </c>
    </row>
    <row r="68" spans="1:19" s="468" customFormat="1" x14ac:dyDescent="0.25">
      <c r="A68" s="465" t="s">
        <v>1552</v>
      </c>
      <c r="B68" s="467">
        <f t="shared" ref="B68:R68" si="44">B57-B67</f>
        <v>-366745.66399999993</v>
      </c>
      <c r="C68" s="467">
        <f t="shared" si="44"/>
        <v>-370487.72799999994</v>
      </c>
      <c r="D68" s="467">
        <f t="shared" si="44"/>
        <v>-374229.79199999996</v>
      </c>
      <c r="E68" s="467">
        <f t="shared" si="44"/>
        <v>-377971.85599999997</v>
      </c>
      <c r="F68" s="467">
        <f t="shared" si="44"/>
        <v>-347040.92</v>
      </c>
      <c r="G68" s="467">
        <f t="shared" si="44"/>
        <v>-350782.984</v>
      </c>
      <c r="H68" s="467">
        <f t="shared" si="44"/>
        <v>-319852.04800000001</v>
      </c>
      <c r="I68" s="467">
        <f t="shared" si="44"/>
        <v>-323594.11200000002</v>
      </c>
      <c r="J68" s="467">
        <f t="shared" si="44"/>
        <v>-292663.17600000004</v>
      </c>
      <c r="K68" s="467">
        <f t="shared" si="44"/>
        <v>-296405.24000000005</v>
      </c>
      <c r="L68" s="467">
        <f t="shared" si="44"/>
        <v>-300147.30400000006</v>
      </c>
      <c r="M68" s="467">
        <f t="shared" si="44"/>
        <v>-303889.36800000007</v>
      </c>
      <c r="N68" s="467">
        <f t="shared" si="44"/>
        <v>-307631.43200000009</v>
      </c>
      <c r="O68" s="467">
        <f t="shared" si="44"/>
        <v>-281380.4960000001</v>
      </c>
      <c r="P68" s="467">
        <f t="shared" si="44"/>
        <v>-285122.56000000011</v>
      </c>
      <c r="Q68" s="467">
        <f t="shared" si="44"/>
        <v>-525136.92400000012</v>
      </c>
      <c r="R68" s="467">
        <f t="shared" si="44"/>
        <v>-531416.28800000006</v>
      </c>
      <c r="S68" s="467">
        <f t="shared" ref="S68" si="45">S57-S67</f>
        <v>-503022.652</v>
      </c>
    </row>
  </sheetData>
  <mergeCells count="3">
    <mergeCell ref="D2:E2"/>
    <mergeCell ref="F2:G2"/>
    <mergeCell ref="H2:I2"/>
  </mergeCells>
  <conditionalFormatting sqref="B32:AD32">
    <cfRule type="cellIs" dxfId="19" priority="5" operator="lessThan">
      <formula>0</formula>
    </cfRule>
  </conditionalFormatting>
  <conditionalFormatting sqref="B32:AD32">
    <cfRule type="cellIs" dxfId="18" priority="6" operator="greaterThan">
      <formula>0</formula>
    </cfRule>
  </conditionalFormatting>
  <conditionalFormatting sqref="B68:Q68">
    <cfRule type="cellIs" dxfId="17" priority="3" operator="lessThan">
      <formula>0</formula>
    </cfRule>
    <cfRule type="cellIs" dxfId="16" priority="4" operator="greaterThan">
      <formula>0</formula>
    </cfRule>
  </conditionalFormatting>
  <conditionalFormatting sqref="R68:S68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B7DEE8"/>
  </sheetPr>
  <dimension ref="A1:CE28"/>
  <sheetViews>
    <sheetView workbookViewId="0">
      <pane xSplit="9" ySplit="2" topLeftCell="BH3" activePane="bottomRight" state="frozen"/>
      <selection pane="topRight"/>
      <selection pane="bottomLeft"/>
      <selection pane="bottomRight" activeCell="CB19" sqref="CB19"/>
    </sheetView>
  </sheetViews>
  <sheetFormatPr baseColWidth="10" defaultColWidth="11.42578125" defaultRowHeight="15" x14ac:dyDescent="0.25"/>
  <cols>
    <col min="1" max="1" width="19.7109375" customWidth="1"/>
    <col min="2" max="2" width="5.42578125" customWidth="1"/>
    <col min="3" max="3" width="5.5703125" customWidth="1"/>
    <col min="4" max="4" width="5.42578125" style="42" customWidth="1"/>
    <col min="5" max="5" width="13" customWidth="1"/>
    <col min="6" max="6" width="4.5703125" customWidth="1"/>
    <col min="7" max="7" width="5.42578125" customWidth="1"/>
    <col min="8" max="8" width="5.7109375" customWidth="1"/>
    <col min="9" max="9" width="7.42578125" customWidth="1"/>
    <col min="10" max="10" width="4.5703125" customWidth="1"/>
    <col min="11" max="17" width="5.5703125" customWidth="1"/>
    <col min="18" max="18" width="4.85546875" customWidth="1"/>
    <col min="19" max="20" width="6.140625" customWidth="1"/>
    <col min="21" max="22" width="7.85546875" customWidth="1"/>
    <col min="23" max="23" width="7.7109375" customWidth="1"/>
    <col min="24" max="24" width="7.85546875" customWidth="1"/>
    <col min="25" max="25" width="7.42578125" customWidth="1"/>
    <col min="26" max="26" width="10" customWidth="1"/>
    <col min="27" max="27" width="7.85546875" customWidth="1"/>
    <col min="28" max="28" width="7.42578125" customWidth="1"/>
    <col min="29" max="29" width="5.140625" customWidth="1"/>
    <col min="30" max="30" width="7.42578125" customWidth="1"/>
    <col min="31" max="31" width="7.85546875" customWidth="1"/>
    <col min="32" max="32" width="7.42578125" customWidth="1"/>
    <col min="33" max="33" width="5.140625" customWidth="1"/>
    <col min="34" max="34" width="9.7109375" customWidth="1"/>
    <col min="35" max="35" width="7.85546875" customWidth="1"/>
    <col min="36" max="36" width="5.140625" customWidth="1"/>
    <col min="37" max="37" width="6.42578125" customWidth="1"/>
    <col min="38" max="38" width="7.42578125" customWidth="1"/>
    <col min="39" max="41" width="7.85546875" customWidth="1"/>
    <col min="42" max="42" width="7.42578125" customWidth="1"/>
    <col min="43" max="43" width="7.85546875" customWidth="1"/>
    <col min="44" max="44" width="7.42578125" customWidth="1"/>
    <col min="45" max="45" width="5.5703125" customWidth="1"/>
    <col min="46" max="46" width="6.42578125" customWidth="1"/>
    <col min="47" max="47" width="6.85546875" customWidth="1"/>
    <col min="48" max="48" width="6.42578125" customWidth="1"/>
    <col min="49" max="49" width="7.42578125" customWidth="1"/>
    <col min="50" max="50" width="7.85546875" customWidth="1"/>
    <col min="51" max="51" width="7.42578125" customWidth="1"/>
    <col min="52" max="52" width="5.5703125" customWidth="1"/>
    <col min="53" max="53" width="6.42578125" customWidth="1"/>
    <col min="54" max="54" width="6.85546875" customWidth="1"/>
    <col min="55" max="55" width="6.42578125" customWidth="1"/>
    <col min="56" max="56" width="7.42578125" customWidth="1"/>
    <col min="57" max="57" width="7.85546875" customWidth="1"/>
    <col min="58" max="58" width="5.5703125" customWidth="1"/>
    <col min="59" max="59" width="6.42578125" customWidth="1"/>
    <col min="60" max="60" width="6.85546875" customWidth="1"/>
    <col min="61" max="61" width="7.42578125" customWidth="1"/>
    <col min="62" max="62" width="7.85546875" customWidth="1"/>
    <col min="63" max="63" width="5.140625" customWidth="1"/>
    <col min="64" max="64" width="6.42578125" customWidth="1"/>
    <col min="65" max="65" width="6.85546875" customWidth="1"/>
    <col min="66" max="66" width="7.42578125" customWidth="1"/>
    <col min="67" max="67" width="7.85546875" customWidth="1"/>
    <col min="68" max="68" width="5.140625" customWidth="1"/>
    <col min="69" max="69" width="6.42578125" customWidth="1"/>
    <col min="70" max="70" width="6.85546875" customWidth="1"/>
    <col min="71" max="71" width="7.42578125" customWidth="1"/>
    <col min="72" max="72" width="7.85546875" customWidth="1"/>
    <col min="73" max="73" width="6" customWidth="1"/>
    <col min="74" max="74" width="6.42578125" customWidth="1"/>
    <col min="75" max="75" width="6.85546875" customWidth="1"/>
    <col min="76" max="76" width="5.140625" customWidth="1"/>
    <col min="77" max="77" width="6.42578125" customWidth="1"/>
    <col min="78" max="78" width="6.85546875" customWidth="1"/>
    <col min="79" max="80" width="6.42578125" customWidth="1"/>
    <col min="81" max="81" width="6.85546875" customWidth="1"/>
    <col min="82" max="82" width="6.42578125" customWidth="1"/>
    <col min="83" max="83" width="5.140625" customWidth="1"/>
  </cols>
  <sheetData>
    <row r="1" spans="1:83" x14ac:dyDescent="0.25">
      <c r="A1" s="23"/>
      <c r="W1" t="s">
        <v>617</v>
      </c>
      <c r="Z1" t="s">
        <v>618</v>
      </c>
      <c r="AD1" t="s">
        <v>619</v>
      </c>
      <c r="AH1" t="s">
        <v>620</v>
      </c>
      <c r="AL1" t="s">
        <v>621</v>
      </c>
      <c r="AP1" t="s">
        <v>622</v>
      </c>
      <c r="AW1" t="s">
        <v>623</v>
      </c>
      <c r="BD1" t="s">
        <v>624</v>
      </c>
      <c r="BI1" t="s">
        <v>625</v>
      </c>
      <c r="BN1" t="s">
        <v>626</v>
      </c>
      <c r="BS1" t="s">
        <v>627</v>
      </c>
      <c r="BX1" t="s">
        <v>628</v>
      </c>
      <c r="CB1" t="s">
        <v>172</v>
      </c>
    </row>
    <row r="2" spans="1:83" x14ac:dyDescent="0.25">
      <c r="A2" s="31" t="s">
        <v>177</v>
      </c>
      <c r="B2" s="31" t="s">
        <v>629</v>
      </c>
      <c r="C2" s="31" t="s">
        <v>109</v>
      </c>
      <c r="D2" s="51" t="s">
        <v>291</v>
      </c>
      <c r="E2" s="31" t="s">
        <v>630</v>
      </c>
      <c r="F2" s="39" t="s">
        <v>631</v>
      </c>
      <c r="G2" s="39" t="s">
        <v>121</v>
      </c>
      <c r="H2" s="39" t="s">
        <v>122</v>
      </c>
      <c r="I2" s="40" t="s">
        <v>117</v>
      </c>
      <c r="J2" s="32" t="s">
        <v>518</v>
      </c>
      <c r="K2" s="32" t="s">
        <v>149</v>
      </c>
      <c r="L2" s="32" t="s">
        <v>183</v>
      </c>
      <c r="M2" s="32" t="s">
        <v>184</v>
      </c>
      <c r="N2" s="32" t="s">
        <v>315</v>
      </c>
      <c r="O2" s="32" t="s">
        <v>186</v>
      </c>
      <c r="P2" s="32" t="s">
        <v>187</v>
      </c>
      <c r="Q2" s="32" t="s">
        <v>188</v>
      </c>
      <c r="R2" s="33" t="s">
        <v>135</v>
      </c>
      <c r="S2" s="33" t="s">
        <v>632</v>
      </c>
      <c r="T2" s="33" t="s">
        <v>633</v>
      </c>
      <c r="U2" s="33" t="s">
        <v>634</v>
      </c>
      <c r="V2" s="33" t="s">
        <v>635</v>
      </c>
      <c r="W2" s="34" t="s">
        <v>636</v>
      </c>
      <c r="X2" s="34" t="s">
        <v>637</v>
      </c>
      <c r="Y2" s="34" t="s">
        <v>636</v>
      </c>
      <c r="Z2" s="35" t="s">
        <v>636</v>
      </c>
      <c r="AA2" s="35" t="s">
        <v>637</v>
      </c>
      <c r="AB2" s="35" t="s">
        <v>636</v>
      </c>
      <c r="AC2" s="35" t="s">
        <v>168</v>
      </c>
      <c r="AD2" s="35" t="s">
        <v>636</v>
      </c>
      <c r="AE2" s="35" t="s">
        <v>637</v>
      </c>
      <c r="AF2" s="35" t="s">
        <v>636</v>
      </c>
      <c r="AG2" s="35" t="s">
        <v>168</v>
      </c>
      <c r="AH2" s="34" t="s">
        <v>636</v>
      </c>
      <c r="AI2" s="34" t="s">
        <v>637</v>
      </c>
      <c r="AJ2" s="34" t="s">
        <v>168</v>
      </c>
      <c r="AK2" s="34" t="s">
        <v>638</v>
      </c>
      <c r="AL2" s="34" t="s">
        <v>636</v>
      </c>
      <c r="AM2" s="34" t="s">
        <v>637</v>
      </c>
      <c r="AN2" s="34" t="s">
        <v>168</v>
      </c>
      <c r="AO2" s="34" t="s">
        <v>638</v>
      </c>
      <c r="AP2" s="34" t="s">
        <v>636</v>
      </c>
      <c r="AQ2" s="34" t="s">
        <v>637</v>
      </c>
      <c r="AR2" s="34" t="s">
        <v>636</v>
      </c>
      <c r="AS2" s="34" t="s">
        <v>168</v>
      </c>
      <c r="AT2" s="34" t="s">
        <v>638</v>
      </c>
      <c r="AU2" s="34" t="s">
        <v>639</v>
      </c>
      <c r="AV2" s="34" t="s">
        <v>638</v>
      </c>
      <c r="AW2" s="34" t="s">
        <v>636</v>
      </c>
      <c r="AX2" s="34" t="s">
        <v>637</v>
      </c>
      <c r="AY2" s="34" t="s">
        <v>636</v>
      </c>
      <c r="AZ2" s="34" t="s">
        <v>168</v>
      </c>
      <c r="BA2" s="34" t="s">
        <v>638</v>
      </c>
      <c r="BB2" s="34" t="s">
        <v>639</v>
      </c>
      <c r="BC2" s="34" t="s">
        <v>638</v>
      </c>
      <c r="BD2" s="35" t="s">
        <v>636</v>
      </c>
      <c r="BE2" s="35" t="s">
        <v>637</v>
      </c>
      <c r="BF2" s="35" t="s">
        <v>168</v>
      </c>
      <c r="BG2" s="35" t="s">
        <v>638</v>
      </c>
      <c r="BH2" s="35" t="s">
        <v>639</v>
      </c>
      <c r="BI2" s="35" t="s">
        <v>636</v>
      </c>
      <c r="BJ2" s="35" t="s">
        <v>637</v>
      </c>
      <c r="BK2" s="35" t="s">
        <v>168</v>
      </c>
      <c r="BL2" s="35" t="s">
        <v>638</v>
      </c>
      <c r="BM2" s="35" t="s">
        <v>639</v>
      </c>
      <c r="BN2" s="34" t="s">
        <v>636</v>
      </c>
      <c r="BO2" s="34" t="s">
        <v>637</v>
      </c>
      <c r="BP2" s="34" t="s">
        <v>168</v>
      </c>
      <c r="BQ2" s="34" t="s">
        <v>638</v>
      </c>
      <c r="BR2" s="34" t="s">
        <v>639</v>
      </c>
      <c r="BS2" s="34" t="s">
        <v>636</v>
      </c>
      <c r="BT2" s="34" t="s">
        <v>637</v>
      </c>
      <c r="BU2" s="34" t="s">
        <v>168</v>
      </c>
      <c r="BV2" s="34" t="s">
        <v>638</v>
      </c>
      <c r="BW2" s="34" t="s">
        <v>639</v>
      </c>
      <c r="BX2" s="35" t="s">
        <v>168</v>
      </c>
      <c r="BY2" s="35" t="s">
        <v>638</v>
      </c>
      <c r="BZ2" s="35" t="s">
        <v>639</v>
      </c>
      <c r="CA2" s="35" t="s">
        <v>638</v>
      </c>
      <c r="CB2" s="34" t="s">
        <v>638</v>
      </c>
      <c r="CC2" s="34" t="s">
        <v>639</v>
      </c>
      <c r="CD2" s="34" t="s">
        <v>638</v>
      </c>
      <c r="CE2" s="34" t="s">
        <v>168</v>
      </c>
    </row>
    <row r="3" spans="1:83" x14ac:dyDescent="0.25">
      <c r="A3" s="442" t="str">
        <f>PLANTILLA!D4</f>
        <v>Cosme Fonteboa</v>
      </c>
      <c r="B3" s="442">
        <f>PLANTILLA!E4</f>
        <v>30</v>
      </c>
      <c r="C3" s="443">
        <f ca="1">PLANTILLA!F4</f>
        <v>52</v>
      </c>
      <c r="D3" s="444">
        <f>PLANTILLA!G4</f>
        <v>0</v>
      </c>
      <c r="E3" s="445">
        <f>PLANTILLA!M4</f>
        <v>43415</v>
      </c>
      <c r="F3" s="446">
        <f>PLANTILLA!Q4</f>
        <v>6</v>
      </c>
      <c r="G3" s="447">
        <f t="shared" ref="G3" si="0">(F3/7)^0.5</f>
        <v>0.92582009977255142</v>
      </c>
      <c r="H3" s="447">
        <f t="shared" ref="H3" si="1">IF(F3=7,1,((F3+0.99)/7)^0.5)</f>
        <v>0.99928545900129484</v>
      </c>
      <c r="I3" s="448">
        <f ca="1">PLANTILLA!N4</f>
        <v>1</v>
      </c>
      <c r="J3" s="29">
        <f>PLANTILLA!I4</f>
        <v>12</v>
      </c>
      <c r="K3" s="36">
        <f>PLANTILLA!X4</f>
        <v>15</v>
      </c>
      <c r="L3" s="36">
        <f>PLANTILLA!Y4</f>
        <v>13.214285714285714</v>
      </c>
      <c r="M3" s="36">
        <f>PLANTILLA!Z4</f>
        <v>0</v>
      </c>
      <c r="N3" s="36">
        <f>PLANTILLA!AA4</f>
        <v>2</v>
      </c>
      <c r="O3" s="36">
        <f>PLANTILLA!AB4</f>
        <v>1</v>
      </c>
      <c r="P3" s="36">
        <f>PLANTILLA!AC4</f>
        <v>1</v>
      </c>
      <c r="Q3" s="36">
        <f>PLANTILLA!AD4</f>
        <v>18</v>
      </c>
      <c r="R3" s="36">
        <f t="shared" ref="R3" si="2">((2*(O3+1))+(L3+1))/8</f>
        <v>2.2767857142857144</v>
      </c>
      <c r="S3" s="36">
        <f t="shared" ref="S3" si="3">(0.5*P3+0.3*Q3)/10</f>
        <v>0.59</v>
      </c>
      <c r="T3" s="36">
        <f t="shared" ref="T3" si="4">(0.4*L3+0.3*Q3)/10</f>
        <v>1.0685714285714285</v>
      </c>
      <c r="U3" s="36">
        <f t="shared" ref="U3" ca="1" si="5">(Q3+I3+(LOG(J3)*4/3))*(F3/7)^0.5</f>
        <v>18.922752147529781</v>
      </c>
      <c r="V3" s="36">
        <f t="shared" ref="V3" ca="1" si="6">IF(F3=7,U3,(Q3+I3+(LOG(J3)*4/3))*((F3+0.99)/7)^0.5)</f>
        <v>20.424303890094322</v>
      </c>
      <c r="W3" s="27">
        <f t="shared" ref="W3" ca="1" si="7">((K3+I3+(LOG(J3)*4/3))*0.597)+((L3+I3+(LOG(J3)*4/3))*0.276)</f>
        <v>14.731309827542294</v>
      </c>
      <c r="X3" s="27">
        <f t="shared" ref="X3" ca="1" si="8">((K3+I3+(LOG(J3)*4/3))*0.866)+((L3+I3+(LOG(J3)*4/3))*0.425)</f>
        <v>21.754702080101406</v>
      </c>
      <c r="Y3" s="27">
        <f t="shared" ref="Y3" ca="1" si="9">W3</f>
        <v>14.731309827542294</v>
      </c>
      <c r="Z3" s="27">
        <f t="shared" ref="Z3" ca="1" si="10">((L3+I3+(LOG(J3)*4/3))*0.516)</f>
        <v>8.077048125852194</v>
      </c>
      <c r="AA3" s="27">
        <f t="shared" ref="AA3" ca="1" si="11">((L3+I3+(LOG(J3)*4/3))*1)</f>
        <v>15.653194042349213</v>
      </c>
      <c r="AB3" s="27">
        <f t="shared" ref="AB3" ca="1" si="12">Z3/2</f>
        <v>4.038524062926097</v>
      </c>
      <c r="AC3" s="27">
        <f t="shared" ref="AC3" ca="1" si="13">((M3+I3+(LOG(J3)*4/3))*0.238)</f>
        <v>0.58046018207911287</v>
      </c>
      <c r="AD3" s="27">
        <f t="shared" ref="AD3" ca="1" si="14">((L3+I3+(LOG(J3)*4/3))*0.378)</f>
        <v>5.916907348008003</v>
      </c>
      <c r="AE3" s="27">
        <f t="shared" ref="AE3" ca="1" si="15">((L3+I3+(LOG(J3)*4/3))*0.723)</f>
        <v>11.317259292618481</v>
      </c>
      <c r="AF3" s="27">
        <f t="shared" ref="AF3" ca="1" si="16">AD3/2</f>
        <v>2.9584536740040015</v>
      </c>
      <c r="AG3" s="27">
        <f t="shared" ref="AG3" ca="1" si="17">((M3+I3+(LOG(J3)*4/3))*0.385)</f>
        <v>0.93897970630444738</v>
      </c>
      <c r="AH3" s="27">
        <f t="shared" ref="AH3" ca="1" si="18">((L3+I3+(LOG(J3)*4/3))*0.92)</f>
        <v>14.400938518961278</v>
      </c>
      <c r="AI3" s="27">
        <f t="shared" ref="AI3" ca="1" si="19">((L3+I3+(LOG(J3)*4/3))*0.414)</f>
        <v>6.4804223335325739</v>
      </c>
      <c r="AJ3" s="27">
        <f t="shared" ref="AJ3" ca="1" si="20">((M3+I3+(LOG(J3)*4/3))*0.167)</f>
        <v>0.40729769078660444</v>
      </c>
      <c r="AK3" s="27">
        <f t="shared" ref="AK3" ca="1" si="21">((N3+I3+(LOG(J3)*4/3))*0.588)</f>
        <v>2.6100780969013377</v>
      </c>
      <c r="AL3" s="27">
        <f t="shared" ref="AL3" ca="1" si="22">((L3+I3+(LOG(J3)*4/3))*0.754)</f>
        <v>11.802508307931307</v>
      </c>
      <c r="AM3" s="27">
        <f t="shared" ref="AM3" ca="1" si="23">((L3+I3+(LOG(J3)*4/3))*0.708)</f>
        <v>11.082461381983242</v>
      </c>
      <c r="AN3" s="27">
        <f t="shared" ref="AN3" ca="1" si="24">((Q3+I3+(LOG(J3)*4/3))*0.167)</f>
        <v>3.4132976907866048</v>
      </c>
      <c r="AO3" s="27">
        <f t="shared" ref="AO3" ca="1" si="25">((R3+I3+(LOG(J3)*4/3))*0.288)</f>
        <v>1.3581198841965736</v>
      </c>
      <c r="AP3" s="27">
        <f t="shared" ref="AP3" ca="1" si="26">((L3+I3+(LOG(J3)*4/3))*0.27)</f>
        <v>4.2263623914342876</v>
      </c>
      <c r="AQ3" s="27">
        <f t="shared" ref="AQ3" ca="1" si="27">((L3+I3+(LOG(J3)*4/3))*0.594)</f>
        <v>9.297997261155432</v>
      </c>
      <c r="AR3" s="27">
        <f t="shared" ref="AR3" ca="1" si="28">AP3/2</f>
        <v>2.1131811957171438</v>
      </c>
      <c r="AS3" s="27">
        <f t="shared" ref="AS3" ca="1" si="29">((M3+I3+(LOG(J3)*4/3))*0.944)</f>
        <v>2.3023294616919436</v>
      </c>
      <c r="AT3" s="27">
        <f t="shared" ref="AT3" ca="1" si="30">((O3+I3+(LOG(J3)*4/3))*0.13)</f>
        <v>0.44705808264825497</v>
      </c>
      <c r="AU3" s="27">
        <f t="shared" ref="AU3" ca="1" si="31">((P3+I3+(LOG(J3)*4/3))*0.173)+((O3+I3+(LOG(J3)*4/3))*0.12)</f>
        <v>1.0076001401226053</v>
      </c>
      <c r="AV3" s="27">
        <f t="shared" ref="AV3" ca="1" si="32">AT3/2</f>
        <v>0.22352904132412749</v>
      </c>
      <c r="AW3" s="27">
        <f t="shared" ref="AW3" ca="1" si="33">((L3+I3+(LOG(J3)*4/3))*0.189)</f>
        <v>2.9584536740040015</v>
      </c>
      <c r="AX3" s="27">
        <f t="shared" ref="AX3" ca="1" si="34">((L3+I3+(LOG(J3)*4/3))*0.4)</f>
        <v>6.2612776169396858</v>
      </c>
      <c r="AY3" s="27">
        <f t="shared" ref="AY3" ca="1" si="35">AW3/2</f>
        <v>1.4792268370020007</v>
      </c>
      <c r="AZ3" s="27">
        <f t="shared" ref="AZ3" ca="1" si="36">((M3+I3+(LOG(J3)*4/3))*1)</f>
        <v>2.4389083280634996</v>
      </c>
      <c r="BA3" s="27">
        <f t="shared" ref="BA3" ca="1" si="37">((O3+I3+(LOG(J3)*4/3))*0.253)</f>
        <v>0.87004380700006545</v>
      </c>
      <c r="BB3" s="27">
        <f t="shared" ref="BB3" ca="1" si="38">((P3+I3+(LOG(J3)*4/3))*0.21)+((O3+I3+(LOG(J3)*4/3))*0.341)</f>
        <v>1.8948384887629883</v>
      </c>
      <c r="BC3" s="27">
        <f t="shared" ref="BC3" ca="1" si="39">BA3/2</f>
        <v>0.43502190350003273</v>
      </c>
      <c r="BD3" s="27">
        <f t="shared" ref="BD3" ca="1" si="40">((L3+I3+(LOG(J3)*4/3))*0.291)</f>
        <v>4.5550794663236207</v>
      </c>
      <c r="BE3" s="27">
        <f t="shared" ref="BE3" ca="1" si="41">((L3+I3+(LOG(J3)*4/3))*0.348)</f>
        <v>5.4473115267375256</v>
      </c>
      <c r="BF3" s="27">
        <f t="shared" ref="BF3" ca="1" si="42">((M3+I3+(LOG(J3)*4/3))*0.881)</f>
        <v>2.148678237023943</v>
      </c>
      <c r="BG3" s="27">
        <f t="shared" ref="BG3" ca="1" si="43">((N3+I3+(LOG(J3)*4/3))*0.574)+((O3+I3+(LOG(J3)*4/3))*0.315)</f>
        <v>3.6311895036484509</v>
      </c>
      <c r="BH3" s="27">
        <f t="shared" ref="BH3" ca="1" si="44">((O3+I3+(LOG(J3)*4/3))*0.241)</f>
        <v>0.82877690706330331</v>
      </c>
      <c r="BI3" s="27">
        <f t="shared" ref="BI3" ca="1" si="45">((L3+I3+(LOG(J3)*4/3))*0.485)</f>
        <v>7.5917991105393678</v>
      </c>
      <c r="BJ3" s="27">
        <f t="shared" ref="BJ3" ca="1" si="46">((L3+I3+(LOG(J3)*4/3))*0.264)</f>
        <v>4.1324432271801923</v>
      </c>
      <c r="BK3" s="27">
        <f t="shared" ref="BK3" ca="1" si="47">((M3+I3+(LOG(J3)*4/3))*0.381)</f>
        <v>0.92922407299219334</v>
      </c>
      <c r="BL3" s="27">
        <f t="shared" ref="BL3" ca="1" si="48">((N3+I3+(LOG(J3)*4/3))*0.673)+((O3+I3+(LOG(J3)*4/3))*0.201)</f>
        <v>3.6786058787274989</v>
      </c>
      <c r="BM3" s="27">
        <f t="shared" ref="BM3" ca="1" si="49">((O3+I3+(LOG(J3)*4/3))*0.052)</f>
        <v>0.17882323305930198</v>
      </c>
      <c r="BN3" s="27">
        <f t="shared" ref="BN3" ca="1" si="50">((L3+I3+(LOG(J3)*4/3))*0.18)</f>
        <v>2.8175749276228581</v>
      </c>
      <c r="BO3" s="27">
        <f t="shared" ref="BO3" ca="1" si="51">((L3+I3+(LOG(J3)*4/3))*0.068)</f>
        <v>1.0644171948797465</v>
      </c>
      <c r="BP3" s="27">
        <f t="shared" ref="BP3" ca="1" si="52">((M3+I3+(LOG(J3)*4/3))*0.305)</f>
        <v>0.74386704005936732</v>
      </c>
      <c r="BQ3" s="27">
        <f t="shared" ref="BQ3" ca="1" si="53">((N3+I3+(LOG(J3)*4/3))*1)+((O3+I3+(LOG(J3)*4/3))*0.286)</f>
        <v>5.4224361098896603</v>
      </c>
      <c r="BR3" s="27">
        <f t="shared" ref="BR3" ca="1" si="54">((O3+I3+(LOG(J3)*4/3))*0.135)</f>
        <v>0.46425262428857245</v>
      </c>
      <c r="BS3" s="27">
        <f t="shared" ref="BS3" ca="1" si="55">((L3+I3+(LOG(J3)*4/3))*0.284)</f>
        <v>4.4455071080271757</v>
      </c>
      <c r="BT3" s="27">
        <f t="shared" ref="BT3" ca="1" si="56">((L3+I3+(LOG(J3)*4/3))*0.244)</f>
        <v>3.819379346333208</v>
      </c>
      <c r="BU3" s="27">
        <f t="shared" ref="BU3" ca="1" si="57">((M3+I3+(LOG(J3)*4/3))*0.631)</f>
        <v>1.5389511550080683</v>
      </c>
      <c r="BV3" s="27">
        <f t="shared" ref="BV3" ca="1" si="58">((N3+I3+(LOG(J3)*4/3))*0.702)+((O3+I3+(LOG(J3)*4/3))*0.193)</f>
        <v>3.779822953616832</v>
      </c>
      <c r="BW3" s="27">
        <f t="shared" ref="BW3" ca="1" si="59">((O3+I3+(LOG(J3)*4/3))*0.148)</f>
        <v>0.5089584325533979</v>
      </c>
      <c r="BX3" s="27">
        <f t="shared" ref="BX3" ca="1" si="60">((M3+I3+(LOG(J3)*4/3))*0.406)</f>
        <v>0.99019678119378085</v>
      </c>
      <c r="BY3" s="27">
        <f t="shared" ref="BY3" ca="1" si="61">IF(D3="TEC",((N3+I3+(LOG(J3)*4/3))*0.15)+((O3+I3+(LOG(J3)*4/3))*0.324)+((P3+I3+(LOG(J3)*4/3))*0.127),((N3+I3+(LOG(J3)*4/3))*0.144)+((O3+I3+(LOG(J3)*4/3))*0.25)+((P3+I3+(LOG(J3)*4/3))*0.127))</f>
        <v>1.9356712389210833</v>
      </c>
      <c r="BZ3" s="27">
        <f t="shared" ref="BZ3" ca="1" si="62">IF(D3="TEC",((O3+I3+(LOG(J3)*4/3))*0.543)+((P3+I3+(LOG(J3)*4/3))*0.583),((O3+I3+(LOG(J3)*4/3))*0.543)+((P3+I3+(LOG(J3)*4/3))*0.583))</f>
        <v>3.8722107773995007</v>
      </c>
      <c r="CA3" s="27">
        <f t="shared" ref="CA3" ca="1" si="63">BY3</f>
        <v>1.9356712389210833</v>
      </c>
      <c r="CB3" s="27">
        <f t="shared" ref="CB3" ca="1" si="64">((P3+I3+(LOG(J3)*4/3))*0.26)+((N3+I3+(LOG(J3)*4/3))*0.221)+((O3+I3+(LOG(J3)*4/3))*0.142)</f>
        <v>2.3634398883835601</v>
      </c>
      <c r="CC3" s="27">
        <f t="shared" ref="CC3" ca="1" si="65">((P3+I3+(LOG(J3)*4/3))*1)+((O3+I3+(LOG(J3)*4/3))*0.369)</f>
        <v>4.7078655011189312</v>
      </c>
      <c r="CD3" s="27">
        <f t="shared" ref="CD3" ca="1" si="66">CB3</f>
        <v>2.3634398883835601</v>
      </c>
      <c r="CE3" s="27">
        <f t="shared" ref="CE3" ca="1" si="67">((M3+I3+(LOG(J3)*4/3))*0.25)</f>
        <v>0.60972708201587489</v>
      </c>
    </row>
    <row r="4" spans="1:83" x14ac:dyDescent="0.25">
      <c r="A4" s="442" t="str">
        <f>PLANTILLA!D5</f>
        <v>Nicolae Hornet</v>
      </c>
      <c r="B4" s="442">
        <f>PLANTILLA!E5</f>
        <v>30</v>
      </c>
      <c r="C4" s="443">
        <f ca="1">PLANTILLA!F5</f>
        <v>77</v>
      </c>
      <c r="D4" s="444">
        <f>PLANTILLA!G5</f>
        <v>0</v>
      </c>
      <c r="E4" s="445">
        <f>PLANTILLA!M5</f>
        <v>43190</v>
      </c>
      <c r="F4" s="446">
        <f>PLANTILLA!Q5</f>
        <v>4</v>
      </c>
      <c r="G4" s="447">
        <f t="shared" ref="G4:G18" si="68">(F4/7)^0.5</f>
        <v>0.7559289460184544</v>
      </c>
      <c r="H4" s="447">
        <f t="shared" ref="H4:H18" si="69">IF(F4=7,1,((F4+0.99)/7)^0.5)</f>
        <v>0.84430867747355465</v>
      </c>
      <c r="I4" s="448">
        <f ca="1">PLANTILLA!N5</f>
        <v>1</v>
      </c>
      <c r="J4" s="29">
        <f>PLANTILLA!I5</f>
        <v>2.2999999999999998</v>
      </c>
      <c r="K4" s="36">
        <f>PLANTILLA!X5</f>
        <v>6</v>
      </c>
      <c r="L4" s="36">
        <f>PLANTILLA!Y5</f>
        <v>6</v>
      </c>
      <c r="M4" s="36">
        <f>PLANTILLA!Z5</f>
        <v>0</v>
      </c>
      <c r="N4" s="36">
        <f>PLANTILLA!AA5</f>
        <v>3</v>
      </c>
      <c r="O4" s="36">
        <f>PLANTILLA!AB5</f>
        <v>1</v>
      </c>
      <c r="P4" s="36">
        <f>PLANTILLA!AC5</f>
        <v>1</v>
      </c>
      <c r="Q4" s="36">
        <f>PLANTILLA!AD5</f>
        <v>6</v>
      </c>
      <c r="R4" s="36">
        <f t="shared" ref="R4:R18" si="70">((2*(O4+1))+(L4+1))/8</f>
        <v>1.375</v>
      </c>
      <c r="S4" s="36">
        <f t="shared" ref="S4:S18" si="71">(0.5*P4+0.3*Q4)/10</f>
        <v>0.22999999999999998</v>
      </c>
      <c r="T4" s="36">
        <f t="shared" ref="T4:T18" si="72">(0.4*L4+0.3*Q4)/10</f>
        <v>0.42000000000000004</v>
      </c>
      <c r="U4" s="36">
        <f t="shared" ref="U4:U18" ca="1" si="73">(Q4+I4+(LOG(J4)*4/3))*(F4/7)^0.5</f>
        <v>5.6560900112309342</v>
      </c>
      <c r="V4" s="36">
        <f t="shared" ref="V4:V18" ca="1" si="74">IF(F4=7,U4,(Q4+I4+(LOG(J4)*4/3))*((F4+0.99)/7)^0.5)</f>
        <v>6.3173740100927294</v>
      </c>
      <c r="W4" s="27">
        <f t="shared" ref="W4:W18" ca="1" si="75">((K4+I4+(LOG(J4)*4/3))*0.597)+((L4+I4+(LOG(J4)*4/3))*0.276)</f>
        <v>6.532051201124478</v>
      </c>
      <c r="X4" s="27">
        <f t="shared" ref="X4:X18" ca="1" si="76">((K4+I4+(LOG(J4)*4/3))*0.866)+((L4+I4+(LOG(J4)*4/3))*0.425)</f>
        <v>9.6596541817316179</v>
      </c>
      <c r="Y4" s="27">
        <f t="shared" ref="Y4:Y18" ca="1" si="77">W4</f>
        <v>6.532051201124478</v>
      </c>
      <c r="Z4" s="27">
        <f t="shared" ref="Z4:Z18" ca="1" si="78">((L4+I4+(LOG(J4)*4/3))*0.516)</f>
        <v>3.8608687511801043</v>
      </c>
      <c r="AA4" s="27">
        <f t="shared" ref="AA4:AA18" ca="1" si="79">((L4+I4+(LOG(J4)*4/3))*1)</f>
        <v>7.4823037813567908</v>
      </c>
      <c r="AB4" s="27">
        <f t="shared" ref="AB4:AB18" ca="1" si="80">Z4/2</f>
        <v>1.9304343755900522</v>
      </c>
      <c r="AC4" s="27">
        <f t="shared" ref="AC4:AC18" ca="1" si="81">((M4+I4+(LOG(J4)*4/3))*0.238)</f>
        <v>0.35278829996291611</v>
      </c>
      <c r="AD4" s="27">
        <f t="shared" ref="AD4:AD18" ca="1" si="82">((L4+I4+(LOG(J4)*4/3))*0.378)</f>
        <v>2.8283108293528669</v>
      </c>
      <c r="AE4" s="27">
        <f t="shared" ref="AE4:AE18" ca="1" si="83">((L4+I4+(LOG(J4)*4/3))*0.723)</f>
        <v>5.4097056339209599</v>
      </c>
      <c r="AF4" s="27">
        <f t="shared" ref="AF4:AF18" ca="1" si="84">AD4/2</f>
        <v>1.4141554146764335</v>
      </c>
      <c r="AG4" s="27">
        <f t="shared" ref="AG4:AG18" ca="1" si="85">((M4+I4+(LOG(J4)*4/3))*0.385)</f>
        <v>0.57068695582236439</v>
      </c>
      <c r="AH4" s="27">
        <f t="shared" ref="AH4:AH18" ca="1" si="86">((L4+I4+(LOG(J4)*4/3))*0.92)</f>
        <v>6.8837194788482474</v>
      </c>
      <c r="AI4" s="27">
        <f t="shared" ref="AI4:AI18" ca="1" si="87">((L4+I4+(LOG(J4)*4/3))*0.414)</f>
        <v>3.0976737654817112</v>
      </c>
      <c r="AJ4" s="27">
        <f t="shared" ref="AJ4:AJ18" ca="1" si="88">((M4+I4+(LOG(J4)*4/3))*0.167)</f>
        <v>0.24754473148658404</v>
      </c>
      <c r="AK4" s="27">
        <f t="shared" ref="AK4:AK18" ca="1" si="89">((N4+I4+(LOG(J4)*4/3))*0.588)</f>
        <v>2.6355946234377927</v>
      </c>
      <c r="AL4" s="27">
        <f t="shared" ref="AL4:AL18" ca="1" si="90">((L4+I4+(LOG(J4)*4/3))*0.754)</f>
        <v>5.64165705114302</v>
      </c>
      <c r="AM4" s="27">
        <f t="shared" ref="AM4:AM18" ca="1" si="91">((L4+I4+(LOG(J4)*4/3))*0.708)</f>
        <v>5.2974710772006075</v>
      </c>
      <c r="AN4" s="27">
        <f t="shared" ref="AN4:AN18" ca="1" si="92">((Q4+I4+(LOG(J4)*4/3))*0.167)</f>
        <v>1.2495447314865842</v>
      </c>
      <c r="AO4" s="27">
        <f t="shared" ref="AO4:AO18" ca="1" si="93">((R4+I4+(LOG(J4)*4/3))*0.288)</f>
        <v>0.8229034890307555</v>
      </c>
      <c r="AP4" s="27">
        <f t="shared" ref="AP4:AP18" ca="1" si="94">((L4+I4+(LOG(J4)*4/3))*0.27)</f>
        <v>2.0202220209663335</v>
      </c>
      <c r="AQ4" s="27">
        <f t="shared" ref="AQ4:AQ18" ca="1" si="95">((L4+I4+(LOG(J4)*4/3))*0.594)</f>
        <v>4.4444884461259333</v>
      </c>
      <c r="AR4" s="27">
        <f t="shared" ref="AR4:AR18" ca="1" si="96">AP4/2</f>
        <v>1.0101110104831668</v>
      </c>
      <c r="AS4" s="27">
        <f t="shared" ref="AS4:AS18" ca="1" si="97">((M4+I4+(LOG(J4)*4/3))*0.944)</f>
        <v>1.3992947696008102</v>
      </c>
      <c r="AT4" s="27">
        <f t="shared" ref="AT4:AT18" ca="1" si="98">((O4+I4+(LOG(J4)*4/3))*0.13)</f>
        <v>0.32269949157638272</v>
      </c>
      <c r="AU4" s="27">
        <f t="shared" ref="AU4:AU18" ca="1" si="99">((P4+I4+(LOG(J4)*4/3))*0.173)+((O4+I4+(LOG(J4)*4/3))*0.12)</f>
        <v>0.72731500793753956</v>
      </c>
      <c r="AV4" s="27">
        <f t="shared" ref="AV4:AV18" ca="1" si="100">AT4/2</f>
        <v>0.16134974578819136</v>
      </c>
      <c r="AW4" s="27">
        <f t="shared" ref="AW4:AW18" ca="1" si="101">((L4+I4+(LOG(J4)*4/3))*0.189)</f>
        <v>1.4141554146764335</v>
      </c>
      <c r="AX4" s="27">
        <f t="shared" ref="AX4:AX18" ca="1" si="102">((L4+I4+(LOG(J4)*4/3))*0.4)</f>
        <v>2.9929215125427167</v>
      </c>
      <c r="AY4" s="27">
        <f t="shared" ref="AY4:AY18" ca="1" si="103">AW4/2</f>
        <v>0.70707770733821673</v>
      </c>
      <c r="AZ4" s="27">
        <f t="shared" ref="AZ4:AZ18" ca="1" si="104">((M4+I4+(LOG(J4)*4/3))*1)</f>
        <v>1.4823037813567905</v>
      </c>
      <c r="BA4" s="27">
        <f t="shared" ref="BA4:BA18" ca="1" si="105">((O4+I4+(LOG(J4)*4/3))*0.253)</f>
        <v>0.62802285668326796</v>
      </c>
      <c r="BB4" s="27">
        <f t="shared" ref="BB4:BB18" ca="1" si="106">((P4+I4+(LOG(J4)*4/3))*0.21)+((O4+I4+(LOG(J4)*4/3))*0.341)</f>
        <v>1.3677493835275916</v>
      </c>
      <c r="BC4" s="27">
        <f t="shared" ref="BC4:BC18" ca="1" si="107">BA4/2</f>
        <v>0.31401142834163398</v>
      </c>
      <c r="BD4" s="27">
        <f t="shared" ref="BD4:BD18" ca="1" si="108">((L4+I4+(LOG(J4)*4/3))*0.291)</f>
        <v>2.1773504003748259</v>
      </c>
      <c r="BE4" s="27">
        <f t="shared" ref="BE4:BE18" ca="1" si="109">((L4+I4+(LOG(J4)*4/3))*0.348)</f>
        <v>2.603841715912163</v>
      </c>
      <c r="BF4" s="27">
        <f t="shared" ref="BF4:BF18" ca="1" si="110">((M4+I4+(LOG(J4)*4/3))*0.881)</f>
        <v>1.3059096313753324</v>
      </c>
      <c r="BG4" s="27">
        <f t="shared" ref="BG4:BG18" ca="1" si="111">((N4+I4+(LOG(J4)*4/3))*0.574)+((O4+I4+(LOG(J4)*4/3))*0.315)</f>
        <v>3.3547680616261863</v>
      </c>
      <c r="BH4" s="27">
        <f t="shared" ref="BH4:BH18" ca="1" si="112">((O4+I4+(LOG(J4)*4/3))*0.241)</f>
        <v>0.59823521130698643</v>
      </c>
      <c r="BI4" s="27">
        <f t="shared" ref="BI4:BI18" ca="1" si="113">((L4+I4+(LOG(J4)*4/3))*0.485)</f>
        <v>3.6289173339580434</v>
      </c>
      <c r="BJ4" s="27">
        <f t="shared" ref="BJ4:BJ18" ca="1" si="114">((L4+I4+(LOG(J4)*4/3))*0.264)</f>
        <v>1.9753281982781929</v>
      </c>
      <c r="BK4" s="27">
        <f t="shared" ref="BK4:BK18" ca="1" si="115">((M4+I4+(LOG(J4)*4/3))*0.381)</f>
        <v>0.56475774069693718</v>
      </c>
      <c r="BL4" s="27">
        <f t="shared" ref="BL4:BL18" ca="1" si="116">((N4+I4+(LOG(J4)*4/3))*0.673)+((O4+I4+(LOG(J4)*4/3))*0.201)</f>
        <v>3.5155335049058354</v>
      </c>
      <c r="BM4" s="27">
        <f t="shared" ref="BM4:BM18" ca="1" si="117">((O4+I4+(LOG(J4)*4/3))*0.052)</f>
        <v>0.12907979663055308</v>
      </c>
      <c r="BN4" s="27">
        <f t="shared" ref="BN4:BN18" ca="1" si="118">((L4+I4+(LOG(J4)*4/3))*0.18)</f>
        <v>1.3468146806442223</v>
      </c>
      <c r="BO4" s="27">
        <f t="shared" ref="BO4:BO18" ca="1" si="119">((L4+I4+(LOG(J4)*4/3))*0.068)</f>
        <v>0.50879665713226185</v>
      </c>
      <c r="BP4" s="27">
        <f t="shared" ref="BP4:BP18" ca="1" si="120">((M4+I4+(LOG(J4)*4/3))*0.305)</f>
        <v>0.4521026533138211</v>
      </c>
      <c r="BQ4" s="27">
        <f t="shared" ref="BQ4:BQ18" ca="1" si="121">((N4+I4+(LOG(J4)*4/3))*1)+((O4+I4+(LOG(J4)*4/3))*0.286)</f>
        <v>5.1922426628248326</v>
      </c>
      <c r="BR4" s="27">
        <f t="shared" ref="BR4:BR18" ca="1" si="122">((O4+I4+(LOG(J4)*4/3))*0.135)</f>
        <v>0.33511101048316672</v>
      </c>
      <c r="BS4" s="27">
        <f t="shared" ref="BS4:BS18" ca="1" si="123">((L4+I4+(LOG(J4)*4/3))*0.284)</f>
        <v>2.1249742739053286</v>
      </c>
      <c r="BT4" s="27">
        <f t="shared" ref="BT4:BT18" ca="1" si="124">((L4+I4+(LOG(J4)*4/3))*0.244)</f>
        <v>1.8256821226510569</v>
      </c>
      <c r="BU4" s="27">
        <f t="shared" ref="BU4:BU18" ca="1" si="125">((M4+I4+(LOG(J4)*4/3))*0.631)</f>
        <v>0.93533368603613487</v>
      </c>
      <c r="BV4" s="27">
        <f t="shared" ref="BV4:BV18" ca="1" si="126">((N4+I4+(LOG(J4)*4/3))*0.702)+((O4+I4+(LOG(J4)*4/3))*0.193)</f>
        <v>3.6256618843143276</v>
      </c>
      <c r="BW4" s="27">
        <f t="shared" ref="BW4:BW18" ca="1" si="127">((O4+I4+(LOG(J4)*4/3))*0.148)</f>
        <v>0.36738095964080497</v>
      </c>
      <c r="BX4" s="27">
        <f t="shared" ref="BX4:BX18" ca="1" si="128">((M4+I4+(LOG(J4)*4/3))*0.406)</f>
        <v>0.60181533523085695</v>
      </c>
      <c r="BY4" s="27">
        <f t="shared" ref="BY4:BY18" ca="1" si="129">IF(D4="TEC",((N4+I4+(LOG(J4)*4/3))*0.15)+((O4+I4+(LOG(J4)*4/3))*0.324)+((P4+I4+(LOG(J4)*4/3))*0.127),((N4+I4+(LOG(J4)*4/3))*0.144)+((O4+I4+(LOG(J4)*4/3))*0.25)+((P4+I4+(LOG(J4)*4/3))*0.127))</f>
        <v>1.581280270086888</v>
      </c>
      <c r="BZ4" s="27">
        <f t="shared" ref="BZ4:BZ18" ca="1" si="130">IF(D4="TEC",((O4+I4+(LOG(J4)*4/3))*0.543)+((P4+I4+(LOG(J4)*4/3))*0.583),((O4+I4+(LOG(J4)*4/3))*0.543)+((P4+I4+(LOG(J4)*4/3))*0.583))</f>
        <v>2.7950740578077458</v>
      </c>
      <c r="CA4" s="27">
        <f t="shared" ref="CA4:CA18" ca="1" si="131">BY4</f>
        <v>1.581280270086888</v>
      </c>
      <c r="CB4" s="27">
        <f t="shared" ref="CB4:CB18" ca="1" si="132">((P4+I4+(LOG(J4)*4/3))*0.26)+((N4+I4+(LOG(J4)*4/3))*0.221)+((O4+I4+(LOG(J4)*4/3))*0.142)</f>
        <v>1.9884752557852803</v>
      </c>
      <c r="CC4" s="27">
        <f t="shared" ref="CC4:CC18" ca="1" si="133">((P4+I4+(LOG(J4)*4/3))*1)+((O4+I4+(LOG(J4)*4/3))*0.369)</f>
        <v>3.3982738766774458</v>
      </c>
      <c r="CD4" s="27">
        <f t="shared" ref="CD4:CD18" ca="1" si="134">CB4</f>
        <v>1.9884752557852803</v>
      </c>
      <c r="CE4" s="27">
        <f t="shared" ref="CE4:CE18" ca="1" si="135">((M4+I4+(LOG(J4)*4/3))*0.25)</f>
        <v>0.37057594533919763</v>
      </c>
    </row>
    <row r="5" spans="1:83" x14ac:dyDescent="0.25">
      <c r="A5" s="442" t="str">
        <f>PLANTILLA!D6</f>
        <v>Iván Real Figueroa</v>
      </c>
      <c r="B5" s="442">
        <f>PLANTILLA!E6</f>
        <v>30</v>
      </c>
      <c r="C5" s="443">
        <f ca="1">PLANTILLA!F6</f>
        <v>30</v>
      </c>
      <c r="D5" s="444">
        <f>PLANTILLA!G6</f>
        <v>0</v>
      </c>
      <c r="E5" s="445">
        <f>PLANTILLA!M6</f>
        <v>43410</v>
      </c>
      <c r="F5" s="446">
        <f>PLANTILLA!Q6</f>
        <v>5</v>
      </c>
      <c r="G5" s="447">
        <f t="shared" si="68"/>
        <v>0.84515425472851657</v>
      </c>
      <c r="H5" s="447">
        <f t="shared" si="69"/>
        <v>0.92504826128926143</v>
      </c>
      <c r="I5" s="448">
        <f ca="1">PLANTILLA!N6</f>
        <v>1</v>
      </c>
      <c r="J5" s="29">
        <f>PLANTILLA!I6</f>
        <v>8.4</v>
      </c>
      <c r="K5" s="36">
        <f>PLANTILLA!X6</f>
        <v>0</v>
      </c>
      <c r="L5" s="36">
        <f>PLANTILLA!Y6</f>
        <v>16.043478260869566</v>
      </c>
      <c r="M5" s="36">
        <f>PLANTILLA!Z6</f>
        <v>5.25</v>
      </c>
      <c r="N5" s="36">
        <f>PLANTILLA!AA6</f>
        <v>9</v>
      </c>
      <c r="O5" s="36">
        <f>PLANTILLA!AB6</f>
        <v>9</v>
      </c>
      <c r="P5" s="36">
        <f>PLANTILLA!AC6</f>
        <v>1</v>
      </c>
      <c r="Q5" s="36">
        <f>PLANTILLA!AD6</f>
        <v>16</v>
      </c>
      <c r="R5" s="36">
        <f t="shared" si="70"/>
        <v>4.6304347826086953</v>
      </c>
      <c r="S5" s="36">
        <f t="shared" si="71"/>
        <v>0.53</v>
      </c>
      <c r="T5" s="36">
        <f t="shared" si="72"/>
        <v>1.1217391304347828</v>
      </c>
      <c r="U5" s="36">
        <f t="shared" ca="1" si="73"/>
        <v>15.409167091948296</v>
      </c>
      <c r="V5" s="36">
        <f t="shared" ca="1" si="74"/>
        <v>16.865824370607076</v>
      </c>
      <c r="W5" s="27">
        <f t="shared" ca="1" si="75"/>
        <v>6.3768610889760318</v>
      </c>
      <c r="X5" s="27">
        <f t="shared" ca="1" si="76"/>
        <v>9.7004710052774179</v>
      </c>
      <c r="Y5" s="27">
        <f t="shared" ca="1" si="77"/>
        <v>6.3768610889760318</v>
      </c>
      <c r="Z5" s="27">
        <f t="shared" ca="1" si="78"/>
        <v>9.4303389314192714</v>
      </c>
      <c r="AA5" s="27">
        <f t="shared" ca="1" si="79"/>
        <v>18.275850642285409</v>
      </c>
      <c r="AB5" s="27">
        <f t="shared" ca="1" si="80"/>
        <v>4.7151694657096357</v>
      </c>
      <c r="AC5" s="27">
        <f t="shared" ca="1" si="81"/>
        <v>1.7808046267769704</v>
      </c>
      <c r="AD5" s="27">
        <f t="shared" ca="1" si="82"/>
        <v>6.9082715427838846</v>
      </c>
      <c r="AE5" s="27">
        <f t="shared" ca="1" si="83"/>
        <v>13.213440014372351</v>
      </c>
      <c r="AF5" s="27">
        <f t="shared" ca="1" si="84"/>
        <v>3.4541357713919423</v>
      </c>
      <c r="AG5" s="27">
        <f t="shared" ca="1" si="85"/>
        <v>2.8807133668450997</v>
      </c>
      <c r="AH5" s="27">
        <f t="shared" ca="1" si="86"/>
        <v>16.813782590902576</v>
      </c>
      <c r="AI5" s="27">
        <f t="shared" ca="1" si="87"/>
        <v>7.5662021659061587</v>
      </c>
      <c r="AJ5" s="27">
        <f t="shared" ca="1" si="88"/>
        <v>1.2495561876964458</v>
      </c>
      <c r="AK5" s="27">
        <f t="shared" ca="1" si="89"/>
        <v>6.6046349602725147</v>
      </c>
      <c r="AL5" s="27">
        <f t="shared" ca="1" si="90"/>
        <v>13.779991384283198</v>
      </c>
      <c r="AM5" s="27">
        <f t="shared" ca="1" si="91"/>
        <v>12.939302254738068</v>
      </c>
      <c r="AN5" s="27">
        <f t="shared" ca="1" si="92"/>
        <v>3.0448061876964458</v>
      </c>
      <c r="AO5" s="27">
        <f t="shared" ca="1" si="93"/>
        <v>1.9764884632390669</v>
      </c>
      <c r="AP5" s="27">
        <f t="shared" ca="1" si="94"/>
        <v>4.9344796734170604</v>
      </c>
      <c r="AQ5" s="27">
        <f t="shared" ca="1" si="95"/>
        <v>10.855855281517533</v>
      </c>
      <c r="AR5" s="27">
        <f t="shared" ca="1" si="96"/>
        <v>2.4672398367085302</v>
      </c>
      <c r="AS5" s="27">
        <f t="shared" ca="1" si="97"/>
        <v>7.0633595280565551</v>
      </c>
      <c r="AT5" s="27">
        <f t="shared" ca="1" si="98"/>
        <v>1.4602084095840595</v>
      </c>
      <c r="AU5" s="27">
        <f t="shared" ca="1" si="99"/>
        <v>1.9070851077548419</v>
      </c>
      <c r="AV5" s="27">
        <f t="shared" ca="1" si="100"/>
        <v>0.73010420479202975</v>
      </c>
      <c r="AW5" s="27">
        <f t="shared" ca="1" si="101"/>
        <v>3.4541357713919423</v>
      </c>
      <c r="AX5" s="27">
        <f t="shared" ca="1" si="102"/>
        <v>7.3103402569141638</v>
      </c>
      <c r="AY5" s="27">
        <f t="shared" ca="1" si="103"/>
        <v>1.7270678856959711</v>
      </c>
      <c r="AZ5" s="27">
        <f t="shared" ca="1" si="104"/>
        <v>7.4823723814158427</v>
      </c>
      <c r="BA5" s="27">
        <f t="shared" ca="1" si="105"/>
        <v>2.8417902124982084</v>
      </c>
      <c r="BB5" s="27">
        <f t="shared" ca="1" si="106"/>
        <v>4.5090371821601298</v>
      </c>
      <c r="BC5" s="27">
        <f t="shared" ca="1" si="107"/>
        <v>1.4208951062491042</v>
      </c>
      <c r="BD5" s="27">
        <f t="shared" ca="1" si="108"/>
        <v>5.3182725369050541</v>
      </c>
      <c r="BE5" s="27">
        <f t="shared" ca="1" si="109"/>
        <v>6.3599960235153219</v>
      </c>
      <c r="BF5" s="27">
        <f t="shared" ca="1" si="110"/>
        <v>6.5919700680273579</v>
      </c>
      <c r="BG5" s="27">
        <f t="shared" ca="1" si="111"/>
        <v>9.9855790470786836</v>
      </c>
      <c r="BH5" s="27">
        <f t="shared" ca="1" si="112"/>
        <v>2.707001743921218</v>
      </c>
      <c r="BI5" s="27">
        <f t="shared" ca="1" si="113"/>
        <v>8.8637875615084223</v>
      </c>
      <c r="BJ5" s="27">
        <f t="shared" ca="1" si="114"/>
        <v>4.824824569563348</v>
      </c>
      <c r="BK5" s="27">
        <f t="shared" ca="1" si="115"/>
        <v>2.8507838773194361</v>
      </c>
      <c r="BL5" s="27">
        <f t="shared" ca="1" si="116"/>
        <v>9.8170934613574481</v>
      </c>
      <c r="BM5" s="27">
        <f t="shared" ca="1" si="117"/>
        <v>0.5840833638336238</v>
      </c>
      <c r="BN5" s="27">
        <f t="shared" ca="1" si="118"/>
        <v>3.2896531156113733</v>
      </c>
      <c r="BO5" s="27">
        <f t="shared" ca="1" si="119"/>
        <v>1.2427578436754079</v>
      </c>
      <c r="BP5" s="27">
        <f t="shared" ca="1" si="120"/>
        <v>2.2821235763318319</v>
      </c>
      <c r="BQ5" s="27">
        <f t="shared" ca="1" si="121"/>
        <v>14.444830882500774</v>
      </c>
      <c r="BR5" s="27">
        <f t="shared" ca="1" si="122"/>
        <v>1.5163702714911389</v>
      </c>
      <c r="BS5" s="27">
        <f t="shared" ca="1" si="123"/>
        <v>5.1903415824090553</v>
      </c>
      <c r="BT5" s="27">
        <f t="shared" ca="1" si="124"/>
        <v>4.4593075567176399</v>
      </c>
      <c r="BU5" s="27">
        <f t="shared" ca="1" si="125"/>
        <v>4.7213769726733972</v>
      </c>
      <c r="BV5" s="27">
        <f t="shared" ca="1" si="126"/>
        <v>10.052973281367178</v>
      </c>
      <c r="BW5" s="27">
        <f t="shared" ca="1" si="127"/>
        <v>1.6623911124495447</v>
      </c>
      <c r="BX5" s="27">
        <f t="shared" ca="1" si="128"/>
        <v>3.0378431868548326</v>
      </c>
      <c r="BY5" s="27">
        <f t="shared" ca="1" si="129"/>
        <v>4.8360660107176532</v>
      </c>
      <c r="BZ5" s="27">
        <f t="shared" ca="1" si="130"/>
        <v>7.9836513014742385</v>
      </c>
      <c r="CA5" s="27">
        <f t="shared" ca="1" si="131"/>
        <v>4.8360660107176532</v>
      </c>
      <c r="CB5" s="27">
        <f t="shared" ca="1" si="132"/>
        <v>4.9177679936220695</v>
      </c>
      <c r="CC5" s="27">
        <f t="shared" ca="1" si="133"/>
        <v>7.3771177901582874</v>
      </c>
      <c r="CD5" s="27">
        <f t="shared" ca="1" si="134"/>
        <v>4.9177679936220695</v>
      </c>
      <c r="CE5" s="27">
        <f t="shared" ca="1" si="135"/>
        <v>1.8705930953539607</v>
      </c>
    </row>
    <row r="6" spans="1:83" x14ac:dyDescent="0.25">
      <c r="A6" s="442" t="str">
        <f>PLANTILLA!D7</f>
        <v>Berto Abandero</v>
      </c>
      <c r="B6" s="442">
        <f>PLANTILLA!E7</f>
        <v>30</v>
      </c>
      <c r="C6" s="443">
        <f ca="1">PLANTILLA!F7</f>
        <v>80</v>
      </c>
      <c r="D6" s="444">
        <f>PLANTILLA!G7</f>
        <v>0</v>
      </c>
      <c r="E6" s="445">
        <f>PLANTILLA!M7</f>
        <v>43383</v>
      </c>
      <c r="F6" s="446">
        <f>PLANTILLA!Q7</f>
        <v>4</v>
      </c>
      <c r="G6" s="447">
        <f t="shared" si="68"/>
        <v>0.7559289460184544</v>
      </c>
      <c r="H6" s="447">
        <f t="shared" si="69"/>
        <v>0.84430867747355465</v>
      </c>
      <c r="I6" s="448">
        <f ca="1">PLANTILLA!N7</f>
        <v>1</v>
      </c>
      <c r="J6" s="29">
        <f>PLANTILLA!I7</f>
        <v>8.5</v>
      </c>
      <c r="K6" s="36">
        <f>PLANTILLA!X7</f>
        <v>0</v>
      </c>
      <c r="L6" s="36">
        <f>PLANTILLA!Y7</f>
        <v>15</v>
      </c>
      <c r="M6" s="36">
        <f>PLANTILLA!Z7</f>
        <v>3.4569444444444448</v>
      </c>
      <c r="N6" s="36">
        <f>PLANTILLA!AA7</f>
        <v>9.4</v>
      </c>
      <c r="O6" s="36">
        <f>PLANTILLA!AB7</f>
        <v>12</v>
      </c>
      <c r="P6" s="36">
        <f>PLANTILLA!AC7</f>
        <v>3.95</v>
      </c>
      <c r="Q6" s="36">
        <f>PLANTILLA!AD7</f>
        <v>16.166666666666668</v>
      </c>
      <c r="R6" s="36">
        <f t="shared" si="70"/>
        <v>5.25</v>
      </c>
      <c r="S6" s="36">
        <f t="shared" si="71"/>
        <v>0.68250000000000011</v>
      </c>
      <c r="T6" s="36">
        <f t="shared" si="72"/>
        <v>1.0850000000000002</v>
      </c>
      <c r="U6" s="36">
        <f t="shared" ca="1" si="73"/>
        <v>13.913546465216546</v>
      </c>
      <c r="V6" s="36">
        <f t="shared" ca="1" si="74"/>
        <v>15.540254248614323</v>
      </c>
      <c r="W6" s="27">
        <f t="shared" ca="1" si="75"/>
        <v>6.0948436295314359</v>
      </c>
      <c r="X6" s="27">
        <f t="shared" ca="1" si="76"/>
        <v>9.2658397774628689</v>
      </c>
      <c r="Y6" s="27">
        <f t="shared" ca="1" si="77"/>
        <v>6.0948436295314359</v>
      </c>
      <c r="Z6" s="27">
        <f t="shared" ca="1" si="78"/>
        <v>8.8954402208914338</v>
      </c>
      <c r="AA6" s="27">
        <f t="shared" ca="1" si="79"/>
        <v>17.239225234285723</v>
      </c>
      <c r="AB6" s="27">
        <f t="shared" ca="1" si="80"/>
        <v>4.4477201104457169</v>
      </c>
      <c r="AC6" s="27">
        <f t="shared" ca="1" si="81"/>
        <v>1.35568838353778</v>
      </c>
      <c r="AD6" s="27">
        <f t="shared" ca="1" si="82"/>
        <v>6.5164271385600028</v>
      </c>
      <c r="AE6" s="27">
        <f t="shared" ca="1" si="83"/>
        <v>12.463959844388578</v>
      </c>
      <c r="AF6" s="27">
        <f t="shared" ca="1" si="84"/>
        <v>3.2582135692800014</v>
      </c>
      <c r="AG6" s="27">
        <f t="shared" ca="1" si="85"/>
        <v>2.193025326311115</v>
      </c>
      <c r="AH6" s="27">
        <f t="shared" ca="1" si="86"/>
        <v>15.860087215542865</v>
      </c>
      <c r="AI6" s="27">
        <f t="shared" ca="1" si="87"/>
        <v>7.1370392469942887</v>
      </c>
      <c r="AJ6" s="27">
        <f t="shared" ca="1" si="88"/>
        <v>0.95126033634793816</v>
      </c>
      <c r="AK6" s="27">
        <f t="shared" ca="1" si="89"/>
        <v>6.843864437760006</v>
      </c>
      <c r="AL6" s="27">
        <f t="shared" ca="1" si="90"/>
        <v>12.998375826651435</v>
      </c>
      <c r="AM6" s="27">
        <f t="shared" ca="1" si="91"/>
        <v>12.205371465874292</v>
      </c>
      <c r="AN6" s="27">
        <f t="shared" ca="1" si="92"/>
        <v>3.0737839474590496</v>
      </c>
      <c r="AO6" s="27">
        <f t="shared" ca="1" si="93"/>
        <v>2.1568968674742881</v>
      </c>
      <c r="AP6" s="27">
        <f t="shared" ca="1" si="94"/>
        <v>4.6545908132571459</v>
      </c>
      <c r="AQ6" s="27">
        <f t="shared" ca="1" si="95"/>
        <v>10.240099789165718</v>
      </c>
      <c r="AR6" s="27">
        <f t="shared" ca="1" si="96"/>
        <v>2.3272954066285729</v>
      </c>
      <c r="AS6" s="27">
        <f t="shared" ca="1" si="97"/>
        <v>5.3771841767212782</v>
      </c>
      <c r="AT6" s="27">
        <f t="shared" ca="1" si="98"/>
        <v>1.8510992804571442</v>
      </c>
      <c r="AU6" s="27">
        <f t="shared" ca="1" si="99"/>
        <v>2.7794429936457172</v>
      </c>
      <c r="AV6" s="27">
        <f t="shared" ca="1" si="100"/>
        <v>0.92554964022857211</v>
      </c>
      <c r="AW6" s="27">
        <f t="shared" ca="1" si="101"/>
        <v>3.2582135692800014</v>
      </c>
      <c r="AX6" s="27">
        <f t="shared" ca="1" si="102"/>
        <v>6.8956900937142898</v>
      </c>
      <c r="AY6" s="27">
        <f t="shared" ca="1" si="103"/>
        <v>1.6291067846400007</v>
      </c>
      <c r="AZ6" s="27">
        <f t="shared" ca="1" si="104"/>
        <v>5.6961696787301683</v>
      </c>
      <c r="BA6" s="27">
        <f t="shared" ca="1" si="105"/>
        <v>3.6025239842742884</v>
      </c>
      <c r="BB6" s="27">
        <f t="shared" ca="1" si="106"/>
        <v>6.1553131040914346</v>
      </c>
      <c r="BC6" s="27">
        <f t="shared" ca="1" si="107"/>
        <v>1.8012619921371442</v>
      </c>
      <c r="BD6" s="27">
        <f t="shared" ca="1" si="108"/>
        <v>5.0166145431771447</v>
      </c>
      <c r="BE6" s="27">
        <f t="shared" ca="1" si="109"/>
        <v>5.9992503815314313</v>
      </c>
      <c r="BF6" s="27">
        <f t="shared" ca="1" si="110"/>
        <v>5.0183254869612783</v>
      </c>
      <c r="BG6" s="27">
        <f t="shared" ca="1" si="111"/>
        <v>11.166271233280009</v>
      </c>
      <c r="BH6" s="27">
        <f t="shared" ca="1" si="112"/>
        <v>3.4316532814628595</v>
      </c>
      <c r="BI6" s="27">
        <f t="shared" ca="1" si="113"/>
        <v>8.3610242386285751</v>
      </c>
      <c r="BJ6" s="27">
        <f t="shared" ca="1" si="114"/>
        <v>4.5511554618514314</v>
      </c>
      <c r="BK6" s="27">
        <f t="shared" ca="1" si="115"/>
        <v>2.1702406475961942</v>
      </c>
      <c r="BL6" s="27">
        <f t="shared" ca="1" si="116"/>
        <v>10.695282854765724</v>
      </c>
      <c r="BM6" s="27">
        <f t="shared" ca="1" si="117"/>
        <v>0.74043971218285765</v>
      </c>
      <c r="BN6" s="27">
        <f t="shared" ca="1" si="118"/>
        <v>3.1030605421714301</v>
      </c>
      <c r="BO6" s="27">
        <f t="shared" ca="1" si="119"/>
        <v>1.1722673159314292</v>
      </c>
      <c r="BP6" s="27">
        <f t="shared" ca="1" si="120"/>
        <v>1.7373317520127014</v>
      </c>
      <c r="BQ6" s="27">
        <f t="shared" ca="1" si="121"/>
        <v>15.711643651291443</v>
      </c>
      <c r="BR6" s="27">
        <f t="shared" ca="1" si="122"/>
        <v>1.9222954066285729</v>
      </c>
      <c r="BS6" s="27">
        <f t="shared" ca="1" si="123"/>
        <v>4.8959399665371448</v>
      </c>
      <c r="BT6" s="27">
        <f t="shared" ca="1" si="124"/>
        <v>4.2063709571657162</v>
      </c>
      <c r="BU6" s="27">
        <f t="shared" ca="1" si="125"/>
        <v>3.5942830672787363</v>
      </c>
      <c r="BV6" s="27">
        <f t="shared" ca="1" si="126"/>
        <v>10.918906584685724</v>
      </c>
      <c r="BW6" s="27">
        <f t="shared" ca="1" si="127"/>
        <v>2.1074053346742869</v>
      </c>
      <c r="BX6" s="27">
        <f t="shared" ca="1" si="128"/>
        <v>2.3126448895644485</v>
      </c>
      <c r="BY6" s="27">
        <f t="shared" ca="1" si="129"/>
        <v>6.0218863470628623</v>
      </c>
      <c r="BZ6" s="27">
        <f t="shared" ca="1" si="130"/>
        <v>11.340217613805725</v>
      </c>
      <c r="CA6" s="27">
        <f t="shared" ca="1" si="131"/>
        <v>6.0218863470628623</v>
      </c>
      <c r="CB6" s="27">
        <f t="shared" ca="1" si="132"/>
        <v>6.2034373209600062</v>
      </c>
      <c r="CC6" s="27">
        <f t="shared" ca="1" si="133"/>
        <v>11.443499345737155</v>
      </c>
      <c r="CD6" s="27">
        <f t="shared" ca="1" si="134"/>
        <v>6.2034373209600062</v>
      </c>
      <c r="CE6" s="27">
        <f t="shared" ca="1" si="135"/>
        <v>1.4240424196825421</v>
      </c>
    </row>
    <row r="7" spans="1:83" x14ac:dyDescent="0.25">
      <c r="A7" s="442" t="str">
        <f>PLANTILLA!D8</f>
        <v>Guillermo Pedrajas</v>
      </c>
      <c r="B7" s="442">
        <f>PLANTILLA!E8</f>
        <v>30</v>
      </c>
      <c r="C7" s="443">
        <f ca="1">PLANTILLA!F8</f>
        <v>65</v>
      </c>
      <c r="D7" s="444">
        <f>PLANTILLA!G8</f>
        <v>0</v>
      </c>
      <c r="E7" s="445">
        <f>PLANTILLA!M8</f>
        <v>43419</v>
      </c>
      <c r="F7" s="446">
        <f>PLANTILLA!Q8</f>
        <v>5</v>
      </c>
      <c r="G7" s="447">
        <f t="shared" si="68"/>
        <v>0.84515425472851657</v>
      </c>
      <c r="H7" s="447">
        <f t="shared" si="69"/>
        <v>0.92504826128926143</v>
      </c>
      <c r="I7" s="448">
        <f ca="1">PLANTILLA!N8</f>
        <v>1</v>
      </c>
      <c r="J7" s="29">
        <f>PLANTILLA!I8</f>
        <v>9.3000000000000007</v>
      </c>
      <c r="K7" s="36">
        <f>PLANTILLA!X8</f>
        <v>0</v>
      </c>
      <c r="L7" s="36">
        <f>PLANTILLA!Y8</f>
        <v>13.1875</v>
      </c>
      <c r="M7" s="36">
        <f>PLANTILLA!Z8</f>
        <v>11.666666666666666</v>
      </c>
      <c r="N7" s="36">
        <f>PLANTILLA!AA8</f>
        <v>5.25</v>
      </c>
      <c r="O7" s="36">
        <f>PLANTILLA!AB8</f>
        <v>11.142857142857142</v>
      </c>
      <c r="P7" s="36">
        <f>PLANTILLA!AC8</f>
        <v>4</v>
      </c>
      <c r="Q7" s="36">
        <f>PLANTILLA!AD8</f>
        <v>16</v>
      </c>
      <c r="R7" s="36">
        <f t="shared" si="70"/>
        <v>4.8091517857142856</v>
      </c>
      <c r="S7" s="36">
        <f t="shared" si="71"/>
        <v>0.67999999999999994</v>
      </c>
      <c r="T7" s="36">
        <f t="shared" si="72"/>
        <v>1.0074999999999998</v>
      </c>
      <c r="U7" s="36">
        <f t="shared" ca="1" si="73"/>
        <v>15.458978976521285</v>
      </c>
      <c r="V7" s="36">
        <f t="shared" ca="1" si="74"/>
        <v>16.920345065448263</v>
      </c>
      <c r="W7" s="27">
        <f t="shared" ca="1" si="75"/>
        <v>5.6400641521167802</v>
      </c>
      <c r="X7" s="27">
        <f t="shared" ca="1" si="76"/>
        <v>8.5627694821108395</v>
      </c>
      <c r="Y7" s="27">
        <f t="shared" ca="1" si="77"/>
        <v>5.6400641521167802</v>
      </c>
      <c r="Z7" s="27">
        <f t="shared" ca="1" si="78"/>
        <v>7.9870662686051075</v>
      </c>
      <c r="AA7" s="27">
        <f t="shared" ca="1" si="79"/>
        <v>15.478810598071913</v>
      </c>
      <c r="AB7" s="27">
        <f t="shared" ca="1" si="80"/>
        <v>3.9935331343025537</v>
      </c>
      <c r="AC7" s="27">
        <f t="shared" ca="1" si="81"/>
        <v>3.3219985890077819</v>
      </c>
      <c r="AD7" s="27">
        <f t="shared" ca="1" si="82"/>
        <v>5.8509904060711833</v>
      </c>
      <c r="AE7" s="27">
        <f t="shared" ca="1" si="83"/>
        <v>11.191180062405993</v>
      </c>
      <c r="AF7" s="27">
        <f t="shared" ca="1" si="84"/>
        <v>2.9254952030355916</v>
      </c>
      <c r="AG7" s="27">
        <f t="shared" ca="1" si="85"/>
        <v>5.3738212469243534</v>
      </c>
      <c r="AH7" s="27">
        <f t="shared" ca="1" si="86"/>
        <v>14.240505750226161</v>
      </c>
      <c r="AI7" s="27">
        <f t="shared" ca="1" si="87"/>
        <v>6.4082275876017718</v>
      </c>
      <c r="AJ7" s="27">
        <f t="shared" ca="1" si="88"/>
        <v>2.330982203211343</v>
      </c>
      <c r="AK7" s="27">
        <f t="shared" ca="1" si="89"/>
        <v>4.4342906316662845</v>
      </c>
      <c r="AL7" s="27">
        <f t="shared" ca="1" si="90"/>
        <v>11.671023190946222</v>
      </c>
      <c r="AM7" s="27">
        <f t="shared" ca="1" si="91"/>
        <v>10.958997903434915</v>
      </c>
      <c r="AN7" s="27">
        <f t="shared" ca="1" si="92"/>
        <v>3.0546488698780099</v>
      </c>
      <c r="AO7" s="27">
        <f t="shared" ca="1" si="93"/>
        <v>2.0449331665304253</v>
      </c>
      <c r="AP7" s="27">
        <f t="shared" ca="1" si="94"/>
        <v>4.1792788614794167</v>
      </c>
      <c r="AQ7" s="27">
        <f t="shared" ca="1" si="95"/>
        <v>9.1944134952547163</v>
      </c>
      <c r="AR7" s="27">
        <f t="shared" ca="1" si="96"/>
        <v>2.0896394307397084</v>
      </c>
      <c r="AS7" s="27">
        <f t="shared" ca="1" si="97"/>
        <v>13.176330537913218</v>
      </c>
      <c r="AT7" s="27">
        <f t="shared" ca="1" si="98"/>
        <v>1.7464418063207772</v>
      </c>
      <c r="AU7" s="27">
        <f t="shared" ca="1" si="99"/>
        <v>2.7004968623779275</v>
      </c>
      <c r="AV7" s="27">
        <f t="shared" ca="1" si="100"/>
        <v>0.87322090316038858</v>
      </c>
      <c r="AW7" s="27">
        <f t="shared" ca="1" si="101"/>
        <v>2.9254952030355916</v>
      </c>
      <c r="AX7" s="27">
        <f t="shared" ca="1" si="102"/>
        <v>6.1915242392287659</v>
      </c>
      <c r="AY7" s="27">
        <f t="shared" ca="1" si="103"/>
        <v>1.4627476015177958</v>
      </c>
      <c r="AZ7" s="27">
        <f t="shared" ca="1" si="104"/>
        <v>13.957977264738579</v>
      </c>
      <c r="BA7" s="27">
        <f t="shared" ca="1" si="105"/>
        <v>3.3988444384550509</v>
      </c>
      <c r="BB7" s="27">
        <f t="shared" ca="1" si="106"/>
        <v>5.9022264252519099</v>
      </c>
      <c r="BC7" s="27">
        <f t="shared" ca="1" si="107"/>
        <v>1.6994222192275255</v>
      </c>
      <c r="BD7" s="27">
        <f t="shared" ca="1" si="108"/>
        <v>4.5043338840389264</v>
      </c>
      <c r="BE7" s="27">
        <f t="shared" ca="1" si="109"/>
        <v>5.3866260881290255</v>
      </c>
      <c r="BF7" s="27">
        <f t="shared" ca="1" si="110"/>
        <v>12.296977970234689</v>
      </c>
      <c r="BG7" s="27">
        <f t="shared" ca="1" si="111"/>
        <v>8.5604751216859309</v>
      </c>
      <c r="BH7" s="27">
        <f t="shared" ca="1" si="112"/>
        <v>3.2376344255639022</v>
      </c>
      <c r="BI7" s="27">
        <f t="shared" ca="1" si="113"/>
        <v>7.5072231400648777</v>
      </c>
      <c r="BJ7" s="27">
        <f t="shared" ca="1" si="114"/>
        <v>4.086405997890985</v>
      </c>
      <c r="BK7" s="27">
        <f t="shared" ca="1" si="115"/>
        <v>5.3179893378653986</v>
      </c>
      <c r="BL7" s="27">
        <f t="shared" ca="1" si="116"/>
        <v>7.7755697484291382</v>
      </c>
      <c r="BM7" s="27">
        <f t="shared" ca="1" si="117"/>
        <v>0.69857672252831082</v>
      </c>
      <c r="BN7" s="27">
        <f t="shared" ca="1" si="118"/>
        <v>2.786185907652944</v>
      </c>
      <c r="BO7" s="27">
        <f t="shared" ca="1" si="119"/>
        <v>1.0525591206688902</v>
      </c>
      <c r="BP7" s="27">
        <f t="shared" ca="1" si="120"/>
        <v>4.2571830657452665</v>
      </c>
      <c r="BQ7" s="27">
        <f t="shared" ca="1" si="121"/>
        <v>11.383482571977623</v>
      </c>
      <c r="BR7" s="27">
        <f t="shared" ca="1" si="122"/>
        <v>1.8136126450254226</v>
      </c>
      <c r="BS7" s="27">
        <f t="shared" ca="1" si="123"/>
        <v>4.3959822098524226</v>
      </c>
      <c r="BT7" s="27">
        <f t="shared" ca="1" si="124"/>
        <v>3.7768297859295465</v>
      </c>
      <c r="BU7" s="27">
        <f t="shared" ca="1" si="125"/>
        <v>8.8074836540500439</v>
      </c>
      <c r="BV7" s="27">
        <f t="shared" ca="1" si="126"/>
        <v>7.8867944138457906</v>
      </c>
      <c r="BW7" s="27">
        <f t="shared" ca="1" si="127"/>
        <v>1.9882568256575002</v>
      </c>
      <c r="BX7" s="27">
        <f t="shared" ca="1" si="128"/>
        <v>5.6669387694838633</v>
      </c>
      <c r="BY7" s="27">
        <f t="shared" ca="1" si="129"/>
        <v>5.2434871073097522</v>
      </c>
      <c r="BZ7" s="27">
        <f t="shared" ca="1" si="130"/>
        <v>10.962587162000403</v>
      </c>
      <c r="CA7" s="27">
        <f t="shared" ca="1" si="131"/>
        <v>5.2434871073097522</v>
      </c>
      <c r="CB7" s="27">
        <f t="shared" ca="1" si="132"/>
        <v>5.2100222168845161</v>
      </c>
      <c r="CC7" s="27">
        <f t="shared" ca="1" si="133"/>
        <v>11.248518494474734</v>
      </c>
      <c r="CD7" s="27">
        <f t="shared" ca="1" si="134"/>
        <v>5.2100222168845161</v>
      </c>
      <c r="CE7" s="27">
        <f t="shared" ca="1" si="135"/>
        <v>3.4894943161846448</v>
      </c>
    </row>
    <row r="8" spans="1:83" x14ac:dyDescent="0.25">
      <c r="A8" s="442" t="str">
        <f>PLANTILLA!D9</f>
        <v>Venanci Oset</v>
      </c>
      <c r="B8" s="442">
        <f>PLANTILLA!E9</f>
        <v>30</v>
      </c>
      <c r="C8" s="443">
        <f ca="1">PLANTILLA!F9</f>
        <v>108</v>
      </c>
      <c r="D8" s="444">
        <f>PLANTILLA!G9</f>
        <v>0</v>
      </c>
      <c r="E8" s="445">
        <f>PLANTILLA!M9</f>
        <v>43706</v>
      </c>
      <c r="F8" s="446">
        <f>PLANTILLA!Q9</f>
        <v>6</v>
      </c>
      <c r="G8" s="447">
        <f t="shared" si="68"/>
        <v>0.92582009977255142</v>
      </c>
      <c r="H8" s="447">
        <f t="shared" si="69"/>
        <v>0.99928545900129484</v>
      </c>
      <c r="I8" s="448">
        <f ca="1">PLANTILLA!N9</f>
        <v>1</v>
      </c>
      <c r="J8" s="29">
        <f>PLANTILLA!I9</f>
        <v>8.4</v>
      </c>
      <c r="K8" s="36">
        <f>PLANTILLA!X9</f>
        <v>0</v>
      </c>
      <c r="L8" s="36">
        <f>PLANTILLA!Y9</f>
        <v>15</v>
      </c>
      <c r="M8" s="36">
        <f>PLANTILLA!Z9</f>
        <v>5.375</v>
      </c>
      <c r="N8" s="36">
        <f>PLANTILLA!AA9</f>
        <v>3.3333333333333335</v>
      </c>
      <c r="O8" s="36">
        <f>PLANTILLA!AB9</f>
        <v>12.222222222222221</v>
      </c>
      <c r="P8" s="36">
        <f>PLANTILLA!AC9</f>
        <v>6</v>
      </c>
      <c r="Q8" s="36">
        <f>PLANTILLA!AD9</f>
        <v>16</v>
      </c>
      <c r="R8" s="36">
        <f t="shared" si="70"/>
        <v>5.3055555555555554</v>
      </c>
      <c r="S8" s="36">
        <f t="shared" si="71"/>
        <v>0.78</v>
      </c>
      <c r="T8" s="36">
        <f t="shared" si="72"/>
        <v>1.08</v>
      </c>
      <c r="U8" s="36">
        <f t="shared" ca="1" si="73"/>
        <v>16.879896817252728</v>
      </c>
      <c r="V8" s="36">
        <f t="shared" ca="1" si="74"/>
        <v>18.219344603845663</v>
      </c>
      <c r="W8" s="27">
        <f t="shared" ca="1" si="75"/>
        <v>6.0888610889760315</v>
      </c>
      <c r="X8" s="27">
        <f t="shared" ca="1" si="76"/>
        <v>9.256992744407853</v>
      </c>
      <c r="Y8" s="27">
        <f t="shared" ca="1" si="77"/>
        <v>6.0888610889760315</v>
      </c>
      <c r="Z8" s="27">
        <f t="shared" ca="1" si="78"/>
        <v>8.8919041488105748</v>
      </c>
      <c r="AA8" s="27">
        <f t="shared" ca="1" si="79"/>
        <v>17.232372381415843</v>
      </c>
      <c r="AB8" s="27">
        <f t="shared" ca="1" si="80"/>
        <v>4.4459520744052874</v>
      </c>
      <c r="AC8" s="27">
        <f t="shared" ca="1" si="81"/>
        <v>1.8105546267769705</v>
      </c>
      <c r="AD8" s="27">
        <f t="shared" ca="1" si="82"/>
        <v>6.513836760175189</v>
      </c>
      <c r="AE8" s="27">
        <f t="shared" ca="1" si="83"/>
        <v>12.459005231763653</v>
      </c>
      <c r="AF8" s="27">
        <f t="shared" ca="1" si="84"/>
        <v>3.2569183800875945</v>
      </c>
      <c r="AG8" s="27">
        <f t="shared" ca="1" si="85"/>
        <v>2.9288383668450995</v>
      </c>
      <c r="AH8" s="27">
        <f t="shared" ca="1" si="86"/>
        <v>15.853782590902576</v>
      </c>
      <c r="AI8" s="27">
        <f t="shared" ca="1" si="87"/>
        <v>7.1342021659061583</v>
      </c>
      <c r="AJ8" s="27">
        <f t="shared" ca="1" si="88"/>
        <v>1.2704311876964458</v>
      </c>
      <c r="AK8" s="27">
        <f t="shared" ca="1" si="89"/>
        <v>3.2726349602725158</v>
      </c>
      <c r="AL8" s="27">
        <f t="shared" ca="1" si="90"/>
        <v>12.993208775587545</v>
      </c>
      <c r="AM8" s="27">
        <f t="shared" ca="1" si="91"/>
        <v>12.200519646042416</v>
      </c>
      <c r="AN8" s="27">
        <f t="shared" ca="1" si="92"/>
        <v>3.0448061876964458</v>
      </c>
      <c r="AO8" s="27">
        <f t="shared" ca="1" si="93"/>
        <v>2.1709232458477623</v>
      </c>
      <c r="AP8" s="27">
        <f t="shared" ca="1" si="94"/>
        <v>4.6527405429822775</v>
      </c>
      <c r="AQ8" s="27">
        <f t="shared" ca="1" si="95"/>
        <v>10.236029194561009</v>
      </c>
      <c r="AR8" s="27">
        <f t="shared" ca="1" si="96"/>
        <v>2.3263702714911387</v>
      </c>
      <c r="AS8" s="27">
        <f t="shared" ca="1" si="97"/>
        <v>7.1813595280565554</v>
      </c>
      <c r="AT8" s="27">
        <f t="shared" ca="1" si="98"/>
        <v>1.8790972984729484</v>
      </c>
      <c r="AU8" s="27">
        <f t="shared" ca="1" si="99"/>
        <v>3.1587517744215083</v>
      </c>
      <c r="AV8" s="27">
        <f t="shared" ca="1" si="100"/>
        <v>0.93954864923647419</v>
      </c>
      <c r="AW8" s="27">
        <f t="shared" ca="1" si="101"/>
        <v>3.2569183800875945</v>
      </c>
      <c r="AX8" s="27">
        <f t="shared" ca="1" si="102"/>
        <v>6.8929489525663374</v>
      </c>
      <c r="AY8" s="27">
        <f t="shared" ca="1" si="103"/>
        <v>1.6284591900437972</v>
      </c>
      <c r="AZ8" s="27">
        <f t="shared" ca="1" si="104"/>
        <v>7.6073723814158427</v>
      </c>
      <c r="BA8" s="27">
        <f t="shared" ca="1" si="105"/>
        <v>3.6570124347204302</v>
      </c>
      <c r="BB8" s="27">
        <f t="shared" ca="1" si="106"/>
        <v>6.6578149599379071</v>
      </c>
      <c r="BC8" s="27">
        <f t="shared" ca="1" si="107"/>
        <v>1.8285062173602151</v>
      </c>
      <c r="BD8" s="27">
        <f t="shared" ca="1" si="108"/>
        <v>5.0146203629920096</v>
      </c>
      <c r="BE8" s="27">
        <f t="shared" ca="1" si="109"/>
        <v>5.9968655887327129</v>
      </c>
      <c r="BF8" s="27">
        <f t="shared" ca="1" si="110"/>
        <v>6.7020950680273579</v>
      </c>
      <c r="BG8" s="27">
        <f t="shared" ca="1" si="111"/>
        <v>7.7479123804120178</v>
      </c>
      <c r="BH8" s="27">
        <f t="shared" ca="1" si="112"/>
        <v>3.4835572994767734</v>
      </c>
      <c r="BI8" s="27">
        <f t="shared" ca="1" si="113"/>
        <v>8.3577006049866842</v>
      </c>
      <c r="BJ8" s="27">
        <f t="shared" ca="1" si="114"/>
        <v>4.5493463086937824</v>
      </c>
      <c r="BK8" s="27">
        <f t="shared" ca="1" si="115"/>
        <v>2.8984088773194361</v>
      </c>
      <c r="BL8" s="27">
        <f t="shared" ca="1" si="116"/>
        <v>6.6510934613574477</v>
      </c>
      <c r="BM8" s="27">
        <f t="shared" ca="1" si="117"/>
        <v>0.75163891938917926</v>
      </c>
      <c r="BN8" s="27">
        <f t="shared" ca="1" si="118"/>
        <v>3.1018270286548515</v>
      </c>
      <c r="BO8" s="27">
        <f t="shared" ca="1" si="119"/>
        <v>1.1718013219362773</v>
      </c>
      <c r="BP8" s="27">
        <f t="shared" ca="1" si="120"/>
        <v>2.3202485763318319</v>
      </c>
      <c r="BQ8" s="27">
        <f t="shared" ca="1" si="121"/>
        <v>9.6997197713896632</v>
      </c>
      <c r="BR8" s="27">
        <f t="shared" ca="1" si="122"/>
        <v>1.9513702714911387</v>
      </c>
      <c r="BS8" s="27">
        <f t="shared" ca="1" si="123"/>
        <v>4.8939937563220992</v>
      </c>
      <c r="BT8" s="27">
        <f t="shared" ca="1" si="124"/>
        <v>4.2046988610654656</v>
      </c>
      <c r="BU8" s="27">
        <f t="shared" ca="1" si="125"/>
        <v>4.8002519726733972</v>
      </c>
      <c r="BV8" s="27">
        <f t="shared" ca="1" si="126"/>
        <v>6.6968621702560682</v>
      </c>
      <c r="BW8" s="27">
        <f t="shared" ca="1" si="127"/>
        <v>2.1392800013384332</v>
      </c>
      <c r="BX8" s="27">
        <f t="shared" ca="1" si="128"/>
        <v>3.0885931868548324</v>
      </c>
      <c r="BY8" s="27">
        <f t="shared" ca="1" si="129"/>
        <v>5.4606215662732094</v>
      </c>
      <c r="BZ8" s="27">
        <f t="shared" ca="1" si="130"/>
        <v>12.648317968140905</v>
      </c>
      <c r="CA8" s="27">
        <f t="shared" ca="1" si="131"/>
        <v>5.4606215662732094</v>
      </c>
      <c r="CB8" s="27">
        <f t="shared" ca="1" si="132"/>
        <v>5.4229902158442922</v>
      </c>
      <c r="CC8" s="27">
        <f t="shared" ca="1" si="133"/>
        <v>13.566117790158287</v>
      </c>
      <c r="CD8" s="27">
        <f t="shared" ca="1" si="134"/>
        <v>5.4229902158442922</v>
      </c>
      <c r="CE8" s="27">
        <f t="shared" ca="1" si="135"/>
        <v>1.9018430953539607</v>
      </c>
    </row>
    <row r="9" spans="1:83" x14ac:dyDescent="0.25">
      <c r="A9" s="442" t="str">
        <f>PLANTILLA!D10</f>
        <v>Francesc Añigas</v>
      </c>
      <c r="B9" s="442">
        <f>PLANTILLA!E10</f>
        <v>30</v>
      </c>
      <c r="C9" s="443">
        <f ca="1">PLANTILLA!F10</f>
        <v>45</v>
      </c>
      <c r="D9" s="444" t="str">
        <f>PLANTILLA!G10</f>
        <v>IMP</v>
      </c>
      <c r="E9" s="445">
        <f>PLANTILLA!M10</f>
        <v>43137</v>
      </c>
      <c r="F9" s="446">
        <f>PLANTILLA!Q10</f>
        <v>4</v>
      </c>
      <c r="G9" s="447">
        <f t="shared" si="68"/>
        <v>0.7559289460184544</v>
      </c>
      <c r="H9" s="447">
        <f t="shared" si="69"/>
        <v>0.84430867747355465</v>
      </c>
      <c r="I9" s="448">
        <f ca="1">PLANTILLA!N10</f>
        <v>1</v>
      </c>
      <c r="J9" s="29">
        <f>PLANTILLA!I10</f>
        <v>10.3</v>
      </c>
      <c r="K9" s="36">
        <f>PLANTILLA!X10</f>
        <v>0</v>
      </c>
      <c r="L9" s="36">
        <f>PLANTILLA!Y10</f>
        <v>14.375</v>
      </c>
      <c r="M9" s="36">
        <f>PLANTILLA!Z10</f>
        <v>5</v>
      </c>
      <c r="N9" s="36">
        <f>PLANTILLA!AA10</f>
        <v>14</v>
      </c>
      <c r="O9" s="36">
        <f>PLANTILLA!AB10</f>
        <v>9</v>
      </c>
      <c r="P9" s="36">
        <f>PLANTILLA!AC10</f>
        <v>7</v>
      </c>
      <c r="Q9" s="36">
        <f>PLANTILLA!AD10</f>
        <v>17</v>
      </c>
      <c r="R9" s="36">
        <f t="shared" si="70"/>
        <v>4.421875</v>
      </c>
      <c r="S9" s="36">
        <f t="shared" si="71"/>
        <v>0.86</v>
      </c>
      <c r="T9" s="36">
        <f t="shared" si="72"/>
        <v>1.085</v>
      </c>
      <c r="U9" s="36">
        <f t="shared" ca="1" si="73"/>
        <v>14.627564996011696</v>
      </c>
      <c r="V9" s="36">
        <f t="shared" ca="1" si="74"/>
        <v>16.337752538106397</v>
      </c>
      <c r="W9" s="27">
        <f t="shared" ca="1" si="75"/>
        <v>6.0194425295568204</v>
      </c>
      <c r="X9" s="27">
        <f t="shared" ca="1" si="76"/>
        <v>9.1438054761258361</v>
      </c>
      <c r="Y9" s="27">
        <f t="shared" ca="1" si="77"/>
        <v>6.0194425295568204</v>
      </c>
      <c r="Z9" s="27">
        <f t="shared" ca="1" si="78"/>
        <v>8.6303320105971579</v>
      </c>
      <c r="AA9" s="27">
        <f t="shared" ca="1" si="79"/>
        <v>16.725449632940229</v>
      </c>
      <c r="AB9" s="27">
        <f t="shared" ca="1" si="80"/>
        <v>4.315166005298579</v>
      </c>
      <c r="AC9" s="27">
        <f t="shared" ca="1" si="81"/>
        <v>1.7494070126397745</v>
      </c>
      <c r="AD9" s="27">
        <f t="shared" ca="1" si="82"/>
        <v>6.3222199612514069</v>
      </c>
      <c r="AE9" s="27">
        <f t="shared" ca="1" si="83"/>
        <v>12.092500084615786</v>
      </c>
      <c r="AF9" s="27">
        <f t="shared" ca="1" si="84"/>
        <v>3.1611099806257035</v>
      </c>
      <c r="AG9" s="27">
        <f t="shared" ca="1" si="85"/>
        <v>2.8299231086819883</v>
      </c>
      <c r="AH9" s="27">
        <f t="shared" ca="1" si="86"/>
        <v>15.387413662305011</v>
      </c>
      <c r="AI9" s="27">
        <f t="shared" ca="1" si="87"/>
        <v>6.9243361480372547</v>
      </c>
      <c r="AJ9" s="27">
        <f t="shared" ca="1" si="88"/>
        <v>1.2275250887010183</v>
      </c>
      <c r="AK9" s="27">
        <f t="shared" ca="1" si="89"/>
        <v>9.614064384168854</v>
      </c>
      <c r="AL9" s="27">
        <f t="shared" ca="1" si="90"/>
        <v>12.610989023236932</v>
      </c>
      <c r="AM9" s="27">
        <f t="shared" ca="1" si="91"/>
        <v>11.841618340121682</v>
      </c>
      <c r="AN9" s="27">
        <f t="shared" ca="1" si="92"/>
        <v>3.2315250887010185</v>
      </c>
      <c r="AO9" s="27">
        <f t="shared" ca="1" si="93"/>
        <v>1.9504294942867859</v>
      </c>
      <c r="AP9" s="27">
        <f t="shared" ca="1" si="94"/>
        <v>4.5158714008938619</v>
      </c>
      <c r="AQ9" s="27">
        <f t="shared" ca="1" si="95"/>
        <v>9.9349170819664963</v>
      </c>
      <c r="AR9" s="27">
        <f t="shared" ca="1" si="96"/>
        <v>2.2579357004469309</v>
      </c>
      <c r="AS9" s="27">
        <f t="shared" ca="1" si="97"/>
        <v>6.9388244534955765</v>
      </c>
      <c r="AT9" s="27">
        <f t="shared" ca="1" si="98"/>
        <v>1.4755584522822298</v>
      </c>
      <c r="AU9" s="27">
        <f t="shared" ca="1" si="99"/>
        <v>2.9796817424514872</v>
      </c>
      <c r="AV9" s="27">
        <f t="shared" ca="1" si="100"/>
        <v>0.73777922614111491</v>
      </c>
      <c r="AW9" s="27">
        <f t="shared" ca="1" si="101"/>
        <v>3.1611099806257035</v>
      </c>
      <c r="AX9" s="27">
        <f t="shared" ca="1" si="102"/>
        <v>6.6901798531760921</v>
      </c>
      <c r="AY9" s="27">
        <f t="shared" ca="1" si="103"/>
        <v>1.5805549903128517</v>
      </c>
      <c r="AZ9" s="27">
        <f t="shared" ca="1" si="104"/>
        <v>7.3504496329402293</v>
      </c>
      <c r="BA9" s="27">
        <f t="shared" ca="1" si="105"/>
        <v>2.8716637571338781</v>
      </c>
      <c r="BB9" s="27">
        <f t="shared" ca="1" si="106"/>
        <v>5.8340977477500662</v>
      </c>
      <c r="BC9" s="27">
        <f t="shared" ca="1" si="107"/>
        <v>1.4358318785669391</v>
      </c>
      <c r="BD9" s="27">
        <f t="shared" ca="1" si="108"/>
        <v>4.8671058431856062</v>
      </c>
      <c r="BE9" s="27">
        <f t="shared" ca="1" si="109"/>
        <v>5.8204564722631993</v>
      </c>
      <c r="BF9" s="27">
        <f t="shared" ca="1" si="110"/>
        <v>6.4757461266203418</v>
      </c>
      <c r="BG9" s="27">
        <f t="shared" ca="1" si="111"/>
        <v>12.960549723683863</v>
      </c>
      <c r="BH9" s="27">
        <f t="shared" ca="1" si="112"/>
        <v>2.735458361538595</v>
      </c>
      <c r="BI9" s="27">
        <f t="shared" ca="1" si="113"/>
        <v>8.1118430719760113</v>
      </c>
      <c r="BJ9" s="27">
        <f t="shared" ca="1" si="114"/>
        <v>4.4155187030962209</v>
      </c>
      <c r="BK9" s="27">
        <f t="shared" ca="1" si="115"/>
        <v>2.8005213101502275</v>
      </c>
      <c r="BL9" s="27">
        <f t="shared" ca="1" si="116"/>
        <v>13.285292979189762</v>
      </c>
      <c r="BM9" s="27">
        <f t="shared" ca="1" si="117"/>
        <v>0.59022338091289195</v>
      </c>
      <c r="BN9" s="27">
        <f t="shared" ca="1" si="118"/>
        <v>3.0105809339292411</v>
      </c>
      <c r="BO9" s="27">
        <f t="shared" ca="1" si="119"/>
        <v>1.1373305750399356</v>
      </c>
      <c r="BP9" s="27">
        <f t="shared" ca="1" si="120"/>
        <v>2.2418871380467698</v>
      </c>
      <c r="BQ9" s="27">
        <f t="shared" ca="1" si="121"/>
        <v>19.596678227961135</v>
      </c>
      <c r="BR9" s="27">
        <f t="shared" ca="1" si="122"/>
        <v>1.532310700446931</v>
      </c>
      <c r="BS9" s="27">
        <f t="shared" ca="1" si="123"/>
        <v>4.7500276957550245</v>
      </c>
      <c r="BT9" s="27">
        <f t="shared" ca="1" si="124"/>
        <v>4.0810097104374154</v>
      </c>
      <c r="BU9" s="27">
        <f t="shared" ca="1" si="125"/>
        <v>4.6381337183852844</v>
      </c>
      <c r="BV9" s="27">
        <f t="shared" ca="1" si="126"/>
        <v>13.668652421481504</v>
      </c>
      <c r="BW9" s="27">
        <f t="shared" ca="1" si="127"/>
        <v>1.6798665456751538</v>
      </c>
      <c r="BX9" s="27">
        <f t="shared" ca="1" si="128"/>
        <v>2.9842825509737332</v>
      </c>
      <c r="BY9" s="27">
        <f t="shared" ca="1" si="129"/>
        <v>6.3795842587618594</v>
      </c>
      <c r="BZ9" s="27">
        <f t="shared" ca="1" si="130"/>
        <v>11.614606286690698</v>
      </c>
      <c r="CA9" s="27">
        <f t="shared" ca="1" si="131"/>
        <v>6.3795842587618594</v>
      </c>
      <c r="CB9" s="27">
        <f t="shared" ca="1" si="132"/>
        <v>7.6563301213217621</v>
      </c>
      <c r="CC9" s="27">
        <f t="shared" ca="1" si="133"/>
        <v>13.538765547495174</v>
      </c>
      <c r="CD9" s="27">
        <f t="shared" ca="1" si="134"/>
        <v>7.6563301213217621</v>
      </c>
      <c r="CE9" s="27">
        <f t="shared" ca="1" si="135"/>
        <v>1.8376124082350573</v>
      </c>
    </row>
    <row r="10" spans="1:83" x14ac:dyDescent="0.25">
      <c r="A10" s="442" t="str">
        <f>PLANTILLA!D11</f>
        <v>Will Duffill</v>
      </c>
      <c r="B10" s="442">
        <f>PLANTILLA!E11</f>
        <v>30</v>
      </c>
      <c r="C10" s="443">
        <f ca="1">PLANTILLA!F11</f>
        <v>6</v>
      </c>
      <c r="D10" s="444" t="str">
        <f>PLANTILLA!G11</f>
        <v>RAP</v>
      </c>
      <c r="E10" s="445">
        <f>PLANTILLA!M11</f>
        <v>43122</v>
      </c>
      <c r="F10" s="446">
        <f>PLANTILLA!Q11</f>
        <v>6</v>
      </c>
      <c r="G10" s="447">
        <f t="shared" si="68"/>
        <v>0.92582009977255142</v>
      </c>
      <c r="H10" s="447">
        <f t="shared" si="69"/>
        <v>0.99928545900129484</v>
      </c>
      <c r="I10" s="448">
        <f ca="1">PLANTILLA!N11</f>
        <v>1</v>
      </c>
      <c r="J10" s="29">
        <f>PLANTILLA!I11</f>
        <v>11</v>
      </c>
      <c r="K10" s="36">
        <f>PLANTILLA!X11</f>
        <v>0</v>
      </c>
      <c r="L10" s="36">
        <f>PLANTILLA!Y11</f>
        <v>14</v>
      </c>
      <c r="M10" s="36">
        <f>PLANTILLA!Z11</f>
        <v>5</v>
      </c>
      <c r="N10" s="36">
        <f>PLANTILLA!AA11</f>
        <v>15.111111111111111</v>
      </c>
      <c r="O10" s="36">
        <f>PLANTILLA!AB11</f>
        <v>10</v>
      </c>
      <c r="P10" s="36">
        <f>PLANTILLA!AC11</f>
        <v>7</v>
      </c>
      <c r="Q10" s="36">
        <f>PLANTILLA!AD11</f>
        <v>17</v>
      </c>
      <c r="R10" s="36">
        <f t="shared" si="70"/>
        <v>4.625</v>
      </c>
      <c r="S10" s="36">
        <f t="shared" si="71"/>
        <v>0.86</v>
      </c>
      <c r="T10" s="36">
        <f t="shared" si="72"/>
        <v>1.0699999999999998</v>
      </c>
      <c r="U10" s="36">
        <f t="shared" ca="1" si="73"/>
        <v>17.950284835473383</v>
      </c>
      <c r="V10" s="36">
        <f t="shared" ca="1" si="74"/>
        <v>19.374669685208545</v>
      </c>
      <c r="W10" s="27">
        <f t="shared" ca="1" si="75"/>
        <v>5.9491810855241747</v>
      </c>
      <c r="X10" s="27">
        <f t="shared" ca="1" si="76"/>
        <v>9.033583942052358</v>
      </c>
      <c r="Y10" s="27">
        <f t="shared" ca="1" si="77"/>
        <v>5.9491810855241747</v>
      </c>
      <c r="Z10" s="27">
        <f t="shared" ca="1" si="78"/>
        <v>8.4564781673888607</v>
      </c>
      <c r="AA10" s="27">
        <f t="shared" ca="1" si="79"/>
        <v>16.388523580210968</v>
      </c>
      <c r="AB10" s="27">
        <f t="shared" ca="1" si="80"/>
        <v>4.2282390836944304</v>
      </c>
      <c r="AC10" s="27">
        <f t="shared" ca="1" si="81"/>
        <v>1.75846861209021</v>
      </c>
      <c r="AD10" s="27">
        <f t="shared" ca="1" si="82"/>
        <v>6.1948619133197464</v>
      </c>
      <c r="AE10" s="27">
        <f t="shared" ca="1" si="83"/>
        <v>11.84890254849253</v>
      </c>
      <c r="AF10" s="27">
        <f t="shared" ca="1" si="84"/>
        <v>3.0974309566598732</v>
      </c>
      <c r="AG10" s="27">
        <f t="shared" ca="1" si="85"/>
        <v>2.8445815783812223</v>
      </c>
      <c r="AH10" s="27">
        <f t="shared" ca="1" si="86"/>
        <v>15.077441693794091</v>
      </c>
      <c r="AI10" s="27">
        <f t="shared" ca="1" si="87"/>
        <v>6.7848487622073401</v>
      </c>
      <c r="AJ10" s="27">
        <f t="shared" ca="1" si="88"/>
        <v>1.2338834378952315</v>
      </c>
      <c r="AK10" s="27">
        <f t="shared" ca="1" si="89"/>
        <v>10.289785198497382</v>
      </c>
      <c r="AL10" s="27">
        <f t="shared" ca="1" si="90"/>
        <v>12.35694677947907</v>
      </c>
      <c r="AM10" s="27">
        <f t="shared" ca="1" si="91"/>
        <v>11.603074694789365</v>
      </c>
      <c r="AN10" s="27">
        <f t="shared" ca="1" si="92"/>
        <v>3.2378834378952317</v>
      </c>
      <c r="AO10" s="27">
        <f t="shared" ca="1" si="93"/>
        <v>2.0198947911007581</v>
      </c>
      <c r="AP10" s="27">
        <f t="shared" ca="1" si="94"/>
        <v>4.4249013666569619</v>
      </c>
      <c r="AQ10" s="27">
        <f t="shared" ca="1" si="95"/>
        <v>9.7347830066453156</v>
      </c>
      <c r="AR10" s="27">
        <f t="shared" ca="1" si="96"/>
        <v>2.2124506833284809</v>
      </c>
      <c r="AS10" s="27">
        <f t="shared" ca="1" si="97"/>
        <v>6.9747662597191518</v>
      </c>
      <c r="AT10" s="27">
        <f t="shared" ca="1" si="98"/>
        <v>1.6105080654274258</v>
      </c>
      <c r="AU10" s="27">
        <f t="shared" ca="1" si="99"/>
        <v>3.1108374090018129</v>
      </c>
      <c r="AV10" s="27">
        <f t="shared" ca="1" si="100"/>
        <v>0.80525403271371288</v>
      </c>
      <c r="AW10" s="27">
        <f t="shared" ca="1" si="101"/>
        <v>3.0974309566598732</v>
      </c>
      <c r="AX10" s="27">
        <f t="shared" ca="1" si="102"/>
        <v>6.5554094320843879</v>
      </c>
      <c r="AY10" s="27">
        <f t="shared" ca="1" si="103"/>
        <v>1.5487154783299366</v>
      </c>
      <c r="AZ10" s="27">
        <f t="shared" ca="1" si="104"/>
        <v>7.3885235802109666</v>
      </c>
      <c r="BA10" s="27">
        <f t="shared" ca="1" si="105"/>
        <v>3.1342964657933745</v>
      </c>
      <c r="BB10" s="27">
        <f t="shared" ca="1" si="106"/>
        <v>6.1960764926962426</v>
      </c>
      <c r="BC10" s="27">
        <f t="shared" ca="1" si="107"/>
        <v>1.5671482328966873</v>
      </c>
      <c r="BD10" s="27">
        <f t="shared" ca="1" si="108"/>
        <v>4.7690603618413911</v>
      </c>
      <c r="BE10" s="27">
        <f t="shared" ca="1" si="109"/>
        <v>5.7032062059134168</v>
      </c>
      <c r="BF10" s="27">
        <f t="shared" ca="1" si="110"/>
        <v>6.5092892741658614</v>
      </c>
      <c r="BG10" s="27">
        <f t="shared" ca="1" si="111"/>
        <v>13.947175240585327</v>
      </c>
      <c r="BH10" s="27">
        <f t="shared" ca="1" si="112"/>
        <v>2.985634182830843</v>
      </c>
      <c r="BI10" s="27">
        <f t="shared" ca="1" si="113"/>
        <v>7.9484339364023198</v>
      </c>
      <c r="BJ10" s="27">
        <f t="shared" ca="1" si="114"/>
        <v>4.3265702251756961</v>
      </c>
      <c r="BK10" s="27">
        <f t="shared" ca="1" si="115"/>
        <v>2.8150274840603782</v>
      </c>
      <c r="BL10" s="27">
        <f t="shared" ca="1" si="116"/>
        <v>14.267347386882165</v>
      </c>
      <c r="BM10" s="27">
        <f t="shared" ca="1" si="117"/>
        <v>0.64420322617097026</v>
      </c>
      <c r="BN10" s="27">
        <f t="shared" ca="1" si="118"/>
        <v>2.9499342444379741</v>
      </c>
      <c r="BO10" s="27">
        <f t="shared" ca="1" si="119"/>
        <v>1.1144196034543459</v>
      </c>
      <c r="BP10" s="27">
        <f t="shared" ca="1" si="120"/>
        <v>2.2534996919643446</v>
      </c>
      <c r="BQ10" s="27">
        <f t="shared" ca="1" si="121"/>
        <v>21.042752435262415</v>
      </c>
      <c r="BR10" s="27">
        <f t="shared" ca="1" si="122"/>
        <v>1.6724506833284807</v>
      </c>
      <c r="BS10" s="27">
        <f t="shared" ca="1" si="123"/>
        <v>4.654340696779915</v>
      </c>
      <c r="BT10" s="27">
        <f t="shared" ca="1" si="124"/>
        <v>3.9987997535714763</v>
      </c>
      <c r="BU10" s="27">
        <f t="shared" ca="1" si="125"/>
        <v>4.6621583791131203</v>
      </c>
      <c r="BV10" s="27">
        <f t="shared" ca="1" si="126"/>
        <v>14.675728604288816</v>
      </c>
      <c r="BW10" s="27">
        <f t="shared" ca="1" si="127"/>
        <v>1.833501489871223</v>
      </c>
      <c r="BX10" s="27">
        <f t="shared" ca="1" si="128"/>
        <v>2.9997405735656528</v>
      </c>
      <c r="BY10" s="27">
        <f t="shared" ca="1" si="129"/>
        <v>6.8094207852899142</v>
      </c>
      <c r="BZ10" s="27">
        <f t="shared" ca="1" si="130"/>
        <v>12.200477551317547</v>
      </c>
      <c r="CA10" s="27">
        <f t="shared" ca="1" si="131"/>
        <v>6.8094207852899142</v>
      </c>
      <c r="CB10" s="27">
        <f t="shared" ca="1" si="132"/>
        <v>8.0676057460269881</v>
      </c>
      <c r="CC10" s="27">
        <f t="shared" ca="1" si="133"/>
        <v>13.959888781308813</v>
      </c>
      <c r="CD10" s="27">
        <f t="shared" ca="1" si="134"/>
        <v>8.0676057460269881</v>
      </c>
      <c r="CE10" s="27">
        <f t="shared" ca="1" si="135"/>
        <v>1.8471308950527416</v>
      </c>
    </row>
    <row r="11" spans="1:83" x14ac:dyDescent="0.25">
      <c r="A11" s="442" t="str">
        <f>PLANTILLA!D12</f>
        <v>Valeri Gomis</v>
      </c>
      <c r="B11" s="442">
        <f>PLANTILLA!E12</f>
        <v>30</v>
      </c>
      <c r="C11" s="443">
        <f ca="1">PLANTILLA!F12</f>
        <v>45</v>
      </c>
      <c r="D11" s="444" t="str">
        <f>PLANTILLA!G12</f>
        <v>IMP</v>
      </c>
      <c r="E11" s="445">
        <f>PLANTILLA!M12</f>
        <v>43051</v>
      </c>
      <c r="F11" s="446">
        <f>PLANTILLA!Q12</f>
        <v>5</v>
      </c>
      <c r="G11" s="447">
        <f t="shared" si="68"/>
        <v>0.84515425472851657</v>
      </c>
      <c r="H11" s="447">
        <f t="shared" si="69"/>
        <v>0.92504826128926143</v>
      </c>
      <c r="I11" s="448">
        <f ca="1">PLANTILLA!N12</f>
        <v>1</v>
      </c>
      <c r="J11" s="29">
        <f>PLANTILLA!I12</f>
        <v>10</v>
      </c>
      <c r="K11" s="36">
        <f>PLANTILLA!X12</f>
        <v>0</v>
      </c>
      <c r="L11" s="36">
        <f>PLANTILLA!Y12</f>
        <v>13.333333333333334</v>
      </c>
      <c r="M11" s="36">
        <f>PLANTILLA!Z12</f>
        <v>4.7083333333333339</v>
      </c>
      <c r="N11" s="36">
        <f>PLANTILLA!AA12</f>
        <v>14</v>
      </c>
      <c r="O11" s="36">
        <f>PLANTILLA!AB12</f>
        <v>10</v>
      </c>
      <c r="P11" s="36">
        <f>PLANTILLA!AC12</f>
        <v>7.25</v>
      </c>
      <c r="Q11" s="36">
        <f>PLANTILLA!AD12</f>
        <v>17.166666666666668</v>
      </c>
      <c r="R11" s="36">
        <f t="shared" si="70"/>
        <v>4.541666666666667</v>
      </c>
      <c r="S11" s="36">
        <f t="shared" si="71"/>
        <v>0.87750000000000006</v>
      </c>
      <c r="T11" s="36">
        <f t="shared" si="72"/>
        <v>1.0483333333333333</v>
      </c>
      <c r="U11" s="36">
        <f t="shared" ca="1" si="73"/>
        <v>16.480507967206073</v>
      </c>
      <c r="V11" s="36">
        <f t="shared" ca="1" si="74"/>
        <v>18.038441095140598</v>
      </c>
      <c r="W11" s="27">
        <f t="shared" ca="1" si="75"/>
        <v>5.7170000000000005</v>
      </c>
      <c r="X11" s="27">
        <f t="shared" ca="1" si="76"/>
        <v>8.6790000000000003</v>
      </c>
      <c r="Y11" s="27">
        <f t="shared" ca="1" si="77"/>
        <v>5.7170000000000005</v>
      </c>
      <c r="Z11" s="27">
        <f t="shared" ca="1" si="78"/>
        <v>8.0840000000000014</v>
      </c>
      <c r="AA11" s="27">
        <f t="shared" ca="1" si="79"/>
        <v>15.666666666666668</v>
      </c>
      <c r="AB11" s="27">
        <f t="shared" ca="1" si="80"/>
        <v>4.0420000000000007</v>
      </c>
      <c r="AC11" s="27">
        <f t="shared" ca="1" si="81"/>
        <v>1.6759166666666667</v>
      </c>
      <c r="AD11" s="27">
        <f t="shared" ca="1" si="82"/>
        <v>5.9220000000000006</v>
      </c>
      <c r="AE11" s="27">
        <f t="shared" ca="1" si="83"/>
        <v>11.327</v>
      </c>
      <c r="AF11" s="27">
        <f t="shared" ca="1" si="84"/>
        <v>2.9610000000000003</v>
      </c>
      <c r="AG11" s="27">
        <f t="shared" ca="1" si="85"/>
        <v>2.711041666666667</v>
      </c>
      <c r="AH11" s="27">
        <f t="shared" ca="1" si="86"/>
        <v>14.413333333333336</v>
      </c>
      <c r="AI11" s="27">
        <f t="shared" ca="1" si="87"/>
        <v>6.4859999999999998</v>
      </c>
      <c r="AJ11" s="27">
        <f t="shared" ca="1" si="88"/>
        <v>1.1759583333333334</v>
      </c>
      <c r="AK11" s="27">
        <f t="shared" ca="1" si="89"/>
        <v>9.6039999999999992</v>
      </c>
      <c r="AL11" s="27">
        <f t="shared" ca="1" si="90"/>
        <v>11.812666666666667</v>
      </c>
      <c r="AM11" s="27">
        <f t="shared" ca="1" si="91"/>
        <v>11.092000000000001</v>
      </c>
      <c r="AN11" s="27">
        <f t="shared" ca="1" si="92"/>
        <v>3.2565000000000004</v>
      </c>
      <c r="AO11" s="27">
        <f t="shared" ca="1" si="93"/>
        <v>1.9799999999999998</v>
      </c>
      <c r="AP11" s="27">
        <f t="shared" ca="1" si="94"/>
        <v>4.2300000000000004</v>
      </c>
      <c r="AQ11" s="27">
        <f t="shared" ca="1" si="95"/>
        <v>9.3060000000000009</v>
      </c>
      <c r="AR11" s="27">
        <f t="shared" ca="1" si="96"/>
        <v>2.1150000000000002</v>
      </c>
      <c r="AS11" s="27">
        <f t="shared" ca="1" si="97"/>
        <v>6.6473333333333331</v>
      </c>
      <c r="AT11" s="27">
        <f t="shared" ca="1" si="98"/>
        <v>1.6033333333333335</v>
      </c>
      <c r="AU11" s="27">
        <f t="shared" ca="1" si="99"/>
        <v>3.1379166666666665</v>
      </c>
      <c r="AV11" s="27">
        <f t="shared" ca="1" si="100"/>
        <v>0.80166666666666675</v>
      </c>
      <c r="AW11" s="27">
        <f t="shared" ca="1" si="101"/>
        <v>2.9610000000000003</v>
      </c>
      <c r="AX11" s="27">
        <f t="shared" ca="1" si="102"/>
        <v>6.2666666666666675</v>
      </c>
      <c r="AY11" s="27">
        <f t="shared" ca="1" si="103"/>
        <v>1.4805000000000001</v>
      </c>
      <c r="AZ11" s="27">
        <f t="shared" ca="1" si="104"/>
        <v>7.041666666666667</v>
      </c>
      <c r="BA11" s="27">
        <f t="shared" ca="1" si="105"/>
        <v>3.1203333333333334</v>
      </c>
      <c r="BB11" s="27">
        <f t="shared" ca="1" si="106"/>
        <v>6.2181666666666677</v>
      </c>
      <c r="BC11" s="27">
        <f t="shared" ca="1" si="107"/>
        <v>1.5601666666666667</v>
      </c>
      <c r="BD11" s="27">
        <f t="shared" ca="1" si="108"/>
        <v>4.5590000000000002</v>
      </c>
      <c r="BE11" s="27">
        <f t="shared" ca="1" si="109"/>
        <v>5.452</v>
      </c>
      <c r="BF11" s="27">
        <f t="shared" ca="1" si="110"/>
        <v>6.203708333333334</v>
      </c>
      <c r="BG11" s="27">
        <f t="shared" ca="1" si="111"/>
        <v>13.260333333333332</v>
      </c>
      <c r="BH11" s="27">
        <f t="shared" ca="1" si="112"/>
        <v>2.9723333333333333</v>
      </c>
      <c r="BI11" s="27">
        <f t="shared" ca="1" si="113"/>
        <v>7.5983333333333336</v>
      </c>
      <c r="BJ11" s="27">
        <f t="shared" ca="1" si="114"/>
        <v>4.1360000000000001</v>
      </c>
      <c r="BK11" s="27">
        <f t="shared" ca="1" si="115"/>
        <v>2.6828750000000001</v>
      </c>
      <c r="BL11" s="27">
        <f t="shared" ca="1" si="116"/>
        <v>13.471333333333334</v>
      </c>
      <c r="BM11" s="27">
        <f t="shared" ca="1" si="117"/>
        <v>0.64133333333333331</v>
      </c>
      <c r="BN11" s="27">
        <f t="shared" ca="1" si="118"/>
        <v>2.8200000000000003</v>
      </c>
      <c r="BO11" s="27">
        <f t="shared" ca="1" si="119"/>
        <v>1.0653333333333335</v>
      </c>
      <c r="BP11" s="27">
        <f t="shared" ca="1" si="120"/>
        <v>2.1477083333333336</v>
      </c>
      <c r="BQ11" s="27">
        <f t="shared" ca="1" si="121"/>
        <v>19.860666666666667</v>
      </c>
      <c r="BR11" s="27">
        <f t="shared" ca="1" si="122"/>
        <v>1.6650000000000003</v>
      </c>
      <c r="BS11" s="27">
        <f t="shared" ca="1" si="123"/>
        <v>4.4493333333333336</v>
      </c>
      <c r="BT11" s="27">
        <f t="shared" ca="1" si="124"/>
        <v>3.8226666666666667</v>
      </c>
      <c r="BU11" s="27">
        <f t="shared" ca="1" si="125"/>
        <v>4.4432916666666671</v>
      </c>
      <c r="BV11" s="27">
        <f t="shared" ca="1" si="126"/>
        <v>13.846333333333334</v>
      </c>
      <c r="BW11" s="27">
        <f t="shared" ca="1" si="127"/>
        <v>1.8253333333333333</v>
      </c>
      <c r="BX11" s="27">
        <f t="shared" ca="1" si="128"/>
        <v>2.858916666666667</v>
      </c>
      <c r="BY11" s="27">
        <f t="shared" ca="1" si="129"/>
        <v>6.6524166666666673</v>
      </c>
      <c r="BZ11" s="27">
        <f t="shared" ca="1" si="130"/>
        <v>12.284083333333335</v>
      </c>
      <c r="CA11" s="27">
        <f t="shared" ca="1" si="131"/>
        <v>6.6524166666666673</v>
      </c>
      <c r="CB11" s="27">
        <f t="shared" ca="1" si="132"/>
        <v>7.852666666666666</v>
      </c>
      <c r="CC11" s="27">
        <f t="shared" ca="1" si="133"/>
        <v>14.134333333333334</v>
      </c>
      <c r="CD11" s="27">
        <f t="shared" ca="1" si="134"/>
        <v>7.852666666666666</v>
      </c>
      <c r="CE11" s="27">
        <f t="shared" ca="1" si="135"/>
        <v>1.7604166666666667</v>
      </c>
    </row>
    <row r="12" spans="1:83" x14ac:dyDescent="0.25">
      <c r="A12" s="442" t="str">
        <f>PLANTILLA!D13</f>
        <v>Enrique Cubas</v>
      </c>
      <c r="B12" s="442">
        <f>PLANTILLA!E13</f>
        <v>30</v>
      </c>
      <c r="C12" s="443">
        <f ca="1">PLANTILLA!F13</f>
        <v>41</v>
      </c>
      <c r="D12" s="444" t="str">
        <f>PLANTILLA!G13</f>
        <v>RAP</v>
      </c>
      <c r="E12" s="445">
        <f>PLANTILLA!M13</f>
        <v>43046</v>
      </c>
      <c r="F12" s="446">
        <f>PLANTILLA!Q13</f>
        <v>5</v>
      </c>
      <c r="G12" s="447">
        <f t="shared" si="68"/>
        <v>0.84515425472851657</v>
      </c>
      <c r="H12" s="447">
        <f t="shared" si="69"/>
        <v>0.92504826128926143</v>
      </c>
      <c r="I12" s="448">
        <f>PLANTILLA!N13</f>
        <v>1.5</v>
      </c>
      <c r="J12" s="29">
        <f>PLANTILLA!I13</f>
        <v>11</v>
      </c>
      <c r="K12" s="36">
        <f>PLANTILLA!X13</f>
        <v>0</v>
      </c>
      <c r="L12" s="36">
        <f>PLANTILLA!Y13</f>
        <v>12.666666666666666</v>
      </c>
      <c r="M12" s="36">
        <f>PLANTILLA!Z13</f>
        <v>6.6</v>
      </c>
      <c r="N12" s="36">
        <f>PLANTILLA!AA13</f>
        <v>16</v>
      </c>
      <c r="O12" s="36">
        <f>PLANTILLA!AB13</f>
        <v>10</v>
      </c>
      <c r="P12" s="36">
        <f>PLANTILLA!AC13</f>
        <v>7.8</v>
      </c>
      <c r="Q12" s="36">
        <f>PLANTILLA!AD13</f>
        <v>18</v>
      </c>
      <c r="R12" s="36">
        <f t="shared" si="70"/>
        <v>4.458333333333333</v>
      </c>
      <c r="S12" s="36">
        <f t="shared" si="71"/>
        <v>0.92999999999999994</v>
      </c>
      <c r="T12" s="36">
        <f t="shared" si="72"/>
        <v>1.0466666666666664</v>
      </c>
      <c r="U12" s="36">
        <f t="shared" si="73"/>
        <v>17.654024578812244</v>
      </c>
      <c r="V12" s="36">
        <f t="shared" si="74"/>
        <v>19.322892418773893</v>
      </c>
      <c r="W12" s="27">
        <f t="shared" si="75"/>
        <v>6.017681085524174</v>
      </c>
      <c r="X12" s="27">
        <f t="shared" si="76"/>
        <v>9.11241727538569</v>
      </c>
      <c r="Y12" s="27">
        <f t="shared" si="77"/>
        <v>6.017681085524174</v>
      </c>
      <c r="Z12" s="27">
        <f t="shared" si="78"/>
        <v>8.0264781673888592</v>
      </c>
      <c r="AA12" s="27">
        <f t="shared" si="79"/>
        <v>15.555190246877633</v>
      </c>
      <c r="AB12" s="27">
        <f t="shared" si="80"/>
        <v>4.0132390836944296</v>
      </c>
      <c r="AC12" s="27">
        <f t="shared" si="81"/>
        <v>2.2582686120902098</v>
      </c>
      <c r="AD12" s="27">
        <f t="shared" si="82"/>
        <v>5.8798619133197452</v>
      </c>
      <c r="AE12" s="27">
        <f t="shared" si="83"/>
        <v>11.246402548492528</v>
      </c>
      <c r="AF12" s="27">
        <f t="shared" si="84"/>
        <v>2.9399309566598726</v>
      </c>
      <c r="AG12" s="27">
        <f t="shared" si="85"/>
        <v>3.6530815783812223</v>
      </c>
      <c r="AH12" s="27">
        <f t="shared" si="86"/>
        <v>14.310775027127423</v>
      </c>
      <c r="AI12" s="27">
        <f t="shared" si="87"/>
        <v>6.4398487622073395</v>
      </c>
      <c r="AJ12" s="27">
        <f t="shared" si="88"/>
        <v>1.5845834378952315</v>
      </c>
      <c r="AK12" s="27">
        <f t="shared" si="89"/>
        <v>11.106451865164049</v>
      </c>
      <c r="AL12" s="27">
        <f t="shared" si="90"/>
        <v>11.728613446145735</v>
      </c>
      <c r="AM12" s="27">
        <f t="shared" si="91"/>
        <v>11.013074694789363</v>
      </c>
      <c r="AN12" s="27">
        <f t="shared" si="92"/>
        <v>3.4883834378952319</v>
      </c>
      <c r="AO12" s="27">
        <f t="shared" si="93"/>
        <v>2.1158947911007582</v>
      </c>
      <c r="AP12" s="27">
        <f t="shared" si="94"/>
        <v>4.1999013666569613</v>
      </c>
      <c r="AQ12" s="27">
        <f t="shared" si="95"/>
        <v>9.2397830066453128</v>
      </c>
      <c r="AR12" s="27">
        <f t="shared" si="96"/>
        <v>2.0999506833284807</v>
      </c>
      <c r="AS12" s="27">
        <f t="shared" si="97"/>
        <v>8.9571662597191519</v>
      </c>
      <c r="AT12" s="27">
        <f t="shared" si="98"/>
        <v>1.6755080654274257</v>
      </c>
      <c r="AU12" s="27">
        <f t="shared" si="99"/>
        <v>3.3957374090018133</v>
      </c>
      <c r="AV12" s="27">
        <f t="shared" si="100"/>
        <v>0.83775403271371285</v>
      </c>
      <c r="AW12" s="27">
        <f t="shared" si="101"/>
        <v>2.9399309566598726</v>
      </c>
      <c r="AX12" s="27">
        <f t="shared" si="102"/>
        <v>6.2220760987510531</v>
      </c>
      <c r="AY12" s="27">
        <f t="shared" si="103"/>
        <v>1.4699654783299363</v>
      </c>
      <c r="AZ12" s="27">
        <f t="shared" si="104"/>
        <v>9.4885235802109662</v>
      </c>
      <c r="BA12" s="27">
        <f t="shared" si="105"/>
        <v>3.2607964657933746</v>
      </c>
      <c r="BB12" s="27">
        <f t="shared" si="106"/>
        <v>6.6395764926962428</v>
      </c>
      <c r="BC12" s="27">
        <f t="shared" si="107"/>
        <v>1.6303982328966873</v>
      </c>
      <c r="BD12" s="27">
        <f t="shared" si="108"/>
        <v>4.5265603618413905</v>
      </c>
      <c r="BE12" s="27">
        <f t="shared" si="109"/>
        <v>5.4132062059134158</v>
      </c>
      <c r="BF12" s="27">
        <f t="shared" si="110"/>
        <v>8.3593892741658617</v>
      </c>
      <c r="BG12" s="27">
        <f t="shared" si="111"/>
        <v>14.901897462807549</v>
      </c>
      <c r="BH12" s="27">
        <f t="shared" si="112"/>
        <v>3.1061341828308429</v>
      </c>
      <c r="BI12" s="27">
        <f t="shared" si="113"/>
        <v>7.5442672697356512</v>
      </c>
      <c r="BJ12" s="27">
        <f t="shared" si="114"/>
        <v>4.1065702251756955</v>
      </c>
      <c r="BK12" s="27">
        <f t="shared" si="115"/>
        <v>3.6151274840603782</v>
      </c>
      <c r="BL12" s="27">
        <f t="shared" si="116"/>
        <v>15.302569609104387</v>
      </c>
      <c r="BM12" s="27">
        <f t="shared" si="117"/>
        <v>0.67020322617097028</v>
      </c>
      <c r="BN12" s="27">
        <f t="shared" si="118"/>
        <v>2.7999342444379738</v>
      </c>
      <c r="BO12" s="27">
        <f t="shared" si="119"/>
        <v>1.057752936787679</v>
      </c>
      <c r="BP12" s="27">
        <f t="shared" si="120"/>
        <v>2.8939996919643445</v>
      </c>
      <c r="BQ12" s="27">
        <f t="shared" si="121"/>
        <v>22.574641324151305</v>
      </c>
      <c r="BR12" s="27">
        <f t="shared" si="122"/>
        <v>1.7399506833284806</v>
      </c>
      <c r="BS12" s="27">
        <f t="shared" si="123"/>
        <v>4.4176740301132469</v>
      </c>
      <c r="BT12" s="27">
        <f t="shared" si="124"/>
        <v>3.7954664202381423</v>
      </c>
      <c r="BU12" s="27">
        <f t="shared" si="125"/>
        <v>5.9872583791131193</v>
      </c>
      <c r="BV12" s="27">
        <f t="shared" si="126"/>
        <v>15.747228604288814</v>
      </c>
      <c r="BW12" s="27">
        <f t="shared" si="127"/>
        <v>1.907501489871223</v>
      </c>
      <c r="BX12" s="27">
        <f t="shared" si="128"/>
        <v>3.8523405735656526</v>
      </c>
      <c r="BY12" s="27">
        <f t="shared" si="129"/>
        <v>7.2995207852899133</v>
      </c>
      <c r="BZ12" s="27">
        <f t="shared" si="130"/>
        <v>13.22987755131755</v>
      </c>
      <c r="CA12" s="27">
        <f t="shared" si="131"/>
        <v>7.2995207852899133</v>
      </c>
      <c r="CB12" s="27">
        <f t="shared" si="132"/>
        <v>8.7835501904714324</v>
      </c>
      <c r="CC12" s="27">
        <f t="shared" si="133"/>
        <v>15.444388781308813</v>
      </c>
      <c r="CD12" s="27">
        <f t="shared" si="134"/>
        <v>8.7835501904714324</v>
      </c>
      <c r="CE12" s="27">
        <f t="shared" si="135"/>
        <v>2.3721308950527416</v>
      </c>
    </row>
    <row r="13" spans="1:83" x14ac:dyDescent="0.25">
      <c r="A13" s="442" t="str">
        <f>PLANTILLA!D14</f>
        <v>J. G. Peñuela</v>
      </c>
      <c r="B13" s="442">
        <f>PLANTILLA!E14</f>
        <v>30</v>
      </c>
      <c r="C13" s="443">
        <f ca="1">PLANTILLA!F14</f>
        <v>41</v>
      </c>
      <c r="D13" s="444" t="str">
        <f>PLANTILLA!G14</f>
        <v>IMP</v>
      </c>
      <c r="E13" s="445">
        <f>PLANTILLA!M14</f>
        <v>43054</v>
      </c>
      <c r="F13" s="446">
        <f>PLANTILLA!Q14</f>
        <v>5</v>
      </c>
      <c r="G13" s="447">
        <f t="shared" si="68"/>
        <v>0.84515425472851657</v>
      </c>
      <c r="H13" s="447">
        <f t="shared" si="69"/>
        <v>0.92504826128926143</v>
      </c>
      <c r="I13" s="448">
        <f ca="1">PLANTILLA!N14</f>
        <v>1</v>
      </c>
      <c r="J13" s="29">
        <f>PLANTILLA!I14</f>
        <v>9.4</v>
      </c>
      <c r="K13" s="36">
        <f>PLANTILLA!X14</f>
        <v>0</v>
      </c>
      <c r="L13" s="36">
        <f>PLANTILLA!Y14</f>
        <v>13</v>
      </c>
      <c r="M13" s="36">
        <f>PLANTILLA!Z14</f>
        <v>6.4</v>
      </c>
      <c r="N13" s="36">
        <f>PLANTILLA!AA14</f>
        <v>15</v>
      </c>
      <c r="O13" s="36">
        <f>PLANTILLA!AB14</f>
        <v>9</v>
      </c>
      <c r="P13" s="36">
        <f>PLANTILLA!AC14</f>
        <v>7.95</v>
      </c>
      <c r="Q13" s="36">
        <f>PLANTILLA!AD14</f>
        <v>17</v>
      </c>
      <c r="R13" s="36">
        <f t="shared" si="70"/>
        <v>4.25</v>
      </c>
      <c r="S13" s="36">
        <f t="shared" si="71"/>
        <v>0.90749999999999997</v>
      </c>
      <c r="T13" s="36">
        <f t="shared" si="72"/>
        <v>1.03</v>
      </c>
      <c r="U13" s="36">
        <f t="shared" ca="1" si="73"/>
        <v>16.309367446266116</v>
      </c>
      <c r="V13" s="36">
        <f t="shared" ca="1" si="74"/>
        <v>17.851122341852776</v>
      </c>
      <c r="W13" s="27">
        <f t="shared" ca="1" si="75"/>
        <v>5.5937208215900496</v>
      </c>
      <c r="X13" s="27">
        <f t="shared" ca="1" si="76"/>
        <v>8.4910774119962813</v>
      </c>
      <c r="Y13" s="27">
        <f t="shared" ca="1" si="77"/>
        <v>5.5937208215900496</v>
      </c>
      <c r="Z13" s="27">
        <f t="shared" ca="1" si="78"/>
        <v>7.8935119632765929</v>
      </c>
      <c r="AA13" s="27">
        <f t="shared" ca="1" si="79"/>
        <v>15.297503804799598</v>
      </c>
      <c r="AB13" s="27">
        <f t="shared" ca="1" si="80"/>
        <v>3.9467559816382964</v>
      </c>
      <c r="AC13" s="27">
        <f t="shared" ca="1" si="81"/>
        <v>2.0700059055423043</v>
      </c>
      <c r="AD13" s="27">
        <f t="shared" ca="1" si="82"/>
        <v>5.7824564382142478</v>
      </c>
      <c r="AE13" s="27">
        <f t="shared" ca="1" si="83"/>
        <v>11.060095250870109</v>
      </c>
      <c r="AF13" s="27">
        <f t="shared" ca="1" si="84"/>
        <v>2.8912282191071239</v>
      </c>
      <c r="AG13" s="27">
        <f t="shared" ca="1" si="85"/>
        <v>3.3485389648478456</v>
      </c>
      <c r="AH13" s="27">
        <f t="shared" ca="1" si="86"/>
        <v>14.073703500415631</v>
      </c>
      <c r="AI13" s="27">
        <f t="shared" ca="1" si="87"/>
        <v>6.3331665751870334</v>
      </c>
      <c r="AJ13" s="27">
        <f t="shared" ca="1" si="88"/>
        <v>1.4524831354015331</v>
      </c>
      <c r="AK13" s="27">
        <f t="shared" ca="1" si="89"/>
        <v>10.170932237222162</v>
      </c>
      <c r="AL13" s="27">
        <f t="shared" ca="1" si="90"/>
        <v>11.534317868818897</v>
      </c>
      <c r="AM13" s="27">
        <f t="shared" ca="1" si="91"/>
        <v>10.830632693798115</v>
      </c>
      <c r="AN13" s="27">
        <f t="shared" ca="1" si="92"/>
        <v>3.2226831354015326</v>
      </c>
      <c r="AO13" s="27">
        <f t="shared" ca="1" si="93"/>
        <v>1.8856810957822843</v>
      </c>
      <c r="AP13" s="27">
        <f t="shared" ca="1" si="94"/>
        <v>4.1303260272958919</v>
      </c>
      <c r="AQ13" s="27">
        <f t="shared" ca="1" si="95"/>
        <v>9.0867172600509605</v>
      </c>
      <c r="AR13" s="27">
        <f t="shared" ca="1" si="96"/>
        <v>2.065163013647946</v>
      </c>
      <c r="AS13" s="27">
        <f t="shared" ca="1" si="97"/>
        <v>8.2104435917308205</v>
      </c>
      <c r="AT13" s="27">
        <f t="shared" ca="1" si="98"/>
        <v>1.4686754946239478</v>
      </c>
      <c r="AU13" s="27">
        <f t="shared" ca="1" si="99"/>
        <v>3.128518614806282</v>
      </c>
      <c r="AV13" s="27">
        <f t="shared" ca="1" si="100"/>
        <v>0.73433774731197388</v>
      </c>
      <c r="AW13" s="27">
        <f t="shared" ca="1" si="101"/>
        <v>2.8912282191071239</v>
      </c>
      <c r="AX13" s="27">
        <f t="shared" ca="1" si="102"/>
        <v>6.1190015219198397</v>
      </c>
      <c r="AY13" s="27">
        <f t="shared" ca="1" si="103"/>
        <v>1.445614109553562</v>
      </c>
      <c r="AZ13" s="27">
        <f t="shared" ca="1" si="104"/>
        <v>8.6975038047995987</v>
      </c>
      <c r="BA13" s="27">
        <f t="shared" ca="1" si="105"/>
        <v>2.8582684626142982</v>
      </c>
      <c r="BB13" s="27">
        <f t="shared" ca="1" si="106"/>
        <v>6.0044245964445793</v>
      </c>
      <c r="BC13" s="27">
        <f t="shared" ca="1" si="107"/>
        <v>1.4291342313071491</v>
      </c>
      <c r="BD13" s="27">
        <f t="shared" ca="1" si="108"/>
        <v>4.4515736071966829</v>
      </c>
      <c r="BE13" s="27">
        <f t="shared" ca="1" si="109"/>
        <v>5.3235313240702595</v>
      </c>
      <c r="BF13" s="27">
        <f t="shared" ca="1" si="110"/>
        <v>7.6625008520284466</v>
      </c>
      <c r="BG13" s="27">
        <f t="shared" ca="1" si="111"/>
        <v>13.487480882466841</v>
      </c>
      <c r="BH13" s="27">
        <f t="shared" ca="1" si="112"/>
        <v>2.7226984169567032</v>
      </c>
      <c r="BI13" s="27">
        <f t="shared" ca="1" si="113"/>
        <v>7.4192893453278046</v>
      </c>
      <c r="BJ13" s="27">
        <f t="shared" ca="1" si="114"/>
        <v>4.0385410044670937</v>
      </c>
      <c r="BK13" s="27">
        <f t="shared" ca="1" si="115"/>
        <v>3.3137489496286472</v>
      </c>
      <c r="BL13" s="27">
        <f t="shared" ca="1" si="116"/>
        <v>13.912018325394849</v>
      </c>
      <c r="BM13" s="27">
        <f t="shared" ca="1" si="117"/>
        <v>0.5874701978495791</v>
      </c>
      <c r="BN13" s="27">
        <f t="shared" ca="1" si="118"/>
        <v>2.7535506848639275</v>
      </c>
      <c r="BO13" s="27">
        <f t="shared" ca="1" si="119"/>
        <v>1.0402302587263728</v>
      </c>
      <c r="BP13" s="27">
        <f t="shared" ca="1" si="120"/>
        <v>2.6527386604638776</v>
      </c>
      <c r="BQ13" s="27">
        <f t="shared" ca="1" si="121"/>
        <v>20.528589892972281</v>
      </c>
      <c r="BR13" s="27">
        <f t="shared" ca="1" si="122"/>
        <v>1.5251630136479459</v>
      </c>
      <c r="BS13" s="27">
        <f t="shared" ca="1" si="123"/>
        <v>4.3444910805630856</v>
      </c>
      <c r="BT13" s="27">
        <f t="shared" ca="1" si="124"/>
        <v>3.7325909283711018</v>
      </c>
      <c r="BU13" s="27">
        <f t="shared" ca="1" si="125"/>
        <v>5.4881249008285469</v>
      </c>
      <c r="BV13" s="27">
        <f t="shared" ca="1" si="126"/>
        <v>14.323265905295639</v>
      </c>
      <c r="BW13" s="27">
        <f t="shared" ca="1" si="127"/>
        <v>1.6720305631103405</v>
      </c>
      <c r="BX13" s="27">
        <f t="shared" ca="1" si="128"/>
        <v>3.5311865447486372</v>
      </c>
      <c r="BY13" s="27">
        <f t="shared" ca="1" si="129"/>
        <v>6.6166494823005904</v>
      </c>
      <c r="BZ13" s="27">
        <f t="shared" ca="1" si="130"/>
        <v>12.108839284204347</v>
      </c>
      <c r="CA13" s="27">
        <f t="shared" ca="1" si="131"/>
        <v>6.6166494823005904</v>
      </c>
      <c r="CB13" s="27">
        <f t="shared" ca="1" si="132"/>
        <v>8.0913448703901487</v>
      </c>
      <c r="CC13" s="27">
        <f t="shared" ca="1" si="133"/>
        <v>14.416282708770648</v>
      </c>
      <c r="CD13" s="27">
        <f t="shared" ca="1" si="134"/>
        <v>8.0913448703901487</v>
      </c>
      <c r="CE13" s="27">
        <f t="shared" ca="1" si="135"/>
        <v>2.1743759511998997</v>
      </c>
    </row>
    <row r="14" spans="1:83" x14ac:dyDescent="0.25">
      <c r="A14" s="442" t="e">
        <f>PLANTILLA!#REF!</f>
        <v>#REF!</v>
      </c>
      <c r="B14" s="442" t="e">
        <f>PLANTILLA!#REF!</f>
        <v>#REF!</v>
      </c>
      <c r="C14" s="443" t="e">
        <f>PLANTILLA!#REF!</f>
        <v>#REF!</v>
      </c>
      <c r="D14" s="444" t="e">
        <f>PLANTILLA!#REF!</f>
        <v>#REF!</v>
      </c>
      <c r="E14" s="445" t="e">
        <f>PLANTILLA!#REF!</f>
        <v>#REF!</v>
      </c>
      <c r="F14" s="446" t="e">
        <f>PLANTILLA!#REF!</f>
        <v>#REF!</v>
      </c>
      <c r="G14" s="447" t="e">
        <f t="shared" si="68"/>
        <v>#REF!</v>
      </c>
      <c r="H14" s="447" t="e">
        <f t="shared" si="69"/>
        <v>#REF!</v>
      </c>
      <c r="I14" s="448" t="e">
        <f>PLANTILLA!#REF!</f>
        <v>#REF!</v>
      </c>
      <c r="J14" s="29" t="e">
        <f>PLANTILLA!#REF!</f>
        <v>#REF!</v>
      </c>
      <c r="K14" s="36" t="e">
        <f>PLANTILLA!#REF!</f>
        <v>#REF!</v>
      </c>
      <c r="L14" s="36" t="e">
        <f>PLANTILLA!#REF!</f>
        <v>#REF!</v>
      </c>
      <c r="M14" s="36" t="e">
        <f>PLANTILLA!#REF!</f>
        <v>#REF!</v>
      </c>
      <c r="N14" s="36" t="e">
        <f>PLANTILLA!#REF!</f>
        <v>#REF!</v>
      </c>
      <c r="O14" s="36" t="e">
        <f>PLANTILLA!#REF!</f>
        <v>#REF!</v>
      </c>
      <c r="P14" s="36" t="e">
        <f>PLANTILLA!#REF!</f>
        <v>#REF!</v>
      </c>
      <c r="Q14" s="36" t="e">
        <f>PLANTILLA!#REF!</f>
        <v>#REF!</v>
      </c>
      <c r="R14" s="36" t="e">
        <f t="shared" si="70"/>
        <v>#REF!</v>
      </c>
      <c r="S14" s="36" t="e">
        <f t="shared" si="71"/>
        <v>#REF!</v>
      </c>
      <c r="T14" s="36" t="e">
        <f t="shared" si="72"/>
        <v>#REF!</v>
      </c>
      <c r="U14" s="36" t="e">
        <f t="shared" si="73"/>
        <v>#REF!</v>
      </c>
      <c r="V14" s="36" t="e">
        <f t="shared" si="74"/>
        <v>#REF!</v>
      </c>
      <c r="W14" s="27" t="e">
        <f t="shared" si="75"/>
        <v>#REF!</v>
      </c>
      <c r="X14" s="27" t="e">
        <f t="shared" si="76"/>
        <v>#REF!</v>
      </c>
      <c r="Y14" s="27" t="e">
        <f t="shared" si="77"/>
        <v>#REF!</v>
      </c>
      <c r="Z14" s="27" t="e">
        <f t="shared" si="78"/>
        <v>#REF!</v>
      </c>
      <c r="AA14" s="27" t="e">
        <f t="shared" si="79"/>
        <v>#REF!</v>
      </c>
      <c r="AB14" s="27" t="e">
        <f t="shared" si="80"/>
        <v>#REF!</v>
      </c>
      <c r="AC14" s="27" t="e">
        <f t="shared" si="81"/>
        <v>#REF!</v>
      </c>
      <c r="AD14" s="27" t="e">
        <f t="shared" si="82"/>
        <v>#REF!</v>
      </c>
      <c r="AE14" s="27" t="e">
        <f t="shared" si="83"/>
        <v>#REF!</v>
      </c>
      <c r="AF14" s="27" t="e">
        <f t="shared" si="84"/>
        <v>#REF!</v>
      </c>
      <c r="AG14" s="27" t="e">
        <f t="shared" si="85"/>
        <v>#REF!</v>
      </c>
      <c r="AH14" s="27" t="e">
        <f t="shared" si="86"/>
        <v>#REF!</v>
      </c>
      <c r="AI14" s="27" t="e">
        <f t="shared" si="87"/>
        <v>#REF!</v>
      </c>
      <c r="AJ14" s="27" t="e">
        <f t="shared" si="88"/>
        <v>#REF!</v>
      </c>
      <c r="AK14" s="27" t="e">
        <f t="shared" si="89"/>
        <v>#REF!</v>
      </c>
      <c r="AL14" s="27" t="e">
        <f t="shared" si="90"/>
        <v>#REF!</v>
      </c>
      <c r="AM14" s="27" t="e">
        <f t="shared" si="91"/>
        <v>#REF!</v>
      </c>
      <c r="AN14" s="27" t="e">
        <f t="shared" si="92"/>
        <v>#REF!</v>
      </c>
      <c r="AO14" s="27" t="e">
        <f t="shared" si="93"/>
        <v>#REF!</v>
      </c>
      <c r="AP14" s="27" t="e">
        <f t="shared" si="94"/>
        <v>#REF!</v>
      </c>
      <c r="AQ14" s="27" t="e">
        <f t="shared" si="95"/>
        <v>#REF!</v>
      </c>
      <c r="AR14" s="27" t="e">
        <f t="shared" si="96"/>
        <v>#REF!</v>
      </c>
      <c r="AS14" s="27" t="e">
        <f t="shared" si="97"/>
        <v>#REF!</v>
      </c>
      <c r="AT14" s="27" t="e">
        <f t="shared" si="98"/>
        <v>#REF!</v>
      </c>
      <c r="AU14" s="27" t="e">
        <f t="shared" si="99"/>
        <v>#REF!</v>
      </c>
      <c r="AV14" s="27" t="e">
        <f t="shared" si="100"/>
        <v>#REF!</v>
      </c>
      <c r="AW14" s="27" t="e">
        <f t="shared" si="101"/>
        <v>#REF!</v>
      </c>
      <c r="AX14" s="27" t="e">
        <f t="shared" si="102"/>
        <v>#REF!</v>
      </c>
      <c r="AY14" s="27" t="e">
        <f t="shared" si="103"/>
        <v>#REF!</v>
      </c>
      <c r="AZ14" s="27" t="e">
        <f t="shared" si="104"/>
        <v>#REF!</v>
      </c>
      <c r="BA14" s="27" t="e">
        <f t="shared" si="105"/>
        <v>#REF!</v>
      </c>
      <c r="BB14" s="27" t="e">
        <f t="shared" si="106"/>
        <v>#REF!</v>
      </c>
      <c r="BC14" s="27" t="e">
        <f t="shared" si="107"/>
        <v>#REF!</v>
      </c>
      <c r="BD14" s="27" t="e">
        <f t="shared" si="108"/>
        <v>#REF!</v>
      </c>
      <c r="BE14" s="27" t="e">
        <f t="shared" si="109"/>
        <v>#REF!</v>
      </c>
      <c r="BF14" s="27" t="e">
        <f t="shared" si="110"/>
        <v>#REF!</v>
      </c>
      <c r="BG14" s="27" t="e">
        <f t="shared" si="111"/>
        <v>#REF!</v>
      </c>
      <c r="BH14" s="27" t="e">
        <f t="shared" si="112"/>
        <v>#REF!</v>
      </c>
      <c r="BI14" s="27" t="e">
        <f t="shared" si="113"/>
        <v>#REF!</v>
      </c>
      <c r="BJ14" s="27" t="e">
        <f t="shared" si="114"/>
        <v>#REF!</v>
      </c>
      <c r="BK14" s="27" t="e">
        <f t="shared" si="115"/>
        <v>#REF!</v>
      </c>
      <c r="BL14" s="27" t="e">
        <f t="shared" si="116"/>
        <v>#REF!</v>
      </c>
      <c r="BM14" s="27" t="e">
        <f t="shared" si="117"/>
        <v>#REF!</v>
      </c>
      <c r="BN14" s="27" t="e">
        <f t="shared" si="118"/>
        <v>#REF!</v>
      </c>
      <c r="BO14" s="27" t="e">
        <f t="shared" si="119"/>
        <v>#REF!</v>
      </c>
      <c r="BP14" s="27" t="e">
        <f t="shared" si="120"/>
        <v>#REF!</v>
      </c>
      <c r="BQ14" s="27" t="e">
        <f t="shared" si="121"/>
        <v>#REF!</v>
      </c>
      <c r="BR14" s="27" t="e">
        <f t="shared" si="122"/>
        <v>#REF!</v>
      </c>
      <c r="BS14" s="27" t="e">
        <f t="shared" si="123"/>
        <v>#REF!</v>
      </c>
      <c r="BT14" s="27" t="e">
        <f t="shared" si="124"/>
        <v>#REF!</v>
      </c>
      <c r="BU14" s="27" t="e">
        <f t="shared" si="125"/>
        <v>#REF!</v>
      </c>
      <c r="BV14" s="27" t="e">
        <f t="shared" si="126"/>
        <v>#REF!</v>
      </c>
      <c r="BW14" s="27" t="e">
        <f t="shared" si="127"/>
        <v>#REF!</v>
      </c>
      <c r="BX14" s="27" t="e">
        <f t="shared" si="128"/>
        <v>#REF!</v>
      </c>
      <c r="BY14" s="27" t="e">
        <f t="shared" si="129"/>
        <v>#REF!</v>
      </c>
      <c r="BZ14" s="27" t="e">
        <f t="shared" si="130"/>
        <v>#REF!</v>
      </c>
      <c r="CA14" s="27" t="e">
        <f t="shared" si="131"/>
        <v>#REF!</v>
      </c>
      <c r="CB14" s="27" t="e">
        <f t="shared" si="132"/>
        <v>#REF!</v>
      </c>
      <c r="CC14" s="27" t="e">
        <f t="shared" si="133"/>
        <v>#REF!</v>
      </c>
      <c r="CD14" s="27" t="e">
        <f t="shared" si="134"/>
        <v>#REF!</v>
      </c>
      <c r="CE14" s="27" t="e">
        <f t="shared" si="135"/>
        <v>#REF!</v>
      </c>
    </row>
    <row r="15" spans="1:83" x14ac:dyDescent="0.25">
      <c r="A15" s="442" t="str">
        <f>PLANTILLA!D15</f>
        <v>Lenadro Faias</v>
      </c>
      <c r="B15" s="442">
        <f>PLANTILLA!E15</f>
        <v>33</v>
      </c>
      <c r="C15" s="443">
        <f ca="1">PLANTILLA!F15</f>
        <v>43</v>
      </c>
      <c r="D15" s="444" t="str">
        <f>PLANTILLA!G15</f>
        <v>RAP</v>
      </c>
      <c r="E15" s="445">
        <f>PLANTILLA!M15</f>
        <v>44094</v>
      </c>
      <c r="F15" s="446">
        <f>PLANTILLA!Q15</f>
        <v>5</v>
      </c>
      <c r="G15" s="447">
        <f t="shared" si="68"/>
        <v>0.84515425472851657</v>
      </c>
      <c r="H15" s="447">
        <f t="shared" si="69"/>
        <v>0.92504826128926143</v>
      </c>
      <c r="I15" s="448">
        <f ca="1">PLANTILLA!N15</f>
        <v>1</v>
      </c>
      <c r="J15" s="29">
        <f>PLANTILLA!I15</f>
        <v>8</v>
      </c>
      <c r="K15" s="36">
        <f>PLANTILLA!X15</f>
        <v>0</v>
      </c>
      <c r="L15" s="36">
        <f>PLANTILLA!Y15</f>
        <v>10</v>
      </c>
      <c r="M15" s="36">
        <f>PLANTILLA!Z15</f>
        <v>13.95</v>
      </c>
      <c r="N15" s="36">
        <f>PLANTILLA!AA15</f>
        <v>2.95</v>
      </c>
      <c r="O15" s="36">
        <f>PLANTILLA!AB15</f>
        <v>10</v>
      </c>
      <c r="P15" s="36">
        <f>PLANTILLA!AC15</f>
        <v>7.95</v>
      </c>
      <c r="Q15" s="36">
        <f>PLANTILLA!AD15</f>
        <v>17</v>
      </c>
      <c r="R15" s="36">
        <f t="shared" si="70"/>
        <v>4.125</v>
      </c>
      <c r="S15" s="36">
        <f t="shared" si="71"/>
        <v>0.90749999999999997</v>
      </c>
      <c r="T15" s="36">
        <f t="shared" si="72"/>
        <v>0.90999999999999992</v>
      </c>
      <c r="U15" s="36">
        <f t="shared" ca="1" si="73"/>
        <v>16.23044371165858</v>
      </c>
      <c r="V15" s="36">
        <f t="shared" ca="1" si="74"/>
        <v>17.764737799546225</v>
      </c>
      <c r="W15" s="27">
        <f t="shared" ca="1" si="75"/>
        <v>4.6841967448586228</v>
      </c>
      <c r="X15" s="27">
        <f t="shared" ca="1" si="76"/>
        <v>7.0955188976087982</v>
      </c>
      <c r="Y15" s="27">
        <f t="shared" ca="1" si="77"/>
        <v>4.6841967448586228</v>
      </c>
      <c r="Z15" s="27">
        <f t="shared" ca="1" si="78"/>
        <v>6.2973259110504571</v>
      </c>
      <c r="AA15" s="27">
        <f t="shared" ca="1" si="79"/>
        <v>12.204119982655925</v>
      </c>
      <c r="AB15" s="27">
        <f t="shared" ca="1" si="80"/>
        <v>3.1486629555252286</v>
      </c>
      <c r="AC15" s="27">
        <f t="shared" ca="1" si="81"/>
        <v>3.84468055587211</v>
      </c>
      <c r="AD15" s="27">
        <f t="shared" ca="1" si="82"/>
        <v>4.6131573534439401</v>
      </c>
      <c r="AE15" s="27">
        <f t="shared" ca="1" si="83"/>
        <v>8.8235787474602336</v>
      </c>
      <c r="AF15" s="27">
        <f t="shared" ca="1" si="84"/>
        <v>2.30657867672197</v>
      </c>
      <c r="AG15" s="27">
        <f t="shared" ca="1" si="85"/>
        <v>6.2193361933225306</v>
      </c>
      <c r="AH15" s="27">
        <f t="shared" ca="1" si="86"/>
        <v>11.227790384043452</v>
      </c>
      <c r="AI15" s="27">
        <f t="shared" ca="1" si="87"/>
        <v>5.052505672819553</v>
      </c>
      <c r="AJ15" s="27">
        <f t="shared" ca="1" si="88"/>
        <v>2.6977380371035395</v>
      </c>
      <c r="AK15" s="27">
        <f t="shared" ca="1" si="89"/>
        <v>3.0306225498016839</v>
      </c>
      <c r="AL15" s="27">
        <f t="shared" ca="1" si="90"/>
        <v>9.2019064669225674</v>
      </c>
      <c r="AM15" s="27">
        <f t="shared" ca="1" si="91"/>
        <v>8.6405169477203945</v>
      </c>
      <c r="AN15" s="27">
        <f t="shared" ca="1" si="92"/>
        <v>3.2070880371035395</v>
      </c>
      <c r="AO15" s="27">
        <f t="shared" ca="1" si="93"/>
        <v>1.8227865550049063</v>
      </c>
      <c r="AP15" s="27">
        <f t="shared" ca="1" si="94"/>
        <v>3.2951123953171</v>
      </c>
      <c r="AQ15" s="27">
        <f t="shared" ca="1" si="95"/>
        <v>7.2492472696976193</v>
      </c>
      <c r="AR15" s="27">
        <f t="shared" ca="1" si="96"/>
        <v>1.64755619765855</v>
      </c>
      <c r="AS15" s="27">
        <f t="shared" ca="1" si="97"/>
        <v>15.249489263627192</v>
      </c>
      <c r="AT15" s="27">
        <f t="shared" ca="1" si="98"/>
        <v>1.5865355977452702</v>
      </c>
      <c r="AU15" s="27">
        <f t="shared" ca="1" si="99"/>
        <v>3.2211571549181857</v>
      </c>
      <c r="AV15" s="27">
        <f t="shared" ca="1" si="100"/>
        <v>0.7932677988726351</v>
      </c>
      <c r="AW15" s="27">
        <f t="shared" ca="1" si="101"/>
        <v>2.30657867672197</v>
      </c>
      <c r="AX15" s="27">
        <f t="shared" ca="1" si="102"/>
        <v>4.8816479930623702</v>
      </c>
      <c r="AY15" s="27">
        <f t="shared" ca="1" si="103"/>
        <v>1.153289338360985</v>
      </c>
      <c r="AZ15" s="27">
        <f t="shared" ca="1" si="104"/>
        <v>16.154119982655924</v>
      </c>
      <c r="BA15" s="27">
        <f t="shared" ca="1" si="105"/>
        <v>3.087642355611949</v>
      </c>
      <c r="BB15" s="27">
        <f t="shared" ca="1" si="106"/>
        <v>6.2939701104434143</v>
      </c>
      <c r="BC15" s="27">
        <f t="shared" ca="1" si="107"/>
        <v>1.5438211778059745</v>
      </c>
      <c r="BD15" s="27">
        <f t="shared" ca="1" si="108"/>
        <v>3.5513989149528737</v>
      </c>
      <c r="BE15" s="27">
        <f t="shared" ca="1" si="109"/>
        <v>4.2470337539642617</v>
      </c>
      <c r="BF15" s="27">
        <f t="shared" ca="1" si="110"/>
        <v>14.23177970471987</v>
      </c>
      <c r="BG15" s="27">
        <f t="shared" ca="1" si="111"/>
        <v>6.8027626645811168</v>
      </c>
      <c r="BH15" s="27">
        <f t="shared" ca="1" si="112"/>
        <v>2.941192915820078</v>
      </c>
      <c r="BI15" s="27">
        <f t="shared" ca="1" si="113"/>
        <v>5.9189981915881233</v>
      </c>
      <c r="BJ15" s="27">
        <f t="shared" ca="1" si="114"/>
        <v>3.2218876754211645</v>
      </c>
      <c r="BK15" s="27">
        <f t="shared" ca="1" si="115"/>
        <v>6.1547197133919074</v>
      </c>
      <c r="BL15" s="27">
        <f t="shared" ca="1" si="116"/>
        <v>5.9217508648412789</v>
      </c>
      <c r="BM15" s="27">
        <f t="shared" ca="1" si="117"/>
        <v>0.6346142390981081</v>
      </c>
      <c r="BN15" s="27">
        <f t="shared" ca="1" si="118"/>
        <v>2.1967415968780664</v>
      </c>
      <c r="BO15" s="27">
        <f t="shared" ca="1" si="119"/>
        <v>0.82988015882060295</v>
      </c>
      <c r="BP15" s="27">
        <f t="shared" ca="1" si="120"/>
        <v>4.9270065947100568</v>
      </c>
      <c r="BQ15" s="27">
        <f t="shared" ca="1" si="121"/>
        <v>8.6444982976955203</v>
      </c>
      <c r="BR15" s="27">
        <f t="shared" ca="1" si="122"/>
        <v>1.64755619765855</v>
      </c>
      <c r="BS15" s="27">
        <f t="shared" ca="1" si="123"/>
        <v>3.4659700750742823</v>
      </c>
      <c r="BT15" s="27">
        <f t="shared" ca="1" si="124"/>
        <v>2.9778052757680458</v>
      </c>
      <c r="BU15" s="27">
        <f t="shared" ca="1" si="125"/>
        <v>10.193249709055888</v>
      </c>
      <c r="BV15" s="27">
        <f t="shared" ca="1" si="126"/>
        <v>5.9735873844770531</v>
      </c>
      <c r="BW15" s="27">
        <f t="shared" ca="1" si="127"/>
        <v>1.8062097574330769</v>
      </c>
      <c r="BX15" s="27">
        <f t="shared" ca="1" si="128"/>
        <v>6.5585727129583056</v>
      </c>
      <c r="BY15" s="27">
        <f t="shared" ca="1" si="129"/>
        <v>5.0827965109637372</v>
      </c>
      <c r="BZ15" s="27">
        <f t="shared" ca="1" si="130"/>
        <v>12.546689100470573</v>
      </c>
      <c r="CA15" s="27">
        <f t="shared" ca="1" si="131"/>
        <v>5.0827965109637372</v>
      </c>
      <c r="CB15" s="27">
        <f t="shared" ca="1" si="132"/>
        <v>5.5121167491946412</v>
      </c>
      <c r="CC15" s="27">
        <f t="shared" ca="1" si="133"/>
        <v>14.65744025625596</v>
      </c>
      <c r="CD15" s="27">
        <f t="shared" ca="1" si="134"/>
        <v>5.5121167491946412</v>
      </c>
      <c r="CE15" s="27">
        <f t="shared" ca="1" si="135"/>
        <v>4.0385299956639811</v>
      </c>
    </row>
    <row r="16" spans="1:83" x14ac:dyDescent="0.25">
      <c r="A16" s="442" t="str">
        <f>PLANTILLA!D19</f>
        <v>Nicolás Galaz</v>
      </c>
      <c r="B16" s="442">
        <f>PLANTILLA!E19</f>
        <v>30</v>
      </c>
      <c r="C16" s="443">
        <f ca="1">PLANTILLA!F19</f>
        <v>73</v>
      </c>
      <c r="D16" s="444">
        <f>PLANTILLA!G19</f>
        <v>0</v>
      </c>
      <c r="E16" s="445">
        <f>PLANTILLA!M19</f>
        <v>44262</v>
      </c>
      <c r="F16" s="446">
        <f>PLANTILLA!Q19</f>
        <v>4</v>
      </c>
      <c r="G16" s="447">
        <f t="shared" si="68"/>
        <v>0.7559289460184544</v>
      </c>
      <c r="H16" s="447">
        <f t="shared" si="69"/>
        <v>0.84430867747355465</v>
      </c>
      <c r="I16" s="448">
        <f ca="1">PLANTILLA!N19</f>
        <v>0.87966190880626971</v>
      </c>
      <c r="J16" s="29">
        <f>PLANTILLA!I19</f>
        <v>7.6</v>
      </c>
      <c r="K16" s="36">
        <f>PLANTILLA!X19</f>
        <v>0</v>
      </c>
      <c r="L16" s="36">
        <f>PLANTILLA!Y19</f>
        <v>4</v>
      </c>
      <c r="M16" s="36">
        <f>PLANTILLA!Z19</f>
        <v>3</v>
      </c>
      <c r="N16" s="36">
        <f>PLANTILLA!AA19</f>
        <v>9.125</v>
      </c>
      <c r="O16" s="36">
        <f>PLANTILLA!AB19</f>
        <v>14</v>
      </c>
      <c r="P16" s="36">
        <f>PLANTILLA!AC19</f>
        <v>13.95</v>
      </c>
      <c r="Q16" s="36">
        <f>PLANTILLA!AD19</f>
        <v>8</v>
      </c>
      <c r="R16" s="36">
        <f t="shared" si="70"/>
        <v>4.375</v>
      </c>
      <c r="S16" s="36">
        <f t="shared" si="71"/>
        <v>0.9375</v>
      </c>
      <c r="T16" s="36">
        <f t="shared" si="72"/>
        <v>0.4</v>
      </c>
      <c r="U16" s="36">
        <f t="shared" ca="1" si="73"/>
        <v>7.600170121659537</v>
      </c>
      <c r="V16" s="36">
        <f t="shared" ca="1" si="74"/>
        <v>8.4887470149022892</v>
      </c>
      <c r="W16" s="27">
        <f t="shared" ca="1" si="75"/>
        <v>2.8972118678027146</v>
      </c>
      <c r="X16" s="27">
        <f t="shared" ca="1" si="76"/>
        <v>4.3518173211148961</v>
      </c>
      <c r="Y16" s="27">
        <f t="shared" ca="1" si="77"/>
        <v>2.8972118678027146</v>
      </c>
      <c r="Z16" s="27">
        <f t="shared" ca="1" si="78"/>
        <v>3.1239052964332195</v>
      </c>
      <c r="AA16" s="27">
        <f t="shared" ca="1" si="79"/>
        <v>6.0540800318473247</v>
      </c>
      <c r="AB16" s="27">
        <f t="shared" ca="1" si="80"/>
        <v>1.5619526482166097</v>
      </c>
      <c r="AC16" s="27">
        <f t="shared" ca="1" si="81"/>
        <v>1.2028710475796631</v>
      </c>
      <c r="AD16" s="27">
        <f t="shared" ca="1" si="82"/>
        <v>2.2884422520382888</v>
      </c>
      <c r="AE16" s="27">
        <f t="shared" ca="1" si="83"/>
        <v>4.3770998630256157</v>
      </c>
      <c r="AF16" s="27">
        <f t="shared" ca="1" si="84"/>
        <v>1.1442211260191444</v>
      </c>
      <c r="AG16" s="27">
        <f t="shared" ca="1" si="85"/>
        <v>1.9458208122612199</v>
      </c>
      <c r="AH16" s="27">
        <f t="shared" ca="1" si="86"/>
        <v>5.5697536292995391</v>
      </c>
      <c r="AI16" s="27">
        <f t="shared" ca="1" si="87"/>
        <v>2.5063891331847925</v>
      </c>
      <c r="AJ16" s="27">
        <f t="shared" ca="1" si="88"/>
        <v>0.84403136531850331</v>
      </c>
      <c r="AK16" s="27">
        <f t="shared" ca="1" si="89"/>
        <v>6.573299058726227</v>
      </c>
      <c r="AL16" s="27">
        <f t="shared" ca="1" si="90"/>
        <v>4.5647763440128832</v>
      </c>
      <c r="AM16" s="27">
        <f t="shared" ca="1" si="91"/>
        <v>4.2862886625479053</v>
      </c>
      <c r="AN16" s="27">
        <f t="shared" ca="1" si="92"/>
        <v>1.6790313653185034</v>
      </c>
      <c r="AO16" s="27">
        <f t="shared" ca="1" si="93"/>
        <v>1.8515750491720293</v>
      </c>
      <c r="AP16" s="27">
        <f t="shared" ca="1" si="94"/>
        <v>1.6346016085987778</v>
      </c>
      <c r="AQ16" s="27">
        <f t="shared" ca="1" si="95"/>
        <v>3.5961235389173107</v>
      </c>
      <c r="AR16" s="27">
        <f t="shared" ca="1" si="96"/>
        <v>0.81730080429938889</v>
      </c>
      <c r="AS16" s="27">
        <f t="shared" ca="1" si="97"/>
        <v>4.7710515500638744</v>
      </c>
      <c r="AT16" s="27">
        <f t="shared" ca="1" si="98"/>
        <v>2.087030404140152</v>
      </c>
      <c r="AU16" s="27">
        <f t="shared" ca="1" si="99"/>
        <v>4.6951954493312655</v>
      </c>
      <c r="AV16" s="27">
        <f t="shared" ca="1" si="100"/>
        <v>1.043515202070076</v>
      </c>
      <c r="AW16" s="27">
        <f t="shared" ca="1" si="101"/>
        <v>1.1442211260191444</v>
      </c>
      <c r="AX16" s="27">
        <f t="shared" ca="1" si="102"/>
        <v>2.4216320127389301</v>
      </c>
      <c r="AY16" s="27">
        <f t="shared" ca="1" si="103"/>
        <v>0.57211056300957219</v>
      </c>
      <c r="AZ16" s="27">
        <f t="shared" ca="1" si="104"/>
        <v>5.0540800318473247</v>
      </c>
      <c r="BA16" s="27">
        <f t="shared" ca="1" si="105"/>
        <v>4.0616822480573731</v>
      </c>
      <c r="BB16" s="27">
        <f t="shared" ca="1" si="106"/>
        <v>8.8352980975478754</v>
      </c>
      <c r="BC16" s="27">
        <f t="shared" ca="1" si="107"/>
        <v>2.0308411240286866</v>
      </c>
      <c r="BD16" s="27">
        <f t="shared" ca="1" si="108"/>
        <v>1.7617372892675713</v>
      </c>
      <c r="BE16" s="27">
        <f t="shared" ca="1" si="109"/>
        <v>2.1068198510828688</v>
      </c>
      <c r="BF16" s="27">
        <f t="shared" ca="1" si="110"/>
        <v>4.4526445080574932</v>
      </c>
      <c r="BG16" s="27">
        <f t="shared" ca="1" si="111"/>
        <v>11.473827148312271</v>
      </c>
      <c r="BH16" s="27">
        <f t="shared" ca="1" si="112"/>
        <v>3.8690332876752049</v>
      </c>
      <c r="BI16" s="27">
        <f t="shared" ca="1" si="113"/>
        <v>2.9362288154459524</v>
      </c>
      <c r="BJ16" s="27">
        <f t="shared" ca="1" si="114"/>
        <v>1.5982771284076938</v>
      </c>
      <c r="BK16" s="27">
        <f t="shared" ca="1" si="115"/>
        <v>1.9256044921338307</v>
      </c>
      <c r="BL16" s="27">
        <f t="shared" ca="1" si="116"/>
        <v>10.750390947834562</v>
      </c>
      <c r="BM16" s="27">
        <f t="shared" ca="1" si="117"/>
        <v>0.83481216165606076</v>
      </c>
      <c r="BN16" s="27">
        <f t="shared" ca="1" si="118"/>
        <v>1.0897344057325185</v>
      </c>
      <c r="BO16" s="27">
        <f t="shared" ca="1" si="119"/>
        <v>0.41167744216561813</v>
      </c>
      <c r="BP16" s="27">
        <f t="shared" ca="1" si="120"/>
        <v>1.541494409713434</v>
      </c>
      <c r="BQ16" s="27">
        <f t="shared" ca="1" si="121"/>
        <v>15.77054692095566</v>
      </c>
      <c r="BR16" s="27">
        <f t="shared" ca="1" si="122"/>
        <v>2.1673008042993889</v>
      </c>
      <c r="BS16" s="27">
        <f t="shared" ca="1" si="123"/>
        <v>1.7193587290446402</v>
      </c>
      <c r="BT16" s="27">
        <f t="shared" ca="1" si="124"/>
        <v>1.4771955277707471</v>
      </c>
      <c r="BU16" s="27">
        <f t="shared" ca="1" si="125"/>
        <v>3.1891245000956618</v>
      </c>
      <c r="BV16" s="27">
        <f t="shared" ca="1" si="126"/>
        <v>10.946151628503355</v>
      </c>
      <c r="BW16" s="27">
        <f t="shared" ca="1" si="127"/>
        <v>2.376003844713404</v>
      </c>
      <c r="BX16" s="27">
        <f t="shared" ca="1" si="128"/>
        <v>2.0519564929300138</v>
      </c>
      <c r="BY16" s="27">
        <f t="shared" ca="1" si="129"/>
        <v>7.6558256965924549</v>
      </c>
      <c r="BZ16" s="27">
        <f t="shared" ca="1" si="130"/>
        <v>18.047744115860084</v>
      </c>
      <c r="CA16" s="27">
        <f t="shared" ca="1" si="131"/>
        <v>7.6558256965924549</v>
      </c>
      <c r="CB16" s="27">
        <f t="shared" ca="1" si="132"/>
        <v>8.9113168598408823</v>
      </c>
      <c r="CC16" s="27">
        <f t="shared" ca="1" si="133"/>
        <v>21.928035563598986</v>
      </c>
      <c r="CD16" s="27">
        <f t="shared" ca="1" si="134"/>
        <v>8.9113168598408823</v>
      </c>
      <c r="CE16" s="27">
        <f t="shared" ca="1" si="135"/>
        <v>1.2635200079618312</v>
      </c>
    </row>
    <row r="17" spans="1:83" x14ac:dyDescent="0.25">
      <c r="A17" s="442" t="str">
        <f>PLANTILLA!D17</f>
        <v>Bogdan Pivovarov</v>
      </c>
      <c r="B17" s="442">
        <f>PLANTILLA!E17</f>
        <v>31</v>
      </c>
      <c r="C17" s="443">
        <f ca="1">PLANTILLA!F17</f>
        <v>41</v>
      </c>
      <c r="D17" s="444" t="str">
        <f>PLANTILLA!G17</f>
        <v>IMP</v>
      </c>
      <c r="E17" s="445">
        <f>PLANTILLA!M17</f>
        <v>44069</v>
      </c>
      <c r="F17" s="446">
        <f>PLANTILLA!Q17</f>
        <v>5</v>
      </c>
      <c r="G17" s="447">
        <f t="shared" si="68"/>
        <v>0.84515425472851657</v>
      </c>
      <c r="H17" s="447">
        <f t="shared" si="69"/>
        <v>0.92504826128926143</v>
      </c>
      <c r="I17" s="448">
        <f ca="1">PLANTILLA!N17</f>
        <v>1</v>
      </c>
      <c r="J17" s="29">
        <f>PLANTILLA!I17</f>
        <v>9.8000000000000007</v>
      </c>
      <c r="K17" s="36">
        <f>PLANTILLA!X17</f>
        <v>0</v>
      </c>
      <c r="L17" s="36">
        <f>PLANTILLA!Y17</f>
        <v>11</v>
      </c>
      <c r="M17" s="36">
        <f>PLANTILLA!Z17</f>
        <v>14</v>
      </c>
      <c r="N17" s="36">
        <f>PLANTILLA!AA17</f>
        <v>3</v>
      </c>
      <c r="O17" s="36">
        <f>PLANTILLA!AB17</f>
        <v>11</v>
      </c>
      <c r="P17" s="36">
        <f>PLANTILLA!AC17</f>
        <v>8</v>
      </c>
      <c r="Q17" s="36">
        <f>PLANTILLA!AD17</f>
        <v>4</v>
      </c>
      <c r="R17" s="36">
        <f t="shared" si="70"/>
        <v>4.5</v>
      </c>
      <c r="S17" s="36">
        <f t="shared" si="71"/>
        <v>0.52</v>
      </c>
      <c r="T17" s="36">
        <f t="shared" si="72"/>
        <v>0.56000000000000005</v>
      </c>
      <c r="U17" s="36">
        <f t="shared" ca="1" si="73"/>
        <v>5.3427565206683996</v>
      </c>
      <c r="V17" s="36">
        <f t="shared" ca="1" si="74"/>
        <v>5.8478172502648675</v>
      </c>
      <c r="W17" s="27">
        <f t="shared" ca="1" si="75"/>
        <v>5.0627871521060639</v>
      </c>
      <c r="X17" s="27">
        <f t="shared" ca="1" si="76"/>
        <v>7.6722304849586802</v>
      </c>
      <c r="Y17" s="27">
        <f t="shared" ca="1" si="77"/>
        <v>5.0627871521060639</v>
      </c>
      <c r="Z17" s="27">
        <f t="shared" ca="1" si="78"/>
        <v>6.8739635400764367</v>
      </c>
      <c r="AA17" s="27">
        <f t="shared" ca="1" si="79"/>
        <v>13.321634767589993</v>
      </c>
      <c r="AB17" s="27">
        <f t="shared" ca="1" si="80"/>
        <v>3.4369817700382184</v>
      </c>
      <c r="AC17" s="27">
        <f t="shared" ca="1" si="81"/>
        <v>3.8845490746864186</v>
      </c>
      <c r="AD17" s="27">
        <f t="shared" ca="1" si="82"/>
        <v>5.0355779421490174</v>
      </c>
      <c r="AE17" s="27">
        <f t="shared" ca="1" si="83"/>
        <v>9.6315419369675652</v>
      </c>
      <c r="AF17" s="27">
        <f t="shared" ca="1" si="84"/>
        <v>2.5177889710745087</v>
      </c>
      <c r="AG17" s="27">
        <f t="shared" ca="1" si="85"/>
        <v>6.2838293855221483</v>
      </c>
      <c r="AH17" s="27">
        <f t="shared" ca="1" si="86"/>
        <v>12.255903986182794</v>
      </c>
      <c r="AI17" s="27">
        <f t="shared" ca="1" si="87"/>
        <v>5.515156793782257</v>
      </c>
      <c r="AJ17" s="27">
        <f t="shared" ca="1" si="88"/>
        <v>2.7257130061875294</v>
      </c>
      <c r="AK17" s="27">
        <f t="shared" ca="1" si="89"/>
        <v>3.1291212433429156</v>
      </c>
      <c r="AL17" s="27">
        <f t="shared" ca="1" si="90"/>
        <v>10.044512614762855</v>
      </c>
      <c r="AM17" s="27">
        <f t="shared" ca="1" si="91"/>
        <v>9.4317174154537149</v>
      </c>
      <c r="AN17" s="27">
        <f t="shared" ca="1" si="92"/>
        <v>1.0557130061875288</v>
      </c>
      <c r="AO17" s="27">
        <f t="shared" ca="1" si="93"/>
        <v>1.9646308130659178</v>
      </c>
      <c r="AP17" s="27">
        <f t="shared" ca="1" si="94"/>
        <v>3.5968413872492984</v>
      </c>
      <c r="AQ17" s="27">
        <f t="shared" ca="1" si="95"/>
        <v>7.9130510519484556</v>
      </c>
      <c r="AR17" s="27">
        <f t="shared" ca="1" si="96"/>
        <v>1.7984206936246492</v>
      </c>
      <c r="AS17" s="27">
        <f t="shared" ca="1" si="97"/>
        <v>15.407623220604954</v>
      </c>
      <c r="AT17" s="27">
        <f t="shared" ca="1" si="98"/>
        <v>1.7318125197866991</v>
      </c>
      <c r="AU17" s="27">
        <f t="shared" ca="1" si="99"/>
        <v>3.3842389869038678</v>
      </c>
      <c r="AV17" s="27">
        <f t="shared" ca="1" si="100"/>
        <v>0.86590625989334957</v>
      </c>
      <c r="AW17" s="27">
        <f t="shared" ca="1" si="101"/>
        <v>2.5177889710745087</v>
      </c>
      <c r="AX17" s="27">
        <f t="shared" ca="1" si="102"/>
        <v>5.3286539070359975</v>
      </c>
      <c r="AY17" s="27">
        <f t="shared" ca="1" si="103"/>
        <v>1.2588944855372544</v>
      </c>
      <c r="AZ17" s="27">
        <f t="shared" ca="1" si="104"/>
        <v>16.321634767589995</v>
      </c>
      <c r="BA17" s="27">
        <f t="shared" ca="1" si="105"/>
        <v>3.3703735962002681</v>
      </c>
      <c r="BB17" s="27">
        <f t="shared" ca="1" si="106"/>
        <v>6.7102207569420864</v>
      </c>
      <c r="BC17" s="27">
        <f t="shared" ca="1" si="107"/>
        <v>1.6851867981001341</v>
      </c>
      <c r="BD17" s="27">
        <f t="shared" ca="1" si="108"/>
        <v>3.8765957173686876</v>
      </c>
      <c r="BE17" s="27">
        <f t="shared" ca="1" si="109"/>
        <v>4.6359288991213168</v>
      </c>
      <c r="BF17" s="27">
        <f t="shared" ca="1" si="110"/>
        <v>14.379360230246785</v>
      </c>
      <c r="BG17" s="27">
        <f t="shared" ca="1" si="111"/>
        <v>7.2509333083875038</v>
      </c>
      <c r="BH17" s="27">
        <f t="shared" ca="1" si="112"/>
        <v>3.2105139789891881</v>
      </c>
      <c r="BI17" s="27">
        <f t="shared" ca="1" si="113"/>
        <v>6.4609928622811461</v>
      </c>
      <c r="BJ17" s="27">
        <f t="shared" ca="1" si="114"/>
        <v>3.5169115786437581</v>
      </c>
      <c r="BK17" s="27">
        <f t="shared" ca="1" si="115"/>
        <v>6.218542846451788</v>
      </c>
      <c r="BL17" s="27">
        <f t="shared" ca="1" si="116"/>
        <v>6.2591087868736537</v>
      </c>
      <c r="BM17" s="27">
        <f t="shared" ca="1" si="117"/>
        <v>0.69272500791467961</v>
      </c>
      <c r="BN17" s="27">
        <f t="shared" ca="1" si="118"/>
        <v>2.3978942581661986</v>
      </c>
      <c r="BO17" s="27">
        <f t="shared" ca="1" si="119"/>
        <v>0.90587116419611957</v>
      </c>
      <c r="BP17" s="27">
        <f t="shared" ca="1" si="120"/>
        <v>4.9780986041149484</v>
      </c>
      <c r="BQ17" s="27">
        <f t="shared" ca="1" si="121"/>
        <v>9.1316223111207311</v>
      </c>
      <c r="BR17" s="27">
        <f t="shared" ca="1" si="122"/>
        <v>1.7984206936246492</v>
      </c>
      <c r="BS17" s="27">
        <f t="shared" ca="1" si="123"/>
        <v>3.7833442739955578</v>
      </c>
      <c r="BT17" s="27">
        <f t="shared" ca="1" si="124"/>
        <v>3.250478883291958</v>
      </c>
      <c r="BU17" s="27">
        <f t="shared" ca="1" si="125"/>
        <v>10.298951538349288</v>
      </c>
      <c r="BV17" s="27">
        <f t="shared" ca="1" si="126"/>
        <v>6.3068631169930427</v>
      </c>
      <c r="BW17" s="27">
        <f t="shared" ca="1" si="127"/>
        <v>1.9716019456033189</v>
      </c>
      <c r="BX17" s="27">
        <f t="shared" ca="1" si="128"/>
        <v>6.6265837156415381</v>
      </c>
      <c r="BY17" s="27">
        <f t="shared" ca="1" si="129"/>
        <v>5.4075717139143862</v>
      </c>
      <c r="BZ17" s="27">
        <f t="shared" ca="1" si="130"/>
        <v>13.251160748306333</v>
      </c>
      <c r="CA17" s="27">
        <f t="shared" ca="1" si="131"/>
        <v>5.4075717139143862</v>
      </c>
      <c r="CB17" s="27">
        <f t="shared" ca="1" si="132"/>
        <v>5.7513784602085654</v>
      </c>
      <c r="CC17" s="27">
        <f t="shared" ca="1" si="133"/>
        <v>15.237317996830701</v>
      </c>
      <c r="CD17" s="27">
        <f t="shared" ca="1" si="134"/>
        <v>5.7513784602085654</v>
      </c>
      <c r="CE17" s="27">
        <f t="shared" ca="1" si="135"/>
        <v>4.0804086918974987</v>
      </c>
    </row>
    <row r="18" spans="1:83" x14ac:dyDescent="0.25">
      <c r="A18" s="442" t="str">
        <f>PLANTILLA!D20</f>
        <v>Rodolfo Rinaldo Paso</v>
      </c>
      <c r="B18" s="442">
        <f>PLANTILLA!E20</f>
        <v>30</v>
      </c>
      <c r="C18" s="443">
        <f ca="1">PLANTILLA!F20</f>
        <v>64</v>
      </c>
      <c r="D18" s="444" t="str">
        <f>PLANTILLA!G20</f>
        <v>RAP</v>
      </c>
      <c r="E18" s="445">
        <f>PLANTILLA!M20</f>
        <v>43590</v>
      </c>
      <c r="F18" s="446">
        <f>PLANTILLA!Q20</f>
        <v>6</v>
      </c>
      <c r="G18" s="447">
        <f t="shared" si="68"/>
        <v>0.92582009977255142</v>
      </c>
      <c r="H18" s="447">
        <f t="shared" si="69"/>
        <v>0.99928545900129484</v>
      </c>
      <c r="I18" s="448">
        <f ca="1">PLANTILLA!N20</f>
        <v>1</v>
      </c>
      <c r="J18" s="29">
        <f>PLANTILLA!I20</f>
        <v>8.3000000000000007</v>
      </c>
      <c r="K18" s="36">
        <f>PLANTILLA!X20</f>
        <v>0</v>
      </c>
      <c r="L18" s="36">
        <f>PLANTILLA!Y20</f>
        <v>4</v>
      </c>
      <c r="M18" s="36">
        <f>PLANTILLA!Z20</f>
        <v>8.2768518518518519</v>
      </c>
      <c r="N18" s="36">
        <f>PLANTILLA!AA20</f>
        <v>11.666666666666666</v>
      </c>
      <c r="O18" s="36">
        <f>PLANTILLA!AB20</f>
        <v>13</v>
      </c>
      <c r="P18" s="36">
        <f>PLANTILLA!AC20</f>
        <v>13.95</v>
      </c>
      <c r="Q18" s="36">
        <f>PLANTILLA!AD20</f>
        <v>15</v>
      </c>
      <c r="R18" s="36">
        <f t="shared" si="70"/>
        <v>4.125</v>
      </c>
      <c r="S18" s="36">
        <f t="shared" si="71"/>
        <v>1.1475</v>
      </c>
      <c r="T18" s="36">
        <f t="shared" si="72"/>
        <v>0.61</v>
      </c>
      <c r="U18" s="36">
        <f t="shared" ca="1" si="73"/>
        <v>15.947656224604</v>
      </c>
      <c r="V18" s="36">
        <f t="shared" ca="1" si="74"/>
        <v>17.213129175218128</v>
      </c>
      <c r="W18" s="27">
        <f t="shared" ca="1" si="75"/>
        <v>3.04680689952575</v>
      </c>
      <c r="X18" s="27">
        <f t="shared" ca="1" si="76"/>
        <v>4.5730397563433485</v>
      </c>
      <c r="Y18" s="27">
        <f t="shared" ca="1" si="77"/>
        <v>3.04680689952575</v>
      </c>
      <c r="Z18" s="27">
        <f t="shared" ca="1" si="78"/>
        <v>3.212325727554739</v>
      </c>
      <c r="AA18" s="27">
        <f t="shared" ca="1" si="79"/>
        <v>6.2254374565014317</v>
      </c>
      <c r="AB18" s="27">
        <f t="shared" ca="1" si="80"/>
        <v>1.6061628637773695</v>
      </c>
      <c r="AC18" s="27">
        <f t="shared" ca="1" si="81"/>
        <v>2.4995448553880815</v>
      </c>
      <c r="AD18" s="27">
        <f t="shared" ca="1" si="82"/>
        <v>2.353215358557541</v>
      </c>
      <c r="AE18" s="27">
        <f t="shared" ca="1" si="83"/>
        <v>4.5009912810505348</v>
      </c>
      <c r="AF18" s="27">
        <f t="shared" ca="1" si="84"/>
        <v>1.1766076792787705</v>
      </c>
      <c r="AG18" s="27">
        <f t="shared" ca="1" si="85"/>
        <v>4.0433813837160146</v>
      </c>
      <c r="AH18" s="27">
        <f t="shared" ca="1" si="86"/>
        <v>5.7274024599813176</v>
      </c>
      <c r="AI18" s="27">
        <f t="shared" ca="1" si="87"/>
        <v>2.5773311069915925</v>
      </c>
      <c r="AJ18" s="27">
        <f t="shared" ca="1" si="88"/>
        <v>1.7538823144949984</v>
      </c>
      <c r="AK18" s="27">
        <f t="shared" ca="1" si="89"/>
        <v>8.168557224422841</v>
      </c>
      <c r="AL18" s="27">
        <f t="shared" ca="1" si="90"/>
        <v>4.6939798422020793</v>
      </c>
      <c r="AM18" s="27">
        <f t="shared" ca="1" si="91"/>
        <v>4.4076097192030135</v>
      </c>
      <c r="AN18" s="27">
        <f t="shared" ca="1" si="92"/>
        <v>2.8766480552357394</v>
      </c>
      <c r="AO18" s="27">
        <f t="shared" ca="1" si="93"/>
        <v>1.8289259874724122</v>
      </c>
      <c r="AP18" s="27">
        <f t="shared" ca="1" si="94"/>
        <v>1.6808681132553867</v>
      </c>
      <c r="AQ18" s="27">
        <f t="shared" ca="1" si="95"/>
        <v>3.6979098491618503</v>
      </c>
      <c r="AR18" s="27">
        <f t="shared" ca="1" si="96"/>
        <v>0.84043405662769333</v>
      </c>
      <c r="AS18" s="27">
        <f t="shared" ca="1" si="97"/>
        <v>9.9141611070854996</v>
      </c>
      <c r="AT18" s="27">
        <f t="shared" ca="1" si="98"/>
        <v>1.9793068693451863</v>
      </c>
      <c r="AU18" s="27">
        <f t="shared" ca="1" si="99"/>
        <v>4.6254031747549185</v>
      </c>
      <c r="AV18" s="27">
        <f t="shared" ca="1" si="100"/>
        <v>0.98965343467259315</v>
      </c>
      <c r="AW18" s="27">
        <f t="shared" ca="1" si="101"/>
        <v>1.1766076792787705</v>
      </c>
      <c r="AX18" s="27">
        <f t="shared" ca="1" si="102"/>
        <v>2.490174982600573</v>
      </c>
      <c r="AY18" s="27">
        <f t="shared" ca="1" si="103"/>
        <v>0.58830383963938526</v>
      </c>
      <c r="AZ18" s="27">
        <f t="shared" ca="1" si="104"/>
        <v>10.502289308353284</v>
      </c>
      <c r="BA18" s="27">
        <f t="shared" ca="1" si="105"/>
        <v>3.8520356764948622</v>
      </c>
      <c r="BB18" s="27">
        <f t="shared" ca="1" si="106"/>
        <v>8.58871603853229</v>
      </c>
      <c r="BC18" s="27">
        <f t="shared" ca="1" si="107"/>
        <v>1.9260178382474311</v>
      </c>
      <c r="BD18" s="27">
        <f t="shared" ca="1" si="108"/>
        <v>1.8116022998419166</v>
      </c>
      <c r="BE18" s="27">
        <f t="shared" ca="1" si="109"/>
        <v>2.1664522348624979</v>
      </c>
      <c r="BF18" s="27">
        <f t="shared" ca="1" si="110"/>
        <v>9.2525168806592433</v>
      </c>
      <c r="BG18" s="27">
        <f t="shared" ca="1" si="111"/>
        <v>12.770080565496439</v>
      </c>
      <c r="BH18" s="27">
        <f t="shared" ca="1" si="112"/>
        <v>3.669330427016845</v>
      </c>
      <c r="BI18" s="27">
        <f t="shared" ca="1" si="113"/>
        <v>3.0193371664031941</v>
      </c>
      <c r="BJ18" s="27">
        <f t="shared" ca="1" si="114"/>
        <v>1.6435154885163781</v>
      </c>
      <c r="BK18" s="27">
        <f t="shared" ca="1" si="115"/>
        <v>4.0013722264826015</v>
      </c>
      <c r="BL18" s="27">
        <f t="shared" ca="1" si="116"/>
        <v>12.409699003648919</v>
      </c>
      <c r="BM18" s="27">
        <f t="shared" ca="1" si="117"/>
        <v>0.79172274773807438</v>
      </c>
      <c r="BN18" s="27">
        <f t="shared" ca="1" si="118"/>
        <v>1.1205787421702575</v>
      </c>
      <c r="BO18" s="27">
        <f t="shared" ca="1" si="119"/>
        <v>0.42332974704209736</v>
      </c>
      <c r="BP18" s="27">
        <f t="shared" ca="1" si="120"/>
        <v>3.2031982390477514</v>
      </c>
      <c r="BQ18" s="27">
        <f t="shared" ca="1" si="121"/>
        <v>18.246579235727506</v>
      </c>
      <c r="BR18" s="27">
        <f t="shared" ca="1" si="122"/>
        <v>2.0554340566276936</v>
      </c>
      <c r="BS18" s="27">
        <f t="shared" ca="1" si="123"/>
        <v>1.7680242376464064</v>
      </c>
      <c r="BT18" s="27">
        <f t="shared" ca="1" si="124"/>
        <v>1.5190067393863493</v>
      </c>
      <c r="BU18" s="27">
        <f t="shared" ca="1" si="125"/>
        <v>6.6269445535709224</v>
      </c>
      <c r="BV18" s="27">
        <f t="shared" ca="1" si="126"/>
        <v>12.690766523568781</v>
      </c>
      <c r="BW18" s="27">
        <f t="shared" ca="1" si="127"/>
        <v>2.2533647435622117</v>
      </c>
      <c r="BX18" s="27">
        <f t="shared" ca="1" si="128"/>
        <v>4.2639294591914334</v>
      </c>
      <c r="BY18" s="27">
        <f t="shared" ca="1" si="129"/>
        <v>7.8611029148372458</v>
      </c>
      <c r="BZ18" s="27">
        <f t="shared" ca="1" si="130"/>
        <v>17.697692576020611</v>
      </c>
      <c r="CA18" s="27">
        <f t="shared" ca="1" si="131"/>
        <v>7.8611029148372458</v>
      </c>
      <c r="CB18" s="27">
        <f t="shared" ca="1" si="132"/>
        <v>9.437780868733725</v>
      </c>
      <c r="CC18" s="27">
        <f t="shared" ca="1" si="133"/>
        <v>21.793623877950459</v>
      </c>
      <c r="CD18" s="27">
        <f t="shared" ca="1" si="134"/>
        <v>9.437780868733725</v>
      </c>
      <c r="CE18" s="27">
        <f t="shared" ca="1" si="135"/>
        <v>2.6255723270883209</v>
      </c>
    </row>
    <row r="19" spans="1:83" x14ac:dyDescent="0.25">
      <c r="A19" s="437" t="str">
        <f>Delantero!A6</f>
        <v>Sergio Manuel Real</v>
      </c>
      <c r="B19" s="437">
        <f>Delantero!B6</f>
        <v>30</v>
      </c>
      <c r="C19" s="437">
        <f>Delantero!C6</f>
        <v>102</v>
      </c>
      <c r="D19" s="437" t="str">
        <f>Delantero!D6</f>
        <v>RAP</v>
      </c>
      <c r="E19" s="438">
        <v>44452</v>
      </c>
      <c r="F19" s="439">
        <v>6</v>
      </c>
      <c r="G19" s="440">
        <f t="shared" ref="G19" si="136">(F19/7)^0.5</f>
        <v>0.92582009977255142</v>
      </c>
      <c r="H19" s="440">
        <f t="shared" ref="H19" si="137">IF(F19=7,1,((F19+0.99)/7)^0.5)</f>
        <v>0.99928545900129484</v>
      </c>
      <c r="I19" s="441">
        <v>0</v>
      </c>
      <c r="J19" s="29">
        <f>Delantero!G6</f>
        <v>7</v>
      </c>
      <c r="K19" s="36">
        <f>Delantero!H6</f>
        <v>0</v>
      </c>
      <c r="L19" s="36">
        <f>Delantero!I6</f>
        <v>5</v>
      </c>
      <c r="M19" s="36">
        <f>Delantero!J6</f>
        <v>8</v>
      </c>
      <c r="N19" s="36">
        <f>Delantero!K6</f>
        <v>10</v>
      </c>
      <c r="O19" s="36">
        <f>Delantero!L6</f>
        <v>11</v>
      </c>
      <c r="P19" s="36">
        <f>Delantero!M6</f>
        <v>13</v>
      </c>
      <c r="Q19" s="36">
        <f>Delantero!N6</f>
        <v>8</v>
      </c>
      <c r="R19" s="36">
        <f t="shared" ref="R19" si="138">((2*(O19+1))+(L19+1))/8</f>
        <v>3.75</v>
      </c>
      <c r="S19" s="36">
        <f t="shared" ref="S19" si="139">(0.5*P19+0.3*Q19)/10</f>
        <v>0.89</v>
      </c>
      <c r="T19" s="36">
        <f t="shared" ref="T19" si="140">(0.4*L19+0.3*Q19)/10</f>
        <v>0.44000000000000006</v>
      </c>
      <c r="U19" s="36">
        <f t="shared" ref="U19" si="141">(Q19+I19+(LOG(J19)*4/3))*(F19/7)^0.5</f>
        <v>8.449772467145193</v>
      </c>
      <c r="V19" s="36">
        <f t="shared" ref="V19" si="142">IF(F19=7,U19,(Q19+I19+(LOG(J19)*4/3))*((F19+0.99)/7)^0.5)</f>
        <v>9.1202759157660136</v>
      </c>
      <c r="W19" s="27">
        <f t="shared" ref="W19" si="143">((K19+I19+(LOG(J19)*4/3))*0.597)+((L19+I19+(LOG(J19)*4/3))*0.276)</f>
        <v>2.3636941185765949</v>
      </c>
      <c r="X19" s="27">
        <f t="shared" ref="X19" si="144">((K19+I19+(LOG(J19)*4/3))*0.866)+((L19+I19+(LOG(J19)*4/3))*0.425)</f>
        <v>3.5796954262112073</v>
      </c>
      <c r="Y19" s="27">
        <f t="shared" ref="Y19" si="145">W19</f>
        <v>2.3636941185765949</v>
      </c>
      <c r="Z19" s="27">
        <f t="shared" ref="Z19" si="146">((L19+I19+(LOG(J19)*4/3))*0.516)</f>
        <v>3.1614274515298084</v>
      </c>
      <c r="AA19" s="27">
        <f t="shared" ref="AA19" si="147">((L19+I19+(LOG(J19)*4/3))*1)</f>
        <v>6.1267973866856753</v>
      </c>
      <c r="AB19" s="27">
        <f t="shared" ref="AB19" si="148">Z19/2</f>
        <v>1.5807137257649042</v>
      </c>
      <c r="AC19" s="27">
        <f t="shared" ref="AC19" si="149">((M19+I19+(LOG(J19)*4/3))*0.238)</f>
        <v>2.1721777780311906</v>
      </c>
      <c r="AD19" s="27">
        <f t="shared" ref="AD19" si="150">((L19+I19+(LOG(J19)*4/3))*0.378)</f>
        <v>2.3159294121671854</v>
      </c>
      <c r="AE19" s="27">
        <f t="shared" ref="AE19" si="151">((L19+I19+(LOG(J19)*4/3))*0.723)</f>
        <v>4.4296745105737427</v>
      </c>
      <c r="AF19" s="27">
        <f t="shared" ref="AF19" si="152">AD19/2</f>
        <v>1.1579647060835927</v>
      </c>
      <c r="AG19" s="27">
        <f t="shared" ref="AG19" si="153">((M19+I19+(LOG(J19)*4/3))*0.385)</f>
        <v>3.5138169938739852</v>
      </c>
      <c r="AH19" s="27">
        <f t="shared" ref="AH19" si="154">((L19+I19+(LOG(J19)*4/3))*0.92)</f>
        <v>5.6366535957508219</v>
      </c>
      <c r="AI19" s="27">
        <f t="shared" ref="AI19" si="155">((L19+I19+(LOG(J19)*4/3))*0.414)</f>
        <v>2.5364941180878695</v>
      </c>
      <c r="AJ19" s="27">
        <f t="shared" ref="AJ19" si="156">((M19+I19+(LOG(J19)*4/3))*0.167)</f>
        <v>1.524175163576508</v>
      </c>
      <c r="AK19" s="27">
        <f t="shared" ref="AK19" si="157">((N19+I19+(LOG(J19)*4/3))*0.588)</f>
        <v>6.5425568633711766</v>
      </c>
      <c r="AL19" s="27">
        <f t="shared" ref="AL19" si="158">((L19+I19+(LOG(J19)*4/3))*0.754)</f>
        <v>4.6196052295609995</v>
      </c>
      <c r="AM19" s="27">
        <f t="shared" ref="AM19" si="159">((L19+I19+(LOG(J19)*4/3))*0.708)</f>
        <v>4.3377725497734581</v>
      </c>
      <c r="AN19" s="27">
        <f t="shared" ref="AN19" si="160">((Q19+I19+(LOG(J19)*4/3))*0.167)</f>
        <v>1.524175163576508</v>
      </c>
      <c r="AO19" s="27">
        <f t="shared" ref="AO19" si="161">((R19+I19+(LOG(J19)*4/3))*0.288)</f>
        <v>1.4045176473654744</v>
      </c>
      <c r="AP19" s="27">
        <f t="shared" ref="AP19" si="162">((L19+I19+(LOG(J19)*4/3))*0.27)</f>
        <v>1.6542352944051324</v>
      </c>
      <c r="AQ19" s="27">
        <f t="shared" ref="AQ19" si="163">((L19+I19+(LOG(J19)*4/3))*0.594)</f>
        <v>3.639317647691291</v>
      </c>
      <c r="AR19" s="27">
        <f t="shared" ref="AR19" si="164">AP19/2</f>
        <v>0.8271176472025662</v>
      </c>
      <c r="AS19" s="27">
        <f t="shared" ref="AS19" si="165">((M19+I19+(LOG(J19)*4/3))*0.944)</f>
        <v>8.6156967330312764</v>
      </c>
      <c r="AT19" s="27">
        <f t="shared" ref="AT19" si="166">((O19+I19+(LOG(J19)*4/3))*0.13)</f>
        <v>1.5764836602691379</v>
      </c>
      <c r="AU19" s="27">
        <f t="shared" ref="AU19" si="167">((P19+I19+(LOG(J19)*4/3))*0.173)+((O19+I19+(LOG(J19)*4/3))*0.12)</f>
        <v>3.899151634298903</v>
      </c>
      <c r="AV19" s="27">
        <f t="shared" ref="AV19" si="168">AT19/2</f>
        <v>0.78824183013456894</v>
      </c>
      <c r="AW19" s="27">
        <f t="shared" ref="AW19" si="169">((L19+I19+(LOG(J19)*4/3))*0.189)</f>
        <v>1.1579647060835927</v>
      </c>
      <c r="AX19" s="27">
        <f t="shared" ref="AX19" si="170">((L19+I19+(LOG(J19)*4/3))*0.4)</f>
        <v>2.4507189546742705</v>
      </c>
      <c r="AY19" s="27">
        <f t="shared" ref="AY19" si="171">AW19/2</f>
        <v>0.57898235304179635</v>
      </c>
      <c r="AZ19" s="27">
        <f t="shared" ref="AZ19" si="172">((M19+I19+(LOG(J19)*4/3))*1)</f>
        <v>9.1267973866856753</v>
      </c>
      <c r="BA19" s="27">
        <f t="shared" ref="BA19" si="173">((O19+I19+(LOG(J19)*4/3))*0.253)</f>
        <v>3.068079738831476</v>
      </c>
      <c r="BB19" s="27">
        <f t="shared" ref="BB19" si="174">((P19+I19+(LOG(J19)*4/3))*0.21)+((O19+I19+(LOG(J19)*4/3))*0.341)</f>
        <v>7.1018653600638082</v>
      </c>
      <c r="BC19" s="27">
        <f t="shared" ref="BC19" si="175">BA19/2</f>
        <v>1.534039869415738</v>
      </c>
      <c r="BD19" s="27">
        <f t="shared" ref="BD19" si="176">((L19+I19+(LOG(J19)*4/3))*0.291)</f>
        <v>1.7828980395255314</v>
      </c>
      <c r="BE19" s="27">
        <f t="shared" ref="BE19" si="177">((L19+I19+(LOG(J19)*4/3))*0.348)</f>
        <v>2.1321254905666147</v>
      </c>
      <c r="BF19" s="27">
        <f t="shared" ref="BF19" si="178">((M19+I19+(LOG(J19)*4/3))*0.881)</f>
        <v>8.0407084976700798</v>
      </c>
      <c r="BG19" s="27">
        <f t="shared" ref="BG19" si="179">((N19+I19+(LOG(J19)*4/3))*0.574)+((O19+I19+(LOG(J19)*4/3))*0.315)</f>
        <v>10.206722876763564</v>
      </c>
      <c r="BH19" s="27">
        <f t="shared" ref="BH19" si="180">((O19+I19+(LOG(J19)*4/3))*0.241)</f>
        <v>2.9225581701912478</v>
      </c>
      <c r="BI19" s="27">
        <f t="shared" ref="BI19" si="181">((L19+I19+(LOG(J19)*4/3))*0.485)</f>
        <v>2.9714967325425525</v>
      </c>
      <c r="BJ19" s="27">
        <f t="shared" ref="BJ19" si="182">((L19+I19+(LOG(J19)*4/3))*0.264)</f>
        <v>1.6174745100850183</v>
      </c>
      <c r="BK19" s="27">
        <f t="shared" ref="BK19" si="183">((M19+I19+(LOG(J19)*4/3))*0.381)</f>
        <v>3.4773098043272421</v>
      </c>
      <c r="BL19" s="27">
        <f t="shared" ref="BL19" si="184">((N19+I19+(LOG(J19)*4/3))*0.673)+((O19+I19+(LOG(J19)*4/3))*0.201)</f>
        <v>9.9258209159632802</v>
      </c>
      <c r="BM19" s="27">
        <f t="shared" ref="BM19" si="185">((O19+I19+(LOG(J19)*4/3))*0.052)</f>
        <v>0.63059346410765504</v>
      </c>
      <c r="BN19" s="27">
        <f t="shared" ref="BN19" si="186">((L19+I19+(LOG(J19)*4/3))*0.18)</f>
        <v>1.1028235296034214</v>
      </c>
      <c r="BO19" s="27">
        <f t="shared" ref="BO19" si="187">((L19+I19+(LOG(J19)*4/3))*0.068)</f>
        <v>0.41662222229462598</v>
      </c>
      <c r="BP19" s="27">
        <f t="shared" ref="BP19" si="188">((M19+I19+(LOG(J19)*4/3))*0.305)</f>
        <v>2.7836732029391311</v>
      </c>
      <c r="BQ19" s="27">
        <f t="shared" ref="BQ19" si="189">((N19+I19+(LOG(J19)*4/3))*1)+((O19+I19+(LOG(J19)*4/3))*0.286)</f>
        <v>14.595061439277778</v>
      </c>
      <c r="BR19" s="27">
        <f t="shared" ref="BR19" si="190">((O19+I19+(LOG(J19)*4/3))*0.135)</f>
        <v>1.6371176472025664</v>
      </c>
      <c r="BS19" s="27">
        <f t="shared" ref="BS19" si="191">((L19+I19+(LOG(J19)*4/3))*0.284)</f>
        <v>1.7400104578187316</v>
      </c>
      <c r="BT19" s="27">
        <f t="shared" ref="BT19" si="192">((L19+I19+(LOG(J19)*4/3))*0.244)</f>
        <v>1.4949385623513047</v>
      </c>
      <c r="BU19" s="27">
        <f t="shared" ref="BU19" si="193">((M19+I19+(LOG(J19)*4/3))*0.631)</f>
        <v>5.7590091509986614</v>
      </c>
      <c r="BV19" s="27">
        <f t="shared" ref="BV19" si="194">((N19+I19+(LOG(J19)*4/3))*0.702)+((O19+I19+(LOG(J19)*4/3))*0.193)</f>
        <v>10.151483661083679</v>
      </c>
      <c r="BW19" s="27">
        <f t="shared" ref="BW19" si="195">((O19+I19+(LOG(J19)*4/3))*0.148)</f>
        <v>1.7947660132294798</v>
      </c>
      <c r="BX19" s="27">
        <f t="shared" ref="BX19" si="196">((M19+I19+(LOG(J19)*4/3))*0.406)</f>
        <v>3.7054797389943843</v>
      </c>
      <c r="BY19" s="27">
        <f t="shared" ref="BY19" si="197">IF(D19="TEC",((N19+I19+(LOG(J19)*4/3))*0.15)+((O19+I19+(LOG(J19)*4/3))*0.324)+((P19+I19+(LOG(J19)*4/3))*0.127),((N19+I19+(LOG(J19)*4/3))*0.144)+((O19+I19+(LOG(J19)*4/3))*0.25)+((P19+I19+(LOG(J19)*4/3))*0.127))</f>
        <v>6.428061438463236</v>
      </c>
      <c r="BZ19" s="27">
        <f t="shared" ref="BZ19" si="198">IF(D19="TEC",((O19+I19+(LOG(J19)*4/3))*0.543)+((P19+I19+(LOG(J19)*4/3))*0.583),((O19+I19+(LOG(J19)*4/3))*0.543)+((P19+I19+(LOG(J19)*4/3))*0.583))</f>
        <v>14.820773857408071</v>
      </c>
      <c r="CA19" s="27">
        <f t="shared" ref="CA19" si="199">BY19</f>
        <v>6.428061438463236</v>
      </c>
      <c r="CB19" s="27">
        <f t="shared" ref="CB19" si="200">((P19+I19+(LOG(J19)*4/3))*0.26)+((N19+I19+(LOG(J19)*4/3))*0.221)+((O19+I19+(LOG(J19)*4/3))*0.142)</f>
        <v>7.8539947719051755</v>
      </c>
      <c r="CC19" s="27">
        <f t="shared" ref="CC19" si="201">((P19+I19+(LOG(J19)*4/3))*1)+((O19+I19+(LOG(J19)*4/3))*0.369)</f>
        <v>18.601585622372689</v>
      </c>
      <c r="CD19" s="27">
        <f t="shared" ref="CD19" si="202">CB19</f>
        <v>7.8539947719051755</v>
      </c>
      <c r="CE19" s="27">
        <f t="shared" ref="CE19" si="203">((M19+I19+(LOG(J19)*4/3))*0.25)</f>
        <v>2.2816993466714188</v>
      </c>
    </row>
    <row r="20" spans="1:83" x14ac:dyDescent="0.25">
      <c r="K20" s="36"/>
      <c r="L20" s="36"/>
      <c r="M20" s="36"/>
      <c r="N20" s="36"/>
      <c r="O20" s="36"/>
      <c r="P20" s="36"/>
      <c r="Q20" s="36"/>
      <c r="AH20" s="27"/>
      <c r="AI20" s="27"/>
    </row>
    <row r="21" spans="1:83" ht="18.75" x14ac:dyDescent="0.3">
      <c r="A21" s="47" t="s">
        <v>640</v>
      </c>
      <c r="B21" s="47" t="s">
        <v>400</v>
      </c>
      <c r="C21" s="47"/>
      <c r="D21" s="48"/>
      <c r="K21" s="36"/>
      <c r="L21" s="36"/>
      <c r="M21" s="36"/>
      <c r="N21" s="36"/>
      <c r="O21" s="36"/>
      <c r="P21" s="36"/>
      <c r="Q21" s="36"/>
      <c r="Z21" s="27"/>
      <c r="AA21" s="27"/>
      <c r="BV21" s="27"/>
      <c r="BW21" s="27"/>
    </row>
    <row r="22" spans="1:83" x14ac:dyDescent="0.25">
      <c r="A22" s="49" t="s">
        <v>641</v>
      </c>
      <c r="B22" s="50">
        <v>1</v>
      </c>
      <c r="C22" s="52">
        <v>0.624</v>
      </c>
      <c r="D22" s="53">
        <v>0.24500000000000002</v>
      </c>
      <c r="K22" s="36"/>
      <c r="L22" s="36"/>
      <c r="M22" s="36"/>
      <c r="N22" s="36"/>
      <c r="O22" s="36"/>
      <c r="P22" s="36"/>
      <c r="Q22" s="36"/>
      <c r="AH22" s="27"/>
      <c r="AI22" s="27"/>
    </row>
    <row r="23" spans="1:83" x14ac:dyDescent="0.25">
      <c r="A23" s="49" t="s">
        <v>642</v>
      </c>
      <c r="B23" s="50">
        <v>1</v>
      </c>
      <c r="C23" s="52">
        <v>1.002</v>
      </c>
      <c r="D23" s="53">
        <v>0.34000000000000008</v>
      </c>
      <c r="K23" s="36"/>
      <c r="L23" s="36"/>
      <c r="M23" s="36"/>
      <c r="N23" s="36"/>
      <c r="O23" s="36"/>
      <c r="P23" s="36"/>
      <c r="Q23" s="36"/>
      <c r="AG23" s="2"/>
      <c r="AH23" s="58"/>
    </row>
    <row r="24" spans="1:83" x14ac:dyDescent="0.25">
      <c r="A24" s="49" t="s">
        <v>643</v>
      </c>
      <c r="B24" s="50">
        <v>1</v>
      </c>
      <c r="C24" s="52">
        <v>0.46800000000000008</v>
      </c>
      <c r="D24" s="53">
        <v>0.125</v>
      </c>
      <c r="K24" s="36"/>
      <c r="L24" s="36"/>
      <c r="M24" s="36"/>
      <c r="N24" s="36"/>
      <c r="O24" s="36"/>
      <c r="P24" s="36"/>
      <c r="Q24" s="36"/>
      <c r="Z24" s="27"/>
      <c r="AA24" s="27"/>
      <c r="AH24" s="59"/>
      <c r="AI24" s="59"/>
      <c r="BV24" s="27"/>
      <c r="BW24" s="27"/>
    </row>
    <row r="25" spans="1:83" x14ac:dyDescent="0.25">
      <c r="A25" s="49" t="s">
        <v>644</v>
      </c>
      <c r="B25" s="50">
        <v>1</v>
      </c>
      <c r="C25" s="52">
        <v>0.877</v>
      </c>
      <c r="D25" s="53">
        <v>0.25</v>
      </c>
      <c r="K25" s="36"/>
      <c r="L25" s="36"/>
      <c r="M25" s="36"/>
      <c r="N25" s="36"/>
      <c r="O25" s="36"/>
      <c r="P25" s="36"/>
      <c r="Q25" s="36"/>
      <c r="W25" s="58"/>
    </row>
    <row r="26" spans="1:83" x14ac:dyDescent="0.25">
      <c r="A26" s="49" t="s">
        <v>645</v>
      </c>
      <c r="B26" s="50">
        <v>1</v>
      </c>
      <c r="C26" s="52">
        <v>0.59299999999999997</v>
      </c>
      <c r="D26" s="53">
        <v>0.19</v>
      </c>
      <c r="K26" s="36"/>
      <c r="L26" s="36"/>
      <c r="M26" s="36"/>
      <c r="N26" s="36"/>
      <c r="O26" s="36"/>
      <c r="P26" s="36"/>
      <c r="Q26" s="36"/>
      <c r="W26" s="58"/>
    </row>
    <row r="28" spans="1:83" x14ac:dyDescent="0.25">
      <c r="Z28" s="58"/>
      <c r="AA28" s="58"/>
      <c r="BV28" s="58"/>
      <c r="BW28" s="58"/>
    </row>
  </sheetData>
  <conditionalFormatting sqref="J3:J19">
    <cfRule type="cellIs" dxfId="13" priority="2" operator="greaterThan">
      <formula>7</formula>
    </cfRule>
  </conditionalFormatting>
  <conditionalFormatting sqref="W3:AI19 AK3:AM19 AO3:BD19 BF3:CE19">
    <cfRule type="cellIs" dxfId="12" priority="3" operator="greaterThan">
      <formula>12.5</formula>
    </cfRule>
  </conditionalFormatting>
  <conditionalFormatting sqref="S3:T19">
    <cfRule type="cellIs" dxfId="11" priority="4" operator="greaterThan">
      <formula>0.6</formula>
    </cfRule>
  </conditionalFormatting>
  <conditionalFormatting sqref="R3:R19">
    <cfRule type="cellIs" dxfId="10" priority="5" operator="greaterThan">
      <formula>3.2</formula>
    </cfRule>
  </conditionalFormatting>
  <conditionalFormatting sqref="U3:V19">
    <cfRule type="cellIs" dxfId="9" priority="6" operator="greaterThan">
      <formula>15</formula>
    </cfRule>
  </conditionalFormatting>
  <conditionalFormatting sqref="K3:Q18">
    <cfRule type="colorScale" priority="458">
      <colorScale>
        <cfvo type="min"/>
        <cfvo type="max"/>
        <color rgb="FFFCFCFF"/>
        <color rgb="FFF8696B"/>
      </colorScale>
    </cfRule>
  </conditionalFormatting>
  <conditionalFormatting sqref="K19:Q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E26B0A"/>
  </sheetPr>
  <dimension ref="A1:W33"/>
  <sheetViews>
    <sheetView zoomScale="120" workbookViewId="0">
      <selection activeCell="M12" sqref="M12"/>
    </sheetView>
  </sheetViews>
  <sheetFormatPr baseColWidth="10" defaultColWidth="11.42578125" defaultRowHeight="15" x14ac:dyDescent="0.25"/>
  <cols>
    <col min="1" max="1" width="4" customWidth="1"/>
    <col min="2" max="2" width="18.28515625" customWidth="1"/>
    <col min="3" max="3" width="5.5703125" customWidth="1"/>
    <col min="4" max="4" width="5" customWidth="1"/>
    <col min="5" max="11" width="5.5703125" customWidth="1"/>
    <col min="12" max="12" width="6.42578125" customWidth="1"/>
    <col min="13" max="13" width="5.5703125" customWidth="1"/>
    <col min="14" max="14" width="8.140625" customWidth="1"/>
    <col min="15" max="20" width="5.85546875" customWidth="1"/>
    <col min="21" max="21" width="6.85546875" customWidth="1"/>
    <col min="22" max="22" width="5" customWidth="1"/>
    <col min="23" max="23" width="5.5703125" customWidth="1"/>
  </cols>
  <sheetData>
    <row r="1" spans="1:23" x14ac:dyDescent="0.25">
      <c r="B1" t="s">
        <v>646</v>
      </c>
      <c r="L1" s="42"/>
      <c r="M1" s="42"/>
      <c r="N1" s="42"/>
      <c r="W1" s="42"/>
    </row>
    <row r="2" spans="1:23" x14ac:dyDescent="0.25">
      <c r="B2" s="23">
        <v>43636</v>
      </c>
      <c r="L2" s="42"/>
      <c r="M2" s="42"/>
      <c r="N2" s="42"/>
      <c r="U2" s="105"/>
      <c r="W2" s="42"/>
    </row>
    <row r="3" spans="1:23" x14ac:dyDescent="0.25">
      <c r="A3" s="13" t="s">
        <v>104</v>
      </c>
      <c r="B3" s="13" t="s">
        <v>177</v>
      </c>
      <c r="C3" s="13" t="s">
        <v>629</v>
      </c>
      <c r="D3" s="13" t="s">
        <v>109</v>
      </c>
      <c r="E3" s="13" t="str">
        <f>PLANTILLA!X3</f>
        <v>Po</v>
      </c>
      <c r="F3" s="13" t="str">
        <f>PLANTILLA!Y3</f>
        <v>De</v>
      </c>
      <c r="G3" s="13" t="str">
        <f>PLANTILLA!Z3</f>
        <v>Cr</v>
      </c>
      <c r="H3" s="13" t="str">
        <f>PLANTILLA!AA3</f>
        <v>Ex</v>
      </c>
      <c r="I3" s="13" t="str">
        <f>PLANTILLA!AB3</f>
        <v>Ps</v>
      </c>
      <c r="J3" s="13" t="str">
        <f>PLANTILLA!AC3</f>
        <v>An</v>
      </c>
      <c r="K3" s="13" t="str">
        <f>PLANTILLA!AD3</f>
        <v>PA</v>
      </c>
      <c r="L3" s="106">
        <v>1</v>
      </c>
      <c r="M3" s="106">
        <v>0.5</v>
      </c>
      <c r="N3" s="13" t="s">
        <v>647</v>
      </c>
      <c r="O3" s="108" t="s">
        <v>648</v>
      </c>
      <c r="P3" s="108" t="s">
        <v>649</v>
      </c>
      <c r="Q3" s="108" t="s">
        <v>624</v>
      </c>
      <c r="R3" s="108" t="s">
        <v>650</v>
      </c>
      <c r="S3" s="107" t="s">
        <v>628</v>
      </c>
      <c r="T3" s="112" t="s">
        <v>651</v>
      </c>
      <c r="U3" s="64" t="s">
        <v>369</v>
      </c>
      <c r="W3" s="42"/>
    </row>
    <row r="4" spans="1:23" x14ac:dyDescent="0.25">
      <c r="A4" s="18" t="str">
        <f>PLANTILLA!A4</f>
        <v>#1</v>
      </c>
      <c r="B4" s="109" t="str">
        <f>PLANTILLA!D4</f>
        <v>Cosme Fonteboa</v>
      </c>
      <c r="C4" s="18">
        <f>PLANTILLA!E4</f>
        <v>30</v>
      </c>
      <c r="D4" s="111">
        <f ca="1">PLANTILLA!F4</f>
        <v>52</v>
      </c>
      <c r="E4" s="36">
        <f>PLANTILLA!X4</f>
        <v>15</v>
      </c>
      <c r="F4" s="36">
        <f>PLANTILLA!Y4</f>
        <v>13.214285714285714</v>
      </c>
      <c r="G4" s="36">
        <f>PLANTILLA!Z4</f>
        <v>0</v>
      </c>
      <c r="H4" s="36">
        <f>PLANTILLA!AA4</f>
        <v>2</v>
      </c>
      <c r="I4" s="36">
        <f>PLANTILLA!AB4</f>
        <v>1</v>
      </c>
      <c r="J4" s="36">
        <f>PLANTILLA!AC4</f>
        <v>1</v>
      </c>
      <c r="K4" s="36">
        <f>PLANTILLA!AD4</f>
        <v>18</v>
      </c>
      <c r="L4" s="110"/>
      <c r="M4" s="110"/>
      <c r="N4" s="110"/>
      <c r="O4" s="60"/>
      <c r="P4" s="60"/>
      <c r="Q4" s="60"/>
      <c r="R4" s="60"/>
      <c r="S4" s="60"/>
      <c r="T4" s="60"/>
      <c r="U4" s="60"/>
      <c r="W4" s="42"/>
    </row>
    <row r="5" spans="1:23" x14ac:dyDescent="0.25">
      <c r="A5" s="18" t="str">
        <f>PLANTILLA!A5</f>
        <v>#17</v>
      </c>
      <c r="B5" s="109" t="str">
        <f>PLANTILLA!D5</f>
        <v>Nicolae Hornet</v>
      </c>
      <c r="C5" s="18">
        <f>PLANTILLA!E5</f>
        <v>30</v>
      </c>
      <c r="D5" s="111">
        <f ca="1">PLANTILLA!F5</f>
        <v>77</v>
      </c>
      <c r="E5" s="36">
        <f>PLANTILLA!X5</f>
        <v>6</v>
      </c>
      <c r="F5" s="36">
        <f>PLANTILLA!Y5</f>
        <v>6</v>
      </c>
      <c r="G5" s="36">
        <f>PLANTILLA!Z5</f>
        <v>0</v>
      </c>
      <c r="H5" s="36">
        <f>PLANTILLA!AA5</f>
        <v>3</v>
      </c>
      <c r="I5" s="36">
        <f>PLANTILLA!AB5</f>
        <v>1</v>
      </c>
      <c r="J5" s="36">
        <f>PLANTILLA!AC5</f>
        <v>1</v>
      </c>
      <c r="K5" s="36">
        <f>PLANTILLA!AD5</f>
        <v>6</v>
      </c>
      <c r="L5" s="110"/>
      <c r="M5" s="110"/>
      <c r="N5" s="110"/>
      <c r="O5" s="60"/>
      <c r="P5" s="60"/>
      <c r="Q5" s="60"/>
      <c r="R5" s="60"/>
      <c r="S5" s="60"/>
      <c r="T5" s="60"/>
      <c r="U5" s="60"/>
      <c r="W5" s="42"/>
    </row>
    <row r="6" spans="1:23" x14ac:dyDescent="0.25">
      <c r="A6" s="18" t="e">
        <f>PLANTILLA!#REF!</f>
        <v>#REF!</v>
      </c>
      <c r="B6" s="109" t="e">
        <f>PLANTILLA!#REF!</f>
        <v>#REF!</v>
      </c>
      <c r="C6" s="18" t="e">
        <f>PLANTILLA!#REF!</f>
        <v>#REF!</v>
      </c>
      <c r="D6" s="111" t="e">
        <f>PLANTILLA!#REF!</f>
        <v>#REF!</v>
      </c>
      <c r="E6" s="36" t="e">
        <f>PLANTILLA!#REF!</f>
        <v>#REF!</v>
      </c>
      <c r="F6" s="36" t="e">
        <f>PLANTILLA!#REF!</f>
        <v>#REF!</v>
      </c>
      <c r="G6" s="36" t="e">
        <f>PLANTILLA!#REF!</f>
        <v>#REF!</v>
      </c>
      <c r="H6" s="36" t="e">
        <f>PLANTILLA!#REF!</f>
        <v>#REF!</v>
      </c>
      <c r="I6" s="36" t="e">
        <f>PLANTILLA!#REF!</f>
        <v>#REF!</v>
      </c>
      <c r="J6" s="36" t="e">
        <f>PLANTILLA!#REF!</f>
        <v>#REF!</v>
      </c>
      <c r="K6" s="36" t="e">
        <f>PLANTILLA!#REF!</f>
        <v>#REF!</v>
      </c>
      <c r="L6" s="110">
        <f>1/3</f>
        <v>0.33333333333333331</v>
      </c>
      <c r="M6" s="110">
        <f>L6/2</f>
        <v>0.16666666666666666</v>
      </c>
      <c r="N6" s="110">
        <f>L6/8</f>
        <v>4.1666666666666664E-2</v>
      </c>
      <c r="O6" s="60">
        <f>L6*0.286</f>
        <v>9.5333333333333325E-2</v>
      </c>
      <c r="P6" s="60"/>
      <c r="Q6" s="60"/>
      <c r="R6" s="60"/>
      <c r="S6" s="60"/>
      <c r="T6" s="60"/>
      <c r="U6" s="60">
        <f>MAX(O6:T6)</f>
        <v>9.5333333333333325E-2</v>
      </c>
      <c r="W6" s="42"/>
    </row>
    <row r="7" spans="1:23" x14ac:dyDescent="0.25">
      <c r="A7" s="18" t="str">
        <f>PLANTILLA!A6</f>
        <v>#13</v>
      </c>
      <c r="B7" s="109" t="str">
        <f>PLANTILLA!D6</f>
        <v>Iván Real Figueroa</v>
      </c>
      <c r="C7" s="18">
        <f>PLANTILLA!E6</f>
        <v>30</v>
      </c>
      <c r="D7" s="111">
        <f ca="1">PLANTILLA!F6</f>
        <v>30</v>
      </c>
      <c r="E7" s="36">
        <f>PLANTILLA!X6</f>
        <v>0</v>
      </c>
      <c r="F7" s="36">
        <f>PLANTILLA!Y6</f>
        <v>16.043478260869566</v>
      </c>
      <c r="G7" s="36">
        <f>PLANTILLA!Z6</f>
        <v>5.25</v>
      </c>
      <c r="H7" s="36">
        <f>PLANTILLA!AA6</f>
        <v>9</v>
      </c>
      <c r="I7" s="36">
        <f>PLANTILLA!AB6</f>
        <v>9</v>
      </c>
      <c r="J7" s="36">
        <f>PLANTILLA!AC6</f>
        <v>1</v>
      </c>
      <c r="K7" s="36">
        <f>PLANTILLA!AD6</f>
        <v>16</v>
      </c>
      <c r="L7" s="110">
        <f>1/4</f>
        <v>0.25</v>
      </c>
      <c r="M7" s="110">
        <f>L7/2</f>
        <v>0.125</v>
      </c>
      <c r="N7" s="110">
        <f>L7/8</f>
        <v>3.125E-2</v>
      </c>
      <c r="O7" s="60">
        <f>L7*0.286</f>
        <v>7.1499999999999994E-2</v>
      </c>
      <c r="P7" s="60"/>
      <c r="Q7" s="60"/>
      <c r="R7" s="60"/>
      <c r="S7" s="60"/>
      <c r="T7" s="60"/>
      <c r="U7" s="60">
        <f>MAX(O7:T7)</f>
        <v>7.1499999999999994E-2</v>
      </c>
      <c r="W7" s="42"/>
    </row>
    <row r="8" spans="1:23" x14ac:dyDescent="0.25">
      <c r="A8" s="18" t="str">
        <f>PLANTILLA!A7</f>
        <v>#4</v>
      </c>
      <c r="B8" s="109" t="str">
        <f>PLANTILLA!D7</f>
        <v>Berto Abandero</v>
      </c>
      <c r="C8" s="18">
        <f>PLANTILLA!E7</f>
        <v>30</v>
      </c>
      <c r="D8" s="111">
        <f ca="1">PLANTILLA!F7</f>
        <v>80</v>
      </c>
      <c r="E8" s="36">
        <f>PLANTILLA!X7</f>
        <v>0</v>
      </c>
      <c r="F8" s="36">
        <f>PLANTILLA!Y7</f>
        <v>15</v>
      </c>
      <c r="G8" s="36">
        <f>PLANTILLA!Z7</f>
        <v>3.4569444444444448</v>
      </c>
      <c r="H8" s="36">
        <f>PLANTILLA!AA7</f>
        <v>9.4</v>
      </c>
      <c r="I8" s="36">
        <f>PLANTILLA!AB7</f>
        <v>12</v>
      </c>
      <c r="J8" s="36">
        <f>PLANTILLA!AC7</f>
        <v>3.95</v>
      </c>
      <c r="K8" s="36">
        <f>PLANTILLA!AD7</f>
        <v>16.166666666666668</v>
      </c>
      <c r="L8" s="110">
        <f>1/4</f>
        <v>0.25</v>
      </c>
      <c r="M8" s="110">
        <f>L8/2</f>
        <v>0.125</v>
      </c>
      <c r="N8" s="110">
        <f>L8/8</f>
        <v>3.125E-2</v>
      </c>
      <c r="O8" s="60">
        <f>L8*0.286</f>
        <v>7.1499999999999994E-2</v>
      </c>
      <c r="P8" s="60"/>
      <c r="Q8" s="60"/>
      <c r="R8" s="60"/>
      <c r="S8" s="60"/>
      <c r="T8" s="60"/>
      <c r="U8" s="60">
        <f>MAX(O8:T8)</f>
        <v>7.1499999999999994E-2</v>
      </c>
      <c r="W8" s="42"/>
    </row>
    <row r="9" spans="1:23" x14ac:dyDescent="0.25">
      <c r="A9" s="18" t="str">
        <f>PLANTILLA!A8</f>
        <v>#2</v>
      </c>
      <c r="B9" s="109" t="str">
        <f>PLANTILLA!D8</f>
        <v>Guillermo Pedrajas</v>
      </c>
      <c r="C9" s="18">
        <f>PLANTILLA!E8</f>
        <v>30</v>
      </c>
      <c r="D9" s="111">
        <f ca="1">PLANTILLA!F8</f>
        <v>65</v>
      </c>
      <c r="E9" s="36">
        <f>PLANTILLA!X8</f>
        <v>0</v>
      </c>
      <c r="F9" s="36">
        <f>PLANTILLA!Y8</f>
        <v>13.1875</v>
      </c>
      <c r="G9" s="36">
        <f>PLANTILLA!Z8</f>
        <v>11.666666666666666</v>
      </c>
      <c r="H9" s="36">
        <f>PLANTILLA!AA8</f>
        <v>5.25</v>
      </c>
      <c r="I9" s="36">
        <f>PLANTILLA!AB8</f>
        <v>11.142857142857142</v>
      </c>
      <c r="J9" s="36">
        <f>PLANTILLA!AC8</f>
        <v>4</v>
      </c>
      <c r="K9" s="36">
        <f>PLANTILLA!AD8</f>
        <v>16</v>
      </c>
      <c r="L9" s="110">
        <f>1/3</f>
        <v>0.33333333333333331</v>
      </c>
      <c r="M9" s="110">
        <f>L9/2</f>
        <v>0.16666666666666666</v>
      </c>
      <c r="N9" s="110">
        <f>L9/8</f>
        <v>4.1666666666666664E-2</v>
      </c>
      <c r="O9" s="60"/>
      <c r="P9" s="60"/>
      <c r="Q9" s="60"/>
      <c r="R9" s="60"/>
      <c r="S9" s="60"/>
      <c r="T9" s="60"/>
      <c r="U9" s="60">
        <f>MAX(O9:T9)</f>
        <v>0</v>
      </c>
      <c r="W9" s="42"/>
    </row>
    <row r="10" spans="1:23" x14ac:dyDescent="0.25">
      <c r="A10" s="18" t="str">
        <f>PLANTILLA!A9</f>
        <v>#7</v>
      </c>
      <c r="B10" s="109" t="str">
        <f>PLANTILLA!D9</f>
        <v>Venanci Oset</v>
      </c>
      <c r="C10" s="18">
        <f>PLANTILLA!E9</f>
        <v>30</v>
      </c>
      <c r="D10" s="111">
        <f ca="1">PLANTILLA!F9</f>
        <v>108</v>
      </c>
      <c r="E10" s="36">
        <f>PLANTILLA!X9</f>
        <v>0</v>
      </c>
      <c r="F10" s="36">
        <f>PLANTILLA!Y9</f>
        <v>15</v>
      </c>
      <c r="G10" s="36">
        <f>PLANTILLA!Z9</f>
        <v>5.375</v>
      </c>
      <c r="H10" s="36">
        <f>PLANTILLA!AA9</f>
        <v>3.3333333333333335</v>
      </c>
      <c r="I10" s="36">
        <f>PLANTILLA!AB9</f>
        <v>12.222222222222221</v>
      </c>
      <c r="J10" s="36">
        <f>PLANTILLA!AC9</f>
        <v>6</v>
      </c>
      <c r="K10" s="36">
        <f>PLANTILLA!AD9</f>
        <v>16</v>
      </c>
      <c r="L10" s="110"/>
      <c r="M10" s="110"/>
      <c r="N10" s="110"/>
      <c r="O10" s="60"/>
      <c r="P10" s="60"/>
      <c r="Q10" s="60"/>
      <c r="R10" s="60"/>
      <c r="S10" s="60"/>
      <c r="T10" s="60"/>
      <c r="U10" s="60"/>
      <c r="W10" s="42"/>
    </row>
    <row r="11" spans="1:23" x14ac:dyDescent="0.25">
      <c r="A11" s="18" t="str">
        <f>PLANTILLA!A10</f>
        <v>#9</v>
      </c>
      <c r="B11" s="109" t="str">
        <f>PLANTILLA!D10</f>
        <v>Francesc Añigas</v>
      </c>
      <c r="C11" s="18">
        <f>PLANTILLA!E10</f>
        <v>30</v>
      </c>
      <c r="D11" s="111">
        <f ca="1">PLANTILLA!F10</f>
        <v>45</v>
      </c>
      <c r="E11" s="36">
        <f>PLANTILLA!X10</f>
        <v>0</v>
      </c>
      <c r="F11" s="36">
        <f>PLANTILLA!Y10</f>
        <v>14.375</v>
      </c>
      <c r="G11" s="36">
        <f>PLANTILLA!Z10</f>
        <v>5</v>
      </c>
      <c r="H11" s="36">
        <f>PLANTILLA!AA10</f>
        <v>14</v>
      </c>
      <c r="I11" s="36">
        <f>PLANTILLA!AB10</f>
        <v>9</v>
      </c>
      <c r="J11" s="36">
        <f>PLANTILLA!AC10</f>
        <v>7</v>
      </c>
      <c r="K11" s="36">
        <f>PLANTILLA!AD10</f>
        <v>17</v>
      </c>
      <c r="L11" s="110">
        <f>1/7</f>
        <v>0.14285714285714285</v>
      </c>
      <c r="M11" s="110">
        <f>L11/2</f>
        <v>7.1428571428571425E-2</v>
      </c>
      <c r="N11" s="110">
        <f>L11/8</f>
        <v>1.7857142857142856E-2</v>
      </c>
      <c r="O11" s="60">
        <f>L11*0.286</f>
        <v>4.0857142857142849E-2</v>
      </c>
      <c r="P11" s="60">
        <f>L11*(0.588)</f>
        <v>8.3999999999999991E-2</v>
      </c>
      <c r="Q11" s="60">
        <f>L11*(0.574)</f>
        <v>8.199999999999999E-2</v>
      </c>
      <c r="R11" s="60">
        <f>L11*(0.864)</f>
        <v>0.12342857142857142</v>
      </c>
      <c r="S11" s="60">
        <f>L11*(0.144)</f>
        <v>2.057142857142857E-2</v>
      </c>
      <c r="T11" s="60">
        <f>L11*(0.607)</f>
        <v>8.6714285714285702E-2</v>
      </c>
      <c r="U11" s="60">
        <f>MAX(O11:T11)</f>
        <v>0.12342857142857142</v>
      </c>
      <c r="W11" s="42"/>
    </row>
    <row r="12" spans="1:23" x14ac:dyDescent="0.25">
      <c r="A12" s="18" t="str">
        <f>PLANTILLA!A11</f>
        <v>#3</v>
      </c>
      <c r="B12" s="109" t="str">
        <f>PLANTILLA!D11</f>
        <v>Will Duffill</v>
      </c>
      <c r="C12" s="18">
        <f>PLANTILLA!E11</f>
        <v>30</v>
      </c>
      <c r="D12" s="111">
        <f ca="1">PLANTILLA!F11</f>
        <v>6</v>
      </c>
      <c r="E12" s="36">
        <f>PLANTILLA!X11</f>
        <v>0</v>
      </c>
      <c r="F12" s="36">
        <f>PLANTILLA!Y11</f>
        <v>14</v>
      </c>
      <c r="G12" s="36">
        <f>PLANTILLA!Z11</f>
        <v>5</v>
      </c>
      <c r="H12" s="36">
        <f>PLANTILLA!AA11</f>
        <v>15.111111111111111</v>
      </c>
      <c r="I12" s="36">
        <f>PLANTILLA!AB11</f>
        <v>10</v>
      </c>
      <c r="J12" s="36">
        <f>PLANTILLA!AC11</f>
        <v>7</v>
      </c>
      <c r="K12" s="36">
        <f>PLANTILLA!AD11</f>
        <v>17</v>
      </c>
      <c r="L12" s="110">
        <f>1/8</f>
        <v>0.125</v>
      </c>
      <c r="M12" s="110">
        <f>L12/2</f>
        <v>6.25E-2</v>
      </c>
      <c r="N12" s="110">
        <f>L12/8</f>
        <v>1.5625E-2</v>
      </c>
      <c r="O12" s="60">
        <f>L12*0.286</f>
        <v>3.5749999999999997E-2</v>
      </c>
      <c r="P12" s="60">
        <f>L12*(0.588)</f>
        <v>7.3499999999999996E-2</v>
      </c>
      <c r="Q12" s="60">
        <f>L12*(0.574)</f>
        <v>7.1749999999999994E-2</v>
      </c>
      <c r="R12" s="60">
        <f>L12*(0.864)</f>
        <v>0.108</v>
      </c>
      <c r="S12" s="60">
        <f>L12*(0.144)</f>
        <v>1.7999999999999999E-2</v>
      </c>
      <c r="T12" s="60">
        <f>L12*(0.607)</f>
        <v>7.5874999999999998E-2</v>
      </c>
      <c r="U12" s="60">
        <f>MAX(O12:T12)</f>
        <v>0.108</v>
      </c>
      <c r="W12" s="42"/>
    </row>
    <row r="13" spans="1:23" x14ac:dyDescent="0.25">
      <c r="A13" s="18" t="str">
        <f>PLANTILLA!A12</f>
        <v>#5</v>
      </c>
      <c r="B13" s="109" t="str">
        <f>PLANTILLA!D12</f>
        <v>Valeri Gomis</v>
      </c>
      <c r="C13" s="18">
        <f>PLANTILLA!E12</f>
        <v>30</v>
      </c>
      <c r="D13" s="111">
        <f ca="1">PLANTILLA!F12</f>
        <v>45</v>
      </c>
      <c r="E13" s="36">
        <f>PLANTILLA!X12</f>
        <v>0</v>
      </c>
      <c r="F13" s="36">
        <f>PLANTILLA!Y12</f>
        <v>13.333333333333334</v>
      </c>
      <c r="G13" s="36">
        <f>PLANTILLA!Z12</f>
        <v>4.7083333333333339</v>
      </c>
      <c r="H13" s="36">
        <f>PLANTILLA!AA12</f>
        <v>14</v>
      </c>
      <c r="I13" s="36">
        <f>PLANTILLA!AB12</f>
        <v>10</v>
      </c>
      <c r="J13" s="36">
        <f>PLANTILLA!AC12</f>
        <v>7.25</v>
      </c>
      <c r="K13" s="36">
        <f>PLANTILLA!AD12</f>
        <v>17.166666666666668</v>
      </c>
      <c r="L13" s="110">
        <f>1/7</f>
        <v>0.14285714285714285</v>
      </c>
      <c r="M13" s="110">
        <f>L13/2</f>
        <v>7.1428571428571425E-2</v>
      </c>
      <c r="N13" s="110">
        <f>L13/8</f>
        <v>1.7857142857142856E-2</v>
      </c>
      <c r="O13" s="60">
        <f>L13*0.286</f>
        <v>4.0857142857142849E-2</v>
      </c>
      <c r="P13" s="60">
        <f>L13*(0.588)</f>
        <v>8.3999999999999991E-2</v>
      </c>
      <c r="Q13" s="60">
        <f>L13*(0.574)</f>
        <v>8.199999999999999E-2</v>
      </c>
      <c r="R13" s="60">
        <f>L13*(0.864)</f>
        <v>0.12342857142857142</v>
      </c>
      <c r="S13" s="60">
        <f>L13*(0.144)</f>
        <v>2.057142857142857E-2</v>
      </c>
      <c r="T13" s="60">
        <f>L13*(0.607)</f>
        <v>8.6714285714285702E-2</v>
      </c>
      <c r="U13" s="60">
        <f>MAX(O13:T13)</f>
        <v>0.12342857142857142</v>
      </c>
      <c r="W13" s="42"/>
    </row>
    <row r="14" spans="1:23" x14ac:dyDescent="0.25">
      <c r="A14" s="18" t="str">
        <f>PLANTILLA!A13</f>
        <v>#8</v>
      </c>
      <c r="B14" s="109" t="str">
        <f>PLANTILLA!D13</f>
        <v>Enrique Cubas</v>
      </c>
      <c r="C14" s="18">
        <f>PLANTILLA!E13</f>
        <v>30</v>
      </c>
      <c r="D14" s="111">
        <f ca="1">PLANTILLA!F13</f>
        <v>41</v>
      </c>
      <c r="E14" s="36">
        <f>PLANTILLA!X13</f>
        <v>0</v>
      </c>
      <c r="F14" s="36">
        <f>PLANTILLA!Y13</f>
        <v>12.666666666666666</v>
      </c>
      <c r="G14" s="36">
        <f>PLANTILLA!Z13</f>
        <v>6.6</v>
      </c>
      <c r="H14" s="36">
        <f>PLANTILLA!AA13</f>
        <v>16</v>
      </c>
      <c r="I14" s="36">
        <f>PLANTILLA!AB13</f>
        <v>10</v>
      </c>
      <c r="J14" s="36">
        <f>PLANTILLA!AC13</f>
        <v>7.8</v>
      </c>
      <c r="K14" s="36">
        <f>PLANTILLA!AD13</f>
        <v>18</v>
      </c>
      <c r="L14" s="110">
        <f>1/9</f>
        <v>0.1111111111111111</v>
      </c>
      <c r="M14" s="110">
        <f>L14/2</f>
        <v>5.5555555555555552E-2</v>
      </c>
      <c r="N14" s="110">
        <f>L14/8</f>
        <v>1.3888888888888888E-2</v>
      </c>
      <c r="O14" s="60">
        <f>L14*0.286</f>
        <v>3.1777777777777773E-2</v>
      </c>
      <c r="P14" s="60">
        <f>L14*(0.588)</f>
        <v>6.5333333333333327E-2</v>
      </c>
      <c r="Q14" s="60">
        <f>L14*(0.574)</f>
        <v>6.3777777777777767E-2</v>
      </c>
      <c r="R14" s="60">
        <f>L14*(0.864)</f>
        <v>9.5999999999999988E-2</v>
      </c>
      <c r="S14" s="60">
        <f>L14*(0.144)</f>
        <v>1.5999999999999997E-2</v>
      </c>
      <c r="T14" s="60">
        <f>L14*(0.607)</f>
        <v>6.7444444444444446E-2</v>
      </c>
      <c r="U14" s="60">
        <f>MAX(O14:T14)</f>
        <v>9.5999999999999988E-2</v>
      </c>
      <c r="W14" s="42"/>
    </row>
    <row r="15" spans="1:23" x14ac:dyDescent="0.25">
      <c r="A15" s="18" t="str">
        <f>PLANTILLA!A14</f>
        <v>#11</v>
      </c>
      <c r="B15" s="109" t="str">
        <f>PLANTILLA!D14</f>
        <v>J. G. Peñuela</v>
      </c>
      <c r="C15" s="18">
        <f>PLANTILLA!E14</f>
        <v>30</v>
      </c>
      <c r="D15" s="111">
        <f ca="1">PLANTILLA!F14</f>
        <v>41</v>
      </c>
      <c r="E15" s="36">
        <f>PLANTILLA!X14</f>
        <v>0</v>
      </c>
      <c r="F15" s="36">
        <f>PLANTILLA!Y14</f>
        <v>13</v>
      </c>
      <c r="G15" s="36">
        <f>PLANTILLA!Z14</f>
        <v>6.4</v>
      </c>
      <c r="H15" s="36">
        <f>PLANTILLA!AA14</f>
        <v>15</v>
      </c>
      <c r="I15" s="36">
        <f>PLANTILLA!AB14</f>
        <v>9</v>
      </c>
      <c r="J15" s="36">
        <f>PLANTILLA!AC14</f>
        <v>7.95</v>
      </c>
      <c r="K15" s="36">
        <f>PLANTILLA!AD14</f>
        <v>17</v>
      </c>
      <c r="L15" s="110">
        <f>1/8</f>
        <v>0.125</v>
      </c>
      <c r="M15" s="110">
        <f>L15/2</f>
        <v>6.25E-2</v>
      </c>
      <c r="N15" s="110">
        <f>L15/8</f>
        <v>1.5625E-2</v>
      </c>
      <c r="O15" s="60">
        <f>L15*0.286</f>
        <v>3.5749999999999997E-2</v>
      </c>
      <c r="P15" s="60">
        <f>L15*(0.588)</f>
        <v>7.3499999999999996E-2</v>
      </c>
      <c r="Q15" s="60">
        <f>L15*(0.574)</f>
        <v>7.1749999999999994E-2</v>
      </c>
      <c r="R15" s="60">
        <f>L15*(0.864)</f>
        <v>0.108</v>
      </c>
      <c r="S15" s="60">
        <f>L15*(0.144)</f>
        <v>1.7999999999999999E-2</v>
      </c>
      <c r="T15" s="60">
        <f>L15*(0.607)</f>
        <v>7.5874999999999998E-2</v>
      </c>
      <c r="U15" s="60">
        <f>MAX(O15:T15)</f>
        <v>0.108</v>
      </c>
      <c r="W15" s="42"/>
    </row>
    <row r="16" spans="1:23" x14ac:dyDescent="0.25">
      <c r="A16" s="18" t="str">
        <f>PLANTILLA!A15</f>
        <v>#16</v>
      </c>
      <c r="B16" s="109" t="str">
        <f>PLANTILLA!D15</f>
        <v>Lenadro Faias</v>
      </c>
      <c r="C16" s="18">
        <f>PLANTILLA!E15</f>
        <v>33</v>
      </c>
      <c r="D16" s="111">
        <f ca="1">PLANTILLA!F15</f>
        <v>43</v>
      </c>
      <c r="E16" s="36">
        <f>PLANTILLA!X15</f>
        <v>0</v>
      </c>
      <c r="F16" s="36">
        <f>PLANTILLA!Y15</f>
        <v>10</v>
      </c>
      <c r="G16" s="36">
        <f>PLANTILLA!Z15</f>
        <v>13.95</v>
      </c>
      <c r="H16" s="36">
        <f>PLANTILLA!AA15</f>
        <v>2.95</v>
      </c>
      <c r="I16" s="36">
        <f>PLANTILLA!AB15</f>
        <v>10</v>
      </c>
      <c r="J16" s="36">
        <f>PLANTILLA!AC15</f>
        <v>7.95</v>
      </c>
      <c r="K16" s="36">
        <f>PLANTILLA!AD15</f>
        <v>17</v>
      </c>
      <c r="L16" s="110"/>
      <c r="M16" s="110"/>
      <c r="N16" s="110"/>
      <c r="O16" s="60"/>
      <c r="P16" s="60"/>
      <c r="Q16" s="60"/>
      <c r="R16" s="60"/>
      <c r="S16" s="60"/>
      <c r="T16" s="60"/>
      <c r="U16" s="60"/>
      <c r="W16" s="42"/>
    </row>
    <row r="17" spans="1:23" x14ac:dyDescent="0.25">
      <c r="A17" s="18" t="str">
        <f>PLANTILLA!A19</f>
        <v>#12</v>
      </c>
      <c r="B17" s="109" t="str">
        <f>PLANTILLA!D19</f>
        <v>Nicolás Galaz</v>
      </c>
      <c r="C17" s="18">
        <f>PLANTILLA!E19</f>
        <v>30</v>
      </c>
      <c r="D17" s="111">
        <f ca="1">PLANTILLA!F19</f>
        <v>73</v>
      </c>
      <c r="E17" s="36">
        <f>PLANTILLA!X19</f>
        <v>0</v>
      </c>
      <c r="F17" s="36">
        <f>PLANTILLA!Y19</f>
        <v>4</v>
      </c>
      <c r="G17" s="36">
        <f>PLANTILLA!Z19</f>
        <v>3</v>
      </c>
      <c r="H17" s="36">
        <f>PLANTILLA!AA19</f>
        <v>9.125</v>
      </c>
      <c r="I17" s="36">
        <f>PLANTILLA!AB19</f>
        <v>14</v>
      </c>
      <c r="J17" s="36">
        <f>PLANTILLA!AC19</f>
        <v>13.95</v>
      </c>
      <c r="K17" s="36">
        <f>PLANTILLA!AD19</f>
        <v>8</v>
      </c>
      <c r="L17" s="110"/>
      <c r="M17" s="110"/>
      <c r="N17" s="110"/>
      <c r="O17" s="60"/>
      <c r="P17" s="60"/>
      <c r="Q17" s="60"/>
      <c r="R17" s="60"/>
      <c r="S17" s="60"/>
      <c r="T17" s="60"/>
      <c r="U17" s="60"/>
      <c r="W17" s="42"/>
    </row>
    <row r="18" spans="1:23" x14ac:dyDescent="0.25">
      <c r="A18" s="18" t="str">
        <f>PLANTILLA!A17</f>
        <v>#15</v>
      </c>
      <c r="B18" s="109" t="str">
        <f>PLANTILLA!D17</f>
        <v>Bogdan Pivovarov</v>
      </c>
      <c r="C18" s="18">
        <f>PLANTILLA!E17</f>
        <v>31</v>
      </c>
      <c r="D18" s="111">
        <f ca="1">PLANTILLA!F17</f>
        <v>41</v>
      </c>
      <c r="E18" s="36">
        <f>PLANTILLA!X17</f>
        <v>0</v>
      </c>
      <c r="F18" s="36">
        <f>PLANTILLA!Y17</f>
        <v>11</v>
      </c>
      <c r="G18" s="36">
        <f>PLANTILLA!Z17</f>
        <v>14</v>
      </c>
      <c r="H18" s="36">
        <f>PLANTILLA!AA17</f>
        <v>3</v>
      </c>
      <c r="I18" s="36">
        <f>PLANTILLA!AB17</f>
        <v>11</v>
      </c>
      <c r="J18" s="36">
        <f>PLANTILLA!AC17</f>
        <v>8</v>
      </c>
      <c r="K18" s="36">
        <f>PLANTILLA!AD17</f>
        <v>4</v>
      </c>
      <c r="L18" s="110"/>
      <c r="M18" s="110"/>
      <c r="N18" s="110"/>
      <c r="O18" s="60"/>
      <c r="P18" s="60"/>
      <c r="Q18" s="60"/>
      <c r="R18" s="60"/>
      <c r="S18" s="60"/>
      <c r="T18" s="60"/>
      <c r="U18" s="60"/>
      <c r="W18" s="42"/>
    </row>
    <row r="19" spans="1:23" x14ac:dyDescent="0.25">
      <c r="A19" s="18" t="str">
        <f>PLANTILLA!A20</f>
        <v>#19</v>
      </c>
      <c r="B19" s="109" t="str">
        <f>PLANTILLA!D20</f>
        <v>Rodolfo Rinaldo Paso</v>
      </c>
      <c r="C19" s="18">
        <f>PLANTILLA!E20</f>
        <v>30</v>
      </c>
      <c r="D19" s="111">
        <f ca="1">PLANTILLA!F20</f>
        <v>64</v>
      </c>
      <c r="E19" s="36">
        <f>PLANTILLA!X20</f>
        <v>0</v>
      </c>
      <c r="F19" s="36">
        <f>PLANTILLA!Y20</f>
        <v>4</v>
      </c>
      <c r="G19" s="36">
        <f>PLANTILLA!Z20</f>
        <v>8.2768518518518519</v>
      </c>
      <c r="H19" s="36">
        <f>PLANTILLA!AA20</f>
        <v>11.666666666666666</v>
      </c>
      <c r="I19" s="36">
        <f>PLANTILLA!AB20</f>
        <v>13</v>
      </c>
      <c r="J19" s="36">
        <f>PLANTILLA!AC20</f>
        <v>13.95</v>
      </c>
      <c r="K19" s="36">
        <f>PLANTILLA!AD20</f>
        <v>15</v>
      </c>
      <c r="L19" s="110"/>
      <c r="M19" s="110"/>
      <c r="N19" s="110"/>
      <c r="O19" s="60"/>
      <c r="P19" s="60"/>
      <c r="Q19" s="60"/>
      <c r="R19" s="60"/>
      <c r="S19" s="60"/>
      <c r="T19" s="60"/>
      <c r="U19" s="60"/>
      <c r="W19" s="42"/>
    </row>
    <row r="20" spans="1:23" x14ac:dyDescent="0.25">
      <c r="C20" s="69"/>
      <c r="D20" s="54"/>
      <c r="G20" s="42"/>
      <c r="H20" s="41"/>
      <c r="J20" s="42"/>
      <c r="K20" s="42"/>
      <c r="M20" s="70"/>
      <c r="Q20" s="42"/>
      <c r="R20" s="42"/>
      <c r="S20" s="42"/>
      <c r="T20" s="42"/>
      <c r="U20" s="42"/>
      <c r="V20" s="42"/>
      <c r="W20" s="42"/>
    </row>
    <row r="21" spans="1:23" x14ac:dyDescent="0.25">
      <c r="C21" s="69"/>
      <c r="D21" s="54"/>
      <c r="G21" s="42"/>
      <c r="H21" s="41"/>
      <c r="J21" s="42"/>
      <c r="K21" s="42"/>
      <c r="M21" s="70"/>
      <c r="Q21" s="42"/>
      <c r="R21" s="42"/>
      <c r="S21" s="42"/>
      <c r="T21" s="42"/>
      <c r="U21" s="42"/>
      <c r="V21" s="42"/>
      <c r="W21" s="42"/>
    </row>
    <row r="22" spans="1:23" x14ac:dyDescent="0.25">
      <c r="C22" s="69"/>
      <c r="D22" s="54"/>
      <c r="G22" s="42"/>
      <c r="H22" s="41"/>
      <c r="J22" s="42"/>
      <c r="K22" s="42"/>
      <c r="M22" s="70"/>
      <c r="Q22" s="42"/>
      <c r="R22" s="42"/>
      <c r="S22" s="42"/>
      <c r="T22" s="42"/>
      <c r="U22" s="42"/>
      <c r="V22" s="42"/>
      <c r="W22" s="42"/>
    </row>
    <row r="23" spans="1:23" x14ac:dyDescent="0.25">
      <c r="C23" s="69"/>
      <c r="D23" s="54"/>
      <c r="G23" s="42"/>
      <c r="H23" s="41"/>
      <c r="J23" s="42"/>
      <c r="K23" s="42"/>
      <c r="M23" s="70"/>
      <c r="Q23" s="42"/>
      <c r="R23" s="42"/>
      <c r="S23" s="42"/>
      <c r="T23" s="42"/>
      <c r="U23" s="42"/>
      <c r="V23" s="42"/>
      <c r="W23" s="42"/>
    </row>
    <row r="24" spans="1:23" x14ac:dyDescent="0.25">
      <c r="C24" s="69"/>
      <c r="D24" s="54"/>
      <c r="G24" s="42"/>
      <c r="H24" s="41"/>
      <c r="J24" s="42"/>
      <c r="K24" s="42"/>
      <c r="M24" s="70"/>
      <c r="Q24" s="42"/>
      <c r="R24" s="42"/>
      <c r="S24" s="42"/>
      <c r="T24" s="42"/>
      <c r="U24" s="42"/>
      <c r="V24" s="42"/>
      <c r="W24" s="42"/>
    </row>
    <row r="25" spans="1:23" x14ac:dyDescent="0.25">
      <c r="C25" s="69"/>
      <c r="D25" s="54"/>
      <c r="G25" s="42"/>
      <c r="H25" s="41"/>
      <c r="J25" s="42"/>
      <c r="K25" s="42"/>
      <c r="M25" s="70"/>
      <c r="Q25" s="42"/>
      <c r="R25" s="42"/>
      <c r="S25" s="42"/>
      <c r="T25" s="42"/>
      <c r="U25" s="42"/>
      <c r="V25" s="42"/>
      <c r="W25" s="42"/>
    </row>
    <row r="26" spans="1:23" x14ac:dyDescent="0.25">
      <c r="C26" s="69"/>
      <c r="D26" s="54"/>
      <c r="G26" s="42"/>
      <c r="H26" s="41"/>
      <c r="J26" s="42"/>
      <c r="K26" s="42"/>
      <c r="M26" s="70"/>
      <c r="Q26" s="42"/>
      <c r="R26" s="42"/>
      <c r="S26" s="42"/>
      <c r="T26" s="42"/>
      <c r="U26" s="42"/>
      <c r="V26" s="42"/>
      <c r="W26" s="42"/>
    </row>
    <row r="27" spans="1:23" x14ac:dyDescent="0.25">
      <c r="C27" s="69"/>
      <c r="D27" s="54"/>
      <c r="G27" s="42"/>
      <c r="H27" s="41"/>
      <c r="J27" s="42"/>
      <c r="K27" s="42"/>
      <c r="M27" s="70"/>
      <c r="Q27" s="42"/>
      <c r="R27" s="42"/>
      <c r="S27" s="42"/>
      <c r="T27" s="42"/>
      <c r="U27" s="42"/>
      <c r="V27" s="42"/>
      <c r="W27" s="42"/>
    </row>
    <row r="28" spans="1:23" x14ac:dyDescent="0.25">
      <c r="C28" s="69"/>
      <c r="D28" s="54"/>
      <c r="G28" s="42"/>
      <c r="H28" s="41"/>
      <c r="J28" s="42"/>
      <c r="K28" s="42"/>
      <c r="M28" s="70"/>
      <c r="Q28" s="42"/>
      <c r="R28" s="42"/>
      <c r="S28" s="42"/>
      <c r="T28" s="42"/>
      <c r="U28" s="42"/>
      <c r="V28" s="42"/>
      <c r="W28" s="42"/>
    </row>
    <row r="29" spans="1:23" x14ac:dyDescent="0.25">
      <c r="C29" s="69"/>
      <c r="D29" s="54"/>
      <c r="G29" s="42"/>
      <c r="H29" s="41"/>
      <c r="J29" s="42"/>
      <c r="K29" s="42"/>
      <c r="M29" s="70"/>
      <c r="Q29" s="42"/>
      <c r="R29" s="42"/>
      <c r="S29" s="42"/>
      <c r="T29" s="42"/>
      <c r="U29" s="42"/>
      <c r="V29" s="42"/>
      <c r="W29" s="42"/>
    </row>
    <row r="30" spans="1:23" x14ac:dyDescent="0.25">
      <c r="C30" s="69"/>
      <c r="D30" s="54"/>
      <c r="G30" s="42"/>
      <c r="H30" s="41"/>
      <c r="J30" s="42"/>
      <c r="K30" s="42"/>
      <c r="M30" s="70"/>
      <c r="Q30" s="42"/>
      <c r="R30" s="42"/>
      <c r="S30" s="42"/>
      <c r="T30" s="42"/>
      <c r="U30" s="42"/>
      <c r="V30" s="42"/>
      <c r="W30" s="42"/>
    </row>
    <row r="31" spans="1:23" x14ac:dyDescent="0.25">
      <c r="C31" s="69"/>
      <c r="D31" s="54"/>
      <c r="G31" s="42"/>
      <c r="H31" s="41"/>
      <c r="J31" s="42"/>
      <c r="K31" s="42"/>
      <c r="M31" s="70"/>
      <c r="Q31" s="42"/>
      <c r="R31" s="42"/>
      <c r="S31" s="42"/>
      <c r="T31" s="42"/>
      <c r="U31" s="42"/>
      <c r="V31" s="42"/>
      <c r="W31" s="42"/>
    </row>
    <row r="32" spans="1:23" x14ac:dyDescent="0.25">
      <c r="C32" s="69"/>
      <c r="D32" s="54"/>
      <c r="G32" s="42"/>
      <c r="H32" s="41"/>
      <c r="J32" s="42"/>
      <c r="K32" s="42"/>
      <c r="M32" s="70"/>
      <c r="Q32" s="42"/>
      <c r="R32" s="42"/>
      <c r="S32" s="42"/>
      <c r="T32" s="42"/>
      <c r="U32" s="42"/>
      <c r="V32" s="42"/>
      <c r="W32" s="42"/>
    </row>
    <row r="33" spans="3:23" x14ac:dyDescent="0.25">
      <c r="C33" s="69"/>
      <c r="D33" s="54"/>
      <c r="G33" s="42"/>
      <c r="H33" s="41"/>
      <c r="J33" s="42"/>
      <c r="K33" s="42"/>
      <c r="M33" s="70"/>
      <c r="Q33" s="42"/>
      <c r="R33" s="42"/>
      <c r="S33" s="42"/>
      <c r="T33" s="42"/>
      <c r="U33" s="42"/>
      <c r="V33" s="42"/>
      <c r="W33" s="42"/>
    </row>
  </sheetData>
  <conditionalFormatting sqref="O4:T19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{29C75A39-4D94-AD3B-0F85-C47EB476140F}</x14:id>
        </ext>
      </extLst>
    </cfRule>
  </conditionalFormatting>
  <conditionalFormatting sqref="U4:U19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{71B8B231-3B58-4DD3-B754-152AEF054064}</x14:id>
        </ext>
      </extLst>
    </cfRule>
  </conditionalFormatting>
  <conditionalFormatting sqref="E4:K19">
    <cfRule type="colorScale" priority="266">
      <colorScale>
        <cfvo type="min"/>
        <cfvo type="max"/>
        <color rgb="FFFCFCFF"/>
        <color rgb="FFF8696B"/>
      </colorScale>
    </cfRule>
  </conditionalFormatting>
  <conditionalFormatting sqref="L4:N19">
    <cfRule type="colorScale" priority="26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fitToWidth="0" pageOrder="overThenDown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75A39-4D94-AD3B-0F85-C47EB47614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O4:T19</xm:sqref>
        </x14:conditionalFormatting>
        <x14:conditionalFormatting xmlns:xm="http://schemas.microsoft.com/office/excel/2006/main">
          <x14:cfRule type="dataBar" id="{71B8B231-3B58-4DD3-B754-152AEF05406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U4:U19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1A0C7"/>
  </sheetPr>
  <dimension ref="A1:U76"/>
  <sheetViews>
    <sheetView zoomScale="90" workbookViewId="0">
      <pane ySplit="1" topLeftCell="A5" activePane="bottomLeft" state="frozen"/>
      <selection pane="bottomLeft" activeCell="D11" sqref="D11"/>
    </sheetView>
  </sheetViews>
  <sheetFormatPr baseColWidth="10" defaultColWidth="11.42578125" defaultRowHeight="15" x14ac:dyDescent="0.25"/>
  <cols>
    <col min="1" max="1" width="17.140625" customWidth="1"/>
    <col min="2" max="3" width="17.7109375" customWidth="1"/>
    <col min="4" max="4" width="20.85546875" customWidth="1"/>
    <col min="5" max="5" width="3.140625" customWidth="1"/>
    <col min="6" max="6" width="38.7109375" customWidth="1"/>
    <col min="7" max="7" width="5.7109375" customWidth="1"/>
    <col min="8" max="8" width="5.28515625" customWidth="1"/>
    <col min="9" max="9" width="4.5703125" customWidth="1"/>
    <col min="10" max="10" width="4.140625" customWidth="1"/>
    <col min="11" max="11" width="10" customWidth="1"/>
    <col min="12" max="12" width="12.7109375" customWidth="1"/>
    <col min="13" max="13" width="5.28515625" customWidth="1"/>
    <col min="14" max="14" width="17.5703125" customWidth="1"/>
    <col min="15" max="15" width="21.28515625" customWidth="1"/>
    <col min="16" max="16" width="9.7109375" customWidth="1"/>
    <col min="17" max="18" width="13.5703125" customWidth="1"/>
    <col min="19" max="19" width="17.140625" customWidth="1"/>
    <col min="20" max="20" width="9.7109375" customWidth="1"/>
    <col min="21" max="21" width="13.5703125" customWidth="1"/>
  </cols>
  <sheetData>
    <row r="1" spans="1:21" ht="19.5" x14ac:dyDescent="0.25">
      <c r="A1" s="521" t="s">
        <v>517</v>
      </c>
      <c r="B1" s="521"/>
      <c r="C1" s="521"/>
      <c r="D1" s="521"/>
      <c r="F1" s="13" t="s">
        <v>177</v>
      </c>
      <c r="G1" s="13" t="s">
        <v>108</v>
      </c>
      <c r="H1" s="13" t="s">
        <v>109</v>
      </c>
      <c r="I1" s="26" t="s">
        <v>518</v>
      </c>
      <c r="J1" s="26" t="s">
        <v>111</v>
      </c>
      <c r="K1" s="26" t="s">
        <v>294</v>
      </c>
      <c r="L1" s="26" t="s">
        <v>519</v>
      </c>
      <c r="M1" s="26" t="s">
        <v>520</v>
      </c>
      <c r="N1" s="64" t="s">
        <v>521</v>
      </c>
      <c r="O1" s="64" t="s">
        <v>522</v>
      </c>
      <c r="P1" s="64" t="s">
        <v>523</v>
      </c>
      <c r="Q1" s="64" t="s">
        <v>524</v>
      </c>
      <c r="R1" s="65" t="s">
        <v>525</v>
      </c>
      <c r="S1" s="65" t="s">
        <v>526</v>
      </c>
      <c r="T1" s="65" t="s">
        <v>523</v>
      </c>
      <c r="U1" s="65" t="s">
        <v>524</v>
      </c>
    </row>
    <row r="2" spans="1:21" x14ac:dyDescent="0.25">
      <c r="A2" s="522" t="s">
        <v>527</v>
      </c>
      <c r="B2" s="523" t="s">
        <v>528</v>
      </c>
      <c r="C2" s="523" t="s">
        <v>529</v>
      </c>
      <c r="D2" s="523" t="s">
        <v>530</v>
      </c>
      <c r="F2" s="88" t="s">
        <v>531</v>
      </c>
      <c r="G2">
        <v>36</v>
      </c>
      <c r="H2">
        <v>92</v>
      </c>
      <c r="I2" s="55">
        <v>14.3</v>
      </c>
      <c r="J2" s="56">
        <v>4</v>
      </c>
      <c r="K2" s="45">
        <v>2448</v>
      </c>
      <c r="L2" s="45">
        <v>1000</v>
      </c>
      <c r="M2" s="61">
        <v>3</v>
      </c>
      <c r="N2" s="45">
        <v>325000</v>
      </c>
      <c r="O2" s="45">
        <f t="shared" ref="O2:O33" si="0">L2+N2</f>
        <v>326000</v>
      </c>
      <c r="P2" s="66">
        <v>6.5</v>
      </c>
      <c r="Q2" s="76">
        <f t="shared" ref="Q2:Q33" si="1">O2/P2</f>
        <v>50153.846153846156</v>
      </c>
      <c r="R2" s="45">
        <v>2375000</v>
      </c>
      <c r="S2" s="45">
        <f t="shared" ref="S2:S33" si="2">R2+L2</f>
        <v>2376000</v>
      </c>
      <c r="T2" s="67">
        <f t="shared" ref="T2:T33" si="3">P2</f>
        <v>6.5</v>
      </c>
      <c r="U2" s="76">
        <f t="shared" ref="U2:U33" si="4">S2/T2</f>
        <v>365538.46153846156</v>
      </c>
    </row>
    <row r="3" spans="1:21" x14ac:dyDescent="0.25">
      <c r="A3" s="522"/>
      <c r="B3" s="523"/>
      <c r="C3" s="523"/>
      <c r="D3" s="523"/>
      <c r="F3" s="88" t="s">
        <v>532</v>
      </c>
      <c r="G3">
        <v>40</v>
      </c>
      <c r="H3">
        <v>26</v>
      </c>
      <c r="I3" s="55">
        <v>14.1</v>
      </c>
      <c r="J3" s="56">
        <v>5</v>
      </c>
      <c r="K3" s="45">
        <v>468</v>
      </c>
      <c r="L3" s="45">
        <v>410000</v>
      </c>
      <c r="M3" s="61">
        <v>3</v>
      </c>
      <c r="N3" s="45">
        <v>335000</v>
      </c>
      <c r="O3" s="45">
        <f t="shared" si="0"/>
        <v>745000</v>
      </c>
      <c r="P3" s="66">
        <v>8</v>
      </c>
      <c r="Q3" s="76">
        <f t="shared" si="1"/>
        <v>93125</v>
      </c>
      <c r="R3" s="45">
        <v>2390000</v>
      </c>
      <c r="S3" s="45">
        <f t="shared" si="2"/>
        <v>2800000</v>
      </c>
      <c r="T3" s="67">
        <f t="shared" si="3"/>
        <v>8</v>
      </c>
      <c r="U3" s="76">
        <f t="shared" si="4"/>
        <v>350000</v>
      </c>
    </row>
    <row r="4" spans="1:21" x14ac:dyDescent="0.25">
      <c r="A4" s="72" t="s">
        <v>528</v>
      </c>
      <c r="B4" s="73" t="s">
        <v>533</v>
      </c>
      <c r="C4" s="73" t="s">
        <v>534</v>
      </c>
      <c r="D4" s="73" t="s">
        <v>534</v>
      </c>
      <c r="F4" s="88" t="s">
        <v>535</v>
      </c>
      <c r="G4">
        <v>35</v>
      </c>
      <c r="H4">
        <v>85</v>
      </c>
      <c r="I4" s="55">
        <v>18.2</v>
      </c>
      <c r="J4" s="56">
        <v>4</v>
      </c>
      <c r="K4" s="45">
        <v>14808</v>
      </c>
      <c r="L4" s="45">
        <v>1245000</v>
      </c>
      <c r="M4" s="61">
        <v>3</v>
      </c>
      <c r="N4" s="45">
        <v>259000</v>
      </c>
      <c r="O4" s="45">
        <f t="shared" si="0"/>
        <v>1504000</v>
      </c>
      <c r="P4" s="66">
        <v>6.5</v>
      </c>
      <c r="Q4" s="76">
        <f t="shared" si="1"/>
        <v>231384.61538461538</v>
      </c>
      <c r="R4" s="45">
        <v>1850000</v>
      </c>
      <c r="S4" s="45">
        <f t="shared" si="2"/>
        <v>3095000</v>
      </c>
      <c r="T4" s="67">
        <f t="shared" si="3"/>
        <v>6.5</v>
      </c>
      <c r="U4" s="76">
        <f t="shared" si="4"/>
        <v>476153.84615384613</v>
      </c>
    </row>
    <row r="5" spans="1:21" x14ac:dyDescent="0.25">
      <c r="A5" s="74" t="s">
        <v>529</v>
      </c>
      <c r="B5" s="75" t="s">
        <v>536</v>
      </c>
      <c r="C5" s="75" t="s">
        <v>537</v>
      </c>
      <c r="D5" s="75" t="s">
        <v>534</v>
      </c>
      <c r="F5" s="88" t="s">
        <v>538</v>
      </c>
      <c r="G5">
        <v>36</v>
      </c>
      <c r="H5">
        <v>97</v>
      </c>
      <c r="I5" s="55">
        <v>14</v>
      </c>
      <c r="J5" s="56">
        <v>5</v>
      </c>
      <c r="K5" s="45">
        <v>4956</v>
      </c>
      <c r="L5" s="45">
        <v>405000</v>
      </c>
      <c r="M5" s="61">
        <v>3</v>
      </c>
      <c r="N5" s="68">
        <v>337500</v>
      </c>
      <c r="O5" s="45">
        <f t="shared" si="0"/>
        <v>742500</v>
      </c>
      <c r="P5" s="66">
        <v>8</v>
      </c>
      <c r="Q5" s="76">
        <f t="shared" si="1"/>
        <v>92812.5</v>
      </c>
      <c r="R5" s="45">
        <v>2400000</v>
      </c>
      <c r="S5" s="45">
        <f t="shared" si="2"/>
        <v>2805000</v>
      </c>
      <c r="T5" s="67">
        <f t="shared" si="3"/>
        <v>8</v>
      </c>
      <c r="U5" s="76">
        <f t="shared" si="4"/>
        <v>350625</v>
      </c>
    </row>
    <row r="6" spans="1:21" x14ac:dyDescent="0.25">
      <c r="A6" s="72" t="s">
        <v>530</v>
      </c>
      <c r="B6" s="73" t="s">
        <v>539</v>
      </c>
      <c r="C6" s="73" t="s">
        <v>540</v>
      </c>
      <c r="D6" s="73" t="s">
        <v>541</v>
      </c>
      <c r="F6" s="88" t="s">
        <v>542</v>
      </c>
      <c r="G6">
        <v>40</v>
      </c>
      <c r="H6">
        <v>71</v>
      </c>
      <c r="I6" s="55">
        <v>15.3</v>
      </c>
      <c r="J6" s="56">
        <v>5</v>
      </c>
      <c r="K6" s="45">
        <v>840</v>
      </c>
      <c r="L6" s="45">
        <v>325000</v>
      </c>
      <c r="M6" s="61">
        <v>3</v>
      </c>
      <c r="N6" s="45">
        <v>305000</v>
      </c>
      <c r="O6" s="45">
        <f t="shared" si="0"/>
        <v>630000</v>
      </c>
      <c r="P6" s="66">
        <v>8</v>
      </c>
      <c r="Q6" s="76">
        <f t="shared" si="1"/>
        <v>78750</v>
      </c>
      <c r="R6" s="45">
        <v>2200000</v>
      </c>
      <c r="S6" s="45">
        <f t="shared" si="2"/>
        <v>2525000</v>
      </c>
      <c r="T6" s="67">
        <f t="shared" si="3"/>
        <v>8</v>
      </c>
      <c r="U6" s="76">
        <f t="shared" si="4"/>
        <v>315625</v>
      </c>
    </row>
    <row r="7" spans="1:21" x14ac:dyDescent="0.25">
      <c r="A7" s="74" t="s">
        <v>543</v>
      </c>
      <c r="B7" s="75" t="s">
        <v>544</v>
      </c>
      <c r="C7" s="75" t="s">
        <v>545</v>
      </c>
      <c r="D7" s="75" t="s">
        <v>546</v>
      </c>
      <c r="I7" s="55">
        <v>0</v>
      </c>
      <c r="J7" s="56">
        <v>0</v>
      </c>
      <c r="K7" s="45"/>
      <c r="L7" s="45"/>
      <c r="M7" s="61">
        <v>3</v>
      </c>
      <c r="N7" s="45"/>
      <c r="O7" s="45">
        <f t="shared" si="0"/>
        <v>0</v>
      </c>
      <c r="P7" s="66">
        <v>9</v>
      </c>
      <c r="Q7" s="76">
        <f t="shared" si="1"/>
        <v>0</v>
      </c>
      <c r="R7" s="45"/>
      <c r="S7" s="45">
        <f t="shared" si="2"/>
        <v>0</v>
      </c>
      <c r="T7" s="67">
        <f t="shared" si="3"/>
        <v>9</v>
      </c>
      <c r="U7" s="76">
        <f t="shared" si="4"/>
        <v>0</v>
      </c>
    </row>
    <row r="8" spans="1:21" x14ac:dyDescent="0.25">
      <c r="A8" s="72" t="s">
        <v>547</v>
      </c>
      <c r="B8" s="73" t="s">
        <v>548</v>
      </c>
      <c r="C8" s="73" t="s">
        <v>549</v>
      </c>
      <c r="D8" s="73" t="s">
        <v>550</v>
      </c>
      <c r="F8" s="88" t="s">
        <v>551</v>
      </c>
      <c r="G8">
        <v>38</v>
      </c>
      <c r="H8">
        <v>105</v>
      </c>
      <c r="I8" s="55">
        <v>17.8</v>
      </c>
      <c r="J8" s="56">
        <v>4</v>
      </c>
      <c r="K8" s="45">
        <v>1080</v>
      </c>
      <c r="L8" s="45">
        <v>320000</v>
      </c>
      <c r="M8" s="61">
        <v>3</v>
      </c>
      <c r="N8" s="45">
        <v>269000</v>
      </c>
      <c r="O8" s="45">
        <f t="shared" si="0"/>
        <v>589000</v>
      </c>
      <c r="P8" s="66">
        <v>6.5</v>
      </c>
      <c r="Q8" s="76">
        <f t="shared" si="1"/>
        <v>90615.38461538461</v>
      </c>
      <c r="R8" s="45">
        <v>1900000</v>
      </c>
      <c r="S8" s="45">
        <f t="shared" si="2"/>
        <v>2220000</v>
      </c>
      <c r="T8" s="67">
        <f t="shared" si="3"/>
        <v>6.5</v>
      </c>
      <c r="U8" s="76">
        <f t="shared" si="4"/>
        <v>341538.46153846156</v>
      </c>
    </row>
    <row r="9" spans="1:21" x14ac:dyDescent="0.25">
      <c r="A9" s="74" t="s">
        <v>552</v>
      </c>
      <c r="B9" s="75" t="s">
        <v>553</v>
      </c>
      <c r="C9" s="75" t="s">
        <v>554</v>
      </c>
      <c r="D9" s="75" t="s">
        <v>555</v>
      </c>
      <c r="F9" s="88" t="s">
        <v>556</v>
      </c>
      <c r="G9">
        <v>40</v>
      </c>
      <c r="H9">
        <v>43</v>
      </c>
      <c r="I9" s="55">
        <v>33.4</v>
      </c>
      <c r="J9" s="56">
        <v>4</v>
      </c>
      <c r="K9" s="45">
        <f>470*1.2</f>
        <v>564</v>
      </c>
      <c r="L9" s="45">
        <v>920000</v>
      </c>
      <c r="M9" s="61">
        <v>3</v>
      </c>
      <c r="N9" s="45">
        <v>125000</v>
      </c>
      <c r="O9" s="45">
        <f t="shared" si="0"/>
        <v>1045000</v>
      </c>
      <c r="P9" s="66">
        <v>6.5</v>
      </c>
      <c r="Q9" s="76">
        <f t="shared" si="1"/>
        <v>160769.23076923078</v>
      </c>
      <c r="R9" s="45">
        <v>1050000</v>
      </c>
      <c r="S9" s="45">
        <f t="shared" si="2"/>
        <v>1970000</v>
      </c>
      <c r="T9" s="67">
        <f t="shared" si="3"/>
        <v>6.5</v>
      </c>
      <c r="U9" s="76">
        <f t="shared" si="4"/>
        <v>303076.92307692306</v>
      </c>
    </row>
    <row r="10" spans="1:21" x14ac:dyDescent="0.25">
      <c r="A10" s="72" t="s">
        <v>557</v>
      </c>
      <c r="B10" s="73" t="s">
        <v>558</v>
      </c>
      <c r="C10" s="73" t="s">
        <v>559</v>
      </c>
      <c r="D10" s="73" t="s">
        <v>560</v>
      </c>
      <c r="F10" s="88" t="s">
        <v>561</v>
      </c>
      <c r="G10">
        <v>38</v>
      </c>
      <c r="H10">
        <v>73</v>
      </c>
      <c r="I10" s="55">
        <v>15.5</v>
      </c>
      <c r="J10" s="56">
        <v>4</v>
      </c>
      <c r="K10" s="45">
        <v>1280</v>
      </c>
      <c r="L10" s="45">
        <v>10000</v>
      </c>
      <c r="M10" s="61">
        <v>3</v>
      </c>
      <c r="N10" s="45">
        <v>305000</v>
      </c>
      <c r="O10" s="45">
        <f t="shared" si="0"/>
        <v>315000</v>
      </c>
      <c r="P10" s="66">
        <v>6.5</v>
      </c>
      <c r="Q10" s="76">
        <f t="shared" si="1"/>
        <v>48461.538461538461</v>
      </c>
      <c r="R10" s="45">
        <v>2200000</v>
      </c>
      <c r="S10" s="45">
        <f t="shared" si="2"/>
        <v>2210000</v>
      </c>
      <c r="T10" s="67">
        <f t="shared" si="3"/>
        <v>6.5</v>
      </c>
      <c r="U10" s="76">
        <f t="shared" si="4"/>
        <v>340000</v>
      </c>
    </row>
    <row r="11" spans="1:21" x14ac:dyDescent="0.25">
      <c r="A11" s="74" t="s">
        <v>562</v>
      </c>
      <c r="B11" s="75" t="s">
        <v>563</v>
      </c>
      <c r="C11" s="75" t="s">
        <v>564</v>
      </c>
      <c r="D11" s="75" t="s">
        <v>565</v>
      </c>
      <c r="F11" s="88" t="s">
        <v>566</v>
      </c>
      <c r="G11">
        <v>38</v>
      </c>
      <c r="H11">
        <v>33</v>
      </c>
      <c r="I11" s="55">
        <v>16.7</v>
      </c>
      <c r="J11" s="56">
        <v>4</v>
      </c>
      <c r="K11" s="45">
        <v>1224</v>
      </c>
      <c r="L11" s="45">
        <v>10000</v>
      </c>
      <c r="M11" s="61">
        <v>3</v>
      </c>
      <c r="N11" s="68">
        <v>283000</v>
      </c>
      <c r="O11" s="45">
        <f t="shared" si="0"/>
        <v>293000</v>
      </c>
      <c r="P11" s="66">
        <v>6.5</v>
      </c>
      <c r="Q11" s="76">
        <f t="shared" si="1"/>
        <v>45076.923076923078</v>
      </c>
      <c r="R11" s="45">
        <v>2005000</v>
      </c>
      <c r="S11" s="45">
        <f t="shared" si="2"/>
        <v>2015000</v>
      </c>
      <c r="T11" s="67">
        <f t="shared" si="3"/>
        <v>6.5</v>
      </c>
      <c r="U11" s="76">
        <f t="shared" si="4"/>
        <v>310000</v>
      </c>
    </row>
    <row r="12" spans="1:21" x14ac:dyDescent="0.25">
      <c r="A12" s="72" t="s">
        <v>567</v>
      </c>
      <c r="B12" s="73" t="s">
        <v>568</v>
      </c>
      <c r="C12" s="73" t="s">
        <v>569</v>
      </c>
      <c r="D12" s="73" t="s">
        <v>570</v>
      </c>
      <c r="F12" s="88" t="s">
        <v>571</v>
      </c>
      <c r="G12">
        <v>38</v>
      </c>
      <c r="H12">
        <v>106</v>
      </c>
      <c r="I12" s="55">
        <v>15.1</v>
      </c>
      <c r="J12" s="56">
        <v>4</v>
      </c>
      <c r="K12" s="45">
        <v>1368</v>
      </c>
      <c r="L12" s="45">
        <v>5000</v>
      </c>
      <c r="M12" s="61">
        <v>3</v>
      </c>
      <c r="N12" s="45">
        <v>315000</v>
      </c>
      <c r="O12" s="45">
        <f t="shared" si="0"/>
        <v>320000</v>
      </c>
      <c r="P12" s="66">
        <v>6.5</v>
      </c>
      <c r="Q12" s="76">
        <f t="shared" si="1"/>
        <v>49230.769230769234</v>
      </c>
      <c r="R12" s="45">
        <v>2242290</v>
      </c>
      <c r="S12" s="45">
        <f t="shared" si="2"/>
        <v>2247290</v>
      </c>
      <c r="T12" s="67">
        <f t="shared" si="3"/>
        <v>6.5</v>
      </c>
      <c r="U12" s="76">
        <f t="shared" si="4"/>
        <v>345736.92307692306</v>
      </c>
    </row>
    <row r="13" spans="1:21" x14ac:dyDescent="0.25">
      <c r="A13" s="74" t="s">
        <v>572</v>
      </c>
      <c r="B13" s="75" t="s">
        <v>573</v>
      </c>
      <c r="C13" s="75" t="s">
        <v>574</v>
      </c>
      <c r="D13" s="75" t="s">
        <v>575</v>
      </c>
      <c r="F13" s="88" t="s">
        <v>576</v>
      </c>
      <c r="G13">
        <v>58</v>
      </c>
      <c r="H13">
        <v>49</v>
      </c>
      <c r="I13" s="55">
        <v>16</v>
      </c>
      <c r="J13" s="56">
        <v>4</v>
      </c>
      <c r="K13" s="45">
        <v>300</v>
      </c>
      <c r="L13" s="45">
        <v>125000</v>
      </c>
      <c r="M13" s="61">
        <v>3</v>
      </c>
      <c r="N13" s="45">
        <v>296000</v>
      </c>
      <c r="O13" s="45">
        <f t="shared" si="0"/>
        <v>421000</v>
      </c>
      <c r="P13" s="66">
        <v>6.5</v>
      </c>
      <c r="Q13" s="76">
        <f t="shared" si="1"/>
        <v>64769.230769230766</v>
      </c>
      <c r="R13" s="45">
        <v>2105000</v>
      </c>
      <c r="S13" s="45">
        <f t="shared" si="2"/>
        <v>2230000</v>
      </c>
      <c r="T13" s="67">
        <f t="shared" si="3"/>
        <v>6.5</v>
      </c>
      <c r="U13" s="76">
        <f t="shared" si="4"/>
        <v>343076.92307692306</v>
      </c>
    </row>
    <row r="14" spans="1:21" x14ac:dyDescent="0.25">
      <c r="A14" s="72" t="s">
        <v>577</v>
      </c>
      <c r="B14" s="73" t="s">
        <v>578</v>
      </c>
      <c r="C14" s="73" t="s">
        <v>579</v>
      </c>
      <c r="D14" s="73" t="s">
        <v>580</v>
      </c>
      <c r="I14" s="55">
        <v>0</v>
      </c>
      <c r="J14" s="56">
        <v>0</v>
      </c>
      <c r="K14" s="45"/>
      <c r="L14" s="45"/>
      <c r="M14" s="61">
        <v>3</v>
      </c>
      <c r="N14" s="45"/>
      <c r="O14" s="45">
        <f t="shared" si="0"/>
        <v>0</v>
      </c>
      <c r="P14" s="66">
        <v>9</v>
      </c>
      <c r="Q14" s="76">
        <f t="shared" si="1"/>
        <v>0</v>
      </c>
      <c r="R14" s="45"/>
      <c r="S14" s="45">
        <f t="shared" si="2"/>
        <v>0</v>
      </c>
      <c r="T14" s="67">
        <f t="shared" si="3"/>
        <v>9</v>
      </c>
      <c r="U14" s="76">
        <f t="shared" si="4"/>
        <v>0</v>
      </c>
    </row>
    <row r="15" spans="1:21" x14ac:dyDescent="0.25">
      <c r="A15" s="74" t="s">
        <v>581</v>
      </c>
      <c r="B15" s="75" t="s">
        <v>582</v>
      </c>
      <c r="C15" s="75" t="s">
        <v>583</v>
      </c>
      <c r="D15" s="75" t="s">
        <v>584</v>
      </c>
      <c r="F15" s="88" t="s">
        <v>585</v>
      </c>
      <c r="G15">
        <v>40</v>
      </c>
      <c r="H15">
        <v>1</v>
      </c>
      <c r="I15" s="55">
        <v>16.100000000000001</v>
      </c>
      <c r="J15" s="56">
        <v>5</v>
      </c>
      <c r="K15" s="45">
        <v>492</v>
      </c>
      <c r="L15" s="45">
        <v>1100000</v>
      </c>
      <c r="M15" s="61">
        <v>2</v>
      </c>
      <c r="N15" s="45">
        <v>296000</v>
      </c>
      <c r="O15" s="45">
        <f t="shared" si="0"/>
        <v>1396000</v>
      </c>
      <c r="P15" s="66">
        <v>8</v>
      </c>
      <c r="Q15" s="76">
        <f t="shared" si="1"/>
        <v>174500</v>
      </c>
      <c r="R15" s="45">
        <v>2100000</v>
      </c>
      <c r="S15" s="45">
        <f t="shared" si="2"/>
        <v>3200000</v>
      </c>
      <c r="T15" s="67">
        <f t="shared" si="3"/>
        <v>8</v>
      </c>
      <c r="U15" s="76">
        <f t="shared" si="4"/>
        <v>400000</v>
      </c>
    </row>
    <row r="16" spans="1:21" x14ac:dyDescent="0.25">
      <c r="A16" s="72" t="s">
        <v>586</v>
      </c>
      <c r="B16" s="73" t="s">
        <v>587</v>
      </c>
      <c r="C16" s="73" t="s">
        <v>588</v>
      </c>
      <c r="D16" s="73" t="s">
        <v>589</v>
      </c>
      <c r="F16" s="88" t="s">
        <v>590</v>
      </c>
      <c r="G16">
        <v>36</v>
      </c>
      <c r="H16">
        <v>0</v>
      </c>
      <c r="I16" s="55">
        <v>27</v>
      </c>
      <c r="J16" s="56">
        <v>5</v>
      </c>
      <c r="K16" s="45">
        <v>7812</v>
      </c>
      <c r="L16" s="45">
        <v>3500000</v>
      </c>
      <c r="M16" s="61">
        <v>3</v>
      </c>
      <c r="N16" s="68">
        <v>161800</v>
      </c>
      <c r="O16" s="45">
        <f t="shared" si="0"/>
        <v>3661800</v>
      </c>
      <c r="P16" s="66">
        <v>8</v>
      </c>
      <c r="Q16" s="76">
        <f t="shared" si="1"/>
        <v>457725</v>
      </c>
      <c r="R16" s="45">
        <v>1150800</v>
      </c>
      <c r="S16" s="45">
        <f t="shared" si="2"/>
        <v>4650800</v>
      </c>
      <c r="T16" s="67">
        <f t="shared" si="3"/>
        <v>8</v>
      </c>
      <c r="U16" s="76">
        <f t="shared" si="4"/>
        <v>581350</v>
      </c>
    </row>
    <row r="17" spans="1:21" x14ac:dyDescent="0.25">
      <c r="A17" s="74" t="s">
        <v>591</v>
      </c>
      <c r="B17" s="75" t="s">
        <v>592</v>
      </c>
      <c r="C17" s="75" t="s">
        <v>593</v>
      </c>
      <c r="D17" s="75" t="s">
        <v>594</v>
      </c>
      <c r="F17" s="88" t="s">
        <v>595</v>
      </c>
      <c r="G17">
        <v>39</v>
      </c>
      <c r="H17">
        <v>78</v>
      </c>
      <c r="I17" s="55">
        <v>20.100000000000001</v>
      </c>
      <c r="J17" s="56">
        <v>5</v>
      </c>
      <c r="K17" s="45">
        <v>300</v>
      </c>
      <c r="L17" s="45">
        <v>1475000</v>
      </c>
      <c r="M17" s="61">
        <v>3</v>
      </c>
      <c r="N17" s="45">
        <v>231100</v>
      </c>
      <c r="O17" s="45">
        <f t="shared" si="0"/>
        <v>1706100</v>
      </c>
      <c r="P17" s="66">
        <v>8</v>
      </c>
      <c r="Q17" s="76">
        <f t="shared" si="1"/>
        <v>213262.5</v>
      </c>
      <c r="R17" s="45">
        <v>1643000</v>
      </c>
      <c r="S17" s="45">
        <f t="shared" si="2"/>
        <v>3118000</v>
      </c>
      <c r="T17" s="67">
        <f t="shared" si="3"/>
        <v>8</v>
      </c>
      <c r="U17" s="76">
        <f t="shared" si="4"/>
        <v>389750</v>
      </c>
    </row>
    <row r="18" spans="1:21" x14ac:dyDescent="0.25">
      <c r="A18" s="72" t="s">
        <v>596</v>
      </c>
      <c r="B18" s="73" t="s">
        <v>597</v>
      </c>
      <c r="C18" s="73" t="s">
        <v>598</v>
      </c>
      <c r="D18" s="73" t="s">
        <v>599</v>
      </c>
      <c r="I18" s="55">
        <v>0</v>
      </c>
      <c r="J18" s="56">
        <v>0</v>
      </c>
      <c r="K18" s="45"/>
      <c r="L18" s="45"/>
      <c r="M18" s="61">
        <v>3</v>
      </c>
      <c r="N18" s="45"/>
      <c r="O18" s="45">
        <f t="shared" si="0"/>
        <v>0</v>
      </c>
      <c r="P18" s="66">
        <v>9</v>
      </c>
      <c r="Q18" s="76">
        <f t="shared" si="1"/>
        <v>0</v>
      </c>
      <c r="R18" s="45"/>
      <c r="S18" s="45">
        <f t="shared" si="2"/>
        <v>0</v>
      </c>
      <c r="T18" s="67">
        <f t="shared" si="3"/>
        <v>9</v>
      </c>
      <c r="U18" s="76">
        <f t="shared" si="4"/>
        <v>0</v>
      </c>
    </row>
    <row r="19" spans="1:21" x14ac:dyDescent="0.25">
      <c r="F19" s="349" t="s">
        <v>829</v>
      </c>
      <c r="G19">
        <v>38</v>
      </c>
      <c r="H19">
        <v>68</v>
      </c>
      <c r="I19" s="55">
        <v>13.3</v>
      </c>
      <c r="J19" s="56">
        <v>6</v>
      </c>
      <c r="K19" s="45">
        <v>900</v>
      </c>
      <c r="L19" s="45">
        <v>750000</v>
      </c>
      <c r="M19" s="61">
        <v>3</v>
      </c>
      <c r="N19" s="45">
        <v>350000</v>
      </c>
      <c r="O19" s="45">
        <f t="shared" si="0"/>
        <v>1100000</v>
      </c>
      <c r="P19" s="66">
        <v>9</v>
      </c>
      <c r="Q19" s="76">
        <f t="shared" si="1"/>
        <v>122222.22222222222</v>
      </c>
      <c r="R19" s="45">
        <v>2500000</v>
      </c>
      <c r="S19" s="45">
        <f t="shared" si="2"/>
        <v>3250000</v>
      </c>
      <c r="T19" s="67">
        <f t="shared" si="3"/>
        <v>9</v>
      </c>
      <c r="U19" s="76">
        <f t="shared" si="4"/>
        <v>361111.11111111112</v>
      </c>
    </row>
    <row r="20" spans="1:21" x14ac:dyDescent="0.25">
      <c r="A20" s="13" t="s">
        <v>600</v>
      </c>
      <c r="B20" s="13" t="s">
        <v>601</v>
      </c>
      <c r="F20" s="349" t="s">
        <v>830</v>
      </c>
      <c r="G20">
        <v>38</v>
      </c>
      <c r="H20">
        <v>65</v>
      </c>
      <c r="I20" s="55">
        <v>13.3</v>
      </c>
      <c r="J20" s="56">
        <v>6</v>
      </c>
      <c r="K20" s="45">
        <v>360</v>
      </c>
      <c r="L20" s="45">
        <v>1100000</v>
      </c>
      <c r="M20" s="61">
        <v>3</v>
      </c>
      <c r="N20" s="45">
        <v>350000</v>
      </c>
      <c r="O20" s="45">
        <f t="shared" si="0"/>
        <v>1450000</v>
      </c>
      <c r="P20" s="66">
        <v>9</v>
      </c>
      <c r="Q20" s="76">
        <f t="shared" si="1"/>
        <v>161111.11111111112</v>
      </c>
      <c r="R20" s="45">
        <v>2500000</v>
      </c>
      <c r="S20" s="45">
        <f t="shared" si="2"/>
        <v>3600000</v>
      </c>
      <c r="T20" s="67">
        <f t="shared" si="3"/>
        <v>9</v>
      </c>
      <c r="U20" s="76">
        <f t="shared" si="4"/>
        <v>400000</v>
      </c>
    </row>
    <row r="21" spans="1:21" x14ac:dyDescent="0.25">
      <c r="A21" s="42" t="s">
        <v>602</v>
      </c>
      <c r="B21" s="42">
        <v>2</v>
      </c>
      <c r="F21" s="349" t="s">
        <v>831</v>
      </c>
      <c r="G21">
        <v>41</v>
      </c>
      <c r="H21">
        <v>70</v>
      </c>
      <c r="I21" s="55">
        <v>14</v>
      </c>
      <c r="J21" s="56">
        <v>6</v>
      </c>
      <c r="K21" s="45">
        <v>336</v>
      </c>
      <c r="L21" s="45">
        <v>1000000</v>
      </c>
      <c r="M21" s="61">
        <v>3</v>
      </c>
      <c r="N21" s="68">
        <v>316900</v>
      </c>
      <c r="O21" s="45">
        <f t="shared" si="0"/>
        <v>1316900</v>
      </c>
      <c r="P21" s="66">
        <v>9</v>
      </c>
      <c r="Q21" s="76">
        <f t="shared" si="1"/>
        <v>146322.22222222222</v>
      </c>
      <c r="R21" s="45">
        <v>2400000</v>
      </c>
      <c r="S21" s="45">
        <f t="shared" si="2"/>
        <v>3400000</v>
      </c>
      <c r="T21" s="67">
        <f t="shared" si="3"/>
        <v>9</v>
      </c>
      <c r="U21" s="76">
        <f t="shared" si="4"/>
        <v>377777.77777777775</v>
      </c>
    </row>
    <row r="22" spans="1:21" x14ac:dyDescent="0.25">
      <c r="A22" s="42" t="s">
        <v>603</v>
      </c>
      <c r="B22" s="42">
        <v>1.5</v>
      </c>
      <c r="F22" s="349" t="s">
        <v>832</v>
      </c>
      <c r="G22">
        <v>38</v>
      </c>
      <c r="H22">
        <v>45</v>
      </c>
      <c r="I22" s="55">
        <v>16.399999999999999</v>
      </c>
      <c r="J22" s="56">
        <v>6</v>
      </c>
      <c r="K22" s="45">
        <v>900</v>
      </c>
      <c r="L22" s="45">
        <v>1500000</v>
      </c>
      <c r="M22" s="61">
        <v>3</v>
      </c>
      <c r="N22" s="45">
        <v>282000</v>
      </c>
      <c r="O22" s="45">
        <f t="shared" si="0"/>
        <v>1782000</v>
      </c>
      <c r="P22" s="66">
        <v>9</v>
      </c>
      <c r="Q22" s="76">
        <f t="shared" si="1"/>
        <v>198000</v>
      </c>
      <c r="R22" s="45">
        <v>2000000</v>
      </c>
      <c r="S22" s="45">
        <f t="shared" si="2"/>
        <v>3500000</v>
      </c>
      <c r="T22" s="67">
        <f t="shared" si="3"/>
        <v>9</v>
      </c>
      <c r="U22" s="76">
        <f t="shared" si="4"/>
        <v>388888.88888888888</v>
      </c>
    </row>
    <row r="23" spans="1:21" x14ac:dyDescent="0.25">
      <c r="A23" s="42" t="s">
        <v>604</v>
      </c>
      <c r="B23" s="42">
        <v>1.5</v>
      </c>
      <c r="I23" s="55">
        <v>0</v>
      </c>
      <c r="J23" s="56">
        <v>0</v>
      </c>
      <c r="K23" s="45"/>
      <c r="L23" s="45"/>
      <c r="M23" s="61">
        <v>3</v>
      </c>
      <c r="N23" s="45"/>
      <c r="O23" s="45">
        <f t="shared" si="0"/>
        <v>0</v>
      </c>
      <c r="P23" s="66">
        <v>9</v>
      </c>
      <c r="Q23" s="76">
        <f t="shared" si="1"/>
        <v>0</v>
      </c>
      <c r="R23" s="45"/>
      <c r="S23" s="45">
        <f t="shared" si="2"/>
        <v>0</v>
      </c>
      <c r="T23" s="67">
        <f t="shared" si="3"/>
        <v>9</v>
      </c>
      <c r="U23" s="76">
        <f t="shared" si="4"/>
        <v>0</v>
      </c>
    </row>
    <row r="24" spans="1:21" x14ac:dyDescent="0.25">
      <c r="A24" s="42" t="s">
        <v>605</v>
      </c>
      <c r="B24" s="42">
        <v>1.5</v>
      </c>
      <c r="I24" s="55">
        <v>0</v>
      </c>
      <c r="J24" s="56">
        <v>0</v>
      </c>
      <c r="K24" s="45"/>
      <c r="L24" s="45"/>
      <c r="M24" s="61">
        <v>3</v>
      </c>
      <c r="N24" s="45"/>
      <c r="O24" s="45">
        <f t="shared" si="0"/>
        <v>0</v>
      </c>
      <c r="P24" s="66">
        <v>9</v>
      </c>
      <c r="Q24" s="76">
        <f t="shared" si="1"/>
        <v>0</v>
      </c>
      <c r="R24" s="45"/>
      <c r="S24" s="45">
        <f t="shared" si="2"/>
        <v>0</v>
      </c>
      <c r="T24" s="67">
        <f t="shared" si="3"/>
        <v>9</v>
      </c>
      <c r="U24" s="76">
        <f t="shared" si="4"/>
        <v>0</v>
      </c>
    </row>
    <row r="25" spans="1:21" x14ac:dyDescent="0.25">
      <c r="A25" s="42" t="s">
        <v>606</v>
      </c>
      <c r="B25" s="42">
        <v>1.5</v>
      </c>
      <c r="I25" s="55">
        <v>0</v>
      </c>
      <c r="J25" s="56">
        <v>0</v>
      </c>
      <c r="K25" s="45"/>
      <c r="L25" s="45"/>
      <c r="M25" s="61">
        <v>3</v>
      </c>
      <c r="N25" s="45"/>
      <c r="O25" s="45">
        <f t="shared" si="0"/>
        <v>0</v>
      </c>
      <c r="P25" s="66">
        <v>9</v>
      </c>
      <c r="Q25" s="76">
        <f t="shared" si="1"/>
        <v>0</v>
      </c>
      <c r="R25" s="45"/>
      <c r="S25" s="45">
        <f t="shared" si="2"/>
        <v>0</v>
      </c>
      <c r="T25" s="67">
        <f t="shared" si="3"/>
        <v>9</v>
      </c>
      <c r="U25" s="76">
        <f t="shared" si="4"/>
        <v>0</v>
      </c>
    </row>
    <row r="26" spans="1:21" x14ac:dyDescent="0.25">
      <c r="A26" s="42" t="s">
        <v>607</v>
      </c>
      <c r="B26" s="42">
        <v>1.5</v>
      </c>
      <c r="I26" s="55">
        <v>0</v>
      </c>
      <c r="J26" s="56">
        <v>0</v>
      </c>
      <c r="K26" s="45"/>
      <c r="L26" s="45"/>
      <c r="M26" s="61">
        <v>3</v>
      </c>
      <c r="N26" s="68"/>
      <c r="O26" s="45">
        <f t="shared" si="0"/>
        <v>0</v>
      </c>
      <c r="P26" s="66">
        <v>9</v>
      </c>
      <c r="Q26" s="76">
        <f t="shared" si="1"/>
        <v>0</v>
      </c>
      <c r="R26" s="45"/>
      <c r="S26" s="45">
        <f t="shared" si="2"/>
        <v>0</v>
      </c>
      <c r="T26" s="67">
        <f t="shared" si="3"/>
        <v>9</v>
      </c>
      <c r="U26" s="76">
        <f t="shared" si="4"/>
        <v>0</v>
      </c>
    </row>
    <row r="27" spans="1:21" x14ac:dyDescent="0.25">
      <c r="A27" s="42"/>
      <c r="B27" s="42"/>
      <c r="I27" s="55">
        <v>0</v>
      </c>
      <c r="J27" s="56">
        <v>0</v>
      </c>
      <c r="K27" s="45"/>
      <c r="L27" s="45"/>
      <c r="M27" s="61">
        <v>3</v>
      </c>
      <c r="N27" s="45"/>
      <c r="O27" s="45">
        <f t="shared" si="0"/>
        <v>0</v>
      </c>
      <c r="P27" s="66">
        <v>9</v>
      </c>
      <c r="Q27" s="76">
        <f t="shared" si="1"/>
        <v>0</v>
      </c>
      <c r="R27" s="45"/>
      <c r="S27" s="45">
        <f t="shared" si="2"/>
        <v>0</v>
      </c>
      <c r="T27" s="67">
        <f t="shared" si="3"/>
        <v>9</v>
      </c>
      <c r="U27" s="76">
        <f t="shared" si="4"/>
        <v>0</v>
      </c>
    </row>
    <row r="28" spans="1:21" x14ac:dyDescent="0.25">
      <c r="A28" s="13" t="s">
        <v>608</v>
      </c>
      <c r="B28" s="13" t="s">
        <v>609</v>
      </c>
      <c r="I28" s="55">
        <v>0</v>
      </c>
      <c r="J28" s="56">
        <v>0</v>
      </c>
      <c r="K28" s="45"/>
      <c r="L28" s="45"/>
      <c r="M28" s="61">
        <v>3</v>
      </c>
      <c r="N28" s="45"/>
      <c r="O28" s="45">
        <f t="shared" si="0"/>
        <v>0</v>
      </c>
      <c r="P28" s="66">
        <v>9</v>
      </c>
      <c r="Q28" s="76">
        <f t="shared" si="1"/>
        <v>0</v>
      </c>
      <c r="R28" s="45"/>
      <c r="S28" s="45">
        <f t="shared" si="2"/>
        <v>0</v>
      </c>
      <c r="T28" s="67">
        <f t="shared" si="3"/>
        <v>9</v>
      </c>
      <c r="U28" s="76">
        <f t="shared" si="4"/>
        <v>0</v>
      </c>
    </row>
    <row r="29" spans="1:21" x14ac:dyDescent="0.25">
      <c r="A29" s="42" t="s">
        <v>610</v>
      </c>
      <c r="B29" s="29">
        <v>9.5</v>
      </c>
      <c r="I29" s="55">
        <v>0</v>
      </c>
      <c r="J29" s="56">
        <v>0</v>
      </c>
      <c r="K29" s="45"/>
      <c r="L29" s="45"/>
      <c r="M29" s="61">
        <v>3</v>
      </c>
      <c r="N29" s="45"/>
      <c r="O29" s="45">
        <f t="shared" si="0"/>
        <v>0</v>
      </c>
      <c r="P29" s="66">
        <v>9</v>
      </c>
      <c r="Q29" s="76">
        <f t="shared" si="1"/>
        <v>0</v>
      </c>
      <c r="R29" s="45"/>
      <c r="S29" s="45">
        <f t="shared" si="2"/>
        <v>0</v>
      </c>
      <c r="T29" s="67">
        <f t="shared" si="3"/>
        <v>9</v>
      </c>
      <c r="U29" s="76">
        <f t="shared" si="4"/>
        <v>0</v>
      </c>
    </row>
    <row r="30" spans="1:21" x14ac:dyDescent="0.25">
      <c r="A30" s="42" t="s">
        <v>611</v>
      </c>
      <c r="B30" s="29">
        <v>8</v>
      </c>
      <c r="I30" s="55">
        <v>0</v>
      </c>
      <c r="J30" s="56">
        <v>0</v>
      </c>
      <c r="K30" s="45"/>
      <c r="L30" s="45"/>
      <c r="M30" s="61">
        <v>3</v>
      </c>
      <c r="N30" s="45"/>
      <c r="O30" s="45">
        <f t="shared" si="0"/>
        <v>0</v>
      </c>
      <c r="P30" s="66">
        <v>9</v>
      </c>
      <c r="Q30" s="76">
        <f t="shared" si="1"/>
        <v>0</v>
      </c>
      <c r="R30" s="45"/>
      <c r="S30" s="45">
        <f t="shared" si="2"/>
        <v>0</v>
      </c>
      <c r="T30" s="67">
        <f t="shared" si="3"/>
        <v>9</v>
      </c>
      <c r="U30" s="76">
        <f t="shared" si="4"/>
        <v>0</v>
      </c>
    </row>
    <row r="31" spans="1:21" x14ac:dyDescent="0.25">
      <c r="A31" s="42" t="s">
        <v>612</v>
      </c>
      <c r="B31" s="29">
        <f>B30-1.5</f>
        <v>6.5</v>
      </c>
      <c r="I31" s="55">
        <v>0</v>
      </c>
      <c r="J31" s="56">
        <v>0</v>
      </c>
      <c r="K31" s="45"/>
      <c r="L31" s="45"/>
      <c r="M31" s="61">
        <v>3</v>
      </c>
      <c r="N31" s="68"/>
      <c r="O31" s="45">
        <f t="shared" si="0"/>
        <v>0</v>
      </c>
      <c r="P31" s="66">
        <v>9</v>
      </c>
      <c r="Q31" s="76">
        <f t="shared" si="1"/>
        <v>0</v>
      </c>
      <c r="R31" s="45"/>
      <c r="S31" s="45">
        <f t="shared" si="2"/>
        <v>0</v>
      </c>
      <c r="T31" s="67">
        <f t="shared" si="3"/>
        <v>9</v>
      </c>
      <c r="U31" s="76">
        <f t="shared" si="4"/>
        <v>0</v>
      </c>
    </row>
    <row r="32" spans="1:21" x14ac:dyDescent="0.25">
      <c r="A32" s="42" t="s">
        <v>613</v>
      </c>
      <c r="B32" s="29">
        <f>B31-1.5</f>
        <v>5</v>
      </c>
      <c r="I32" s="55">
        <v>0</v>
      </c>
      <c r="J32" s="56">
        <v>0</v>
      </c>
      <c r="K32" s="45"/>
      <c r="L32" s="45"/>
      <c r="M32" s="61">
        <v>3</v>
      </c>
      <c r="N32" s="45"/>
      <c r="O32" s="45">
        <f t="shared" si="0"/>
        <v>0</v>
      </c>
      <c r="P32" s="66">
        <v>9</v>
      </c>
      <c r="Q32" s="76">
        <f t="shared" si="1"/>
        <v>0</v>
      </c>
      <c r="R32" s="45"/>
      <c r="S32" s="45">
        <f t="shared" si="2"/>
        <v>0</v>
      </c>
      <c r="T32" s="67">
        <f t="shared" si="3"/>
        <v>9</v>
      </c>
      <c r="U32" s="76">
        <f t="shared" si="4"/>
        <v>0</v>
      </c>
    </row>
    <row r="33" spans="1:21" x14ac:dyDescent="0.25">
      <c r="A33" s="42" t="s">
        <v>614</v>
      </c>
      <c r="B33" s="29">
        <f>2+1.5</f>
        <v>3.5</v>
      </c>
      <c r="I33" s="55">
        <v>0</v>
      </c>
      <c r="J33" s="56">
        <v>0</v>
      </c>
      <c r="K33" s="45"/>
      <c r="L33" s="45"/>
      <c r="M33" s="61">
        <v>3</v>
      </c>
      <c r="N33" s="45"/>
      <c r="O33" s="45">
        <f t="shared" si="0"/>
        <v>0</v>
      </c>
      <c r="P33" s="66">
        <v>9</v>
      </c>
      <c r="Q33" s="76">
        <f t="shared" si="1"/>
        <v>0</v>
      </c>
      <c r="R33" s="45"/>
      <c r="S33" s="45">
        <f t="shared" si="2"/>
        <v>0</v>
      </c>
      <c r="T33" s="67">
        <f t="shared" si="3"/>
        <v>9</v>
      </c>
      <c r="U33" s="76">
        <f t="shared" si="4"/>
        <v>0</v>
      </c>
    </row>
    <row r="34" spans="1:21" x14ac:dyDescent="0.25">
      <c r="A34" s="42" t="s">
        <v>615</v>
      </c>
      <c r="B34" s="29">
        <v>2</v>
      </c>
      <c r="I34" s="55">
        <v>0</v>
      </c>
      <c r="J34" s="56">
        <v>0</v>
      </c>
      <c r="K34" s="45"/>
      <c r="L34" s="45"/>
      <c r="M34" s="61">
        <v>3</v>
      </c>
      <c r="N34" s="45"/>
      <c r="O34" s="45">
        <f t="shared" ref="O34:O65" si="5">L34+N34</f>
        <v>0</v>
      </c>
      <c r="P34" s="66">
        <v>9</v>
      </c>
      <c r="Q34" s="76">
        <f t="shared" ref="Q34:Q65" si="6">O34/P34</f>
        <v>0</v>
      </c>
      <c r="R34" s="45"/>
      <c r="S34" s="45">
        <f t="shared" ref="S34:S65" si="7">R34+L34</f>
        <v>0</v>
      </c>
      <c r="T34" s="67">
        <f t="shared" ref="T34:T65" si="8">P34</f>
        <v>9</v>
      </c>
      <c r="U34" s="76">
        <f t="shared" ref="U34:U65" si="9">S34/T34</f>
        <v>0</v>
      </c>
    </row>
    <row r="35" spans="1:21" x14ac:dyDescent="0.25">
      <c r="A35" s="42" t="s">
        <v>616</v>
      </c>
      <c r="B35" s="29">
        <v>1</v>
      </c>
      <c r="I35" s="55">
        <v>0</v>
      </c>
      <c r="J35" s="56">
        <v>0</v>
      </c>
      <c r="K35" s="45"/>
      <c r="L35" s="45"/>
      <c r="M35" s="61">
        <v>3</v>
      </c>
      <c r="N35" s="45"/>
      <c r="O35" s="45">
        <f t="shared" si="5"/>
        <v>0</v>
      </c>
      <c r="P35" s="66">
        <v>9</v>
      </c>
      <c r="Q35" s="76">
        <f t="shared" si="6"/>
        <v>0</v>
      </c>
      <c r="R35" s="45"/>
      <c r="S35" s="45">
        <f t="shared" si="7"/>
        <v>0</v>
      </c>
      <c r="T35" s="67">
        <f t="shared" si="8"/>
        <v>9</v>
      </c>
      <c r="U35" s="76">
        <f t="shared" si="9"/>
        <v>0</v>
      </c>
    </row>
    <row r="36" spans="1:21" x14ac:dyDescent="0.25">
      <c r="I36" s="55">
        <v>0</v>
      </c>
      <c r="J36" s="56">
        <v>0</v>
      </c>
      <c r="K36" s="45"/>
      <c r="L36" s="45"/>
      <c r="M36" s="61">
        <v>3</v>
      </c>
      <c r="N36" s="68"/>
      <c r="O36" s="45">
        <f t="shared" si="5"/>
        <v>0</v>
      </c>
      <c r="P36" s="66">
        <v>9</v>
      </c>
      <c r="Q36" s="76">
        <f t="shared" si="6"/>
        <v>0</v>
      </c>
      <c r="R36" s="45"/>
      <c r="S36" s="45">
        <f t="shared" si="7"/>
        <v>0</v>
      </c>
      <c r="T36" s="67">
        <f t="shared" si="8"/>
        <v>9</v>
      </c>
      <c r="U36" s="76">
        <f t="shared" si="9"/>
        <v>0</v>
      </c>
    </row>
    <row r="37" spans="1:21" x14ac:dyDescent="0.25">
      <c r="I37" s="55">
        <v>0</v>
      </c>
      <c r="J37" s="56">
        <v>0</v>
      </c>
      <c r="K37" s="45"/>
      <c r="L37" s="45"/>
      <c r="M37" s="61">
        <v>3</v>
      </c>
      <c r="N37" s="45"/>
      <c r="O37" s="45">
        <f t="shared" si="5"/>
        <v>0</v>
      </c>
      <c r="P37" s="66">
        <v>9</v>
      </c>
      <c r="Q37" s="76">
        <f t="shared" si="6"/>
        <v>0</v>
      </c>
      <c r="R37" s="45"/>
      <c r="S37" s="45">
        <f t="shared" si="7"/>
        <v>0</v>
      </c>
      <c r="T37" s="67">
        <f t="shared" si="8"/>
        <v>9</v>
      </c>
      <c r="U37" s="76">
        <f t="shared" si="9"/>
        <v>0</v>
      </c>
    </row>
    <row r="38" spans="1:21" x14ac:dyDescent="0.25">
      <c r="I38" s="55">
        <v>0</v>
      </c>
      <c r="J38" s="56">
        <v>0</v>
      </c>
      <c r="K38" s="45"/>
      <c r="L38" s="45"/>
      <c r="M38" s="61">
        <v>3</v>
      </c>
      <c r="N38" s="45"/>
      <c r="O38" s="45">
        <f t="shared" si="5"/>
        <v>0</v>
      </c>
      <c r="P38" s="66">
        <v>9</v>
      </c>
      <c r="Q38" s="76">
        <f t="shared" si="6"/>
        <v>0</v>
      </c>
      <c r="R38" s="45"/>
      <c r="S38" s="45">
        <f t="shared" si="7"/>
        <v>0</v>
      </c>
      <c r="T38" s="67">
        <f t="shared" si="8"/>
        <v>9</v>
      </c>
      <c r="U38" s="76">
        <f t="shared" si="9"/>
        <v>0</v>
      </c>
    </row>
    <row r="39" spans="1:21" x14ac:dyDescent="0.25">
      <c r="I39" s="55">
        <v>0</v>
      </c>
      <c r="J39" s="56">
        <v>0</v>
      </c>
      <c r="K39" s="45"/>
      <c r="L39" s="45"/>
      <c r="M39" s="61">
        <v>3</v>
      </c>
      <c r="N39" s="45"/>
      <c r="O39" s="45">
        <f t="shared" si="5"/>
        <v>0</v>
      </c>
      <c r="P39" s="66">
        <v>9</v>
      </c>
      <c r="Q39" s="76">
        <f t="shared" si="6"/>
        <v>0</v>
      </c>
      <c r="R39" s="45"/>
      <c r="S39" s="45">
        <f t="shared" si="7"/>
        <v>0</v>
      </c>
      <c r="T39" s="67">
        <f t="shared" si="8"/>
        <v>9</v>
      </c>
      <c r="U39" s="76">
        <f t="shared" si="9"/>
        <v>0</v>
      </c>
    </row>
    <row r="40" spans="1:21" x14ac:dyDescent="0.25">
      <c r="I40" s="55">
        <v>0</v>
      </c>
      <c r="J40" s="56">
        <v>0</v>
      </c>
      <c r="K40" s="45"/>
      <c r="L40" s="45"/>
      <c r="M40" s="61">
        <v>3</v>
      </c>
      <c r="N40" s="45"/>
      <c r="O40" s="45">
        <f t="shared" si="5"/>
        <v>0</v>
      </c>
      <c r="P40" s="66">
        <v>9</v>
      </c>
      <c r="Q40" s="76">
        <f t="shared" si="6"/>
        <v>0</v>
      </c>
      <c r="R40" s="45"/>
      <c r="S40" s="45">
        <f t="shared" si="7"/>
        <v>0</v>
      </c>
      <c r="T40" s="67">
        <f t="shared" si="8"/>
        <v>9</v>
      </c>
      <c r="U40" s="76">
        <f t="shared" si="9"/>
        <v>0</v>
      </c>
    </row>
    <row r="41" spans="1:21" x14ac:dyDescent="0.25">
      <c r="I41" s="55">
        <v>0</v>
      </c>
      <c r="J41" s="56">
        <v>0</v>
      </c>
      <c r="K41" s="45"/>
      <c r="L41" s="45"/>
      <c r="M41" s="61">
        <v>3</v>
      </c>
      <c r="N41" s="68"/>
      <c r="O41" s="45">
        <f t="shared" si="5"/>
        <v>0</v>
      </c>
      <c r="P41" s="66">
        <v>9</v>
      </c>
      <c r="Q41" s="76">
        <f t="shared" si="6"/>
        <v>0</v>
      </c>
      <c r="R41" s="45"/>
      <c r="S41" s="45">
        <f t="shared" si="7"/>
        <v>0</v>
      </c>
      <c r="T41" s="67">
        <f t="shared" si="8"/>
        <v>9</v>
      </c>
      <c r="U41" s="76">
        <f t="shared" si="9"/>
        <v>0</v>
      </c>
    </row>
    <row r="42" spans="1:21" x14ac:dyDescent="0.25">
      <c r="I42" s="55">
        <v>0</v>
      </c>
      <c r="J42" s="56">
        <v>0</v>
      </c>
      <c r="K42" s="45"/>
      <c r="L42" s="45"/>
      <c r="M42" s="61">
        <v>3</v>
      </c>
      <c r="N42" s="45"/>
      <c r="O42" s="45">
        <f t="shared" si="5"/>
        <v>0</v>
      </c>
      <c r="P42" s="66">
        <v>9</v>
      </c>
      <c r="Q42" s="76">
        <f t="shared" si="6"/>
        <v>0</v>
      </c>
      <c r="R42" s="45"/>
      <c r="S42" s="45">
        <f t="shared" si="7"/>
        <v>0</v>
      </c>
      <c r="T42" s="67">
        <f t="shared" si="8"/>
        <v>9</v>
      </c>
      <c r="U42" s="76">
        <f t="shared" si="9"/>
        <v>0</v>
      </c>
    </row>
    <row r="43" spans="1:21" x14ac:dyDescent="0.25">
      <c r="I43" s="55">
        <v>0</v>
      </c>
      <c r="J43" s="56">
        <v>0</v>
      </c>
      <c r="K43" s="45"/>
      <c r="L43" s="45"/>
      <c r="M43" s="61">
        <v>3</v>
      </c>
      <c r="N43" s="45"/>
      <c r="O43" s="45">
        <f t="shared" si="5"/>
        <v>0</v>
      </c>
      <c r="P43" s="66">
        <v>9</v>
      </c>
      <c r="Q43" s="76">
        <f t="shared" si="6"/>
        <v>0</v>
      </c>
      <c r="R43" s="45"/>
      <c r="S43" s="45">
        <f t="shared" si="7"/>
        <v>0</v>
      </c>
      <c r="T43" s="67">
        <f t="shared" si="8"/>
        <v>9</v>
      </c>
      <c r="U43" s="76">
        <f t="shared" si="9"/>
        <v>0</v>
      </c>
    </row>
    <row r="44" spans="1:21" x14ac:dyDescent="0.25">
      <c r="I44" s="55">
        <v>0</v>
      </c>
      <c r="J44" s="56">
        <v>0</v>
      </c>
      <c r="K44" s="45"/>
      <c r="L44" s="45"/>
      <c r="M44" s="61">
        <v>3</v>
      </c>
      <c r="N44" s="45"/>
      <c r="O44" s="45">
        <f t="shared" si="5"/>
        <v>0</v>
      </c>
      <c r="P44" s="66">
        <v>9</v>
      </c>
      <c r="Q44" s="76">
        <f t="shared" si="6"/>
        <v>0</v>
      </c>
      <c r="R44" s="45"/>
      <c r="S44" s="45">
        <f t="shared" si="7"/>
        <v>0</v>
      </c>
      <c r="T44" s="67">
        <f t="shared" si="8"/>
        <v>9</v>
      </c>
      <c r="U44" s="76">
        <f t="shared" si="9"/>
        <v>0</v>
      </c>
    </row>
    <row r="45" spans="1:21" x14ac:dyDescent="0.25">
      <c r="I45" s="55">
        <v>0</v>
      </c>
      <c r="J45" s="56">
        <v>0</v>
      </c>
      <c r="K45" s="45"/>
      <c r="L45" s="45"/>
      <c r="M45" s="61">
        <v>3</v>
      </c>
      <c r="N45" s="45"/>
      <c r="O45" s="45">
        <f t="shared" si="5"/>
        <v>0</v>
      </c>
      <c r="P45" s="66">
        <v>9</v>
      </c>
      <c r="Q45" s="76">
        <f t="shared" si="6"/>
        <v>0</v>
      </c>
      <c r="R45" s="45"/>
      <c r="S45" s="45">
        <f t="shared" si="7"/>
        <v>0</v>
      </c>
      <c r="T45" s="67">
        <f t="shared" si="8"/>
        <v>9</v>
      </c>
      <c r="U45" s="76">
        <f t="shared" si="9"/>
        <v>0</v>
      </c>
    </row>
    <row r="46" spans="1:21" x14ac:dyDescent="0.25">
      <c r="I46" s="55">
        <v>0</v>
      </c>
      <c r="J46" s="56">
        <v>0</v>
      </c>
      <c r="K46" s="45"/>
      <c r="L46" s="45"/>
      <c r="M46" s="61">
        <v>3</v>
      </c>
      <c r="N46" s="45"/>
      <c r="O46" s="45">
        <f t="shared" si="5"/>
        <v>0</v>
      </c>
      <c r="P46" s="66">
        <v>9</v>
      </c>
      <c r="Q46" s="76">
        <f t="shared" si="6"/>
        <v>0</v>
      </c>
      <c r="R46" s="45"/>
      <c r="S46" s="45">
        <f t="shared" si="7"/>
        <v>0</v>
      </c>
      <c r="T46" s="67">
        <f t="shared" si="8"/>
        <v>9</v>
      </c>
      <c r="U46" s="76">
        <f t="shared" si="9"/>
        <v>0</v>
      </c>
    </row>
    <row r="47" spans="1:21" x14ac:dyDescent="0.25">
      <c r="I47" s="55">
        <v>0</v>
      </c>
      <c r="J47" s="56">
        <v>0</v>
      </c>
      <c r="K47" s="45"/>
      <c r="L47" s="45"/>
      <c r="M47" s="61">
        <v>3</v>
      </c>
      <c r="N47" s="68"/>
      <c r="O47" s="45">
        <f t="shared" si="5"/>
        <v>0</v>
      </c>
      <c r="P47" s="66">
        <v>9</v>
      </c>
      <c r="Q47" s="76">
        <f t="shared" si="6"/>
        <v>0</v>
      </c>
      <c r="R47" s="45"/>
      <c r="S47" s="45">
        <f t="shared" si="7"/>
        <v>0</v>
      </c>
      <c r="T47" s="67">
        <f t="shared" si="8"/>
        <v>9</v>
      </c>
      <c r="U47" s="76">
        <f t="shared" si="9"/>
        <v>0</v>
      </c>
    </row>
    <row r="48" spans="1:21" x14ac:dyDescent="0.25">
      <c r="I48" s="55">
        <v>0</v>
      </c>
      <c r="J48" s="56">
        <v>0</v>
      </c>
      <c r="K48" s="45"/>
      <c r="L48" s="45"/>
      <c r="M48" s="61">
        <v>3</v>
      </c>
      <c r="N48" s="45"/>
      <c r="O48" s="45">
        <f t="shared" si="5"/>
        <v>0</v>
      </c>
      <c r="P48" s="66">
        <v>9</v>
      </c>
      <c r="Q48" s="76">
        <f t="shared" si="6"/>
        <v>0</v>
      </c>
      <c r="R48" s="45"/>
      <c r="S48" s="45">
        <f t="shared" si="7"/>
        <v>0</v>
      </c>
      <c r="T48" s="67">
        <f t="shared" si="8"/>
        <v>9</v>
      </c>
      <c r="U48" s="76">
        <f t="shared" si="9"/>
        <v>0</v>
      </c>
    </row>
    <row r="49" spans="1:21" x14ac:dyDescent="0.25">
      <c r="I49" s="55">
        <v>0</v>
      </c>
      <c r="J49" s="56">
        <v>0</v>
      </c>
      <c r="K49" s="45"/>
      <c r="L49" s="45"/>
      <c r="M49" s="61">
        <v>3</v>
      </c>
      <c r="N49" s="45"/>
      <c r="O49" s="45">
        <f t="shared" si="5"/>
        <v>0</v>
      </c>
      <c r="P49" s="66">
        <v>9</v>
      </c>
      <c r="Q49" s="76">
        <f t="shared" si="6"/>
        <v>0</v>
      </c>
      <c r="R49" s="45"/>
      <c r="S49" s="45">
        <f t="shared" si="7"/>
        <v>0</v>
      </c>
      <c r="T49" s="67">
        <f t="shared" si="8"/>
        <v>9</v>
      </c>
      <c r="U49" s="76">
        <f t="shared" si="9"/>
        <v>0</v>
      </c>
    </row>
    <row r="50" spans="1:21" x14ac:dyDescent="0.25">
      <c r="A50" s="23"/>
      <c r="I50" s="55">
        <v>0</v>
      </c>
      <c r="J50" s="56">
        <v>0</v>
      </c>
      <c r="K50" s="45"/>
      <c r="L50" s="45"/>
      <c r="M50" s="61">
        <v>3</v>
      </c>
      <c r="N50" s="45"/>
      <c r="O50" s="45">
        <f t="shared" si="5"/>
        <v>0</v>
      </c>
      <c r="P50" s="66">
        <v>9</v>
      </c>
      <c r="Q50" s="76">
        <f t="shared" si="6"/>
        <v>0</v>
      </c>
      <c r="R50" s="45"/>
      <c r="S50" s="45">
        <f t="shared" si="7"/>
        <v>0</v>
      </c>
      <c r="T50" s="67">
        <f t="shared" si="8"/>
        <v>9</v>
      </c>
      <c r="U50" s="76">
        <f t="shared" si="9"/>
        <v>0</v>
      </c>
    </row>
    <row r="51" spans="1:21" x14ac:dyDescent="0.25">
      <c r="A51" s="23"/>
      <c r="I51" s="55">
        <v>0</v>
      </c>
      <c r="J51" s="56">
        <v>0</v>
      </c>
      <c r="K51" s="45"/>
      <c r="L51" s="45"/>
      <c r="M51" s="61">
        <v>3</v>
      </c>
      <c r="N51" s="45"/>
      <c r="O51" s="45">
        <f t="shared" si="5"/>
        <v>0</v>
      </c>
      <c r="P51" s="66">
        <v>9</v>
      </c>
      <c r="Q51" s="76">
        <f t="shared" si="6"/>
        <v>0</v>
      </c>
      <c r="R51" s="45"/>
      <c r="S51" s="45">
        <f t="shared" si="7"/>
        <v>0</v>
      </c>
      <c r="T51" s="67">
        <f t="shared" si="8"/>
        <v>9</v>
      </c>
      <c r="U51" s="76">
        <f t="shared" si="9"/>
        <v>0</v>
      </c>
    </row>
    <row r="52" spans="1:21" x14ac:dyDescent="0.25">
      <c r="A52" s="23"/>
      <c r="I52" s="55">
        <v>0</v>
      </c>
      <c r="J52" s="56">
        <v>0</v>
      </c>
      <c r="K52" s="45"/>
      <c r="L52" s="45"/>
      <c r="M52" s="61">
        <v>3</v>
      </c>
      <c r="N52" s="68"/>
      <c r="O52" s="45">
        <f t="shared" si="5"/>
        <v>0</v>
      </c>
      <c r="P52" s="66">
        <v>9</v>
      </c>
      <c r="Q52" s="76">
        <f t="shared" si="6"/>
        <v>0</v>
      </c>
      <c r="R52" s="45"/>
      <c r="S52" s="45">
        <f t="shared" si="7"/>
        <v>0</v>
      </c>
      <c r="T52" s="67">
        <f t="shared" si="8"/>
        <v>9</v>
      </c>
      <c r="U52" s="76">
        <f t="shared" si="9"/>
        <v>0</v>
      </c>
    </row>
    <row r="53" spans="1:21" x14ac:dyDescent="0.25">
      <c r="I53" s="55">
        <v>0</v>
      </c>
      <c r="J53" s="56">
        <v>0</v>
      </c>
      <c r="K53" s="45"/>
      <c r="L53" s="45"/>
      <c r="M53" s="61">
        <v>3</v>
      </c>
      <c r="N53" s="45"/>
      <c r="O53" s="45">
        <f t="shared" si="5"/>
        <v>0</v>
      </c>
      <c r="P53" s="66">
        <v>9</v>
      </c>
      <c r="Q53" s="76">
        <f t="shared" si="6"/>
        <v>0</v>
      </c>
      <c r="R53" s="45"/>
      <c r="S53" s="45">
        <f t="shared" si="7"/>
        <v>0</v>
      </c>
      <c r="T53" s="67">
        <f t="shared" si="8"/>
        <v>9</v>
      </c>
      <c r="U53" s="76">
        <f t="shared" si="9"/>
        <v>0</v>
      </c>
    </row>
    <row r="54" spans="1:21" x14ac:dyDescent="0.25">
      <c r="I54" s="55">
        <v>0</v>
      </c>
      <c r="J54" s="56">
        <v>0</v>
      </c>
      <c r="K54" s="45"/>
      <c r="L54" s="45"/>
      <c r="M54" s="61">
        <v>3</v>
      </c>
      <c r="N54" s="45"/>
      <c r="O54" s="45">
        <f t="shared" si="5"/>
        <v>0</v>
      </c>
      <c r="P54" s="66">
        <v>9</v>
      </c>
      <c r="Q54" s="76">
        <f t="shared" si="6"/>
        <v>0</v>
      </c>
      <c r="R54" s="45"/>
      <c r="S54" s="45">
        <f t="shared" si="7"/>
        <v>0</v>
      </c>
      <c r="T54" s="67">
        <f t="shared" si="8"/>
        <v>9</v>
      </c>
      <c r="U54" s="76">
        <f t="shared" si="9"/>
        <v>0</v>
      </c>
    </row>
    <row r="55" spans="1:21" x14ac:dyDescent="0.25">
      <c r="I55" s="55">
        <v>0</v>
      </c>
      <c r="J55" s="56">
        <v>0</v>
      </c>
      <c r="K55" s="45"/>
      <c r="L55" s="45"/>
      <c r="M55" s="61">
        <v>3</v>
      </c>
      <c r="N55" s="45"/>
      <c r="O55" s="45">
        <f t="shared" si="5"/>
        <v>0</v>
      </c>
      <c r="P55" s="66">
        <v>9</v>
      </c>
      <c r="Q55" s="76">
        <f t="shared" si="6"/>
        <v>0</v>
      </c>
      <c r="R55" s="45"/>
      <c r="S55" s="45">
        <f t="shared" si="7"/>
        <v>0</v>
      </c>
      <c r="T55" s="67">
        <f t="shared" si="8"/>
        <v>9</v>
      </c>
      <c r="U55" s="76">
        <f t="shared" si="9"/>
        <v>0</v>
      </c>
    </row>
    <row r="56" spans="1:21" x14ac:dyDescent="0.25">
      <c r="I56" s="55">
        <v>0</v>
      </c>
      <c r="J56" s="56">
        <v>0</v>
      </c>
      <c r="K56" s="45"/>
      <c r="L56" s="45"/>
      <c r="M56" s="61">
        <v>3</v>
      </c>
      <c r="N56" s="45"/>
      <c r="O56" s="45">
        <f t="shared" si="5"/>
        <v>0</v>
      </c>
      <c r="P56" s="66">
        <v>9</v>
      </c>
      <c r="Q56" s="76">
        <f t="shared" si="6"/>
        <v>0</v>
      </c>
      <c r="R56" s="45"/>
      <c r="S56" s="45">
        <f t="shared" si="7"/>
        <v>0</v>
      </c>
      <c r="T56" s="67">
        <f t="shared" si="8"/>
        <v>9</v>
      </c>
      <c r="U56" s="76">
        <f t="shared" si="9"/>
        <v>0</v>
      </c>
    </row>
    <row r="57" spans="1:21" x14ac:dyDescent="0.25">
      <c r="A57" s="23"/>
      <c r="I57" s="55">
        <v>0</v>
      </c>
      <c r="J57" s="56">
        <v>0</v>
      </c>
      <c r="K57" s="45"/>
      <c r="L57" s="45"/>
      <c r="M57" s="61">
        <v>3</v>
      </c>
      <c r="N57" s="45"/>
      <c r="O57" s="45">
        <f t="shared" si="5"/>
        <v>0</v>
      </c>
      <c r="P57" s="66">
        <v>9</v>
      </c>
      <c r="Q57" s="76">
        <f t="shared" si="6"/>
        <v>0</v>
      </c>
      <c r="R57" s="45"/>
      <c r="S57" s="45">
        <f t="shared" si="7"/>
        <v>0</v>
      </c>
      <c r="T57" s="67">
        <f t="shared" si="8"/>
        <v>9</v>
      </c>
      <c r="U57" s="76">
        <f t="shared" si="9"/>
        <v>0</v>
      </c>
    </row>
    <row r="58" spans="1:21" x14ac:dyDescent="0.25">
      <c r="A58" s="23"/>
      <c r="I58" s="55">
        <v>0</v>
      </c>
      <c r="J58" s="56">
        <v>0</v>
      </c>
      <c r="K58" s="45"/>
      <c r="L58" s="45"/>
      <c r="M58" s="61">
        <v>3</v>
      </c>
      <c r="N58" s="68"/>
      <c r="O58" s="45">
        <f t="shared" si="5"/>
        <v>0</v>
      </c>
      <c r="P58" s="66">
        <v>9</v>
      </c>
      <c r="Q58" s="76">
        <f t="shared" si="6"/>
        <v>0</v>
      </c>
      <c r="R58" s="45"/>
      <c r="S58" s="45">
        <f t="shared" si="7"/>
        <v>0</v>
      </c>
      <c r="T58" s="67">
        <f t="shared" si="8"/>
        <v>9</v>
      </c>
      <c r="U58" s="76">
        <f t="shared" si="9"/>
        <v>0</v>
      </c>
    </row>
    <row r="59" spans="1:21" x14ac:dyDescent="0.25">
      <c r="A59" s="23"/>
      <c r="I59" s="55">
        <v>0</v>
      </c>
      <c r="J59" s="56">
        <v>0</v>
      </c>
      <c r="K59" s="45"/>
      <c r="L59" s="45"/>
      <c r="M59" s="61">
        <v>3</v>
      </c>
      <c r="N59" s="45"/>
      <c r="O59" s="45">
        <f t="shared" si="5"/>
        <v>0</v>
      </c>
      <c r="P59" s="66">
        <v>9</v>
      </c>
      <c r="Q59" s="76">
        <f t="shared" si="6"/>
        <v>0</v>
      </c>
      <c r="R59" s="45"/>
      <c r="S59" s="45">
        <f t="shared" si="7"/>
        <v>0</v>
      </c>
      <c r="T59" s="67">
        <f t="shared" si="8"/>
        <v>9</v>
      </c>
      <c r="U59" s="76">
        <f t="shared" si="9"/>
        <v>0</v>
      </c>
    </row>
    <row r="60" spans="1:21" x14ac:dyDescent="0.25">
      <c r="I60" s="55">
        <v>0</v>
      </c>
      <c r="J60" s="56">
        <v>0</v>
      </c>
      <c r="K60" s="45"/>
      <c r="L60" s="45"/>
      <c r="M60" s="61">
        <v>3</v>
      </c>
      <c r="N60" s="45"/>
      <c r="O60" s="45">
        <f t="shared" si="5"/>
        <v>0</v>
      </c>
      <c r="P60" s="66">
        <v>9</v>
      </c>
      <c r="Q60" s="76">
        <f t="shared" si="6"/>
        <v>0</v>
      </c>
      <c r="R60" s="45"/>
      <c r="S60" s="45">
        <f t="shared" si="7"/>
        <v>0</v>
      </c>
      <c r="T60" s="67">
        <f t="shared" si="8"/>
        <v>9</v>
      </c>
      <c r="U60" s="76">
        <f t="shared" si="9"/>
        <v>0</v>
      </c>
    </row>
    <row r="61" spans="1:21" x14ac:dyDescent="0.25">
      <c r="I61" s="55">
        <v>0</v>
      </c>
      <c r="J61" s="56">
        <v>0</v>
      </c>
      <c r="K61" s="45"/>
      <c r="L61" s="45"/>
      <c r="M61" s="61">
        <v>3</v>
      </c>
      <c r="N61" s="45"/>
      <c r="O61" s="45">
        <f t="shared" si="5"/>
        <v>0</v>
      </c>
      <c r="P61" s="66">
        <v>9</v>
      </c>
      <c r="Q61" s="76">
        <f t="shared" si="6"/>
        <v>0</v>
      </c>
      <c r="R61" s="45"/>
      <c r="S61" s="45">
        <f t="shared" si="7"/>
        <v>0</v>
      </c>
      <c r="T61" s="67">
        <f t="shared" si="8"/>
        <v>9</v>
      </c>
      <c r="U61" s="76">
        <f t="shared" si="9"/>
        <v>0</v>
      </c>
    </row>
    <row r="62" spans="1:21" x14ac:dyDescent="0.25">
      <c r="I62" s="55">
        <v>0</v>
      </c>
      <c r="J62" s="56">
        <v>0</v>
      </c>
      <c r="K62" s="45"/>
      <c r="L62" s="45"/>
      <c r="M62" s="61">
        <v>3</v>
      </c>
      <c r="N62" s="45"/>
      <c r="O62" s="45">
        <f t="shared" si="5"/>
        <v>0</v>
      </c>
      <c r="P62" s="66">
        <v>9</v>
      </c>
      <c r="Q62" s="76">
        <f t="shared" si="6"/>
        <v>0</v>
      </c>
      <c r="R62" s="45"/>
      <c r="S62" s="45">
        <f t="shared" si="7"/>
        <v>0</v>
      </c>
      <c r="T62" s="67">
        <f t="shared" si="8"/>
        <v>9</v>
      </c>
      <c r="U62" s="76">
        <f t="shared" si="9"/>
        <v>0</v>
      </c>
    </row>
    <row r="63" spans="1:21" x14ac:dyDescent="0.25">
      <c r="I63" s="55">
        <v>0</v>
      </c>
      <c r="J63" s="56">
        <v>0</v>
      </c>
      <c r="K63" s="45"/>
      <c r="L63" s="45"/>
      <c r="M63" s="61">
        <v>3</v>
      </c>
      <c r="N63" s="68"/>
      <c r="O63" s="45">
        <f t="shared" si="5"/>
        <v>0</v>
      </c>
      <c r="P63" s="66">
        <v>9</v>
      </c>
      <c r="Q63" s="76">
        <f t="shared" si="6"/>
        <v>0</v>
      </c>
      <c r="R63" s="45"/>
      <c r="S63" s="45">
        <f t="shared" si="7"/>
        <v>0</v>
      </c>
      <c r="T63" s="67">
        <f t="shared" si="8"/>
        <v>9</v>
      </c>
      <c r="U63" s="76">
        <f t="shared" si="9"/>
        <v>0</v>
      </c>
    </row>
    <row r="64" spans="1:21" x14ac:dyDescent="0.25">
      <c r="I64" s="55">
        <v>0</v>
      </c>
      <c r="J64" s="56">
        <v>0</v>
      </c>
      <c r="K64" s="45"/>
      <c r="L64" s="45"/>
      <c r="M64" s="61">
        <v>3</v>
      </c>
      <c r="N64" s="45"/>
      <c r="O64" s="45">
        <f t="shared" si="5"/>
        <v>0</v>
      </c>
      <c r="P64" s="66">
        <v>9</v>
      </c>
      <c r="Q64" s="76">
        <f t="shared" si="6"/>
        <v>0</v>
      </c>
      <c r="R64" s="45"/>
      <c r="S64" s="45">
        <f t="shared" si="7"/>
        <v>0</v>
      </c>
      <c r="T64" s="67">
        <f t="shared" si="8"/>
        <v>9</v>
      </c>
      <c r="U64" s="76">
        <f t="shared" si="9"/>
        <v>0</v>
      </c>
    </row>
    <row r="65" spans="9:21" x14ac:dyDescent="0.25">
      <c r="I65" s="55">
        <v>0</v>
      </c>
      <c r="J65" s="56">
        <v>0</v>
      </c>
      <c r="K65" s="45"/>
      <c r="L65" s="45"/>
      <c r="M65" s="61">
        <v>3</v>
      </c>
      <c r="N65" s="45"/>
      <c r="O65" s="45">
        <f t="shared" si="5"/>
        <v>0</v>
      </c>
      <c r="P65" s="66">
        <v>9</v>
      </c>
      <c r="Q65" s="76">
        <f t="shared" si="6"/>
        <v>0</v>
      </c>
      <c r="R65" s="45"/>
      <c r="S65" s="45">
        <f t="shared" si="7"/>
        <v>0</v>
      </c>
      <c r="T65" s="67">
        <f t="shared" si="8"/>
        <v>9</v>
      </c>
      <c r="U65" s="76">
        <f t="shared" si="9"/>
        <v>0</v>
      </c>
    </row>
    <row r="66" spans="9:21" x14ac:dyDescent="0.25">
      <c r="I66" s="55">
        <v>0</v>
      </c>
      <c r="J66" s="56">
        <v>0</v>
      </c>
      <c r="K66" s="45"/>
      <c r="L66" s="45"/>
      <c r="M66" s="61">
        <v>3</v>
      </c>
      <c r="N66" s="45"/>
      <c r="O66" s="45">
        <f t="shared" ref="O66:O76" si="10">L66+N66</f>
        <v>0</v>
      </c>
      <c r="P66" s="66">
        <v>9</v>
      </c>
      <c r="Q66" s="76">
        <f t="shared" ref="Q66:Q76" si="11">O66/P66</f>
        <v>0</v>
      </c>
      <c r="R66" s="45"/>
      <c r="S66" s="45">
        <f t="shared" ref="S66:S76" si="12">R66+L66</f>
        <v>0</v>
      </c>
      <c r="T66" s="67">
        <f t="shared" ref="T66:T76" si="13">P66</f>
        <v>9</v>
      </c>
      <c r="U66" s="76">
        <f t="shared" ref="U66:U76" si="14">S66/T66</f>
        <v>0</v>
      </c>
    </row>
    <row r="67" spans="9:21" x14ac:dyDescent="0.25">
      <c r="I67" s="55">
        <v>0</v>
      </c>
      <c r="J67" s="56">
        <v>0</v>
      </c>
      <c r="K67" s="45"/>
      <c r="L67" s="45"/>
      <c r="M67" s="61">
        <v>3</v>
      </c>
      <c r="N67" s="45"/>
      <c r="O67" s="45">
        <f t="shared" si="10"/>
        <v>0</v>
      </c>
      <c r="P67" s="66">
        <v>9</v>
      </c>
      <c r="Q67" s="76">
        <f t="shared" si="11"/>
        <v>0</v>
      </c>
      <c r="R67" s="45"/>
      <c r="S67" s="45">
        <f t="shared" si="12"/>
        <v>0</v>
      </c>
      <c r="T67" s="67">
        <f t="shared" si="13"/>
        <v>9</v>
      </c>
      <c r="U67" s="76">
        <f t="shared" si="14"/>
        <v>0</v>
      </c>
    </row>
    <row r="68" spans="9:21" x14ac:dyDescent="0.25">
      <c r="I68" s="55">
        <v>0</v>
      </c>
      <c r="J68" s="56">
        <v>0</v>
      </c>
      <c r="K68" s="45"/>
      <c r="L68" s="45"/>
      <c r="M68" s="61">
        <v>3</v>
      </c>
      <c r="N68" s="45"/>
      <c r="O68" s="45">
        <f t="shared" si="10"/>
        <v>0</v>
      </c>
      <c r="P68" s="66">
        <v>9</v>
      </c>
      <c r="Q68" s="76">
        <f t="shared" si="11"/>
        <v>0</v>
      </c>
      <c r="R68" s="45"/>
      <c r="S68" s="45">
        <f t="shared" si="12"/>
        <v>0</v>
      </c>
      <c r="T68" s="67">
        <f t="shared" si="13"/>
        <v>9</v>
      </c>
      <c r="U68" s="76">
        <f t="shared" si="14"/>
        <v>0</v>
      </c>
    </row>
    <row r="69" spans="9:21" x14ac:dyDescent="0.25">
      <c r="I69" s="55">
        <v>0</v>
      </c>
      <c r="J69" s="56">
        <v>0</v>
      </c>
      <c r="K69" s="45"/>
      <c r="L69" s="45"/>
      <c r="M69" s="61">
        <v>3</v>
      </c>
      <c r="N69" s="68"/>
      <c r="O69" s="45">
        <f t="shared" si="10"/>
        <v>0</v>
      </c>
      <c r="P69" s="66">
        <v>9</v>
      </c>
      <c r="Q69" s="76">
        <f t="shared" si="11"/>
        <v>0</v>
      </c>
      <c r="R69" s="45"/>
      <c r="S69" s="45">
        <f t="shared" si="12"/>
        <v>0</v>
      </c>
      <c r="T69" s="67">
        <f t="shared" si="13"/>
        <v>9</v>
      </c>
      <c r="U69" s="76">
        <f t="shared" si="14"/>
        <v>0</v>
      </c>
    </row>
    <row r="70" spans="9:21" x14ac:dyDescent="0.25">
      <c r="I70" s="55">
        <v>0</v>
      </c>
      <c r="J70" s="56">
        <v>0</v>
      </c>
      <c r="K70" s="45"/>
      <c r="L70" s="45"/>
      <c r="M70" s="61">
        <v>3</v>
      </c>
      <c r="N70" s="45"/>
      <c r="O70" s="45">
        <f t="shared" si="10"/>
        <v>0</v>
      </c>
      <c r="P70" s="66">
        <v>9</v>
      </c>
      <c r="Q70" s="76">
        <f t="shared" si="11"/>
        <v>0</v>
      </c>
      <c r="R70" s="45"/>
      <c r="S70" s="45">
        <f t="shared" si="12"/>
        <v>0</v>
      </c>
      <c r="T70" s="67">
        <f t="shared" si="13"/>
        <v>9</v>
      </c>
      <c r="U70" s="76">
        <f t="shared" si="14"/>
        <v>0</v>
      </c>
    </row>
    <row r="71" spans="9:21" x14ac:dyDescent="0.25">
      <c r="I71" s="55">
        <v>0</v>
      </c>
      <c r="J71" s="56">
        <v>0</v>
      </c>
      <c r="K71" s="45"/>
      <c r="L71" s="45"/>
      <c r="M71" s="61">
        <v>3</v>
      </c>
      <c r="N71" s="45"/>
      <c r="O71" s="45">
        <f t="shared" si="10"/>
        <v>0</v>
      </c>
      <c r="P71" s="66">
        <v>9</v>
      </c>
      <c r="Q71" s="76">
        <f t="shared" si="11"/>
        <v>0</v>
      </c>
      <c r="R71" s="45"/>
      <c r="S71" s="45">
        <f t="shared" si="12"/>
        <v>0</v>
      </c>
      <c r="T71" s="67">
        <f t="shared" si="13"/>
        <v>9</v>
      </c>
      <c r="U71" s="76">
        <f t="shared" si="14"/>
        <v>0</v>
      </c>
    </row>
    <row r="72" spans="9:21" x14ac:dyDescent="0.25">
      <c r="I72" s="55">
        <v>0</v>
      </c>
      <c r="J72" s="56">
        <v>0</v>
      </c>
      <c r="K72" s="45"/>
      <c r="L72" s="45"/>
      <c r="M72" s="61">
        <v>3</v>
      </c>
      <c r="N72" s="45"/>
      <c r="O72" s="45">
        <f t="shared" si="10"/>
        <v>0</v>
      </c>
      <c r="P72" s="66">
        <v>9</v>
      </c>
      <c r="Q72" s="76">
        <f t="shared" si="11"/>
        <v>0</v>
      </c>
      <c r="R72" s="45"/>
      <c r="S72" s="45">
        <f t="shared" si="12"/>
        <v>0</v>
      </c>
      <c r="T72" s="67">
        <f t="shared" si="13"/>
        <v>9</v>
      </c>
      <c r="U72" s="76">
        <f t="shared" si="14"/>
        <v>0</v>
      </c>
    </row>
    <row r="73" spans="9:21" x14ac:dyDescent="0.25">
      <c r="I73" s="55">
        <v>0</v>
      </c>
      <c r="J73" s="56">
        <v>0</v>
      </c>
      <c r="K73" s="45"/>
      <c r="L73" s="45"/>
      <c r="M73" s="61">
        <v>3</v>
      </c>
      <c r="N73" s="45"/>
      <c r="O73" s="45">
        <f t="shared" si="10"/>
        <v>0</v>
      </c>
      <c r="P73" s="66">
        <v>9</v>
      </c>
      <c r="Q73" s="76">
        <f t="shared" si="11"/>
        <v>0</v>
      </c>
      <c r="R73" s="45"/>
      <c r="S73" s="45">
        <f t="shared" si="12"/>
        <v>0</v>
      </c>
      <c r="T73" s="67">
        <f t="shared" si="13"/>
        <v>9</v>
      </c>
      <c r="U73" s="76">
        <f t="shared" si="14"/>
        <v>0</v>
      </c>
    </row>
    <row r="74" spans="9:21" x14ac:dyDescent="0.25">
      <c r="I74" s="55">
        <v>0</v>
      </c>
      <c r="J74" s="56">
        <v>0</v>
      </c>
      <c r="K74" s="45"/>
      <c r="L74" s="45"/>
      <c r="M74" s="61">
        <v>3</v>
      </c>
      <c r="N74" s="68"/>
      <c r="O74" s="45">
        <f t="shared" si="10"/>
        <v>0</v>
      </c>
      <c r="P74" s="66">
        <v>9</v>
      </c>
      <c r="Q74" s="76">
        <f t="shared" si="11"/>
        <v>0</v>
      </c>
      <c r="R74" s="45"/>
      <c r="S74" s="45">
        <f t="shared" si="12"/>
        <v>0</v>
      </c>
      <c r="T74" s="67">
        <f t="shared" si="13"/>
        <v>9</v>
      </c>
      <c r="U74" s="76">
        <f t="shared" si="14"/>
        <v>0</v>
      </c>
    </row>
    <row r="75" spans="9:21" x14ac:dyDescent="0.25">
      <c r="I75" s="55">
        <v>0</v>
      </c>
      <c r="J75" s="56">
        <v>0</v>
      </c>
      <c r="K75" s="45"/>
      <c r="L75" s="45"/>
      <c r="M75" s="61">
        <v>3</v>
      </c>
      <c r="N75" s="45"/>
      <c r="O75" s="45">
        <f t="shared" si="10"/>
        <v>0</v>
      </c>
      <c r="P75" s="66">
        <v>9</v>
      </c>
      <c r="Q75" s="76">
        <f t="shared" si="11"/>
        <v>0</v>
      </c>
      <c r="R75" s="45"/>
      <c r="S75" s="45">
        <f t="shared" si="12"/>
        <v>0</v>
      </c>
      <c r="T75" s="67">
        <f t="shared" si="13"/>
        <v>9</v>
      </c>
      <c r="U75" s="76">
        <f t="shared" si="14"/>
        <v>0</v>
      </c>
    </row>
    <row r="76" spans="9:21" x14ac:dyDescent="0.25">
      <c r="I76" s="55">
        <v>0</v>
      </c>
      <c r="J76" s="56">
        <v>0</v>
      </c>
      <c r="K76" s="45"/>
      <c r="L76" s="45"/>
      <c r="M76" s="61">
        <v>3</v>
      </c>
      <c r="N76" s="45"/>
      <c r="O76" s="45">
        <f t="shared" si="10"/>
        <v>0</v>
      </c>
      <c r="P76" s="66">
        <v>9</v>
      </c>
      <c r="Q76" s="76">
        <f t="shared" si="11"/>
        <v>0</v>
      </c>
      <c r="R76" s="45"/>
      <c r="S76" s="45">
        <f t="shared" si="12"/>
        <v>0</v>
      </c>
      <c r="T76" s="67">
        <f t="shared" si="13"/>
        <v>9</v>
      </c>
      <c r="U76" s="76">
        <f t="shared" si="14"/>
        <v>0</v>
      </c>
    </row>
  </sheetData>
  <mergeCells count="5">
    <mergeCell ref="A1:D1"/>
    <mergeCell ref="A2:A3"/>
    <mergeCell ref="B2:B3"/>
    <mergeCell ref="C2:C3"/>
    <mergeCell ref="D2:D3"/>
  </mergeCells>
  <conditionalFormatting sqref="J2:J76">
    <cfRule type="colorScale" priority="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{1EF1B2DA-9543-9B15-5455-0608B434234E}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F1B2DA-9543-9B15-5455-0608B43423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1930-5309-49E5-A706-E55A1526C801}">
  <sheetPr>
    <tabColor rgb="FF60497A"/>
  </sheetPr>
  <dimension ref="A1:AO14"/>
  <sheetViews>
    <sheetView workbookViewId="0">
      <pane ySplit="2" topLeftCell="A3" activePane="bottomLeft" state="frozen"/>
      <selection pane="bottomLeft" activeCell="AG5" sqref="AG5"/>
    </sheetView>
  </sheetViews>
  <sheetFormatPr baseColWidth="10" defaultColWidth="10.7109375" defaultRowHeight="15" x14ac:dyDescent="0.25"/>
  <cols>
    <col min="1" max="1" width="26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7.42578125" customWidth="1"/>
    <col min="16" max="16" width="7.85546875" customWidth="1"/>
    <col min="17" max="17" width="7.42578125" customWidth="1"/>
    <col min="18" max="18" width="5.5703125" customWidth="1"/>
    <col min="19" max="19" width="6.42578125" customWidth="1"/>
    <col min="20" max="20" width="6.85546875" customWidth="1"/>
    <col min="21" max="21" width="6.42578125" customWidth="1"/>
    <col min="22" max="22" width="7.42578125" customWidth="1"/>
    <col min="23" max="23" width="7.85546875" customWidth="1"/>
    <col min="24" max="24" width="7.42578125" customWidth="1"/>
    <col min="25" max="25" width="5.5703125" customWidth="1"/>
    <col min="26" max="26" width="6.42578125" customWidth="1"/>
    <col min="27" max="27" width="6.85546875" customWidth="1"/>
    <col min="28" max="28" width="6.42578125" customWidth="1"/>
    <col min="29" max="29" width="6.5703125" style="279" customWidth="1"/>
    <col min="30" max="30" width="7.140625" style="279" customWidth="1"/>
    <col min="31" max="32" width="7.140625" style="280" customWidth="1"/>
    <col min="33" max="34" width="9" style="279" customWidth="1"/>
    <col min="35" max="36" width="8.42578125" style="279" customWidth="1"/>
    <col min="37" max="41" width="10.7109375" style="279"/>
  </cols>
  <sheetData>
    <row r="1" spans="1:41" s="41" customFormat="1" x14ac:dyDescent="0.25">
      <c r="D1" s="43"/>
      <c r="O1" s="41" t="s">
        <v>622</v>
      </c>
      <c r="P1"/>
      <c r="Q1"/>
      <c r="R1"/>
      <c r="S1"/>
      <c r="T1"/>
      <c r="U1"/>
      <c r="V1" s="41" t="s">
        <v>623</v>
      </c>
      <c r="W1"/>
      <c r="X1"/>
      <c r="Y1"/>
      <c r="Z1"/>
      <c r="AA1"/>
      <c r="AB1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</row>
    <row r="2" spans="1:41" x14ac:dyDescent="0.25">
      <c r="A2" s="251" t="s">
        <v>177</v>
      </c>
      <c r="B2" s="251" t="s">
        <v>629</v>
      </c>
      <c r="C2" s="252" t="s">
        <v>109</v>
      </c>
      <c r="D2" s="253" t="s">
        <v>291</v>
      </c>
      <c r="E2" s="254" t="s">
        <v>653</v>
      </c>
      <c r="F2" s="255" t="s">
        <v>117</v>
      </c>
      <c r="G2" s="256" t="s">
        <v>518</v>
      </c>
      <c r="H2" s="257" t="s">
        <v>149</v>
      </c>
      <c r="I2" s="257" t="s">
        <v>183</v>
      </c>
      <c r="J2" s="257" t="s">
        <v>184</v>
      </c>
      <c r="K2" s="257" t="s">
        <v>315</v>
      </c>
      <c r="L2" s="257" t="s">
        <v>186</v>
      </c>
      <c r="M2" s="257" t="s">
        <v>187</v>
      </c>
      <c r="N2" s="258" t="s">
        <v>188</v>
      </c>
      <c r="O2" s="34" t="s">
        <v>636</v>
      </c>
      <c r="P2" s="34" t="s">
        <v>637</v>
      </c>
      <c r="Q2" s="34" t="s">
        <v>636</v>
      </c>
      <c r="R2" s="34" t="s">
        <v>168</v>
      </c>
      <c r="S2" s="34" t="s">
        <v>638</v>
      </c>
      <c r="T2" s="34" t="s">
        <v>639</v>
      </c>
      <c r="U2" s="34" t="s">
        <v>638</v>
      </c>
      <c r="V2" s="34" t="s">
        <v>636</v>
      </c>
      <c r="W2" s="34" t="s">
        <v>637</v>
      </c>
      <c r="X2" s="34" t="s">
        <v>636</v>
      </c>
      <c r="Y2" s="34" t="s">
        <v>168</v>
      </c>
      <c r="Z2" s="34" t="s">
        <v>638</v>
      </c>
      <c r="AA2" s="34" t="s">
        <v>639</v>
      </c>
      <c r="AB2" s="34" t="s">
        <v>638</v>
      </c>
      <c r="AC2" s="303" t="s">
        <v>654</v>
      </c>
      <c r="AD2" s="304" t="s">
        <v>294</v>
      </c>
      <c r="AE2" s="295" t="s">
        <v>656</v>
      </c>
      <c r="AF2" s="296" t="s">
        <v>655</v>
      </c>
      <c r="AG2" s="295" t="s">
        <v>658</v>
      </c>
      <c r="AH2" s="296" t="s">
        <v>657</v>
      </c>
      <c r="AI2" s="293" t="s">
        <v>660</v>
      </c>
      <c r="AJ2" s="293" t="s">
        <v>659</v>
      </c>
    </row>
    <row r="3" spans="1:41" x14ac:dyDescent="0.25">
      <c r="A3" s="436" t="s">
        <v>760</v>
      </c>
      <c r="B3" s="269">
        <v>32</v>
      </c>
      <c r="C3" s="25">
        <v>85</v>
      </c>
      <c r="E3" s="270">
        <v>3</v>
      </c>
      <c r="F3" s="271">
        <v>1</v>
      </c>
      <c r="G3" s="272">
        <v>9</v>
      </c>
      <c r="H3" s="36">
        <v>0</v>
      </c>
      <c r="I3" s="36">
        <v>6</v>
      </c>
      <c r="J3" s="36">
        <v>13</v>
      </c>
      <c r="K3" s="36">
        <v>7</v>
      </c>
      <c r="L3" s="36">
        <v>12</v>
      </c>
      <c r="M3" s="36">
        <v>5</v>
      </c>
      <c r="N3" s="273">
        <v>16</v>
      </c>
      <c r="O3" s="27">
        <f t="shared" ref="O3:O14" si="0">((I3+F3+(LOG(G3)*4/3))*0.27)</f>
        <v>2.2335273033981569</v>
      </c>
      <c r="P3" s="27">
        <f t="shared" ref="P3:P14" si="1">((I3+F3+(LOG(G3)*4/3))*0.594)</f>
        <v>4.9137600674759447</v>
      </c>
      <c r="Q3" s="27">
        <f t="shared" ref="Q3:Q14" si="2">O3/2</f>
        <v>1.1167636516990784</v>
      </c>
      <c r="R3" s="27">
        <f t="shared" ref="R3:R14" si="3">((J3+F3+(LOG(G3)*4/3))*0.944)</f>
        <v>14.41707323854763</v>
      </c>
      <c r="S3" s="27">
        <f t="shared" ref="S3:S14" si="4">((L3+F3+(LOG(G3)*4/3))*0.13)</f>
        <v>1.8554020349694831</v>
      </c>
      <c r="T3" s="27">
        <f t="shared" ref="T3:T14" si="5">((M3+F3+(LOG(G3)*4/3))*0.173)+((L3+F3+(LOG(G3)*4/3))*0.12)</f>
        <v>2.9707907403542961</v>
      </c>
      <c r="U3" s="27">
        <f t="shared" ref="U3:U14" si="6">S3/2</f>
        <v>0.92770101748474154</v>
      </c>
      <c r="V3" s="27">
        <f t="shared" ref="V3:V14" si="7">((I3+F3+(LOG(G3)*4/3))*0.189)</f>
        <v>1.5634691123787099</v>
      </c>
      <c r="W3" s="27">
        <f t="shared" ref="W3:W14" si="8">((I3+F3+(LOG(G3)*4/3))*0.4)</f>
        <v>3.3089293383676401</v>
      </c>
      <c r="X3" s="27">
        <f t="shared" ref="X3:X14" si="9">V3/2</f>
        <v>0.78173455618935495</v>
      </c>
      <c r="Y3" s="27">
        <f t="shared" ref="Y3:Y14" si="10">((J3+F3+(LOG(G3)*4/3))*1)</f>
        <v>15.2723233459191</v>
      </c>
      <c r="Z3" s="27">
        <f t="shared" ref="Z3:Z14" si="11">((L3+F3+(LOG(G3)*4/3))*0.253)</f>
        <v>3.6108978065175323</v>
      </c>
      <c r="AA3" s="27">
        <f t="shared" ref="AA3:AA14" si="12">((M3+F3+(LOG(G3)*4/3))*0.21)+((L3+F3+(LOG(G3)*4/3))*0.341)</f>
        <v>6.394050163601424</v>
      </c>
      <c r="AB3" s="27">
        <f t="shared" ref="AB3:AB14" si="13">Z3/2</f>
        <v>1.8054489032587662</v>
      </c>
      <c r="AC3" s="281">
        <v>1475</v>
      </c>
      <c r="AD3" s="282">
        <v>14.1</v>
      </c>
      <c r="AE3" s="280">
        <v>850</v>
      </c>
      <c r="AF3" s="297">
        <v>700</v>
      </c>
      <c r="AG3" s="292">
        <f t="shared" ref="AG3:AG14" si="14">AC3+(AD3*16*(34-B3-((112-C3)/112)))-AE3</f>
        <v>1021.8142857142857</v>
      </c>
      <c r="AH3" s="300">
        <f t="shared" ref="AH3:AH14" si="15">AC3+(AD3*16*(36-B3-((112-C3)/112)))-AF3</f>
        <v>1623.0142857142855</v>
      </c>
      <c r="AI3" s="292">
        <f t="shared" ref="AI3:AI14" si="16">(AG3)/(34-B3+((112-C3)/112))</f>
        <v>455.94900398406378</v>
      </c>
      <c r="AJ3" s="292">
        <f t="shared" ref="AJ3:AJ14" si="17">(AH3)/(36-B3+((112-C3)/112))</f>
        <v>382.68968421052625</v>
      </c>
    </row>
    <row r="4" spans="1:41" x14ac:dyDescent="0.25">
      <c r="A4" s="436" t="s">
        <v>1520</v>
      </c>
      <c r="B4" s="269">
        <v>32</v>
      </c>
      <c r="C4" s="25">
        <v>61</v>
      </c>
      <c r="D4" s="42" t="s">
        <v>162</v>
      </c>
      <c r="E4" s="270">
        <v>2</v>
      </c>
      <c r="F4" s="271">
        <v>1</v>
      </c>
      <c r="G4" s="272">
        <v>8</v>
      </c>
      <c r="H4" s="36">
        <v>0</v>
      </c>
      <c r="I4" s="36">
        <v>2</v>
      </c>
      <c r="J4" s="36">
        <v>13.95</v>
      </c>
      <c r="K4" s="36">
        <v>10</v>
      </c>
      <c r="L4" s="36">
        <v>13</v>
      </c>
      <c r="M4" s="36">
        <v>9</v>
      </c>
      <c r="N4" s="273">
        <v>11</v>
      </c>
      <c r="O4" s="27">
        <f t="shared" si="0"/>
        <v>1.1351123953170998</v>
      </c>
      <c r="P4" s="27">
        <f t="shared" si="1"/>
        <v>2.4972472696976191</v>
      </c>
      <c r="Q4" s="27">
        <f t="shared" si="2"/>
        <v>0.56755619765854992</v>
      </c>
      <c r="R4" s="27">
        <f t="shared" si="3"/>
        <v>15.249489263627192</v>
      </c>
      <c r="S4" s="27">
        <f t="shared" si="4"/>
        <v>1.9765355977452703</v>
      </c>
      <c r="T4" s="27">
        <f t="shared" si="5"/>
        <v>3.7628071549181858</v>
      </c>
      <c r="U4" s="27">
        <f t="shared" si="6"/>
        <v>0.98826779887263516</v>
      </c>
      <c r="V4" s="27">
        <f t="shared" si="7"/>
        <v>0.7945786767219698</v>
      </c>
      <c r="W4" s="27">
        <f t="shared" si="8"/>
        <v>1.68164799306237</v>
      </c>
      <c r="X4" s="27">
        <f t="shared" si="9"/>
        <v>0.3972893383609849</v>
      </c>
      <c r="Y4" s="27">
        <f t="shared" si="10"/>
        <v>16.154119982655924</v>
      </c>
      <c r="Z4" s="27">
        <f t="shared" si="11"/>
        <v>3.8466423556119489</v>
      </c>
      <c r="AA4" s="27">
        <f t="shared" si="12"/>
        <v>7.5374701104434152</v>
      </c>
      <c r="AB4" s="27">
        <f t="shared" si="13"/>
        <v>1.9233211778059744</v>
      </c>
      <c r="AC4" s="281">
        <v>2900</v>
      </c>
      <c r="AD4" s="282">
        <v>21.4</v>
      </c>
      <c r="AE4" s="280">
        <v>3000</v>
      </c>
      <c r="AF4" s="297">
        <v>1650</v>
      </c>
      <c r="AG4" s="292">
        <f t="shared" si="14"/>
        <v>428.88571428571413</v>
      </c>
      <c r="AH4" s="300">
        <f t="shared" si="15"/>
        <v>2463.6857142857143</v>
      </c>
      <c r="AI4" s="292">
        <f t="shared" si="16"/>
        <v>174.67345454545449</v>
      </c>
      <c r="AJ4" s="292">
        <f t="shared" si="17"/>
        <v>552.97154308617235</v>
      </c>
    </row>
    <row r="5" spans="1:41" x14ac:dyDescent="0.25">
      <c r="A5" s="246" t="s">
        <v>1586</v>
      </c>
      <c r="B5" s="187">
        <v>30</v>
      </c>
      <c r="C5" s="25">
        <v>56</v>
      </c>
      <c r="D5" s="42" t="s">
        <v>162</v>
      </c>
      <c r="E5" s="245">
        <v>5</v>
      </c>
      <c r="F5" s="247">
        <v>1</v>
      </c>
      <c r="G5" s="248">
        <v>8</v>
      </c>
      <c r="H5" s="36">
        <v>0</v>
      </c>
      <c r="I5" s="36">
        <v>7</v>
      </c>
      <c r="J5" s="36">
        <v>14</v>
      </c>
      <c r="K5" s="36">
        <v>5</v>
      </c>
      <c r="L5" s="36">
        <v>13</v>
      </c>
      <c r="M5" s="36">
        <v>8</v>
      </c>
      <c r="N5" s="249">
        <v>0</v>
      </c>
      <c r="O5" s="27">
        <f t="shared" si="0"/>
        <v>2.4851123953170999</v>
      </c>
      <c r="P5" s="27">
        <f t="shared" si="1"/>
        <v>5.4672472696976193</v>
      </c>
      <c r="Q5" s="27">
        <f t="shared" si="2"/>
        <v>1.24255619765855</v>
      </c>
      <c r="R5" s="27">
        <f t="shared" si="3"/>
        <v>15.296689263627192</v>
      </c>
      <c r="S5" s="27">
        <f t="shared" si="4"/>
        <v>1.9765355977452703</v>
      </c>
      <c r="T5" s="27">
        <f t="shared" si="5"/>
        <v>3.5898071549181858</v>
      </c>
      <c r="U5" s="27">
        <f t="shared" si="6"/>
        <v>0.98826779887263516</v>
      </c>
      <c r="V5" s="27">
        <f t="shared" si="7"/>
        <v>1.7395786767219699</v>
      </c>
      <c r="W5" s="27">
        <f t="shared" si="8"/>
        <v>3.68164799306237</v>
      </c>
      <c r="X5" s="27">
        <f t="shared" si="9"/>
        <v>0.86978933836098493</v>
      </c>
      <c r="Y5" s="27">
        <f t="shared" si="10"/>
        <v>16.204119982655925</v>
      </c>
      <c r="Z5" s="27">
        <f t="shared" si="11"/>
        <v>3.8466423556119489</v>
      </c>
      <c r="AA5" s="27">
        <f t="shared" si="12"/>
        <v>7.3274701104434143</v>
      </c>
      <c r="AB5" s="27">
        <f t="shared" si="13"/>
        <v>1.9233211778059744</v>
      </c>
      <c r="AC5" s="281">
        <v>4000</v>
      </c>
      <c r="AD5" s="282">
        <v>24.2</v>
      </c>
      <c r="AE5" s="280">
        <v>1300</v>
      </c>
      <c r="AF5" s="297">
        <v>850</v>
      </c>
      <c r="AG5" s="292">
        <f t="shared" si="14"/>
        <v>4055.2</v>
      </c>
      <c r="AH5" s="300">
        <f t="shared" si="15"/>
        <v>5279.6</v>
      </c>
      <c r="AI5" s="292">
        <f t="shared" si="16"/>
        <v>901.15555555555557</v>
      </c>
      <c r="AJ5" s="292">
        <f t="shared" si="17"/>
        <v>812.2461538461539</v>
      </c>
    </row>
    <row r="6" spans="1:41" x14ac:dyDescent="0.25">
      <c r="A6" s="246" t="s">
        <v>1571</v>
      </c>
      <c r="B6" s="187">
        <v>27</v>
      </c>
      <c r="C6" s="25">
        <v>74</v>
      </c>
      <c r="E6" s="245">
        <v>4</v>
      </c>
      <c r="F6" s="247">
        <v>1</v>
      </c>
      <c r="G6" s="248">
        <v>7</v>
      </c>
      <c r="H6" s="36">
        <v>0</v>
      </c>
      <c r="I6" s="36">
        <v>7</v>
      </c>
      <c r="J6" s="36">
        <v>15</v>
      </c>
      <c r="K6" s="36">
        <v>4</v>
      </c>
      <c r="L6" s="36">
        <v>12</v>
      </c>
      <c r="M6" s="36">
        <v>9</v>
      </c>
      <c r="N6" s="249">
        <v>5</v>
      </c>
      <c r="O6" s="27">
        <f t="shared" si="0"/>
        <v>2.4642352944051327</v>
      </c>
      <c r="P6" s="27">
        <f t="shared" si="1"/>
        <v>5.421317647691291</v>
      </c>
      <c r="Q6" s="27">
        <f t="shared" si="2"/>
        <v>1.2321176472025663</v>
      </c>
      <c r="R6" s="27">
        <f t="shared" si="3"/>
        <v>16.167696733031278</v>
      </c>
      <c r="S6" s="27">
        <f t="shared" si="4"/>
        <v>1.8364836602691379</v>
      </c>
      <c r="T6" s="27">
        <f t="shared" si="5"/>
        <v>3.6201516342989026</v>
      </c>
      <c r="U6" s="27">
        <f t="shared" si="6"/>
        <v>0.91824183013456895</v>
      </c>
      <c r="V6" s="27">
        <f t="shared" si="7"/>
        <v>1.7249647060835926</v>
      </c>
      <c r="W6" s="27">
        <f t="shared" si="8"/>
        <v>3.6507189546742702</v>
      </c>
      <c r="X6" s="27">
        <f t="shared" si="9"/>
        <v>0.86248235304179632</v>
      </c>
      <c r="Y6" s="27">
        <f t="shared" si="10"/>
        <v>17.126797386685677</v>
      </c>
      <c r="Z6" s="27">
        <f t="shared" si="11"/>
        <v>3.5740797388314758</v>
      </c>
      <c r="AA6" s="27">
        <f t="shared" si="12"/>
        <v>7.1538653600638069</v>
      </c>
      <c r="AB6" s="27">
        <f t="shared" si="13"/>
        <v>1.7870398694157379</v>
      </c>
      <c r="AC6" s="281"/>
      <c r="AD6" s="282"/>
      <c r="AF6" s="297"/>
      <c r="AG6" s="292">
        <f t="shared" si="14"/>
        <v>0</v>
      </c>
      <c r="AH6" s="300">
        <f t="shared" si="15"/>
        <v>0</v>
      </c>
      <c r="AI6" s="292">
        <f t="shared" si="16"/>
        <v>0</v>
      </c>
      <c r="AJ6" s="292">
        <f t="shared" si="17"/>
        <v>0</v>
      </c>
    </row>
    <row r="7" spans="1:41" x14ac:dyDescent="0.25">
      <c r="A7" s="246" t="s">
        <v>1572</v>
      </c>
      <c r="B7" s="187">
        <v>30</v>
      </c>
      <c r="C7" s="25">
        <v>60</v>
      </c>
      <c r="E7" s="245">
        <v>3</v>
      </c>
      <c r="F7" s="247">
        <v>1</v>
      </c>
      <c r="G7" s="248">
        <v>9</v>
      </c>
      <c r="H7" s="36">
        <v>0</v>
      </c>
      <c r="I7" s="36">
        <v>11</v>
      </c>
      <c r="J7" s="36">
        <v>15</v>
      </c>
      <c r="K7" s="36">
        <v>4</v>
      </c>
      <c r="L7" s="36">
        <v>8</v>
      </c>
      <c r="M7" s="36">
        <v>6</v>
      </c>
      <c r="N7" s="249">
        <v>10</v>
      </c>
      <c r="O7" s="27">
        <f t="shared" si="0"/>
        <v>3.5835273033981569</v>
      </c>
      <c r="P7" s="27">
        <f t="shared" si="1"/>
        <v>7.8837600674759445</v>
      </c>
      <c r="Q7" s="27">
        <f t="shared" si="2"/>
        <v>1.7917636516990785</v>
      </c>
      <c r="R7" s="27">
        <f t="shared" si="3"/>
        <v>16.305073238547632</v>
      </c>
      <c r="S7" s="27">
        <f t="shared" si="4"/>
        <v>1.3354020349694831</v>
      </c>
      <c r="T7" s="27">
        <f t="shared" si="5"/>
        <v>2.6637907403542957</v>
      </c>
      <c r="U7" s="27">
        <f t="shared" si="6"/>
        <v>0.66770101748474153</v>
      </c>
      <c r="V7" s="27">
        <f t="shared" si="7"/>
        <v>2.5084691123787097</v>
      </c>
      <c r="W7" s="27">
        <f t="shared" si="8"/>
        <v>5.3089293383676406</v>
      </c>
      <c r="X7" s="27">
        <f t="shared" si="9"/>
        <v>1.2542345561893549</v>
      </c>
      <c r="Y7" s="27">
        <f t="shared" si="10"/>
        <v>17.272323345919101</v>
      </c>
      <c r="Z7" s="27">
        <f t="shared" si="11"/>
        <v>2.5988978065175323</v>
      </c>
      <c r="AA7" s="27">
        <f t="shared" si="12"/>
        <v>5.2400501636014241</v>
      </c>
      <c r="AB7" s="27">
        <f t="shared" si="13"/>
        <v>1.2994489032587662</v>
      </c>
      <c r="AC7" s="281">
        <v>3590</v>
      </c>
      <c r="AD7" s="282">
        <v>42.5</v>
      </c>
      <c r="AE7" s="280">
        <v>1650</v>
      </c>
      <c r="AF7" s="297">
        <v>950</v>
      </c>
      <c r="AG7" s="292">
        <f t="shared" si="14"/>
        <v>4344.2857142857138</v>
      </c>
      <c r="AH7" s="300">
        <f t="shared" si="15"/>
        <v>6404.2857142857138</v>
      </c>
      <c r="AI7" s="292">
        <f t="shared" si="16"/>
        <v>973.11999999999989</v>
      </c>
      <c r="AJ7" s="292">
        <f t="shared" si="17"/>
        <v>990.71823204419877</v>
      </c>
    </row>
    <row r="8" spans="1:41" x14ac:dyDescent="0.25">
      <c r="A8" s="246" t="s">
        <v>1574</v>
      </c>
      <c r="B8" s="187">
        <v>29</v>
      </c>
      <c r="C8" s="25">
        <v>27</v>
      </c>
      <c r="D8" s="42" t="s">
        <v>162</v>
      </c>
      <c r="E8" s="245">
        <v>4</v>
      </c>
      <c r="F8" s="247">
        <v>1</v>
      </c>
      <c r="G8" s="248">
        <v>7</v>
      </c>
      <c r="H8" s="36">
        <v>0</v>
      </c>
      <c r="I8" s="36">
        <v>7</v>
      </c>
      <c r="J8" s="36">
        <v>15</v>
      </c>
      <c r="K8" s="36">
        <v>4</v>
      </c>
      <c r="L8" s="36">
        <v>8</v>
      </c>
      <c r="M8" s="36">
        <v>7</v>
      </c>
      <c r="N8" s="249">
        <v>2</v>
      </c>
      <c r="O8" s="27">
        <f t="shared" si="0"/>
        <v>2.4642352944051327</v>
      </c>
      <c r="P8" s="27">
        <f t="shared" si="1"/>
        <v>5.421317647691291</v>
      </c>
      <c r="Q8" s="27">
        <f t="shared" si="2"/>
        <v>1.2321176472025663</v>
      </c>
      <c r="R8" s="27">
        <f t="shared" si="3"/>
        <v>16.167696733031278</v>
      </c>
      <c r="S8" s="27">
        <f t="shared" si="4"/>
        <v>1.3164836602691379</v>
      </c>
      <c r="T8" s="27">
        <f t="shared" si="5"/>
        <v>2.7941516342989026</v>
      </c>
      <c r="U8" s="27">
        <f t="shared" si="6"/>
        <v>0.65824183013456894</v>
      </c>
      <c r="V8" s="27">
        <f t="shared" si="7"/>
        <v>1.7249647060835926</v>
      </c>
      <c r="W8" s="27">
        <f t="shared" si="8"/>
        <v>3.6507189546742702</v>
      </c>
      <c r="X8" s="27">
        <f t="shared" si="9"/>
        <v>0.86248235304179632</v>
      </c>
      <c r="Y8" s="27">
        <f t="shared" si="10"/>
        <v>17.126797386685677</v>
      </c>
      <c r="Z8" s="27">
        <f t="shared" si="11"/>
        <v>2.5620797388314758</v>
      </c>
      <c r="AA8" s="27">
        <f t="shared" si="12"/>
        <v>5.3698653600638071</v>
      </c>
      <c r="AB8" s="27">
        <f t="shared" si="13"/>
        <v>1.2810398694157379</v>
      </c>
      <c r="AC8" s="305">
        <v>2506</v>
      </c>
      <c r="AD8" s="282">
        <v>49.7</v>
      </c>
      <c r="AE8" s="280">
        <v>1300</v>
      </c>
      <c r="AF8" s="297">
        <v>750</v>
      </c>
      <c r="AG8" s="292">
        <f t="shared" si="14"/>
        <v>4578.5</v>
      </c>
      <c r="AH8" s="300">
        <f t="shared" si="15"/>
        <v>6718.9000000000005</v>
      </c>
      <c r="AI8" s="292">
        <f t="shared" si="16"/>
        <v>795.02635658914733</v>
      </c>
      <c r="AJ8" s="292">
        <f t="shared" si="17"/>
        <v>865.95719217491376</v>
      </c>
      <c r="AK8" s="294"/>
      <c r="AL8" s="294"/>
    </row>
    <row r="9" spans="1:41" x14ac:dyDescent="0.25">
      <c r="A9" s="246" t="s">
        <v>1579</v>
      </c>
      <c r="B9" s="187">
        <v>30</v>
      </c>
      <c r="C9" s="25">
        <v>32</v>
      </c>
      <c r="D9" s="42" t="s">
        <v>190</v>
      </c>
      <c r="E9" s="245">
        <v>3</v>
      </c>
      <c r="F9" s="247">
        <v>1</v>
      </c>
      <c r="G9" s="248">
        <v>10</v>
      </c>
      <c r="H9" s="36">
        <v>0</v>
      </c>
      <c r="I9" s="36">
        <v>12</v>
      </c>
      <c r="J9" s="36">
        <v>13</v>
      </c>
      <c r="K9" s="36">
        <v>4</v>
      </c>
      <c r="L9" s="36">
        <v>10</v>
      </c>
      <c r="M9" s="36">
        <v>9</v>
      </c>
      <c r="N9" s="249">
        <v>10</v>
      </c>
      <c r="O9" s="27">
        <f t="shared" si="0"/>
        <v>3.8700000000000006</v>
      </c>
      <c r="P9" s="27">
        <f t="shared" si="1"/>
        <v>8.5139999999999993</v>
      </c>
      <c r="Q9" s="27">
        <f t="shared" si="2"/>
        <v>1.9350000000000003</v>
      </c>
      <c r="R9" s="27">
        <f t="shared" si="3"/>
        <v>14.474666666666666</v>
      </c>
      <c r="S9" s="27">
        <f t="shared" si="4"/>
        <v>1.6033333333333335</v>
      </c>
      <c r="T9" s="27">
        <f t="shared" si="5"/>
        <v>3.4406666666666665</v>
      </c>
      <c r="U9" s="27">
        <f t="shared" si="6"/>
        <v>0.80166666666666675</v>
      </c>
      <c r="V9" s="27">
        <f t="shared" si="7"/>
        <v>2.7090000000000001</v>
      </c>
      <c r="W9" s="27">
        <f t="shared" si="8"/>
        <v>5.7333333333333343</v>
      </c>
      <c r="X9" s="27">
        <f t="shared" si="9"/>
        <v>1.3545</v>
      </c>
      <c r="Y9" s="27">
        <f t="shared" si="10"/>
        <v>15.333333333333334</v>
      </c>
      <c r="Z9" s="27">
        <f t="shared" si="11"/>
        <v>3.1203333333333334</v>
      </c>
      <c r="AA9" s="27">
        <f t="shared" si="12"/>
        <v>6.5856666666666674</v>
      </c>
      <c r="AB9" s="27">
        <f t="shared" si="13"/>
        <v>1.5601666666666667</v>
      </c>
      <c r="AC9" s="281">
        <v>4500</v>
      </c>
      <c r="AD9" s="282">
        <v>19.7</v>
      </c>
      <c r="AE9" s="280">
        <v>1500</v>
      </c>
      <c r="AF9" s="297"/>
      <c r="AG9" s="292">
        <f t="shared" si="14"/>
        <v>4035.6571428571424</v>
      </c>
      <c r="AH9" s="300"/>
      <c r="AI9" s="292">
        <f t="shared" si="16"/>
        <v>856.04848484848469</v>
      </c>
      <c r="AJ9" s="292"/>
    </row>
    <row r="10" spans="1:41" x14ac:dyDescent="0.25">
      <c r="A10" s="246" t="s">
        <v>1583</v>
      </c>
      <c r="B10" s="187">
        <v>30</v>
      </c>
      <c r="C10" s="25">
        <v>20</v>
      </c>
      <c r="D10" s="42" t="s">
        <v>159</v>
      </c>
      <c r="E10" s="245">
        <v>5</v>
      </c>
      <c r="F10" s="247">
        <v>1</v>
      </c>
      <c r="G10" s="248">
        <v>6</v>
      </c>
      <c r="H10" s="36">
        <v>0</v>
      </c>
      <c r="I10" s="36">
        <v>6</v>
      </c>
      <c r="J10" s="36">
        <v>12</v>
      </c>
      <c r="K10" s="36">
        <v>3</v>
      </c>
      <c r="L10" s="36">
        <v>10</v>
      </c>
      <c r="M10" s="36">
        <v>7</v>
      </c>
      <c r="N10" s="249">
        <v>20</v>
      </c>
      <c r="O10" s="27">
        <f t="shared" si="0"/>
        <v>2.1701344501381121</v>
      </c>
      <c r="P10" s="27">
        <f t="shared" si="1"/>
        <v>4.7742957903038459</v>
      </c>
      <c r="Q10" s="27">
        <f t="shared" si="2"/>
        <v>1.0850672250690561</v>
      </c>
      <c r="R10" s="27">
        <f t="shared" si="3"/>
        <v>13.25143304048288</v>
      </c>
      <c r="S10" s="27">
        <f t="shared" si="4"/>
        <v>1.5648795500664983</v>
      </c>
      <c r="T10" s="27">
        <f t="shared" si="5"/>
        <v>3.0079977551498764</v>
      </c>
      <c r="U10" s="27">
        <f t="shared" si="6"/>
        <v>0.78243977503324913</v>
      </c>
      <c r="V10" s="27">
        <f t="shared" si="7"/>
        <v>1.5190941150966784</v>
      </c>
      <c r="W10" s="27">
        <f t="shared" si="8"/>
        <v>3.2150140002046101</v>
      </c>
      <c r="X10" s="27">
        <f t="shared" si="9"/>
        <v>0.75954705754833918</v>
      </c>
      <c r="Y10" s="27">
        <f t="shared" si="10"/>
        <v>14.037535000511525</v>
      </c>
      <c r="Z10" s="27">
        <f t="shared" si="11"/>
        <v>3.0454963551294161</v>
      </c>
      <c r="AA10" s="27">
        <f t="shared" si="12"/>
        <v>6.002681785281851</v>
      </c>
      <c r="AB10" s="27">
        <f t="shared" si="13"/>
        <v>1.522748177564708</v>
      </c>
      <c r="AC10" s="305">
        <v>1500</v>
      </c>
      <c r="AD10" s="282">
        <v>10.7</v>
      </c>
      <c r="AE10" s="280">
        <v>550</v>
      </c>
      <c r="AF10" s="297">
        <v>220</v>
      </c>
      <c r="AG10" s="292">
        <f t="shared" si="14"/>
        <v>1494.1714285714286</v>
      </c>
      <c r="AH10" s="300">
        <f t="shared" si="15"/>
        <v>2166.5714285714284</v>
      </c>
      <c r="AI10" s="292">
        <f t="shared" si="16"/>
        <v>309.90222222222224</v>
      </c>
      <c r="AJ10" s="292">
        <f t="shared" si="17"/>
        <v>317.61256544502618</v>
      </c>
    </row>
    <row r="11" spans="1:41" x14ac:dyDescent="0.25">
      <c r="A11" s="246" t="s">
        <v>1584</v>
      </c>
      <c r="B11" s="187">
        <v>30</v>
      </c>
      <c r="C11" s="25">
        <v>63</v>
      </c>
      <c r="D11" s="42" t="s">
        <v>159</v>
      </c>
      <c r="E11" s="245">
        <v>3</v>
      </c>
      <c r="F11" s="247">
        <v>1</v>
      </c>
      <c r="G11" s="248">
        <v>9</v>
      </c>
      <c r="H11" s="36">
        <v>0</v>
      </c>
      <c r="I11" s="36">
        <v>6</v>
      </c>
      <c r="J11" s="36">
        <v>15.25</v>
      </c>
      <c r="K11" s="36">
        <v>2</v>
      </c>
      <c r="L11" s="36">
        <v>14</v>
      </c>
      <c r="M11" s="36">
        <v>9</v>
      </c>
      <c r="N11" s="249">
        <v>5</v>
      </c>
      <c r="O11" s="27">
        <f t="shared" si="0"/>
        <v>2.2335273033981569</v>
      </c>
      <c r="P11" s="27">
        <f t="shared" si="1"/>
        <v>4.9137600674759447</v>
      </c>
      <c r="Q11" s="27">
        <f t="shared" si="2"/>
        <v>1.1167636516990784</v>
      </c>
      <c r="R11" s="27">
        <f t="shared" si="3"/>
        <v>16.541073238547632</v>
      </c>
      <c r="S11" s="27">
        <f t="shared" si="4"/>
        <v>2.1154020349694833</v>
      </c>
      <c r="T11" s="27">
        <f t="shared" si="5"/>
        <v>3.9027907403542961</v>
      </c>
      <c r="U11" s="27">
        <f t="shared" si="6"/>
        <v>1.0577010174847417</v>
      </c>
      <c r="V11" s="27">
        <f t="shared" si="7"/>
        <v>1.5634691123787099</v>
      </c>
      <c r="W11" s="27">
        <f t="shared" si="8"/>
        <v>3.3089293383676401</v>
      </c>
      <c r="X11" s="27">
        <f t="shared" si="9"/>
        <v>0.78173455618935495</v>
      </c>
      <c r="Y11" s="27">
        <f t="shared" si="10"/>
        <v>17.522323345919101</v>
      </c>
      <c r="Z11" s="27">
        <f t="shared" si="11"/>
        <v>4.1168978065175326</v>
      </c>
      <c r="AA11" s="27">
        <f t="shared" si="12"/>
        <v>7.9160501636014242</v>
      </c>
      <c r="AB11" s="27">
        <f t="shared" si="13"/>
        <v>2.0584489032587663</v>
      </c>
      <c r="AC11" s="281">
        <v>3990</v>
      </c>
      <c r="AD11" s="282">
        <v>39</v>
      </c>
      <c r="AE11" s="280">
        <v>2400</v>
      </c>
      <c r="AF11" s="297"/>
      <c r="AG11" s="292">
        <f t="shared" si="14"/>
        <v>3813</v>
      </c>
      <c r="AH11" s="300"/>
      <c r="AI11" s="292">
        <f t="shared" si="16"/>
        <v>859.26760563380287</v>
      </c>
      <c r="AJ11" s="292"/>
    </row>
    <row r="12" spans="1:41" x14ac:dyDescent="0.25">
      <c r="A12" s="246" t="s">
        <v>1585</v>
      </c>
      <c r="B12" s="187">
        <v>30</v>
      </c>
      <c r="C12" s="25">
        <v>85</v>
      </c>
      <c r="D12" s="42" t="s">
        <v>159</v>
      </c>
      <c r="E12" s="245">
        <v>1</v>
      </c>
      <c r="F12" s="247">
        <v>1</v>
      </c>
      <c r="G12" s="248">
        <v>9</v>
      </c>
      <c r="H12" s="36">
        <v>0</v>
      </c>
      <c r="I12" s="36">
        <v>11</v>
      </c>
      <c r="J12" s="36">
        <v>14</v>
      </c>
      <c r="K12" s="36">
        <v>3</v>
      </c>
      <c r="L12" s="36">
        <v>11</v>
      </c>
      <c r="M12" s="36">
        <v>8</v>
      </c>
      <c r="N12" s="249">
        <v>2</v>
      </c>
      <c r="O12" s="27">
        <f t="shared" si="0"/>
        <v>3.5835273033981569</v>
      </c>
      <c r="P12" s="27">
        <f t="shared" si="1"/>
        <v>7.8837600674759445</v>
      </c>
      <c r="Q12" s="27">
        <f t="shared" si="2"/>
        <v>1.7917636516990785</v>
      </c>
      <c r="R12" s="27">
        <f t="shared" si="3"/>
        <v>15.361073238547631</v>
      </c>
      <c r="S12" s="27">
        <f t="shared" si="4"/>
        <v>1.725402034969483</v>
      </c>
      <c r="T12" s="27">
        <f t="shared" si="5"/>
        <v>3.3697907403542962</v>
      </c>
      <c r="U12" s="27">
        <f t="shared" si="6"/>
        <v>0.86270101748474148</v>
      </c>
      <c r="V12" s="27">
        <f t="shared" si="7"/>
        <v>2.5084691123787097</v>
      </c>
      <c r="W12" s="27">
        <f t="shared" si="8"/>
        <v>5.3089293383676406</v>
      </c>
      <c r="X12" s="27">
        <f t="shared" si="9"/>
        <v>1.2542345561893549</v>
      </c>
      <c r="Y12" s="27">
        <f t="shared" si="10"/>
        <v>16.272323345919101</v>
      </c>
      <c r="Z12" s="27">
        <f t="shared" si="11"/>
        <v>3.3578978065175322</v>
      </c>
      <c r="AA12" s="27">
        <f t="shared" si="12"/>
        <v>6.6830501636014237</v>
      </c>
      <c r="AB12" s="27">
        <f t="shared" si="13"/>
        <v>1.6789489032587661</v>
      </c>
      <c r="AC12" s="281">
        <v>3500</v>
      </c>
      <c r="AD12" s="282">
        <v>34.4</v>
      </c>
      <c r="AE12" s="280">
        <v>2100</v>
      </c>
      <c r="AF12" s="297"/>
      <c r="AG12" s="292">
        <f t="shared" si="14"/>
        <v>3468.9142857142851</v>
      </c>
      <c r="AH12" s="300">
        <f t="shared" si="15"/>
        <v>6669.7142857142853</v>
      </c>
      <c r="AI12" s="292">
        <f t="shared" si="16"/>
        <v>817.9334736842103</v>
      </c>
      <c r="AJ12" s="292">
        <f t="shared" si="17"/>
        <v>1068.6809728183118</v>
      </c>
    </row>
    <row r="13" spans="1:41" x14ac:dyDescent="0.25">
      <c r="A13" s="246"/>
      <c r="B13" s="187"/>
      <c r="C13" s="25"/>
      <c r="E13" s="245"/>
      <c r="F13" s="247"/>
      <c r="G13" s="248"/>
      <c r="H13" s="36"/>
      <c r="I13" s="36"/>
      <c r="J13" s="36"/>
      <c r="K13" s="36"/>
      <c r="L13" s="36"/>
      <c r="M13" s="36"/>
      <c r="N13" s="249"/>
      <c r="O13" s="27" t="e">
        <f t="shared" si="0"/>
        <v>#NUM!</v>
      </c>
      <c r="P13" s="27" t="e">
        <f t="shared" si="1"/>
        <v>#NUM!</v>
      </c>
      <c r="Q13" s="27" t="e">
        <f t="shared" si="2"/>
        <v>#NUM!</v>
      </c>
      <c r="R13" s="27" t="e">
        <f t="shared" si="3"/>
        <v>#NUM!</v>
      </c>
      <c r="S13" s="27" t="e">
        <f t="shared" si="4"/>
        <v>#NUM!</v>
      </c>
      <c r="T13" s="27" t="e">
        <f t="shared" si="5"/>
        <v>#NUM!</v>
      </c>
      <c r="U13" s="27" t="e">
        <f t="shared" si="6"/>
        <v>#NUM!</v>
      </c>
      <c r="V13" s="27" t="e">
        <f t="shared" si="7"/>
        <v>#NUM!</v>
      </c>
      <c r="W13" s="27" t="e">
        <f t="shared" si="8"/>
        <v>#NUM!</v>
      </c>
      <c r="X13" s="27" t="e">
        <f t="shared" si="9"/>
        <v>#NUM!</v>
      </c>
      <c r="Y13" s="27" t="e">
        <f t="shared" si="10"/>
        <v>#NUM!</v>
      </c>
      <c r="Z13" s="27" t="e">
        <f t="shared" si="11"/>
        <v>#NUM!</v>
      </c>
      <c r="AA13" s="27" t="e">
        <f t="shared" si="12"/>
        <v>#NUM!</v>
      </c>
      <c r="AB13" s="27" t="e">
        <f t="shared" si="13"/>
        <v>#NUM!</v>
      </c>
      <c r="AC13" s="281"/>
      <c r="AD13" s="282"/>
      <c r="AF13" s="297"/>
      <c r="AG13" s="292">
        <f t="shared" si="14"/>
        <v>0</v>
      </c>
      <c r="AH13" s="300">
        <f t="shared" si="15"/>
        <v>0</v>
      </c>
      <c r="AI13" s="292">
        <f t="shared" si="16"/>
        <v>0</v>
      </c>
      <c r="AJ13" s="292">
        <f t="shared" si="17"/>
        <v>0</v>
      </c>
    </row>
    <row r="14" spans="1:41" x14ac:dyDescent="0.25">
      <c r="A14" s="246"/>
      <c r="B14" s="187"/>
      <c r="C14" s="25"/>
      <c r="E14" s="245"/>
      <c r="F14" s="247"/>
      <c r="G14" s="248"/>
      <c r="H14" s="36"/>
      <c r="I14" s="36"/>
      <c r="J14" s="36"/>
      <c r="K14" s="36"/>
      <c r="L14" s="36"/>
      <c r="M14" s="36"/>
      <c r="N14" s="249"/>
      <c r="O14" s="27" t="e">
        <f t="shared" si="0"/>
        <v>#NUM!</v>
      </c>
      <c r="P14" s="27" t="e">
        <f t="shared" si="1"/>
        <v>#NUM!</v>
      </c>
      <c r="Q14" s="27" t="e">
        <f t="shared" si="2"/>
        <v>#NUM!</v>
      </c>
      <c r="R14" s="27" t="e">
        <f t="shared" si="3"/>
        <v>#NUM!</v>
      </c>
      <c r="S14" s="27" t="e">
        <f t="shared" si="4"/>
        <v>#NUM!</v>
      </c>
      <c r="T14" s="27" t="e">
        <f t="shared" si="5"/>
        <v>#NUM!</v>
      </c>
      <c r="U14" s="27" t="e">
        <f t="shared" si="6"/>
        <v>#NUM!</v>
      </c>
      <c r="V14" s="27" t="e">
        <f t="shared" si="7"/>
        <v>#NUM!</v>
      </c>
      <c r="W14" s="27" t="e">
        <f t="shared" si="8"/>
        <v>#NUM!</v>
      </c>
      <c r="X14" s="27" t="e">
        <f t="shared" si="9"/>
        <v>#NUM!</v>
      </c>
      <c r="Y14" s="27" t="e">
        <f t="shared" si="10"/>
        <v>#NUM!</v>
      </c>
      <c r="Z14" s="27" t="e">
        <f t="shared" si="11"/>
        <v>#NUM!</v>
      </c>
      <c r="AA14" s="27" t="e">
        <f t="shared" si="12"/>
        <v>#NUM!</v>
      </c>
      <c r="AB14" s="27" t="e">
        <f t="shared" si="13"/>
        <v>#NUM!</v>
      </c>
      <c r="AC14" s="306"/>
      <c r="AD14" s="307"/>
      <c r="AE14" s="298"/>
      <c r="AF14" s="299"/>
      <c r="AG14" s="301">
        <f t="shared" si="14"/>
        <v>0</v>
      </c>
      <c r="AH14" s="302">
        <f t="shared" si="15"/>
        <v>0</v>
      </c>
      <c r="AI14" s="292">
        <f t="shared" si="16"/>
        <v>0</v>
      </c>
      <c r="AJ14" s="292">
        <f t="shared" si="17"/>
        <v>0</v>
      </c>
    </row>
  </sheetData>
  <conditionalFormatting sqref="G3:G14">
    <cfRule type="cellIs" dxfId="8" priority="5" operator="greaterThan">
      <formula>7</formula>
    </cfRule>
  </conditionalFormatting>
  <conditionalFormatting sqref="O3:AB14">
    <cfRule type="cellIs" dxfId="7" priority="4" operator="greaterThan">
      <formula>12.5</formula>
    </cfRule>
  </conditionalFormatting>
  <conditionalFormatting sqref="H3:N14">
    <cfRule type="colorScale" priority="391">
      <colorScale>
        <cfvo type="min"/>
        <cfvo type="max"/>
        <color rgb="FFFCFCFF"/>
        <color rgb="FFF8696B"/>
      </colorScale>
    </cfRule>
  </conditionalFormatting>
  <conditionalFormatting sqref="S3:U14 Z3:AB14">
    <cfRule type="colorScale" priority="393">
      <colorScale>
        <cfvo type="min"/>
        <cfvo type="max"/>
        <color rgb="FFFCFCFF"/>
        <color rgb="FF63BE7B"/>
      </colorScale>
    </cfRule>
  </conditionalFormatting>
  <conditionalFormatting sqref="O3:Q14 V3:X14">
    <cfRule type="colorScale" priority="397">
      <colorScale>
        <cfvo type="min"/>
        <cfvo type="max"/>
        <color rgb="FFFCFCFF"/>
        <color rgb="FFF8696B"/>
      </colorScale>
    </cfRule>
  </conditionalFormatting>
  <conditionalFormatting sqref="R3:R14 Y3:Y14">
    <cfRule type="colorScale" priority="4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3:AJ14">
    <cfRule type="dataBar" priority="40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{1B909588-D67C-40E7-BE9F-48276713F4F4}</x14:id>
        </ext>
      </extLst>
    </cfRule>
  </conditionalFormatting>
  <conditionalFormatting sqref="AG3:AH14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{6B1DA2F3-496B-49E1-A19A-EAED362318BD}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909588-D67C-40E7-BE9F-48276713F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AI3:AJ14</xm:sqref>
        </x14:conditionalFormatting>
        <x14:conditionalFormatting xmlns:xm="http://schemas.microsoft.com/office/excel/2006/main">
          <x14:cfRule type="dataBar" id="{6B1DA2F3-496B-49E1-A19A-EAED36231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AG3:AH14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0497A"/>
  </sheetPr>
  <dimension ref="A1:AJ29"/>
  <sheetViews>
    <sheetView workbookViewId="0">
      <pane ySplit="2" topLeftCell="A3" activePane="bottomLeft" state="frozen"/>
      <selection pane="bottomLeft" activeCell="D13" sqref="D13"/>
    </sheetView>
  </sheetViews>
  <sheetFormatPr baseColWidth="10" defaultColWidth="10.7109375" defaultRowHeight="15" x14ac:dyDescent="0.25"/>
  <cols>
    <col min="1" max="1" width="19.85546875" bestFit="1" customWidth="1"/>
    <col min="2" max="2" width="5.42578125" customWidth="1"/>
    <col min="3" max="3" width="4.7109375" customWidth="1"/>
    <col min="4" max="4" width="6" style="42" customWidth="1"/>
    <col min="5" max="5" width="4.140625" customWidth="1"/>
    <col min="6" max="6" width="7.42578125" customWidth="1"/>
    <col min="7" max="7" width="4.5703125" customWidth="1"/>
    <col min="8" max="14" width="5.5703125" customWidth="1"/>
    <col min="15" max="15" width="5.140625" customWidth="1"/>
    <col min="16" max="16" width="6.42578125" customWidth="1"/>
    <col min="17" max="17" width="6.85546875" customWidth="1"/>
    <col min="18" max="18" width="6.42578125" customWidth="1"/>
    <col min="19" max="19" width="5.140625" customWidth="1"/>
    <col min="20" max="20" width="6.42578125" customWidth="1"/>
    <col min="21" max="21" width="6.85546875" customWidth="1"/>
    <col min="22" max="22" width="6.42578125" customWidth="1"/>
    <col min="23" max="23" width="5.140625" customWidth="1"/>
    <col min="24" max="24" width="6.42578125" customWidth="1"/>
    <col min="25" max="25" width="6.85546875" customWidth="1"/>
    <col min="26" max="26" width="6.42578125" customWidth="1"/>
    <col min="27" max="27" width="6.5703125" customWidth="1"/>
    <col min="28" max="28" width="7.140625" customWidth="1"/>
    <col min="29" max="30" width="7.140625" style="41" customWidth="1"/>
    <col min="31" max="32" width="9" customWidth="1"/>
    <col min="33" max="34" width="8.42578125" customWidth="1"/>
  </cols>
  <sheetData>
    <row r="1" spans="1:36" s="41" customFormat="1" x14ac:dyDescent="0.25">
      <c r="D1" s="43"/>
      <c r="O1" s="41" t="s">
        <v>652</v>
      </c>
      <c r="S1" s="41" t="s">
        <v>628</v>
      </c>
      <c r="W1" s="41" t="s">
        <v>172</v>
      </c>
    </row>
    <row r="2" spans="1:36" x14ac:dyDescent="0.25">
      <c r="A2" s="251" t="s">
        <v>177</v>
      </c>
      <c r="B2" s="251" t="s">
        <v>629</v>
      </c>
      <c r="C2" s="252" t="s">
        <v>109</v>
      </c>
      <c r="D2" s="253" t="s">
        <v>291</v>
      </c>
      <c r="E2" s="254" t="s">
        <v>653</v>
      </c>
      <c r="F2" s="255" t="s">
        <v>117</v>
      </c>
      <c r="G2" s="256" t="s">
        <v>518</v>
      </c>
      <c r="H2" s="257" t="s">
        <v>149</v>
      </c>
      <c r="I2" s="257" t="s">
        <v>183</v>
      </c>
      <c r="J2" s="257" t="s">
        <v>184</v>
      </c>
      <c r="K2" s="257" t="s">
        <v>315</v>
      </c>
      <c r="L2" s="257" t="s">
        <v>186</v>
      </c>
      <c r="M2" s="257" t="s">
        <v>187</v>
      </c>
      <c r="N2" s="258" t="s">
        <v>188</v>
      </c>
      <c r="O2" s="259" t="s">
        <v>168</v>
      </c>
      <c r="P2" s="259" t="s">
        <v>638</v>
      </c>
      <c r="Q2" s="259" t="s">
        <v>639</v>
      </c>
      <c r="R2" s="260" t="s">
        <v>638</v>
      </c>
      <c r="S2" s="259" t="s">
        <v>168</v>
      </c>
      <c r="T2" s="259" t="s">
        <v>638</v>
      </c>
      <c r="U2" s="259" t="s">
        <v>639</v>
      </c>
      <c r="V2" s="260" t="s">
        <v>638</v>
      </c>
      <c r="W2" s="261" t="s">
        <v>168</v>
      </c>
      <c r="X2" s="261" t="s">
        <v>638</v>
      </c>
      <c r="Y2" s="261" t="s">
        <v>639</v>
      </c>
      <c r="Z2" s="262" t="s">
        <v>638</v>
      </c>
      <c r="AA2" s="261" t="s">
        <v>654</v>
      </c>
      <c r="AB2" s="262" t="s">
        <v>294</v>
      </c>
      <c r="AC2" s="261" t="s">
        <v>655</v>
      </c>
      <c r="AD2" s="261" t="s">
        <v>656</v>
      </c>
      <c r="AE2" s="261" t="s">
        <v>657</v>
      </c>
      <c r="AF2" s="261" t="s">
        <v>658</v>
      </c>
      <c r="AG2" s="261" t="s">
        <v>659</v>
      </c>
      <c r="AH2" s="261" t="s">
        <v>660</v>
      </c>
    </row>
    <row r="3" spans="1:36" x14ac:dyDescent="0.25">
      <c r="A3" s="277" t="s">
        <v>731</v>
      </c>
      <c r="B3" s="269">
        <v>32</v>
      </c>
      <c r="C3" s="25">
        <v>6</v>
      </c>
      <c r="D3" s="42" t="s">
        <v>162</v>
      </c>
      <c r="E3" s="270">
        <v>2</v>
      </c>
      <c r="F3" s="271">
        <v>1</v>
      </c>
      <c r="G3" s="272">
        <v>15</v>
      </c>
      <c r="H3" s="36">
        <v>0</v>
      </c>
      <c r="I3" s="36">
        <v>1</v>
      </c>
      <c r="J3" s="36">
        <v>9</v>
      </c>
      <c r="K3" s="36">
        <v>14</v>
      </c>
      <c r="L3" s="36">
        <v>11</v>
      </c>
      <c r="M3" s="36">
        <v>10.95</v>
      </c>
      <c r="N3" s="273">
        <v>12</v>
      </c>
      <c r="O3" s="27">
        <f>((J3+F3+(LOG(G3)*4/3))*0.15)</f>
        <v>1.7352182518111363</v>
      </c>
      <c r="P3" s="27">
        <f>((M3+F3+(LOG(G3)*4/3))*0.552)+((K3+F3+(LOG(G3)*4/3))*0.576)+((L3+F3+(LOG(G3)*4/3))*0.195)</f>
        <v>19.651024980974221</v>
      </c>
      <c r="Q3" s="27">
        <f>((M3+F3+(LOG(G3)*4/3))*0.607)+((L3+F3+(LOG(G3)*4/3))*0.248)</f>
        <v>11.570394035323476</v>
      </c>
      <c r="R3" s="274">
        <f>((M3+F3+(LOG(G3)*4/3))*0.223)+((K3+F3+(LOG(G3)*4/3))*0)+((L3+F3+(LOG(G3)*4/3))*0)</f>
        <v>3.0145411343592223</v>
      </c>
      <c r="S3" s="27">
        <f>((J3+F3+(LOG(G3)*4/3))*0.406)</f>
        <v>4.6966574015688094</v>
      </c>
      <c r="T3" s="27">
        <f>IF(D3="TEC",((K3+F3+(LOG(G3)*4/3))*0.15)+((L3+F3+(LOG(G3)*4/3))*0.324)+((M3+F3+(LOG(G3)*4/3))*0.127),((K3+F3+(LOG(G3)*4/3))*0.144)+((L3+F3+(LOG(G3)*4/3))*0.25)+((M3+F3+(LOG(G3)*4/3))*0.127))</f>
        <v>7.4946413946240131</v>
      </c>
      <c r="U3" s="27">
        <f>IF(D3="TEC",((L3+F3+(LOG(G3)*4/3))*0.543)+((M3+F3+(LOG(G3)*4/3))*0.583),((L3+F3+(LOG(G3)*4/3))*0.543)+((M3+F3+(LOG(G3)*4/3))*0.583))</f>
        <v>15.248555010262262</v>
      </c>
      <c r="V3" s="274">
        <f>T3</f>
        <v>7.4946413946240131</v>
      </c>
      <c r="W3" s="27">
        <f>((J3+F3+(LOG(G3)*4/3))*0.25)</f>
        <v>2.8920304196852271</v>
      </c>
      <c r="X3" s="27">
        <f>((M3+F3+(LOG(G3)*4/3))*0.26)+((K3+F3+(LOG(G3)*4/3))*0.221)+((L3+F3+(LOG(G3)*4/3))*0.142)</f>
        <v>9.1029398058555859</v>
      </c>
      <c r="Y3" s="27">
        <f>((M3+F3+(LOG(G3)*4/3))*1)+((L3+F3+(LOG(G3)*4/3))*0.369)</f>
        <v>18.524758578196302</v>
      </c>
      <c r="Z3" s="274">
        <f>X3</f>
        <v>9.1029398058555859</v>
      </c>
      <c r="AB3" s="275"/>
      <c r="AE3" s="25"/>
      <c r="AF3" s="25"/>
      <c r="AG3" s="25"/>
      <c r="AH3" s="25"/>
    </row>
    <row r="4" spans="1:36" x14ac:dyDescent="0.25">
      <c r="A4" s="277" t="s">
        <v>761</v>
      </c>
      <c r="B4" s="187">
        <v>29</v>
      </c>
      <c r="C4" s="25">
        <v>11</v>
      </c>
      <c r="E4" s="245">
        <v>1</v>
      </c>
      <c r="F4" s="247">
        <v>1</v>
      </c>
      <c r="G4" s="248">
        <v>7</v>
      </c>
      <c r="H4" s="36">
        <v>0</v>
      </c>
      <c r="I4" s="36">
        <v>4</v>
      </c>
      <c r="J4" s="36">
        <v>2</v>
      </c>
      <c r="K4" s="36">
        <v>9</v>
      </c>
      <c r="L4" s="36">
        <v>14</v>
      </c>
      <c r="M4" s="36">
        <v>13.95</v>
      </c>
      <c r="N4" s="249">
        <v>6</v>
      </c>
      <c r="O4" s="27">
        <f>((J4+F4+(LOG(G4)*4/3))*0.15)</f>
        <v>0.61901960800285127</v>
      </c>
      <c r="P4" s="27">
        <f>((M4+F4+(LOG(G4)*4/3))*0.552)+((K4+F4+(LOG(G4)*4/3))*0.576)+((L4+F4+(LOG(G4)*4/3))*0.195)</f>
        <v>18.42815294258515</v>
      </c>
      <c r="Q4" s="27">
        <f>((M4+F4+(LOG(G4)*4/3))*0.607)+((L4+F4+(LOG(G4)*4/3))*0.248)</f>
        <v>13.758061765616253</v>
      </c>
      <c r="R4" s="250">
        <f>((M4+F4+(LOG(G4)*4/3))*0.223)+((K4+F4+(LOG(G4)*4/3))*0)+((L4+F4+(LOG(G4)*4/3))*0)</f>
        <v>3.5851258172309057</v>
      </c>
      <c r="S4" s="27">
        <f>((J4+F4+(LOG(G4)*4/3))*0.406)</f>
        <v>1.6754797389943843</v>
      </c>
      <c r="T4" s="27">
        <f>IF(D4="TEC",((K4+F4+(LOG(G4)*4/3))*0.15)+((L4+F4+(LOG(G4)*4/3))*0.324)+((M4+F4+(LOG(G4)*4/3))*0.127),((K4+F4+(LOG(G4)*4/3))*0.144)+((L4+F4+(LOG(G4)*4/3))*0.25)+((M4+F4+(LOG(G4)*4/3))*0.127))</f>
        <v>7.675711438463237</v>
      </c>
      <c r="U4" s="27">
        <f>IF(D4="TEC",((L4+F4+(LOG(G4)*4/3))*0.543)+((M4+F4+(LOG(G4)*4/3))*0.583),((L4+F4+(LOG(G4)*4/3))*0.543)+((M4+F4+(LOG(G4)*4/3))*0.583))</f>
        <v>18.12962385740807</v>
      </c>
      <c r="V4" s="250">
        <f>T4</f>
        <v>7.675711438463237</v>
      </c>
      <c r="W4" s="27">
        <f>((J4+F4+(LOG(G4)*4/3))*0.25)</f>
        <v>1.0316993466714188</v>
      </c>
      <c r="X4" s="27">
        <f>((M4+F4+(LOG(G4)*4/3))*0.26)+((K4+F4+(LOG(G4)*4/3))*0.221)+((L4+F4+(LOG(G4)*4/3))*0.142)</f>
        <v>8.9289947719051774</v>
      </c>
      <c r="Y4" s="27">
        <f>((M4+F4+(LOG(G4)*4/3))*1)+((L4+F4+(LOG(G4)*4/3))*0.369)</f>
        <v>22.02758562237269</v>
      </c>
      <c r="Z4" s="250">
        <f>X4</f>
        <v>8.9289947719051774</v>
      </c>
      <c r="AB4" s="188"/>
      <c r="AE4" s="25"/>
      <c r="AF4" s="25"/>
      <c r="AG4" s="25"/>
      <c r="AH4" s="25"/>
    </row>
    <row r="5" spans="1:36" x14ac:dyDescent="0.25">
      <c r="A5" s="277" t="s">
        <v>676</v>
      </c>
      <c r="B5" s="269">
        <v>29</v>
      </c>
      <c r="C5" s="25">
        <v>102</v>
      </c>
      <c r="D5" s="42" t="s">
        <v>162</v>
      </c>
      <c r="E5" s="270">
        <v>1</v>
      </c>
      <c r="F5" s="271">
        <v>1</v>
      </c>
      <c r="G5" s="272">
        <v>8</v>
      </c>
      <c r="H5" s="36">
        <v>0</v>
      </c>
      <c r="I5" s="36">
        <v>4</v>
      </c>
      <c r="J5" s="36">
        <v>8</v>
      </c>
      <c r="K5" s="36">
        <v>11</v>
      </c>
      <c r="L5" s="36">
        <v>12</v>
      </c>
      <c r="M5" s="36">
        <v>14</v>
      </c>
      <c r="N5" s="273">
        <v>14</v>
      </c>
      <c r="O5" s="27">
        <f>((J5+F5+(LOG(G5)*4/3))*0.15)</f>
        <v>1.5306179973983887</v>
      </c>
      <c r="P5" s="27">
        <f>((M5+F5+(LOG(G5)*4/3))*0.552)+((K5+F5+(LOG(G5)*4/3))*0.576)+((L5+F5+(LOG(G5)*4/3))*0.195)</f>
        <v>19.320050737053791</v>
      </c>
      <c r="Q5" s="27">
        <f>((M5+F5+(LOG(G5)*4/3))*0.607)+((L5+F5+(LOG(G5)*4/3))*0.248)</f>
        <v>13.358522585170816</v>
      </c>
      <c r="R5" s="274">
        <f>((M5+F5+(LOG(G5)*4/3))*0.223)+((K5+F5+(LOG(G5)*4/3))*0)+((L5+F5+(LOG(G5)*4/3))*0)</f>
        <v>3.6135187561322715</v>
      </c>
      <c r="S5" s="27">
        <f>((J5+F5+(LOG(G5)*4/3))*0.406)</f>
        <v>4.1428727129583063</v>
      </c>
      <c r="T5" s="27">
        <f>IF(D5="TEC",((K5+F5+(LOG(G5)*4/3))*0.15)+((L5+F5+(LOG(G5)*4/3))*0.324)+((M5+F5+(LOG(G5)*4/3))*0.127),((K5+F5+(LOG(G5)*4/3))*0.144)+((L5+F5+(LOG(G5)*4/3))*0.25)+((M5+F5+(LOG(G5)*4/3))*0.127))</f>
        <v>7.5103465109637373</v>
      </c>
      <c r="U5" s="27">
        <f>IF(D5="TEC",((L5+F5+(LOG(G5)*4/3))*0.543)+((M5+F5+(LOG(G5)*4/3))*0.583),((L5+F5+(LOG(G5)*4/3))*0.543)+((M5+F5+(LOG(G5)*4/3))*0.583))</f>
        <v>17.15983910047057</v>
      </c>
      <c r="V5" s="274">
        <f>T5</f>
        <v>7.5103465109637373</v>
      </c>
      <c r="W5" s="27">
        <f>((J5+F5+(LOG(G5)*4/3))*0.25)</f>
        <v>2.5510299956639813</v>
      </c>
      <c r="X5" s="27">
        <f>((M5+F5+(LOG(G5)*4/3))*0.26)+((K5+F5+(LOG(G5)*4/3))*0.221)+((L5+F5+(LOG(G5)*4/3))*0.142)</f>
        <v>9.1481667491946403</v>
      </c>
      <c r="Y5" s="27">
        <f>((M5+F5+(LOG(G5)*4/3))*1)+((L5+F5+(LOG(G5)*4/3))*0.369)</f>
        <v>21.44544025625596</v>
      </c>
      <c r="Z5" s="274">
        <f>X5</f>
        <v>9.1481667491946403</v>
      </c>
      <c r="AB5" s="275"/>
      <c r="AE5" s="25"/>
      <c r="AF5" s="25"/>
      <c r="AG5" s="25"/>
      <c r="AH5" s="25"/>
    </row>
    <row r="6" spans="1:36" x14ac:dyDescent="0.25">
      <c r="A6" s="246" t="s">
        <v>1587</v>
      </c>
      <c r="B6" s="187">
        <v>30</v>
      </c>
      <c r="C6" s="25">
        <v>102</v>
      </c>
      <c r="D6" s="42" t="s">
        <v>162</v>
      </c>
      <c r="E6" s="245">
        <v>1</v>
      </c>
      <c r="F6" s="247">
        <v>1</v>
      </c>
      <c r="G6" s="248">
        <v>7</v>
      </c>
      <c r="H6" s="36">
        <v>0</v>
      </c>
      <c r="I6" s="36">
        <v>5</v>
      </c>
      <c r="J6" s="36">
        <v>8</v>
      </c>
      <c r="K6" s="36">
        <v>10</v>
      </c>
      <c r="L6" s="36">
        <v>11</v>
      </c>
      <c r="M6" s="36">
        <v>13</v>
      </c>
      <c r="N6" s="249">
        <v>8</v>
      </c>
      <c r="O6" s="27">
        <f t="shared" ref="O6:O23" si="0">((J6+F6+(LOG(G6)*4/3))*0.15)</f>
        <v>1.5190196080028513</v>
      </c>
      <c r="P6" s="27">
        <f t="shared" ref="P6:P23" si="1">((M6+F6+(LOG(G6)*4/3))*0.552)+((K6+F6+(LOG(G6)*4/3))*0.576)+((L6+F6+(LOG(G6)*4/3))*0.195)</f>
        <v>17.89475294258515</v>
      </c>
      <c r="Q6" s="27">
        <f t="shared" ref="Q6:Q23" si="2">((M6+F6+(LOG(G6)*4/3))*0.607)+((L6+F6+(LOG(G6)*4/3))*0.248)</f>
        <v>12.437411765616252</v>
      </c>
      <c r="R6" s="274">
        <f t="shared" ref="R6:R23" si="3">((M6+F6+(LOG(G6)*4/3))*0.223)+((K6+F6+(LOG(G6)*4/3))*0)+((L6+F6+(LOG(G6)*4/3))*0)</f>
        <v>3.3732758172309056</v>
      </c>
      <c r="S6" s="27">
        <f t="shared" ref="S6:S23" si="4">((J6+F6+(LOG(G6)*4/3))*0.406)</f>
        <v>4.111479738994384</v>
      </c>
      <c r="T6" s="27">
        <f t="shared" ref="T6:T23" si="5">IF(D6="TEC",((K6+F6+(LOG(G6)*4/3))*0.15)+((L6+F6+(LOG(G6)*4/3))*0.324)+((M6+F6+(LOG(G6)*4/3))*0.127),((K6+F6+(LOG(G6)*4/3))*0.144)+((L6+F6+(LOG(G6)*4/3))*0.25)+((M6+F6+(LOG(G6)*4/3))*0.127))</f>
        <v>6.9490614384632359</v>
      </c>
      <c r="U6" s="27">
        <f t="shared" ref="U6:U23" si="6">IF(D6="TEC",((L6+F6+(LOG(G6)*4/3))*0.543)+((M6+F6+(LOG(G6)*4/3))*0.583),((L6+F6+(LOG(G6)*4/3))*0.543)+((M6+F6+(LOG(G6)*4/3))*0.583))</f>
        <v>15.94677385740807</v>
      </c>
      <c r="V6" s="274">
        <f t="shared" ref="V6:V23" si="7">T6</f>
        <v>6.9490614384632359</v>
      </c>
      <c r="W6" s="27">
        <f t="shared" ref="W6:W23" si="8">((J6+F6+(LOG(G6)*4/3))*0.25)</f>
        <v>2.5316993466714188</v>
      </c>
      <c r="X6" s="27">
        <f t="shared" ref="X6:X23" si="9">((M6+F6+(LOG(G6)*4/3))*0.26)+((K6+F6+(LOG(G6)*4/3))*0.221)+((L6+F6+(LOG(G6)*4/3))*0.142)</f>
        <v>8.4769947719051757</v>
      </c>
      <c r="Y6" s="27">
        <f t="shared" ref="Y6:Y23" si="10">((M6+F6+(LOG(G6)*4/3))*1)+((L6+F6+(LOG(G6)*4/3))*0.369)</f>
        <v>19.970585622372688</v>
      </c>
      <c r="Z6" s="274">
        <f t="shared" ref="Z6:Z23" si="11">X6</f>
        <v>8.4769947719051757</v>
      </c>
      <c r="AB6" s="275"/>
      <c r="AE6" s="25"/>
      <c r="AF6" s="25"/>
      <c r="AG6" s="25"/>
      <c r="AH6" s="25"/>
    </row>
    <row r="7" spans="1:36" x14ac:dyDescent="0.25">
      <c r="A7" s="246" t="s">
        <v>1570</v>
      </c>
      <c r="B7" s="187">
        <v>29</v>
      </c>
      <c r="C7" s="25">
        <v>25</v>
      </c>
      <c r="D7" s="42" t="s">
        <v>159</v>
      </c>
      <c r="E7" s="245">
        <v>3</v>
      </c>
      <c r="F7" s="247">
        <v>1</v>
      </c>
      <c r="G7" s="248">
        <v>7</v>
      </c>
      <c r="H7" s="36">
        <v>0</v>
      </c>
      <c r="I7" s="36">
        <v>2</v>
      </c>
      <c r="J7" s="36">
        <v>12</v>
      </c>
      <c r="K7" s="36">
        <v>7</v>
      </c>
      <c r="L7" s="36">
        <v>10</v>
      </c>
      <c r="M7" s="36">
        <v>11</v>
      </c>
      <c r="N7" s="249">
        <v>1</v>
      </c>
      <c r="O7" s="27">
        <f t="shared" si="0"/>
        <v>2.1190196080028514</v>
      </c>
      <c r="P7" s="27">
        <f t="shared" si="1"/>
        <v>14.867752942585149</v>
      </c>
      <c r="Q7" s="27">
        <f t="shared" si="2"/>
        <v>10.975411765616252</v>
      </c>
      <c r="R7" s="250">
        <f t="shared" si="3"/>
        <v>2.9272758172309055</v>
      </c>
      <c r="S7" s="27">
        <f t="shared" si="4"/>
        <v>5.7354797389943846</v>
      </c>
      <c r="T7" s="27">
        <f t="shared" si="5"/>
        <v>6.0130614384632368</v>
      </c>
      <c r="U7" s="27">
        <f t="shared" si="6"/>
        <v>14.237773857408071</v>
      </c>
      <c r="V7" s="250">
        <f t="shared" si="7"/>
        <v>6.0130614384632368</v>
      </c>
      <c r="W7" s="27">
        <f t="shared" si="8"/>
        <v>3.5316993466714188</v>
      </c>
      <c r="X7" s="27">
        <f t="shared" si="9"/>
        <v>7.1519947719051746</v>
      </c>
      <c r="Y7" s="27">
        <f t="shared" si="10"/>
        <v>17.601585622372689</v>
      </c>
      <c r="Z7" s="250">
        <f t="shared" si="11"/>
        <v>7.1519947719051746</v>
      </c>
      <c r="AA7">
        <v>4740</v>
      </c>
      <c r="AB7" s="188">
        <v>20.399999999999999</v>
      </c>
      <c r="AC7" s="41">
        <v>950</v>
      </c>
      <c r="AD7" s="41">
        <v>1900</v>
      </c>
      <c r="AE7" s="25">
        <f t="shared" ref="AE7:AE11" si="12">AA7+(AB7*16*(36-B7-((112-C7)/112)))-AC7</f>
        <v>5821.2571428571428</v>
      </c>
      <c r="AF7" s="25">
        <f t="shared" ref="AF7:AF12" si="13">AA7+(AB7*16*(34-B7-((112-C7)/112)))-AD7</f>
        <v>4218.4571428571426</v>
      </c>
      <c r="AG7" s="25">
        <f t="shared" ref="AG7:AG11" si="14">(AE7)/(36-B7+((112-C7)/112))</f>
        <v>748.54282433983929</v>
      </c>
      <c r="AH7" s="25">
        <f t="shared" ref="AH7:AH17" si="15">(AF7)/(34-B7+((112-C7)/112))</f>
        <v>730.24296754250383</v>
      </c>
    </row>
    <row r="8" spans="1:36" x14ac:dyDescent="0.25">
      <c r="A8" s="246" t="s">
        <v>1533</v>
      </c>
      <c r="B8" s="187">
        <v>30</v>
      </c>
      <c r="C8" s="25">
        <v>7</v>
      </c>
      <c r="D8" s="42" t="s">
        <v>159</v>
      </c>
      <c r="E8" s="245">
        <v>5</v>
      </c>
      <c r="F8" s="247">
        <v>1</v>
      </c>
      <c r="G8" s="248">
        <v>7</v>
      </c>
      <c r="H8" s="36">
        <v>0</v>
      </c>
      <c r="I8" s="36">
        <v>4</v>
      </c>
      <c r="J8" s="36">
        <v>4</v>
      </c>
      <c r="K8" s="36">
        <v>12</v>
      </c>
      <c r="L8" s="36">
        <v>14</v>
      </c>
      <c r="M8" s="36">
        <v>11</v>
      </c>
      <c r="N8" s="249">
        <v>2</v>
      </c>
      <c r="O8" s="27">
        <f t="shared" si="0"/>
        <v>0.91901960800285121</v>
      </c>
      <c r="P8" s="27">
        <f t="shared" si="1"/>
        <v>18.527752942585149</v>
      </c>
      <c r="Q8" s="27">
        <f t="shared" si="2"/>
        <v>11.967411765616253</v>
      </c>
      <c r="R8" s="250">
        <f t="shared" si="3"/>
        <v>2.9272758172309055</v>
      </c>
      <c r="S8" s="27">
        <f t="shared" si="4"/>
        <v>2.4874797389943843</v>
      </c>
      <c r="T8" s="27">
        <f t="shared" si="5"/>
        <v>7.7330614384632366</v>
      </c>
      <c r="U8" s="27">
        <f t="shared" si="6"/>
        <v>16.409773857408073</v>
      </c>
      <c r="V8" s="250">
        <f t="shared" si="7"/>
        <v>7.7330614384632366</v>
      </c>
      <c r="W8" s="27">
        <f t="shared" si="8"/>
        <v>1.5316993466714188</v>
      </c>
      <c r="X8" s="27">
        <f t="shared" si="9"/>
        <v>8.8249947719051747</v>
      </c>
      <c r="Y8" s="27">
        <f t="shared" si="10"/>
        <v>19.077585622372691</v>
      </c>
      <c r="Z8" s="250">
        <f t="shared" si="11"/>
        <v>8.8249947719051747</v>
      </c>
      <c r="AA8">
        <v>5000</v>
      </c>
      <c r="AB8" s="188">
        <v>21.5</v>
      </c>
      <c r="AC8" s="41">
        <v>1800</v>
      </c>
      <c r="AD8" s="41">
        <v>2500</v>
      </c>
      <c r="AE8" s="25">
        <f t="shared" si="12"/>
        <v>4941.5</v>
      </c>
      <c r="AF8" s="25">
        <f t="shared" si="13"/>
        <v>3553.5</v>
      </c>
      <c r="AG8" s="25">
        <f t="shared" si="14"/>
        <v>712.2882882882883</v>
      </c>
      <c r="AH8" s="25">
        <f t="shared" si="15"/>
        <v>719.69620253164555</v>
      </c>
    </row>
    <row r="9" spans="1:36" x14ac:dyDescent="0.25">
      <c r="A9" s="246" t="s">
        <v>1573</v>
      </c>
      <c r="B9" s="187">
        <v>27</v>
      </c>
      <c r="C9" s="25">
        <v>101</v>
      </c>
      <c r="D9" s="42" t="s">
        <v>200</v>
      </c>
      <c r="E9" s="245">
        <v>2</v>
      </c>
      <c r="F9" s="247">
        <v>1</v>
      </c>
      <c r="G9" s="248">
        <v>7</v>
      </c>
      <c r="H9" s="36">
        <v>0</v>
      </c>
      <c r="I9" s="36">
        <v>5</v>
      </c>
      <c r="J9" s="36">
        <v>11</v>
      </c>
      <c r="K9" s="36">
        <v>12</v>
      </c>
      <c r="L9" s="36">
        <v>13</v>
      </c>
      <c r="M9" s="36">
        <v>13</v>
      </c>
      <c r="N9" s="249">
        <v>9</v>
      </c>
      <c r="O9" s="27">
        <f t="shared" si="0"/>
        <v>1.9690196080028513</v>
      </c>
      <c r="P9" s="27">
        <f t="shared" si="1"/>
        <v>19.436752942585152</v>
      </c>
      <c r="Q9" s="27">
        <f t="shared" si="2"/>
        <v>12.933411765616253</v>
      </c>
      <c r="R9" s="250">
        <f t="shared" si="3"/>
        <v>3.3732758172309056</v>
      </c>
      <c r="S9" s="27">
        <f t="shared" si="4"/>
        <v>5.3294797389943849</v>
      </c>
      <c r="T9" s="27">
        <f t="shared" si="5"/>
        <v>8.9412052293980917</v>
      </c>
      <c r="U9" s="27">
        <f t="shared" si="6"/>
        <v>17.03277385740807</v>
      </c>
      <c r="V9" s="250">
        <f t="shared" si="7"/>
        <v>8.9412052293980917</v>
      </c>
      <c r="W9" s="27">
        <f t="shared" si="8"/>
        <v>3.2816993466714188</v>
      </c>
      <c r="X9" s="27">
        <f t="shared" si="9"/>
        <v>9.2029947719051748</v>
      </c>
      <c r="Y9" s="27">
        <f t="shared" si="10"/>
        <v>20.708585622372688</v>
      </c>
      <c r="Z9" s="250">
        <f t="shared" si="11"/>
        <v>9.2029947719051748</v>
      </c>
      <c r="AA9">
        <v>5000</v>
      </c>
      <c r="AB9" s="188">
        <f>21.8*1.2</f>
        <v>26.16</v>
      </c>
      <c r="AC9" s="41">
        <v>1400</v>
      </c>
      <c r="AD9" s="41">
        <v>1800</v>
      </c>
      <c r="AE9" s="25">
        <f t="shared" si="12"/>
        <v>7325.9314285714281</v>
      </c>
      <c r="AF9" s="25">
        <f t="shared" si="13"/>
        <v>6088.8114285714291</v>
      </c>
      <c r="AG9" s="25">
        <f t="shared" si="14"/>
        <v>805.20541707556413</v>
      </c>
      <c r="AH9" s="25">
        <f t="shared" si="15"/>
        <v>857.79481761006298</v>
      </c>
    </row>
    <row r="10" spans="1:36" x14ac:dyDescent="0.25">
      <c r="A10" s="246" t="s">
        <v>1575</v>
      </c>
      <c r="B10" s="187">
        <v>28</v>
      </c>
      <c r="C10" s="25">
        <v>82</v>
      </c>
      <c r="D10" s="42" t="s">
        <v>170</v>
      </c>
      <c r="E10" s="245">
        <v>4</v>
      </c>
      <c r="F10" s="247">
        <v>1</v>
      </c>
      <c r="G10" s="248">
        <v>7</v>
      </c>
      <c r="H10" s="36">
        <v>0</v>
      </c>
      <c r="I10" s="36">
        <v>3</v>
      </c>
      <c r="J10" s="36">
        <v>2</v>
      </c>
      <c r="K10" s="36">
        <v>7</v>
      </c>
      <c r="L10" s="36">
        <v>13</v>
      </c>
      <c r="M10" s="36">
        <v>13</v>
      </c>
      <c r="N10" s="249">
        <v>9</v>
      </c>
      <c r="O10" s="27">
        <f t="shared" si="0"/>
        <v>0.61901960800285127</v>
      </c>
      <c r="P10" s="27">
        <f t="shared" si="1"/>
        <v>16.556752942585149</v>
      </c>
      <c r="Q10" s="27">
        <f t="shared" si="2"/>
        <v>12.933411765616253</v>
      </c>
      <c r="R10" s="250">
        <f t="shared" si="3"/>
        <v>3.3732758172309056</v>
      </c>
      <c r="S10" s="27">
        <f t="shared" si="4"/>
        <v>1.6754797389943843</v>
      </c>
      <c r="T10" s="27">
        <f t="shared" si="5"/>
        <v>7.0170614384632373</v>
      </c>
      <c r="U10" s="27">
        <f t="shared" si="6"/>
        <v>17.03277385740807</v>
      </c>
      <c r="V10" s="250">
        <f t="shared" si="7"/>
        <v>7.0170614384632373</v>
      </c>
      <c r="W10" s="27">
        <f t="shared" si="8"/>
        <v>1.0316993466714188</v>
      </c>
      <c r="X10" s="27">
        <f t="shared" si="9"/>
        <v>8.0979947719051744</v>
      </c>
      <c r="Y10" s="27">
        <f t="shared" si="10"/>
        <v>20.708585622372688</v>
      </c>
      <c r="Z10" s="250">
        <f t="shared" si="11"/>
        <v>8.0979947719051744</v>
      </c>
      <c r="AA10">
        <v>3900</v>
      </c>
      <c r="AB10" s="188">
        <v>28.2</v>
      </c>
      <c r="AC10" s="41">
        <v>1400</v>
      </c>
      <c r="AD10" s="41">
        <v>1700</v>
      </c>
      <c r="AE10" s="25">
        <f t="shared" si="12"/>
        <v>5988.7428571428572</v>
      </c>
      <c r="AF10" s="25">
        <f t="shared" si="13"/>
        <v>4786.3428571428567</v>
      </c>
      <c r="AG10" s="25">
        <f t="shared" si="14"/>
        <v>724.34038876889849</v>
      </c>
      <c r="AH10" s="25">
        <f t="shared" si="15"/>
        <v>763.63304843304832</v>
      </c>
    </row>
    <row r="11" spans="1:36" x14ac:dyDescent="0.25">
      <c r="A11" s="246" t="s">
        <v>1576</v>
      </c>
      <c r="B11" s="187">
        <v>30</v>
      </c>
      <c r="C11" s="25">
        <v>85</v>
      </c>
      <c r="D11" s="42" t="s">
        <v>170</v>
      </c>
      <c r="E11" s="245">
        <v>2</v>
      </c>
      <c r="F11" s="247">
        <v>1</v>
      </c>
      <c r="G11" s="248">
        <v>6</v>
      </c>
      <c r="H11" s="36">
        <v>0</v>
      </c>
      <c r="I11" s="36">
        <v>4</v>
      </c>
      <c r="J11" s="36">
        <v>5</v>
      </c>
      <c r="K11" s="36">
        <v>9</v>
      </c>
      <c r="L11" s="36">
        <v>12</v>
      </c>
      <c r="M11" s="36">
        <v>14</v>
      </c>
      <c r="N11" s="249">
        <v>5</v>
      </c>
      <c r="O11" s="27">
        <f t="shared" si="0"/>
        <v>1.0556302500767287</v>
      </c>
      <c r="P11" s="27">
        <f t="shared" si="1"/>
        <v>17.947658805676749</v>
      </c>
      <c r="Q11" s="27">
        <f t="shared" si="2"/>
        <v>13.216092425437354</v>
      </c>
      <c r="R11" s="250">
        <f t="shared" si="3"/>
        <v>3.5763703051140703</v>
      </c>
      <c r="S11" s="27">
        <f t="shared" si="4"/>
        <v>2.8572392102076796</v>
      </c>
      <c r="T11" s="27">
        <f t="shared" si="5"/>
        <v>7.1355557352665038</v>
      </c>
      <c r="U11" s="27">
        <f t="shared" si="6"/>
        <v>16.972264410575978</v>
      </c>
      <c r="V11" s="250">
        <f t="shared" si="7"/>
        <v>7.1355557352665038</v>
      </c>
      <c r="W11" s="27">
        <f t="shared" si="8"/>
        <v>1.7593837501278813</v>
      </c>
      <c r="X11" s="27">
        <f t="shared" si="9"/>
        <v>8.6023843053186813</v>
      </c>
      <c r="Y11" s="27">
        <f t="shared" si="10"/>
        <v>21.217385415700278</v>
      </c>
      <c r="Z11" s="250">
        <f t="shared" si="11"/>
        <v>8.6023843053186813</v>
      </c>
      <c r="AA11">
        <v>4950</v>
      </c>
      <c r="AB11" s="188">
        <v>21.7</v>
      </c>
      <c r="AC11" s="41">
        <v>2200</v>
      </c>
      <c r="AD11" s="41">
        <v>3000</v>
      </c>
      <c r="AE11" s="25">
        <f t="shared" si="12"/>
        <v>4749.5</v>
      </c>
      <c r="AF11" s="25">
        <f t="shared" si="13"/>
        <v>3255.1000000000004</v>
      </c>
      <c r="AG11" s="25">
        <f t="shared" si="14"/>
        <v>761.00715307582254</v>
      </c>
      <c r="AH11" s="25">
        <f t="shared" si="15"/>
        <v>767.51831578947372</v>
      </c>
    </row>
    <row r="12" spans="1:36" x14ac:dyDescent="0.25">
      <c r="A12" s="475" t="s">
        <v>1590</v>
      </c>
      <c r="B12" s="187">
        <v>30</v>
      </c>
      <c r="C12" s="25">
        <v>87</v>
      </c>
      <c r="D12" s="42" t="s">
        <v>159</v>
      </c>
      <c r="E12" s="245">
        <v>3</v>
      </c>
      <c r="F12" s="247">
        <v>1</v>
      </c>
      <c r="G12" s="248">
        <v>8</v>
      </c>
      <c r="H12" s="36">
        <v>0</v>
      </c>
      <c r="I12" s="36">
        <v>4</v>
      </c>
      <c r="J12" s="36">
        <v>6</v>
      </c>
      <c r="K12" s="36">
        <v>9</v>
      </c>
      <c r="L12" s="36">
        <v>14</v>
      </c>
      <c r="M12" s="36">
        <v>12</v>
      </c>
      <c r="N12" s="249">
        <v>4</v>
      </c>
      <c r="O12" s="27">
        <f>((J12+F12+(LOG(G12)*4/3))*0.15)</f>
        <v>1.2306179973983886</v>
      </c>
      <c r="P12" s="27">
        <f>((M12+F12+(LOG(G12)*4/3))*0.552)+((K12+F12+(LOG(G12)*4/3))*0.576)+((L12+F12+(LOG(G12)*4/3))*0.195)</f>
        <v>17.454050737053791</v>
      </c>
      <c r="Q12" s="27">
        <f>((M12+F12+(LOG(G12)*4/3))*0.607)+((L12+F12+(LOG(G12)*4/3))*0.248)</f>
        <v>12.640522585170816</v>
      </c>
      <c r="R12" s="250">
        <f>((M12+F12+(LOG(G12)*4/3))*0.223)+((K12+F12+(LOG(G12)*4/3))*0)+((L12+F12+(LOG(G12)*4/3))*0)</f>
        <v>3.1675187561322713</v>
      </c>
      <c r="S12" s="27">
        <f>((J12+F12+(LOG(G12)*4/3))*0.406)</f>
        <v>3.330872712958306</v>
      </c>
      <c r="T12" s="27">
        <f>IF(D12="TEC",((K12+F12+(LOG(G12)*4/3))*0.15)+((L12+F12+(LOG(G12)*4/3))*0.324)+((M12+F12+(LOG(G12)*4/3))*0.127),((K12+F12+(LOG(G12)*4/3))*0.144)+((L12+F12+(LOG(G12)*4/3))*0.25)+((M12+F12+(LOG(G12)*4/3))*0.127))</f>
        <v>7.4683465109637375</v>
      </c>
      <c r="U12" s="27">
        <f>IF(D12="TEC",((L12+F12+(LOG(G12)*4/3))*0.543)+((M12+F12+(LOG(G12)*4/3))*0.583),((L12+F12+(LOG(G12)*4/3))*0.543)+((M12+F12+(LOG(G12)*4/3))*0.583))</f>
        <v>17.079839100470572</v>
      </c>
      <c r="V12" s="250">
        <f>T12</f>
        <v>7.4683465109637375</v>
      </c>
      <c r="W12" s="27">
        <f>((J12+F12+(LOG(G12)*4/3))*0.25)</f>
        <v>2.0510299956639813</v>
      </c>
      <c r="X12" s="27">
        <f>((M12+F12+(LOG(G12)*4/3))*0.26)+((K12+F12+(LOG(G12)*4/3))*0.221)+((L12+F12+(LOG(G12)*4/3))*0.142)</f>
        <v>8.4701667491946413</v>
      </c>
      <c r="Y12" s="27">
        <f>((M12+F12+(LOG(G12)*4/3))*1)+((L12+F12+(LOG(G12)*4/3))*0.369)</f>
        <v>20.183440256255963</v>
      </c>
      <c r="Z12" s="250">
        <f>X12</f>
        <v>8.4701667491946413</v>
      </c>
      <c r="AA12" s="276">
        <v>3750</v>
      </c>
      <c r="AB12" s="188">
        <v>18.7</v>
      </c>
      <c r="AD12" s="41">
        <v>1550</v>
      </c>
      <c r="AE12" s="25"/>
      <c r="AF12" s="25">
        <f t="shared" si="13"/>
        <v>3330.0142857142855</v>
      </c>
      <c r="AG12" s="25"/>
      <c r="AH12" s="25">
        <f t="shared" si="15"/>
        <v>788.50232558139533</v>
      </c>
    </row>
    <row r="13" spans="1:36" x14ac:dyDescent="0.25">
      <c r="A13" s="475" t="s">
        <v>1589</v>
      </c>
      <c r="B13" s="187">
        <v>30</v>
      </c>
      <c r="C13" s="25">
        <v>56</v>
      </c>
      <c r="D13" s="42" t="s">
        <v>162</v>
      </c>
      <c r="E13" s="245">
        <v>4</v>
      </c>
      <c r="F13" s="247">
        <v>1</v>
      </c>
      <c r="G13" s="248">
        <v>10.8</v>
      </c>
      <c r="H13" s="36">
        <v>0</v>
      </c>
      <c r="I13" s="36">
        <v>4</v>
      </c>
      <c r="J13" s="36">
        <v>5</v>
      </c>
      <c r="K13" s="36">
        <v>10</v>
      </c>
      <c r="L13" s="36">
        <v>10</v>
      </c>
      <c r="M13" s="36">
        <v>14.5</v>
      </c>
      <c r="N13" s="249">
        <v>11</v>
      </c>
      <c r="O13" s="27">
        <f>((J13+F13+(LOG(G13)*4/3))*0.15)</f>
        <v>1.1066847510973898</v>
      </c>
      <c r="P13" s="27">
        <f>((M13+F13+(LOG(G13)*4/3))*0.552)+((K13+F13+(LOG(G13)*4/3))*0.576)+((L13+F13+(LOG(G13)*4/3))*0.195)</f>
        <v>18.859959504678979</v>
      </c>
      <c r="Q13" s="27">
        <f>((M13+F13+(LOG(G13)*4/3))*0.607)+((L13+F13+(LOG(G13)*4/3))*0.248)</f>
        <v>13.314603081255122</v>
      </c>
      <c r="R13" s="250">
        <f>((M13+F13+(LOG(G13)*4/3))*0.223)+((K13+F13+(LOG(G13)*4/3))*0)+((L13+F13+(LOG(G13)*4/3))*0)</f>
        <v>3.7637713299647868</v>
      </c>
      <c r="S13" s="27">
        <f>((J13+F13+(LOG(G13)*4/3))*0.406)</f>
        <v>2.9954267263036023</v>
      </c>
      <c r="T13" s="27">
        <f>IF(D13="TEC",((K13+F13+(LOG(G13)*4/3))*0.15)+((L13+F13+(LOG(G13)*4/3))*0.324)+((M13+F13+(LOG(G13)*4/3))*0.127),((K13+F13+(LOG(G13)*4/3))*0.144)+((L13+F13+(LOG(G13)*4/3))*0.25)+((M13+F13+(LOG(G13)*4/3))*0.127))</f>
        <v>7.0203850354782684</v>
      </c>
      <c r="U13" s="27">
        <f>IF(D13="TEC",((L13+F13+(LOG(G13)*4/3))*0.543)+((M13+F13+(LOG(G13)*4/3))*0.583),((L13+F13+(LOG(G13)*4/3))*0.543)+((M13+F13+(LOG(G13)*4/3))*0.583))</f>
        <v>16.561013531571074</v>
      </c>
      <c r="V13" s="250">
        <f>T13</f>
        <v>7.0203850354782684</v>
      </c>
      <c r="W13" s="27">
        <f>((J13+F13+(LOG(G13)*4/3))*0.25)</f>
        <v>1.8444745851623165</v>
      </c>
      <c r="X13" s="27">
        <f>((M13+F13+(LOG(G13)*4/3))*0.26)+((K13+F13+(LOG(G13)*4/3))*0.221)+((L13+F13+(LOG(G13)*4/3))*0.142)</f>
        <v>8.8814306662244924</v>
      </c>
      <c r="Y13" s="27">
        <f>((M13+F13+(LOG(G13)*4/3))*1)+((L13+F13+(LOG(G13)*4/3))*0.369)</f>
        <v>21.445342828348846</v>
      </c>
      <c r="Z13" s="250">
        <f>X13</f>
        <v>8.8814306662244924</v>
      </c>
      <c r="AA13" s="276">
        <v>5000</v>
      </c>
      <c r="AB13" s="188">
        <v>28</v>
      </c>
      <c r="AD13" s="41">
        <v>2850</v>
      </c>
      <c r="AE13" s="25"/>
      <c r="AF13" s="25">
        <f>AA13+(AB13*16*(34-B13-((112-C13)/112)))-AD13</f>
        <v>3718</v>
      </c>
      <c r="AG13" s="25"/>
      <c r="AH13" s="25">
        <f>(AF13)/(34-B13+((112-C13)/112))</f>
        <v>826.22222222222217</v>
      </c>
      <c r="AI13" s="194"/>
      <c r="AJ13" s="194"/>
    </row>
    <row r="14" spans="1:36" x14ac:dyDescent="0.25">
      <c r="A14" s="475" t="s">
        <v>1577</v>
      </c>
      <c r="B14" s="187">
        <v>30</v>
      </c>
      <c r="C14" s="25">
        <v>69</v>
      </c>
      <c r="D14" s="42" t="s">
        <v>162</v>
      </c>
      <c r="E14" s="245">
        <v>2</v>
      </c>
      <c r="F14" s="247">
        <v>1</v>
      </c>
      <c r="G14" s="248">
        <v>10.1</v>
      </c>
      <c r="H14" s="36">
        <v>0</v>
      </c>
      <c r="I14" s="36">
        <v>4</v>
      </c>
      <c r="J14" s="36">
        <v>6</v>
      </c>
      <c r="K14" s="36">
        <v>12</v>
      </c>
      <c r="L14" s="36">
        <v>10</v>
      </c>
      <c r="M14" s="36">
        <v>12</v>
      </c>
      <c r="N14" s="249">
        <v>4</v>
      </c>
      <c r="O14" s="27">
        <f t="shared" si="0"/>
        <v>1.2508642747565286</v>
      </c>
      <c r="P14" s="27">
        <f t="shared" si="1"/>
        <v>18.580622903352584</v>
      </c>
      <c r="Q14" s="27">
        <f t="shared" si="2"/>
        <v>11.763926366112212</v>
      </c>
      <c r="R14" s="250">
        <f t="shared" si="3"/>
        <v>3.197618221804706</v>
      </c>
      <c r="S14" s="27">
        <f t="shared" si="4"/>
        <v>3.3856726370076711</v>
      </c>
      <c r="T14" s="27">
        <f t="shared" si="5"/>
        <v>6.9706685809876765</v>
      </c>
      <c r="U14" s="27">
        <f t="shared" si="6"/>
        <v>15.059821155839009</v>
      </c>
      <c r="V14" s="250">
        <f t="shared" si="7"/>
        <v>6.9706685809876765</v>
      </c>
      <c r="W14" s="27">
        <f t="shared" si="8"/>
        <v>2.084773791260881</v>
      </c>
      <c r="X14" s="27">
        <f t="shared" si="9"/>
        <v>8.6492562878221158</v>
      </c>
      <c r="Y14" s="27">
        <f t="shared" si="10"/>
        <v>18.892221280944582</v>
      </c>
      <c r="Z14" s="250">
        <f t="shared" si="11"/>
        <v>8.6492562878221158</v>
      </c>
      <c r="AA14">
        <v>3800</v>
      </c>
      <c r="AB14" s="188">
        <v>16.600000000000001</v>
      </c>
      <c r="AC14" s="41">
        <v>1000</v>
      </c>
      <c r="AD14" s="41">
        <v>1900</v>
      </c>
      <c r="AE14" s="25">
        <f t="shared" ref="AE14" si="16">AA14+(AB14*16*(36-B14-((112-C14)/112)))-AC14</f>
        <v>4291.6285714285714</v>
      </c>
      <c r="AF14" s="25">
        <f t="shared" ref="AF14:AF15" si="17">AA14+(AB14*16*(34-B14-((112-C14)/112)))-AD14</f>
        <v>2860.4285714285716</v>
      </c>
      <c r="AG14" s="25">
        <f t="shared" ref="AG14" si="18">(AE14)/(36-B14+((112-C14)/112))</f>
        <v>672.25510489510486</v>
      </c>
      <c r="AH14" s="25">
        <f t="shared" si="15"/>
        <v>652.48065173116095</v>
      </c>
    </row>
    <row r="15" spans="1:36" x14ac:dyDescent="0.25">
      <c r="A15" s="475" t="s">
        <v>1591</v>
      </c>
      <c r="B15" s="187">
        <v>30</v>
      </c>
      <c r="C15" s="25">
        <v>96</v>
      </c>
      <c r="D15" s="42" t="s">
        <v>170</v>
      </c>
      <c r="E15" s="245">
        <v>4</v>
      </c>
      <c r="F15" s="247">
        <v>1</v>
      </c>
      <c r="G15" s="248">
        <v>10</v>
      </c>
      <c r="H15" s="36">
        <v>0</v>
      </c>
      <c r="I15" s="36">
        <v>3</v>
      </c>
      <c r="J15" s="36">
        <v>7</v>
      </c>
      <c r="K15" s="36">
        <v>12</v>
      </c>
      <c r="L15" s="36">
        <v>11</v>
      </c>
      <c r="M15" s="36">
        <v>14</v>
      </c>
      <c r="N15" s="249">
        <v>13</v>
      </c>
      <c r="O15" s="27">
        <f>((J15+F15+(LOG(G15)*4/3))*0.15)</f>
        <v>1.4000000000000001</v>
      </c>
      <c r="P15" s="27">
        <f>((M15+F15+(LOG(G15)*4/3))*0.552)+((K15+F15+(LOG(G15)*4/3))*0.576)+((L15+F15+(LOG(G15)*4/3))*0.195)</f>
        <v>19.872</v>
      </c>
      <c r="Q15" s="27">
        <f>((M15+F15+(LOG(G15)*4/3))*0.607)+((L15+F15+(LOG(G15)*4/3))*0.248)</f>
        <v>13.220999999999998</v>
      </c>
      <c r="R15" s="250">
        <f>((M15+F15+(LOG(G15)*4/3))*0.223)+((K15+F15+(LOG(G15)*4/3))*0)+((L15+F15+(LOG(G15)*4/3))*0)</f>
        <v>3.6423333333333332</v>
      </c>
      <c r="S15" s="27">
        <f>((J15+F15+(LOG(G15)*4/3))*0.406)</f>
        <v>3.7893333333333339</v>
      </c>
      <c r="T15" s="27">
        <f>IF(D15="TEC",((K15+F15+(LOG(G15)*4/3))*0.15)+((L15+F15+(LOG(G15)*4/3))*0.324)+((M15+F15+(LOG(G15)*4/3))*0.127),((K15+F15+(LOG(G15)*4/3))*0.144)+((L15+F15+(LOG(G15)*4/3))*0.25)+((M15+F15+(LOG(G15)*4/3))*0.127))</f>
        <v>7.4716666666666676</v>
      </c>
      <c r="U15" s="27">
        <f>IF(D15="TEC",((L15+F15+(LOG(G15)*4/3))*0.543)+((M15+F15+(LOG(G15)*4/3))*0.583),((L15+F15+(LOG(G15)*4/3))*0.543)+((M15+F15+(LOG(G15)*4/3))*0.583))</f>
        <v>16.762333333333334</v>
      </c>
      <c r="V15" s="250">
        <f>T15</f>
        <v>7.4716666666666676</v>
      </c>
      <c r="W15" s="27">
        <f>((J15+F15+(LOG(G15)*4/3))*0.25)</f>
        <v>2.3333333333333335</v>
      </c>
      <c r="X15" s="27">
        <f>((M15+F15+(LOG(G15)*4/3))*0.26)+((K15+F15+(LOG(G15)*4/3))*0.221)+((L15+F15+(LOG(G15)*4/3))*0.142)</f>
        <v>9.3076666666666661</v>
      </c>
      <c r="Y15" s="27">
        <f>((M15+F15+(LOG(G15)*4/3))*1)+((L15+F15+(LOG(G15)*4/3))*0.369)</f>
        <v>21.25333333333333</v>
      </c>
      <c r="Z15" s="250">
        <f>X15</f>
        <v>9.3076666666666661</v>
      </c>
      <c r="AA15">
        <v>6500</v>
      </c>
      <c r="AB15" s="188">
        <v>28.6</v>
      </c>
      <c r="AD15" s="41">
        <v>3900</v>
      </c>
      <c r="AE15" s="25"/>
      <c r="AF15" s="25">
        <f t="shared" si="17"/>
        <v>4365.028571428571</v>
      </c>
      <c r="AG15" s="25"/>
      <c r="AH15" s="25">
        <f t="shared" si="15"/>
        <v>1053.6275862068965</v>
      </c>
    </row>
    <row r="16" spans="1:36" x14ac:dyDescent="0.25">
      <c r="A16" s="246" t="s">
        <v>1578</v>
      </c>
      <c r="B16" s="187">
        <v>27</v>
      </c>
      <c r="C16" s="25">
        <v>34</v>
      </c>
      <c r="D16" s="42" t="s">
        <v>162</v>
      </c>
      <c r="E16" s="245">
        <v>4</v>
      </c>
      <c r="F16" s="247">
        <v>1</v>
      </c>
      <c r="G16" s="248">
        <v>8</v>
      </c>
      <c r="H16" s="36">
        <v>0</v>
      </c>
      <c r="I16" s="36">
        <v>2</v>
      </c>
      <c r="J16" s="36">
        <v>3</v>
      </c>
      <c r="K16" s="36">
        <v>16</v>
      </c>
      <c r="L16" s="36">
        <v>10</v>
      </c>
      <c r="M16" s="36">
        <v>12</v>
      </c>
      <c r="N16" s="249">
        <v>3</v>
      </c>
      <c r="O16" s="27">
        <f t="shared" si="0"/>
        <v>0.78061799739838877</v>
      </c>
      <c r="P16" s="27">
        <f t="shared" si="1"/>
        <v>20.70605073705379</v>
      </c>
      <c r="Q16" s="27">
        <f t="shared" si="2"/>
        <v>11.648522585170817</v>
      </c>
      <c r="R16" s="250">
        <f t="shared" si="3"/>
        <v>3.1675187561322713</v>
      </c>
      <c r="S16" s="27">
        <f t="shared" si="4"/>
        <v>2.1128727129583056</v>
      </c>
      <c r="T16" s="27">
        <f t="shared" si="5"/>
        <v>7.4763465109637366</v>
      </c>
      <c r="U16" s="27">
        <f t="shared" si="6"/>
        <v>14.907839100470571</v>
      </c>
      <c r="V16" s="250">
        <f t="shared" si="7"/>
        <v>7.4763465109637366</v>
      </c>
      <c r="W16" s="27">
        <f t="shared" si="8"/>
        <v>1.3010299956639813</v>
      </c>
      <c r="X16" s="27">
        <f t="shared" si="9"/>
        <v>9.4491667491946405</v>
      </c>
      <c r="Y16" s="27">
        <f t="shared" si="10"/>
        <v>18.707440256255961</v>
      </c>
      <c r="Z16" s="250">
        <f t="shared" si="11"/>
        <v>9.4491667491946405</v>
      </c>
      <c r="AA16">
        <v>5400</v>
      </c>
      <c r="AB16" s="188">
        <v>36.299999999999997</v>
      </c>
      <c r="AD16" s="41">
        <v>4450</v>
      </c>
      <c r="AE16" s="25"/>
      <c r="AF16" s="25">
        <f t="shared" ref="AF16:AF17" si="19">AA16+(AB16*16*(34-B16-((112-C16)/112)))-AD16</f>
        <v>4611.1142857142859</v>
      </c>
      <c r="AG16" s="25"/>
      <c r="AH16" s="25">
        <f t="shared" si="15"/>
        <v>599.12389791183296</v>
      </c>
    </row>
    <row r="17" spans="1:34" x14ac:dyDescent="0.25">
      <c r="A17" s="246" t="s">
        <v>1580</v>
      </c>
      <c r="B17" s="187">
        <v>30</v>
      </c>
      <c r="C17" s="25">
        <v>30</v>
      </c>
      <c r="D17" s="42" t="s">
        <v>170</v>
      </c>
      <c r="E17" s="245">
        <v>3</v>
      </c>
      <c r="F17" s="247">
        <v>1</v>
      </c>
      <c r="G17" s="248">
        <v>9</v>
      </c>
      <c r="H17" s="36">
        <v>0</v>
      </c>
      <c r="I17" s="36">
        <v>3</v>
      </c>
      <c r="J17" s="36">
        <v>3</v>
      </c>
      <c r="K17" s="36">
        <v>9</v>
      </c>
      <c r="L17" s="36">
        <v>15</v>
      </c>
      <c r="M17" s="36">
        <v>13</v>
      </c>
      <c r="N17" s="249">
        <v>15</v>
      </c>
      <c r="O17" s="27">
        <f t="shared" si="0"/>
        <v>0.79084850188786493</v>
      </c>
      <c r="P17" s="27">
        <f t="shared" si="1"/>
        <v>18.291283786650968</v>
      </c>
      <c r="Q17" s="27">
        <f t="shared" si="2"/>
        <v>13.553836460760831</v>
      </c>
      <c r="R17" s="250">
        <f t="shared" si="3"/>
        <v>3.4057281061399594</v>
      </c>
      <c r="S17" s="27">
        <f t="shared" si="4"/>
        <v>2.1405632784431545</v>
      </c>
      <c r="T17" s="27">
        <f t="shared" si="5"/>
        <v>7.8808804632238516</v>
      </c>
      <c r="U17" s="27">
        <f t="shared" si="6"/>
        <v>18.282636087504905</v>
      </c>
      <c r="V17" s="250">
        <f t="shared" si="7"/>
        <v>7.8808804632238516</v>
      </c>
      <c r="W17" s="27">
        <f t="shared" si="8"/>
        <v>1.3180808364797749</v>
      </c>
      <c r="X17" s="27">
        <f t="shared" si="9"/>
        <v>8.9146574445076006</v>
      </c>
      <c r="Y17" s="27">
        <f t="shared" si="10"/>
        <v>21.645810660563249</v>
      </c>
      <c r="Z17" s="250">
        <f t="shared" si="11"/>
        <v>8.9146574445076006</v>
      </c>
      <c r="AA17">
        <v>4300</v>
      </c>
      <c r="AB17" s="188">
        <v>28.5</v>
      </c>
      <c r="AD17" s="41">
        <v>2300</v>
      </c>
      <c r="AE17" s="25"/>
      <c r="AF17" s="25">
        <f t="shared" si="19"/>
        <v>3490.1428571428569</v>
      </c>
      <c r="AG17" s="25"/>
      <c r="AH17" s="25">
        <f t="shared" si="15"/>
        <v>737.53962264150948</v>
      </c>
    </row>
    <row r="18" spans="1:34" x14ac:dyDescent="0.25">
      <c r="A18" s="246" t="s">
        <v>1588</v>
      </c>
      <c r="B18" s="187">
        <v>29</v>
      </c>
      <c r="C18" s="25">
        <v>69</v>
      </c>
      <c r="D18" s="42" t="s">
        <v>162</v>
      </c>
      <c r="E18" s="245">
        <v>6</v>
      </c>
      <c r="F18" s="247">
        <v>1</v>
      </c>
      <c r="G18" s="248">
        <v>6</v>
      </c>
      <c r="H18" s="36">
        <v>0</v>
      </c>
      <c r="I18" s="36">
        <v>2</v>
      </c>
      <c r="J18" s="36">
        <v>11</v>
      </c>
      <c r="K18" s="36">
        <v>9</v>
      </c>
      <c r="L18" s="36">
        <v>9</v>
      </c>
      <c r="M18" s="36">
        <v>12</v>
      </c>
      <c r="N18" s="249">
        <v>12</v>
      </c>
      <c r="O18" s="27">
        <f t="shared" si="0"/>
        <v>1.9556302500767286</v>
      </c>
      <c r="P18" s="27">
        <f t="shared" si="1"/>
        <v>16.258658805676749</v>
      </c>
      <c r="Q18" s="27">
        <f t="shared" si="2"/>
        <v>11.258092425437354</v>
      </c>
      <c r="R18" s="250">
        <f t="shared" si="3"/>
        <v>3.1303703051140701</v>
      </c>
      <c r="S18" s="27">
        <f t="shared" si="4"/>
        <v>5.2932392102076795</v>
      </c>
      <c r="T18" s="27">
        <f t="shared" si="5"/>
        <v>6.1315557352665042</v>
      </c>
      <c r="U18" s="27">
        <f t="shared" si="6"/>
        <v>14.177264410575978</v>
      </c>
      <c r="V18" s="250">
        <f t="shared" si="7"/>
        <v>6.1315557352665042</v>
      </c>
      <c r="W18" s="27">
        <f t="shared" si="8"/>
        <v>3.2593837501278813</v>
      </c>
      <c r="X18" s="27">
        <f t="shared" si="9"/>
        <v>7.6563843053186798</v>
      </c>
      <c r="Y18" s="27">
        <f t="shared" si="10"/>
        <v>18.110385415700279</v>
      </c>
      <c r="Z18" s="250">
        <f t="shared" si="11"/>
        <v>7.6563843053186798</v>
      </c>
      <c r="AB18" s="188"/>
      <c r="AE18" s="25"/>
      <c r="AF18" s="25"/>
      <c r="AG18" s="25"/>
      <c r="AH18" s="25"/>
    </row>
    <row r="19" spans="1:34" x14ac:dyDescent="0.25">
      <c r="A19" s="246" t="s">
        <v>779</v>
      </c>
      <c r="B19" s="187">
        <v>29</v>
      </c>
      <c r="C19" s="25">
        <v>89</v>
      </c>
      <c r="D19" s="42" t="s">
        <v>159</v>
      </c>
      <c r="E19" s="245">
        <v>6</v>
      </c>
      <c r="F19" s="247">
        <v>1</v>
      </c>
      <c r="G19" s="248">
        <v>9</v>
      </c>
      <c r="H19" s="36">
        <v>0</v>
      </c>
      <c r="I19" s="36">
        <v>13</v>
      </c>
      <c r="J19" s="36">
        <v>6</v>
      </c>
      <c r="K19" s="36">
        <v>15</v>
      </c>
      <c r="L19" s="36">
        <v>9</v>
      </c>
      <c r="M19" s="36">
        <v>7</v>
      </c>
      <c r="N19" s="249">
        <v>16</v>
      </c>
      <c r="O19" s="27">
        <f t="shared" si="0"/>
        <v>1.240848501887865</v>
      </c>
      <c r="P19" s="27">
        <f t="shared" si="1"/>
        <v>17.265283786650969</v>
      </c>
      <c r="Q19" s="27">
        <f t="shared" si="2"/>
        <v>8.42383646076083</v>
      </c>
      <c r="R19" s="250">
        <f t="shared" si="3"/>
        <v>2.0677281061399593</v>
      </c>
      <c r="S19" s="27">
        <f t="shared" si="4"/>
        <v>3.3585632784431545</v>
      </c>
      <c r="T19" s="27">
        <f t="shared" si="5"/>
        <v>6.482880463223851</v>
      </c>
      <c r="U19" s="27">
        <f t="shared" si="6"/>
        <v>11.526636087504906</v>
      </c>
      <c r="V19" s="250">
        <f t="shared" si="7"/>
        <v>6.482880463223851</v>
      </c>
      <c r="W19" s="27">
        <f t="shared" si="8"/>
        <v>2.0680808364797749</v>
      </c>
      <c r="X19" s="27">
        <f t="shared" si="9"/>
        <v>7.8286574445075994</v>
      </c>
      <c r="Y19" s="27">
        <f t="shared" si="10"/>
        <v>13.431810660563247</v>
      </c>
      <c r="Z19" s="250">
        <f t="shared" si="11"/>
        <v>7.8286574445075994</v>
      </c>
      <c r="AB19" s="188"/>
      <c r="AE19" s="25"/>
      <c r="AF19" s="25"/>
      <c r="AG19" s="25"/>
      <c r="AH19" s="25"/>
    </row>
    <row r="20" spans="1:34" x14ac:dyDescent="0.25">
      <c r="A20" s="246" t="s">
        <v>1592</v>
      </c>
      <c r="B20" s="187">
        <v>30</v>
      </c>
      <c r="C20" s="25">
        <v>95</v>
      </c>
      <c r="D20" s="42" t="s">
        <v>159</v>
      </c>
      <c r="E20" s="245">
        <v>1</v>
      </c>
      <c r="F20" s="247">
        <v>1</v>
      </c>
      <c r="G20" s="248">
        <v>9</v>
      </c>
      <c r="H20" s="36">
        <v>0</v>
      </c>
      <c r="I20" s="36">
        <v>5</v>
      </c>
      <c r="J20" s="36">
        <v>9</v>
      </c>
      <c r="K20" s="36">
        <v>9</v>
      </c>
      <c r="L20" s="36">
        <v>12</v>
      </c>
      <c r="M20" s="36">
        <v>13.5</v>
      </c>
      <c r="N20" s="249">
        <v>12</v>
      </c>
      <c r="O20" s="27">
        <f t="shared" si="0"/>
        <v>1.690848501887865</v>
      </c>
      <c r="P20" s="27">
        <f t="shared" si="1"/>
        <v>17.982283786650967</v>
      </c>
      <c r="Q20" s="27">
        <f t="shared" si="2"/>
        <v>13.113336460760829</v>
      </c>
      <c r="R20" s="250">
        <f t="shared" si="3"/>
        <v>3.5172281061399593</v>
      </c>
      <c r="S20" s="27">
        <f t="shared" si="4"/>
        <v>4.5765632784431549</v>
      </c>
      <c r="T20" s="27">
        <f t="shared" si="5"/>
        <v>7.1943804632238511</v>
      </c>
      <c r="U20" s="27">
        <f t="shared" si="6"/>
        <v>16.945136087504906</v>
      </c>
      <c r="V20" s="250">
        <f t="shared" si="7"/>
        <v>7.1943804632238511</v>
      </c>
      <c r="W20" s="27">
        <f t="shared" si="8"/>
        <v>2.8180808364797749</v>
      </c>
      <c r="X20" s="27">
        <f t="shared" si="9"/>
        <v>8.6186574445075976</v>
      </c>
      <c r="Y20" s="27">
        <f t="shared" si="10"/>
        <v>21.038810660563247</v>
      </c>
      <c r="Z20" s="250">
        <f t="shared" si="11"/>
        <v>8.6186574445075976</v>
      </c>
      <c r="AB20" s="188"/>
      <c r="AE20" s="25"/>
      <c r="AF20" s="25"/>
      <c r="AG20" s="25"/>
      <c r="AH20" s="25"/>
    </row>
    <row r="21" spans="1:34" x14ac:dyDescent="0.25">
      <c r="A21" s="246" t="s">
        <v>1593</v>
      </c>
      <c r="B21" s="187">
        <v>28</v>
      </c>
      <c r="C21" s="25">
        <v>20</v>
      </c>
      <c r="D21" s="42" t="s">
        <v>162</v>
      </c>
      <c r="E21" s="245">
        <v>5</v>
      </c>
      <c r="F21" s="247">
        <v>1</v>
      </c>
      <c r="G21" s="248">
        <v>9</v>
      </c>
      <c r="H21" s="36">
        <v>0</v>
      </c>
      <c r="I21" s="36">
        <v>5</v>
      </c>
      <c r="J21" s="36">
        <v>3</v>
      </c>
      <c r="K21" s="36">
        <v>13</v>
      </c>
      <c r="L21" s="36">
        <v>10</v>
      </c>
      <c r="M21" s="36">
        <v>12</v>
      </c>
      <c r="N21" s="249">
        <v>11</v>
      </c>
      <c r="O21" s="27">
        <f t="shared" si="0"/>
        <v>0.79084850188786493</v>
      </c>
      <c r="P21" s="27">
        <f t="shared" si="1"/>
        <v>19.068283786650969</v>
      </c>
      <c r="Q21" s="27">
        <f t="shared" si="2"/>
        <v>11.70683646076083</v>
      </c>
      <c r="R21" s="250">
        <f t="shared" si="3"/>
        <v>3.1827281061399595</v>
      </c>
      <c r="S21" s="27">
        <f t="shared" si="4"/>
        <v>2.1405632784431545</v>
      </c>
      <c r="T21" s="27">
        <f t="shared" si="5"/>
        <v>7.0798804632238515</v>
      </c>
      <c r="U21" s="27">
        <f t="shared" si="6"/>
        <v>14.984636087504906</v>
      </c>
      <c r="V21" s="250">
        <f t="shared" si="7"/>
        <v>7.0798804632238515</v>
      </c>
      <c r="W21" s="27">
        <f t="shared" si="8"/>
        <v>1.3180808364797749</v>
      </c>
      <c r="X21" s="27">
        <f t="shared" si="9"/>
        <v>8.8286574445075985</v>
      </c>
      <c r="Y21" s="27">
        <f t="shared" si="10"/>
        <v>18.800810660563247</v>
      </c>
      <c r="Z21" s="250">
        <f t="shared" si="11"/>
        <v>8.8286574445075985</v>
      </c>
      <c r="AB21" s="188"/>
      <c r="AE21" s="25"/>
      <c r="AF21" s="25"/>
      <c r="AG21" s="25"/>
      <c r="AH21" s="25"/>
    </row>
    <row r="22" spans="1:34" x14ac:dyDescent="0.25">
      <c r="A22" s="246" t="s">
        <v>1594</v>
      </c>
      <c r="B22" s="187">
        <v>28</v>
      </c>
      <c r="C22" s="25">
        <v>109</v>
      </c>
      <c r="D22" s="42" t="s">
        <v>162</v>
      </c>
      <c r="E22" s="245">
        <v>1</v>
      </c>
      <c r="F22" s="247">
        <v>1</v>
      </c>
      <c r="G22" s="248">
        <v>9</v>
      </c>
      <c r="H22" s="36">
        <v>0</v>
      </c>
      <c r="I22" s="36">
        <v>2</v>
      </c>
      <c r="J22" s="36">
        <v>5</v>
      </c>
      <c r="K22" s="36">
        <v>7</v>
      </c>
      <c r="L22" s="36">
        <v>11</v>
      </c>
      <c r="M22" s="36">
        <v>14</v>
      </c>
      <c r="N22" s="249">
        <v>13</v>
      </c>
      <c r="O22" s="27">
        <f t="shared" si="0"/>
        <v>1.0908485018878649</v>
      </c>
      <c r="P22" s="27">
        <f t="shared" si="1"/>
        <v>16.911283786650969</v>
      </c>
      <c r="Q22" s="27">
        <f t="shared" si="2"/>
        <v>13.168836460760831</v>
      </c>
      <c r="R22" s="250">
        <f t="shared" si="3"/>
        <v>3.6287281061399597</v>
      </c>
      <c r="S22" s="27">
        <f t="shared" si="4"/>
        <v>2.9525632784431548</v>
      </c>
      <c r="T22" s="27">
        <f t="shared" si="5"/>
        <v>6.719880463223852</v>
      </c>
      <c r="U22" s="27">
        <f t="shared" si="6"/>
        <v>16.693636087504906</v>
      </c>
      <c r="V22" s="250">
        <f t="shared" si="7"/>
        <v>6.719880463223852</v>
      </c>
      <c r="W22" s="27">
        <f t="shared" si="8"/>
        <v>1.8180808364797749</v>
      </c>
      <c r="X22" s="27">
        <f t="shared" si="9"/>
        <v>8.1646574445075988</v>
      </c>
      <c r="Y22" s="27">
        <f t="shared" si="10"/>
        <v>21.16981066056325</v>
      </c>
      <c r="Z22" s="250">
        <f t="shared" si="11"/>
        <v>8.1646574445075988</v>
      </c>
      <c r="AB22" s="188"/>
      <c r="AE22" s="25"/>
      <c r="AF22" s="25"/>
      <c r="AG22" s="25"/>
      <c r="AH22" s="25"/>
    </row>
    <row r="23" spans="1:34" x14ac:dyDescent="0.25">
      <c r="A23" s="246" t="s">
        <v>1595</v>
      </c>
      <c r="B23" s="187">
        <v>30</v>
      </c>
      <c r="C23" s="25">
        <v>90</v>
      </c>
      <c r="D23" s="42" t="s">
        <v>159</v>
      </c>
      <c r="E23" s="245">
        <v>2</v>
      </c>
      <c r="F23" s="247">
        <v>1</v>
      </c>
      <c r="G23" s="248">
        <v>8</v>
      </c>
      <c r="H23" s="36">
        <v>0</v>
      </c>
      <c r="I23" s="36">
        <v>2</v>
      </c>
      <c r="J23" s="36">
        <v>11</v>
      </c>
      <c r="K23" s="36">
        <v>3</v>
      </c>
      <c r="L23" s="36">
        <v>13</v>
      </c>
      <c r="M23" s="36">
        <v>12</v>
      </c>
      <c r="N23" s="249">
        <v>19</v>
      </c>
      <c r="O23" s="27">
        <f t="shared" si="0"/>
        <v>1.9806179973983886</v>
      </c>
      <c r="P23" s="27">
        <f t="shared" si="1"/>
        <v>13.803050737053788</v>
      </c>
      <c r="Q23" s="27">
        <f t="shared" si="2"/>
        <v>12.392522585170816</v>
      </c>
      <c r="R23" s="250">
        <f t="shared" si="3"/>
        <v>3.1675187561322713</v>
      </c>
      <c r="S23" s="27">
        <f t="shared" si="4"/>
        <v>5.3608727129583063</v>
      </c>
      <c r="T23" s="27">
        <f t="shared" si="5"/>
        <v>6.3543465109637367</v>
      </c>
      <c r="U23" s="27">
        <f t="shared" si="6"/>
        <v>16.536839100470573</v>
      </c>
      <c r="V23" s="250">
        <f t="shared" si="7"/>
        <v>6.3543465109637367</v>
      </c>
      <c r="W23" s="27">
        <f t="shared" si="8"/>
        <v>3.3010299956639813</v>
      </c>
      <c r="X23" s="27">
        <f t="shared" si="9"/>
        <v>7.0021667491946413</v>
      </c>
      <c r="Y23" s="27">
        <f t="shared" si="10"/>
        <v>19.814440256255963</v>
      </c>
      <c r="Z23" s="250">
        <f t="shared" si="11"/>
        <v>7.0021667491946413</v>
      </c>
      <c r="AB23" s="188"/>
      <c r="AE23" s="25"/>
      <c r="AF23" s="25"/>
      <c r="AG23" s="25"/>
      <c r="AH23" s="25"/>
    </row>
    <row r="24" spans="1:34" x14ac:dyDescent="0.25">
      <c r="A24" s="246"/>
      <c r="B24" s="187"/>
      <c r="C24" s="25"/>
      <c r="E24" s="245"/>
      <c r="F24" s="247"/>
      <c r="G24" s="248"/>
      <c r="H24" s="36"/>
      <c r="I24" s="36"/>
      <c r="J24" s="36"/>
      <c r="K24" s="36"/>
      <c r="L24" s="36"/>
      <c r="M24" s="36"/>
      <c r="N24" s="249"/>
      <c r="O24" s="27"/>
      <c r="P24" s="27"/>
      <c r="Q24" s="27"/>
      <c r="R24" s="250"/>
      <c r="S24" s="27"/>
      <c r="T24" s="27"/>
      <c r="U24" s="27"/>
      <c r="V24" s="250"/>
      <c r="W24" s="27"/>
      <c r="X24" s="27"/>
      <c r="Y24" s="27"/>
      <c r="Z24" s="250"/>
      <c r="AB24" s="188"/>
      <c r="AE24" s="25"/>
      <c r="AF24" s="25"/>
      <c r="AG24" s="25"/>
      <c r="AH24" s="25"/>
    </row>
    <row r="25" spans="1:34" x14ac:dyDescent="0.25">
      <c r="A25" s="246"/>
      <c r="B25" s="187"/>
      <c r="C25" s="25"/>
      <c r="E25" s="245"/>
      <c r="F25" s="247"/>
      <c r="G25" s="248"/>
      <c r="H25" s="36"/>
      <c r="I25" s="36"/>
      <c r="J25" s="36"/>
      <c r="K25" s="36"/>
      <c r="L25" s="36"/>
      <c r="M25" s="36"/>
      <c r="N25" s="249"/>
      <c r="O25" s="27"/>
      <c r="P25" s="27"/>
      <c r="Q25" s="27"/>
      <c r="R25" s="250"/>
      <c r="S25" s="27"/>
      <c r="T25" s="27"/>
      <c r="U25" s="27"/>
      <c r="V25" s="250"/>
      <c r="W25" s="27"/>
      <c r="X25" s="27"/>
      <c r="Y25" s="27"/>
      <c r="Z25" s="250"/>
      <c r="AB25" s="188"/>
      <c r="AE25" s="25"/>
      <c r="AF25" s="25"/>
      <c r="AG25" s="25"/>
      <c r="AH25" s="25"/>
    </row>
    <row r="26" spans="1:34" x14ac:dyDescent="0.25">
      <c r="A26" s="246"/>
      <c r="B26" s="187"/>
      <c r="C26" s="25"/>
      <c r="E26" s="245"/>
      <c r="F26" s="247"/>
      <c r="G26" s="248"/>
      <c r="H26" s="36"/>
      <c r="I26" s="36"/>
      <c r="J26" s="36"/>
      <c r="K26" s="36"/>
      <c r="L26" s="36"/>
      <c r="M26" s="36"/>
      <c r="N26" s="249"/>
      <c r="O26" s="27"/>
      <c r="P26" s="27"/>
      <c r="Q26" s="27"/>
      <c r="R26" s="250"/>
      <c r="S26" s="27"/>
      <c r="T26" s="27"/>
      <c r="U26" s="27"/>
      <c r="V26" s="250"/>
      <c r="W26" s="27"/>
      <c r="X26" s="27"/>
      <c r="Y26" s="27"/>
      <c r="Z26" s="250"/>
      <c r="AB26" s="188"/>
      <c r="AE26" s="25"/>
      <c r="AF26" s="25"/>
      <c r="AG26" s="25"/>
      <c r="AH26" s="25"/>
    </row>
    <row r="27" spans="1:34" x14ac:dyDescent="0.25">
      <c r="A27" s="246"/>
      <c r="B27" s="187"/>
      <c r="C27" s="25"/>
      <c r="E27" s="245"/>
      <c r="F27" s="247"/>
      <c r="G27" s="248"/>
      <c r="H27" s="36"/>
      <c r="I27" s="36"/>
      <c r="J27" s="36"/>
      <c r="K27" s="36"/>
      <c r="L27" s="36"/>
      <c r="M27" s="36"/>
      <c r="N27" s="249"/>
      <c r="O27" s="27"/>
      <c r="P27" s="27"/>
      <c r="Q27" s="27"/>
      <c r="R27" s="250"/>
      <c r="S27" s="27"/>
      <c r="T27" s="27"/>
      <c r="U27" s="27"/>
      <c r="V27" s="250"/>
      <c r="W27" s="27"/>
      <c r="X27" s="27"/>
      <c r="Y27" s="27"/>
      <c r="Z27" s="250"/>
      <c r="AB27" s="188"/>
      <c r="AE27" s="25"/>
      <c r="AF27" s="25"/>
      <c r="AG27" s="25"/>
      <c r="AH27" s="25"/>
    </row>
    <row r="28" spans="1:34" x14ac:dyDescent="0.25">
      <c r="A28" s="246"/>
      <c r="B28" s="187"/>
      <c r="C28" s="25"/>
      <c r="E28" s="245"/>
      <c r="F28" s="247"/>
      <c r="G28" s="248"/>
      <c r="H28" s="36"/>
      <c r="I28" s="36"/>
      <c r="J28" s="36"/>
      <c r="K28" s="36"/>
      <c r="L28" s="36"/>
      <c r="M28" s="36"/>
      <c r="N28" s="249"/>
      <c r="O28" s="27"/>
      <c r="P28" s="27"/>
      <c r="Q28" s="27"/>
      <c r="R28" s="250"/>
      <c r="S28" s="27"/>
      <c r="T28" s="27"/>
      <c r="U28" s="27"/>
      <c r="V28" s="250"/>
      <c r="W28" s="27"/>
      <c r="X28" s="27"/>
      <c r="Y28" s="27"/>
      <c r="Z28" s="250"/>
      <c r="AB28" s="188"/>
      <c r="AE28" s="25"/>
      <c r="AF28" s="25"/>
      <c r="AG28" s="25"/>
      <c r="AH28" s="25"/>
    </row>
    <row r="29" spans="1:34" x14ac:dyDescent="0.25">
      <c r="A29" s="246"/>
      <c r="B29" s="187"/>
      <c r="C29" s="25"/>
      <c r="E29" s="245"/>
      <c r="F29" s="247"/>
      <c r="G29" s="248"/>
      <c r="H29" s="36"/>
      <c r="I29" s="36"/>
      <c r="J29" s="36"/>
      <c r="K29" s="36"/>
      <c r="L29" s="36"/>
      <c r="M29" s="36"/>
      <c r="N29" s="249"/>
      <c r="O29" s="27"/>
      <c r="P29" s="27"/>
      <c r="Q29" s="27"/>
      <c r="R29" s="250"/>
      <c r="S29" s="27"/>
      <c r="T29" s="27"/>
      <c r="U29" s="27"/>
      <c r="V29" s="250"/>
      <c r="W29" s="27"/>
      <c r="X29" s="27"/>
      <c r="Y29" s="27"/>
      <c r="Z29" s="250"/>
      <c r="AB29" s="188"/>
      <c r="AE29" s="25"/>
      <c r="AF29" s="25"/>
      <c r="AG29" s="25"/>
      <c r="AH29" s="25"/>
    </row>
  </sheetData>
  <conditionalFormatting sqref="G3:G5 G7:G21">
    <cfRule type="cellIs" dxfId="6" priority="16" operator="greaterThan">
      <formula>7</formula>
    </cfRule>
  </conditionalFormatting>
  <conditionalFormatting sqref="O17:O21 O15 O12:O13 S17:S21 S15 S12:S13 W17:W21 W15 W12:W13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:P21 P15 P12:P13 R17:R21 R15 R12:R13 T17:T21 T15 T12:T13 V17:V21 V15 V12:V13 X17:X21 X15 X12:X13 Z17:Z21 Z15 Z12:Z13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Q21 Q15 Q12:Q13 U17:U21 U15 U12:U13 Y17:Y21 Y15 Y12:Y13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N5 H7:N21">
    <cfRule type="colorScale" priority="447">
      <colorScale>
        <cfvo type="min"/>
        <cfvo type="max"/>
        <color rgb="FFFCFCFF"/>
        <color rgb="FFF8696B"/>
      </colorScale>
    </cfRule>
  </conditionalFormatting>
  <conditionalFormatting sqref="G6">
    <cfRule type="cellIs" dxfId="5" priority="10" operator="greaterThan">
      <formula>7</formula>
    </cfRule>
  </conditionalFormatting>
  <conditionalFormatting sqref="H6:N6">
    <cfRule type="colorScale" priority="11">
      <colorScale>
        <cfvo type="min"/>
        <cfvo type="max"/>
        <color rgb="FFFCFCFF"/>
        <color rgb="FFF8696B"/>
      </colorScale>
    </cfRule>
  </conditionalFormatting>
  <conditionalFormatting sqref="AG3:AH21">
    <cfRule type="dataBar" priority="5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{28A81B4F-259D-2CCF-6D33-4969E3D99304}</x14:id>
        </ext>
      </extLst>
    </cfRule>
  </conditionalFormatting>
  <conditionalFormatting sqref="AE3:AF2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{263A7C2C-1B85-A9F9-06C2-3B0D80D9B26D}</x14:id>
        </ext>
      </extLst>
    </cfRule>
  </conditionalFormatting>
  <conditionalFormatting sqref="P3:Q11 P14:Q14 P16:Q16 Y3:Y11 Y14 Y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1 W14 W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9">
    <cfRule type="cellIs" dxfId="4" priority="1" operator="greaterThan">
      <formula>7</formula>
    </cfRule>
  </conditionalFormatting>
  <conditionalFormatting sqref="O22:O29 S22:S29 W22:W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P29 R22:R29 T22:T29 V22:V29 X22:X29 Z22:Z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Q29 U22:U29 Y22:Y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N29">
    <cfRule type="colorScale" priority="5">
      <colorScale>
        <cfvo type="min"/>
        <cfvo type="max"/>
        <color rgb="FFFCFCFF"/>
        <color rgb="FFF8696B"/>
      </colorScale>
    </cfRule>
  </conditionalFormatting>
  <conditionalFormatting sqref="AG22:AH2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{A6362A1A-82CC-4C2D-8571-EED35FDAC463}</x14:id>
        </ext>
      </extLst>
    </cfRule>
  </conditionalFormatting>
  <conditionalFormatting sqref="AE22:AF29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{22849F8C-BE60-4BA8-BF29-AA00EB86A2AE}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A81B4F-259D-2CCF-6D33-4969E3D993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AG3:AH21</xm:sqref>
        </x14:conditionalFormatting>
        <x14:conditionalFormatting xmlns:xm="http://schemas.microsoft.com/office/excel/2006/main">
          <x14:cfRule type="dataBar" id="{263A7C2C-1B85-A9F9-06C2-3B0D80D9B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AE3:AF21</xm:sqref>
        </x14:conditionalFormatting>
        <x14:conditionalFormatting xmlns:xm="http://schemas.microsoft.com/office/excel/2006/main">
          <x14:cfRule type="dataBar" id="{A6362A1A-82CC-4C2D-8571-EED35FDAC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AG22:AH29</xm:sqref>
        </x14:conditionalFormatting>
        <x14:conditionalFormatting xmlns:xm="http://schemas.microsoft.com/office/excel/2006/main">
          <x14:cfRule type="dataBar" id="{22849F8C-BE60-4BA8-BF29-AA00EB86A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AE22:AF29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0497A"/>
  </sheetPr>
  <dimension ref="A1:V10"/>
  <sheetViews>
    <sheetView workbookViewId="0">
      <selection activeCell="G36" sqref="G36"/>
    </sheetView>
  </sheetViews>
  <sheetFormatPr baseColWidth="10" defaultColWidth="10.7109375" defaultRowHeight="15" x14ac:dyDescent="0.25"/>
  <cols>
    <col min="1" max="1" width="25.28515625" customWidth="1"/>
    <col min="2" max="2" width="5.42578125" customWidth="1"/>
    <col min="3" max="3" width="4.7109375" customWidth="1"/>
    <col min="4" max="4" width="4.42578125" customWidth="1"/>
    <col min="5" max="5" width="13" customWidth="1"/>
    <col min="6" max="6" width="7.42578125" customWidth="1"/>
    <col min="7" max="7" width="12" customWidth="1"/>
    <col min="8" max="8" width="3.5703125" customWidth="1"/>
    <col min="9" max="10" width="5.5703125" customWidth="1"/>
    <col min="11" max="13" width="4.5703125" customWidth="1"/>
    <col min="14" max="14" width="5.140625" customWidth="1"/>
    <col min="15" max="15" width="5.5703125" customWidth="1"/>
    <col min="16" max="16" width="7.7109375" customWidth="1"/>
    <col min="17" max="17" width="7.85546875" customWidth="1"/>
    <col min="18" max="18" width="5.7109375" customWidth="1"/>
    <col min="19" max="19" width="5.28515625" customWidth="1"/>
    <col min="20" max="20" width="5.42578125" customWidth="1"/>
    <col min="21" max="21" width="4.28515625" customWidth="1"/>
  </cols>
  <sheetData>
    <row r="1" spans="1:22" x14ac:dyDescent="0.25">
      <c r="A1" s="23"/>
      <c r="D1" s="42"/>
      <c r="P1" t="s">
        <v>617</v>
      </c>
    </row>
    <row r="2" spans="1:22" x14ac:dyDescent="0.25">
      <c r="A2" s="31" t="s">
        <v>177</v>
      </c>
      <c r="B2" s="31" t="s">
        <v>629</v>
      </c>
      <c r="C2" s="31" t="s">
        <v>109</v>
      </c>
      <c r="D2" s="51" t="s">
        <v>291</v>
      </c>
      <c r="E2" s="31" t="s">
        <v>654</v>
      </c>
      <c r="F2" s="40" t="s">
        <v>117</v>
      </c>
      <c r="G2" s="39" t="s">
        <v>294</v>
      </c>
      <c r="H2" s="32" t="s">
        <v>518</v>
      </c>
      <c r="I2" s="32" t="s">
        <v>149</v>
      </c>
      <c r="J2" s="32" t="s">
        <v>183</v>
      </c>
      <c r="K2" s="32" t="s">
        <v>184</v>
      </c>
      <c r="L2" s="32" t="s">
        <v>315</v>
      </c>
      <c r="M2" s="32" t="s">
        <v>186</v>
      </c>
      <c r="N2" s="32" t="s">
        <v>187</v>
      </c>
      <c r="O2" s="32" t="s">
        <v>188</v>
      </c>
      <c r="P2" s="34" t="s">
        <v>636</v>
      </c>
      <c r="Q2" s="34" t="s">
        <v>637</v>
      </c>
      <c r="R2" s="32" t="s">
        <v>661</v>
      </c>
      <c r="S2" s="32" t="s">
        <v>662</v>
      </c>
      <c r="T2" s="32" t="s">
        <v>663</v>
      </c>
      <c r="U2" s="32" t="s">
        <v>664</v>
      </c>
      <c r="V2" s="32" t="s">
        <v>385</v>
      </c>
    </row>
    <row r="3" spans="1:22" x14ac:dyDescent="0.25">
      <c r="A3" t="str">
        <f>PLANTILLA!D4</f>
        <v>Cosme Fonteboa</v>
      </c>
      <c r="B3">
        <v>22</v>
      </c>
      <c r="C3" s="25">
        <v>89</v>
      </c>
      <c r="D3" s="42"/>
      <c r="E3" s="45">
        <v>9700000</v>
      </c>
      <c r="F3" s="104">
        <f ca="1">PLANTILLA!N4</f>
        <v>1</v>
      </c>
      <c r="G3" s="191">
        <f>PLANTILLA!V4</f>
        <v>27020</v>
      </c>
      <c r="H3" s="29">
        <f>PLANTILLA!I4</f>
        <v>12</v>
      </c>
      <c r="I3" s="36">
        <f>PLANTILLA!X4</f>
        <v>15</v>
      </c>
      <c r="J3" s="36">
        <f>PLANTILLA!Y4</f>
        <v>13.214285714285714</v>
      </c>
      <c r="K3" s="36">
        <f>PLANTILLA!Z4</f>
        <v>0</v>
      </c>
      <c r="L3" s="36">
        <f>PLANTILLA!AA4</f>
        <v>2</v>
      </c>
      <c r="M3" s="36">
        <f>PLANTILLA!AB4</f>
        <v>1</v>
      </c>
      <c r="N3" s="36">
        <f>PLANTILLA!AC4</f>
        <v>1</v>
      </c>
      <c r="O3" s="36">
        <f>PLANTILLA!AD4</f>
        <v>18</v>
      </c>
      <c r="P3" s="27">
        <f t="shared" ref="P3:P10" ca="1" si="0">((I3+F3+(LOG(H3)*4/3))*0.597)+((J3+F3+(LOG(H3)*4/3))*0.276)</f>
        <v>14.731309827542294</v>
      </c>
      <c r="Q3" s="27">
        <f t="shared" ref="Q3:Q10" ca="1" si="1">((I3+F3+(LOG(H3)*4/3))*0.866)+((J3+F3+(LOG(H3)*4/3))*0.425)</f>
        <v>21.754702080101406</v>
      </c>
      <c r="R3">
        <v>51.5</v>
      </c>
      <c r="S3">
        <v>45</v>
      </c>
      <c r="T3">
        <v>0</v>
      </c>
      <c r="U3">
        <v>-1</v>
      </c>
      <c r="V3" s="42">
        <f t="shared" ref="V3:V10" si="2">U3+T3+S3+R3</f>
        <v>95.5</v>
      </c>
    </row>
    <row r="4" spans="1:22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104">
        <f ca="1">PLANTILLA!N5</f>
        <v>1</v>
      </c>
      <c r="G4" s="191">
        <f>PLANTILLA!V5</f>
        <v>1030</v>
      </c>
      <c r="H4" s="29">
        <f>PLANTILLA!I5</f>
        <v>2.2999999999999998</v>
      </c>
      <c r="I4" s="36">
        <f>PLANTILLA!X5</f>
        <v>6</v>
      </c>
      <c r="J4" s="36">
        <f>PLANTILLA!Y5</f>
        <v>6</v>
      </c>
      <c r="K4" s="36">
        <f>PLANTILLA!Z5</f>
        <v>0</v>
      </c>
      <c r="L4" s="36">
        <f>PLANTILLA!AA5</f>
        <v>3</v>
      </c>
      <c r="M4" s="36">
        <f>PLANTILLA!AB5</f>
        <v>1</v>
      </c>
      <c r="N4" s="36">
        <f>PLANTILLA!AC5</f>
        <v>1</v>
      </c>
      <c r="O4" s="36">
        <f>PLANTILLA!AD5</f>
        <v>6</v>
      </c>
      <c r="P4" s="27">
        <f t="shared" ca="1" si="0"/>
        <v>6.532051201124478</v>
      </c>
      <c r="Q4" s="27">
        <f t="shared" ca="1" si="1"/>
        <v>9.6596541817316179</v>
      </c>
      <c r="R4">
        <v>7.5</v>
      </c>
      <c r="S4">
        <v>9</v>
      </c>
      <c r="T4">
        <v>0</v>
      </c>
      <c r="U4">
        <v>-1</v>
      </c>
      <c r="V4" s="42">
        <f t="shared" si="2"/>
        <v>15.5</v>
      </c>
    </row>
    <row r="5" spans="1:22" x14ac:dyDescent="0.25">
      <c r="A5" t="s">
        <v>665</v>
      </c>
      <c r="B5">
        <v>23</v>
      </c>
      <c r="C5">
        <v>96</v>
      </c>
      <c r="E5" s="45">
        <v>8000000</v>
      </c>
      <c r="F5" s="104">
        <f t="shared" ref="F5:F10" ca="1" si="3">$F$3</f>
        <v>1</v>
      </c>
      <c r="G5" s="191">
        <f>(31720+655)*1.032</f>
        <v>33411</v>
      </c>
      <c r="H5" s="29">
        <v>3.5</v>
      </c>
      <c r="I5" s="36">
        <v>16</v>
      </c>
      <c r="J5" s="36">
        <v>9</v>
      </c>
      <c r="K5" s="36">
        <v>0</v>
      </c>
      <c r="L5" s="36">
        <v>0</v>
      </c>
      <c r="M5" s="36">
        <v>0</v>
      </c>
      <c r="N5" s="36">
        <v>0</v>
      </c>
      <c r="O5" s="36">
        <v>11</v>
      </c>
      <c r="P5" s="27">
        <f t="shared" ca="1" si="0"/>
        <v>13.542295203623722</v>
      </c>
      <c r="Q5" s="27">
        <f t="shared" ca="1" si="1"/>
        <v>19.908522460341608</v>
      </c>
      <c r="R5">
        <v>61.5</v>
      </c>
      <c r="S5">
        <v>30</v>
      </c>
      <c r="T5">
        <v>0</v>
      </c>
      <c r="U5">
        <v>10</v>
      </c>
      <c r="V5" s="42">
        <f t="shared" si="2"/>
        <v>101.5</v>
      </c>
    </row>
    <row r="6" spans="1:22" x14ac:dyDescent="0.25">
      <c r="A6" t="s">
        <v>666</v>
      </c>
      <c r="B6">
        <v>23</v>
      </c>
      <c r="C6">
        <v>53</v>
      </c>
      <c r="E6" s="45">
        <v>9282257</v>
      </c>
      <c r="F6" s="104">
        <f t="shared" ca="1" si="3"/>
        <v>1</v>
      </c>
      <c r="G6" s="191"/>
      <c r="H6" s="29">
        <v>4.7</v>
      </c>
      <c r="I6" s="36">
        <v>16</v>
      </c>
      <c r="J6" s="36">
        <v>4</v>
      </c>
      <c r="K6" s="36">
        <v>0</v>
      </c>
      <c r="L6" s="36">
        <v>0</v>
      </c>
      <c r="M6" s="36">
        <v>0</v>
      </c>
      <c r="N6" s="36">
        <v>0</v>
      </c>
      <c r="O6" s="36">
        <v>13</v>
      </c>
      <c r="P6" s="27">
        <f t="shared" ca="1" si="0"/>
        <v>12.311321906637176</v>
      </c>
      <c r="Q6" s="27">
        <f t="shared" ca="1" si="1"/>
        <v>18.003904446126683</v>
      </c>
      <c r="R6">
        <v>61.5</v>
      </c>
      <c r="S6">
        <v>6</v>
      </c>
      <c r="T6">
        <v>0</v>
      </c>
      <c r="U6">
        <v>14</v>
      </c>
      <c r="V6" s="42">
        <f t="shared" si="2"/>
        <v>81.5</v>
      </c>
    </row>
    <row r="7" spans="1:22" x14ac:dyDescent="0.25">
      <c r="A7" t="s">
        <v>667</v>
      </c>
      <c r="B7">
        <v>23</v>
      </c>
      <c r="C7">
        <v>18</v>
      </c>
      <c r="D7" t="s">
        <v>159</v>
      </c>
      <c r="E7" s="45">
        <v>9000000</v>
      </c>
      <c r="F7" s="104">
        <f t="shared" ca="1" si="3"/>
        <v>1</v>
      </c>
      <c r="G7" s="191">
        <f>(18290+2045+125+145)*1.012</f>
        <v>20852.260000000002</v>
      </c>
      <c r="H7" s="29">
        <v>5.0999999999999996</v>
      </c>
      <c r="I7" s="36">
        <v>14</v>
      </c>
      <c r="J7" s="36">
        <v>11</v>
      </c>
      <c r="K7" s="36">
        <v>0</v>
      </c>
      <c r="L7" s="36">
        <v>5</v>
      </c>
      <c r="M7" s="36">
        <v>6</v>
      </c>
      <c r="N7" s="36">
        <v>0</v>
      </c>
      <c r="O7" s="36">
        <v>4</v>
      </c>
      <c r="P7" s="27">
        <f t="shared" ca="1" si="0"/>
        <v>13.090611684977999</v>
      </c>
      <c r="Q7" s="27">
        <f t="shared" ca="1" si="1"/>
        <v>19.307964129789916</v>
      </c>
      <c r="R7">
        <v>43.5</v>
      </c>
      <c r="S7">
        <v>46</v>
      </c>
      <c r="T7">
        <v>10</v>
      </c>
      <c r="U7">
        <v>2</v>
      </c>
      <c r="V7" s="42">
        <f t="shared" si="2"/>
        <v>101.5</v>
      </c>
    </row>
    <row r="8" spans="1:22" x14ac:dyDescent="0.25">
      <c r="A8" t="s">
        <v>668</v>
      </c>
      <c r="B8">
        <v>23</v>
      </c>
      <c r="C8">
        <v>14</v>
      </c>
      <c r="E8" s="45">
        <v>10250000</v>
      </c>
      <c r="F8" s="104">
        <f t="shared" ca="1" si="3"/>
        <v>1</v>
      </c>
      <c r="G8" s="191"/>
      <c r="H8" s="29">
        <v>4.3</v>
      </c>
      <c r="I8" s="36">
        <v>19</v>
      </c>
      <c r="J8" s="36">
        <v>5</v>
      </c>
      <c r="K8" s="36">
        <v>0</v>
      </c>
      <c r="L8" s="36">
        <v>0</v>
      </c>
      <c r="M8" s="36">
        <v>0</v>
      </c>
      <c r="N8" s="36">
        <v>0</v>
      </c>
      <c r="O8" s="36">
        <v>2</v>
      </c>
      <c r="P8" s="27">
        <f t="shared" ca="1" si="0"/>
        <v>14.333357282294639</v>
      </c>
      <c r="Q8" s="27">
        <f t="shared" ca="1" si="1"/>
        <v>20.960410368204329</v>
      </c>
      <c r="R8">
        <v>106</v>
      </c>
      <c r="S8">
        <v>10</v>
      </c>
      <c r="T8">
        <v>0</v>
      </c>
      <c r="U8">
        <v>0</v>
      </c>
      <c r="V8" s="42">
        <f t="shared" si="2"/>
        <v>116</v>
      </c>
    </row>
    <row r="9" spans="1:22" x14ac:dyDescent="0.25">
      <c r="B9">
        <v>20</v>
      </c>
      <c r="C9">
        <v>25</v>
      </c>
      <c r="E9" s="45"/>
      <c r="F9" s="104">
        <f t="shared" ca="1" si="3"/>
        <v>1</v>
      </c>
      <c r="G9" s="191"/>
      <c r="H9" s="29">
        <v>1.3</v>
      </c>
      <c r="I9" s="36">
        <v>7</v>
      </c>
      <c r="J9" s="36">
        <v>4</v>
      </c>
      <c r="K9" s="36">
        <v>0</v>
      </c>
      <c r="L9" s="36">
        <v>0</v>
      </c>
      <c r="M9" s="36">
        <v>0</v>
      </c>
      <c r="N9" s="36">
        <v>0</v>
      </c>
      <c r="O9" s="36">
        <v>12</v>
      </c>
      <c r="P9" s="27">
        <f t="shared" ca="1" si="0"/>
        <v>6.288630062085157</v>
      </c>
      <c r="Q9" s="27">
        <f t="shared" ca="1" si="1"/>
        <v>9.2491344904375019</v>
      </c>
      <c r="R9">
        <v>7.5</v>
      </c>
      <c r="S9">
        <v>9</v>
      </c>
      <c r="T9">
        <v>0</v>
      </c>
      <c r="U9">
        <v>-1</v>
      </c>
      <c r="V9" s="42">
        <f t="shared" si="2"/>
        <v>15.5</v>
      </c>
    </row>
    <row r="10" spans="1:22" x14ac:dyDescent="0.25">
      <c r="B10">
        <v>21</v>
      </c>
      <c r="C10">
        <v>82</v>
      </c>
      <c r="E10" s="45"/>
      <c r="F10" s="104">
        <f t="shared" ca="1" si="3"/>
        <v>1</v>
      </c>
      <c r="G10" s="191"/>
      <c r="H10" s="29">
        <v>2.6</v>
      </c>
      <c r="I10" s="36">
        <v>8</v>
      </c>
      <c r="J10" s="36">
        <v>6</v>
      </c>
      <c r="K10" s="36">
        <v>2</v>
      </c>
      <c r="L10" s="36">
        <v>3</v>
      </c>
      <c r="M10" s="36">
        <v>5</v>
      </c>
      <c r="N10" s="36">
        <v>2</v>
      </c>
      <c r="O10" s="36">
        <v>12</v>
      </c>
      <c r="P10" s="27">
        <f t="shared" ca="1" si="0"/>
        <v>7.7880289770380315</v>
      </c>
      <c r="Q10" s="27">
        <f t="shared" ca="1" si="1"/>
        <v>11.483307456307099</v>
      </c>
      <c r="R10">
        <v>7.5</v>
      </c>
      <c r="S10">
        <v>9</v>
      </c>
      <c r="T10">
        <v>0</v>
      </c>
      <c r="U10">
        <v>-1</v>
      </c>
      <c r="V10" s="42">
        <f t="shared" si="2"/>
        <v>15.5</v>
      </c>
    </row>
  </sheetData>
  <conditionalFormatting sqref="H3:H10">
    <cfRule type="cellIs" dxfId="3" priority="1" operator="greaterThan">
      <formula>7</formula>
    </cfRule>
  </conditionalFormatting>
  <conditionalFormatting sqref="P3:Q10">
    <cfRule type="cellIs" dxfId="2" priority="2" operator="greaterThan">
      <formula>12.5</formula>
    </cfRule>
  </conditionalFormatting>
  <conditionalFormatting sqref="I3:O10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AS30"/>
  <sheetViews>
    <sheetView workbookViewId="0">
      <selection activeCell="P6" sqref="P6"/>
    </sheetView>
  </sheetViews>
  <sheetFormatPr baseColWidth="10" defaultColWidth="11.42578125" defaultRowHeight="15" x14ac:dyDescent="0.25"/>
  <cols>
    <col min="1" max="1" width="5.140625" customWidth="1"/>
    <col min="2" max="2" width="6.140625" customWidth="1"/>
    <col min="3" max="3" width="8" customWidth="1"/>
    <col min="4" max="4" width="13.5703125" customWidth="1"/>
    <col min="5" max="5" width="4.5703125" customWidth="1"/>
    <col min="6" max="6" width="5" customWidth="1"/>
    <col min="7" max="11" width="5.5703125" customWidth="1"/>
    <col min="12" max="12" width="4.5703125" customWidth="1"/>
    <col min="13" max="13" width="5.5703125" customWidth="1"/>
    <col min="14" max="14" width="7.28515625" customWidth="1"/>
    <col min="15" max="15" width="5.5703125" customWidth="1"/>
    <col min="16" max="16" width="6.28515625" customWidth="1"/>
    <col min="17" max="17" width="5.28515625" customWidth="1"/>
    <col min="18" max="18" width="8.28515625" customWidth="1"/>
    <col min="19" max="19" width="5.42578125" customWidth="1"/>
    <col min="20" max="21" width="5.7109375" customWidth="1"/>
    <col min="22" max="22" width="9.140625" customWidth="1"/>
    <col min="23" max="23" width="7.28515625" customWidth="1"/>
    <col min="24" max="24" width="5.140625" customWidth="1"/>
    <col min="25" max="25" width="4.5703125" customWidth="1"/>
    <col min="26" max="26" width="5.7109375" customWidth="1"/>
    <col min="27" max="33" width="4.5703125" customWidth="1"/>
    <col min="34" max="34" width="7.28515625" customWidth="1"/>
    <col min="35" max="35" width="5.5703125" customWidth="1"/>
    <col min="36" max="36" width="5.7109375" customWidth="1"/>
    <col min="37" max="37" width="5.28515625" customWidth="1"/>
    <col min="38" max="38" width="5.5703125" customWidth="1"/>
    <col min="39" max="39" width="5.42578125" customWidth="1"/>
    <col min="40" max="41" width="5.7109375" customWidth="1"/>
    <col min="42" max="42" width="9.140625" customWidth="1"/>
    <col min="43" max="43" width="5.140625" style="54" customWidth="1"/>
    <col min="44" max="45" width="6.140625" style="54" customWidth="1"/>
  </cols>
  <sheetData>
    <row r="1" spans="1:45" x14ac:dyDescent="0.25">
      <c r="N1" s="77" t="e">
        <f>SUM(N3:N15)</f>
        <v>#REF!</v>
      </c>
      <c r="AH1" s="77" t="e">
        <f>SUM(AH3:AH15)</f>
        <v>#REF!</v>
      </c>
    </row>
    <row r="2" spans="1:45" x14ac:dyDescent="0.25">
      <c r="A2" s="96" t="s">
        <v>290</v>
      </c>
      <c r="B2" s="96" t="s">
        <v>105</v>
      </c>
      <c r="C2" s="96" t="s">
        <v>291</v>
      </c>
      <c r="D2" s="96" t="s">
        <v>107</v>
      </c>
      <c r="E2" s="96" t="s">
        <v>292</v>
      </c>
      <c r="F2" s="96" t="s">
        <v>293</v>
      </c>
      <c r="G2" s="96" t="s">
        <v>127</v>
      </c>
      <c r="H2" s="96" t="s">
        <v>128</v>
      </c>
      <c r="I2" s="96" t="s">
        <v>129</v>
      </c>
      <c r="J2" s="96" t="s">
        <v>130</v>
      </c>
      <c r="K2" s="96" t="s">
        <v>131</v>
      </c>
      <c r="L2" s="96" t="s">
        <v>132</v>
      </c>
      <c r="M2" s="96" t="s">
        <v>110</v>
      </c>
      <c r="N2" s="96" t="s">
        <v>294</v>
      </c>
      <c r="O2" s="96" t="s">
        <v>295</v>
      </c>
      <c r="P2" s="96" t="s">
        <v>296</v>
      </c>
      <c r="Q2" s="96" t="s">
        <v>297</v>
      </c>
      <c r="R2" s="96" t="s">
        <v>298</v>
      </c>
      <c r="S2" s="96" t="s">
        <v>299</v>
      </c>
      <c r="T2" s="96" t="s">
        <v>300</v>
      </c>
      <c r="U2" s="96" t="s">
        <v>301</v>
      </c>
      <c r="V2" s="96" t="s">
        <v>302</v>
      </c>
      <c r="X2" s="13" t="s">
        <v>290</v>
      </c>
      <c r="Y2" s="13" t="s">
        <v>292</v>
      </c>
      <c r="Z2" s="13" t="s">
        <v>293</v>
      </c>
      <c r="AA2" s="13" t="s">
        <v>127</v>
      </c>
      <c r="AB2" s="13" t="s">
        <v>128</v>
      </c>
      <c r="AC2" s="13" t="s">
        <v>129</v>
      </c>
      <c r="AD2" s="13" t="s">
        <v>130</v>
      </c>
      <c r="AE2" s="13" t="s">
        <v>131</v>
      </c>
      <c r="AF2" s="13" t="s">
        <v>132</v>
      </c>
      <c r="AG2" s="13" t="s">
        <v>110</v>
      </c>
      <c r="AH2" s="13" t="s">
        <v>294</v>
      </c>
      <c r="AI2" s="13" t="s">
        <v>295</v>
      </c>
      <c r="AJ2" s="13" t="s">
        <v>296</v>
      </c>
      <c r="AK2" s="13" t="s">
        <v>297</v>
      </c>
      <c r="AL2" s="13" t="s">
        <v>298</v>
      </c>
      <c r="AM2" s="13" t="s">
        <v>299</v>
      </c>
      <c r="AN2" s="13" t="s">
        <v>300</v>
      </c>
      <c r="AO2" s="13" t="s">
        <v>301</v>
      </c>
      <c r="AP2" s="13" t="s">
        <v>302</v>
      </c>
    </row>
    <row r="3" spans="1:45" x14ac:dyDescent="0.25">
      <c r="A3" t="s">
        <v>148</v>
      </c>
      <c r="B3" s="18" t="s">
        <v>149</v>
      </c>
      <c r="C3" s="6"/>
      <c r="D3" s="6" t="s">
        <v>303</v>
      </c>
      <c r="E3" s="6">
        <f>PLANTILLA!E4</f>
        <v>30</v>
      </c>
      <c r="F3" s="20">
        <f ca="1">PLANTILLA!F4</f>
        <v>52</v>
      </c>
      <c r="G3" s="89">
        <f>PLANTILLA!X4</f>
        <v>15</v>
      </c>
      <c r="H3" s="89">
        <f>PLANTILLA!Y4</f>
        <v>13.214285714285714</v>
      </c>
      <c r="I3" s="89">
        <f>PLANTILLA!Z4</f>
        <v>0</v>
      </c>
      <c r="J3" s="89">
        <f>PLANTILLA!AA4</f>
        <v>2</v>
      </c>
      <c r="K3" s="89">
        <f>PLANTILLA!AB4</f>
        <v>1</v>
      </c>
      <c r="L3" s="89">
        <f>PLANTILLA!AC4</f>
        <v>1</v>
      </c>
      <c r="M3" s="89">
        <f>PLANTILLA!AD4</f>
        <v>18</v>
      </c>
      <c r="N3" s="37">
        <f>PLANTILLA!V4</f>
        <v>27020</v>
      </c>
      <c r="O3" s="42">
        <v>51.5</v>
      </c>
      <c r="P3" s="42">
        <v>62</v>
      </c>
      <c r="Q3" s="42">
        <v>0</v>
      </c>
      <c r="R3" s="42">
        <v>0</v>
      </c>
      <c r="S3" s="42">
        <v>0</v>
      </c>
      <c r="T3" s="42">
        <v>0</v>
      </c>
      <c r="U3" s="42">
        <v>18</v>
      </c>
      <c r="V3" s="195">
        <f t="shared" ref="V3:V15" si="0">SUM(O3:U3)</f>
        <v>131.5</v>
      </c>
      <c r="X3" t="s">
        <v>148</v>
      </c>
      <c r="Y3" s="6">
        <f>E3</f>
        <v>30</v>
      </c>
      <c r="Z3" s="6">
        <f ca="1">F3+(7*$AR$8)</f>
        <v>52</v>
      </c>
      <c r="AA3" s="55">
        <f t="shared" ref="AA3:AA15" si="1">G3</f>
        <v>15</v>
      </c>
      <c r="AB3" s="55">
        <f>11+6/10</f>
        <v>11.6</v>
      </c>
      <c r="AC3" s="55">
        <f>I3</f>
        <v>0</v>
      </c>
      <c r="AD3" s="55">
        <f>J3</f>
        <v>2</v>
      </c>
      <c r="AE3" s="55">
        <f>K3</f>
        <v>1</v>
      </c>
      <c r="AF3" s="55">
        <f>L3</f>
        <v>1</v>
      </c>
      <c r="AG3" s="55">
        <f>M3</f>
        <v>18</v>
      </c>
      <c r="AH3" s="37">
        <f>(24270+2300)*1.008</f>
        <v>26782.560000000001</v>
      </c>
      <c r="AI3" s="42">
        <f t="shared" ref="AI3:AI15" si="2">O3</f>
        <v>51.5</v>
      </c>
      <c r="AJ3" s="42">
        <f t="shared" ref="AJ3:AJ11" si="3">P3+$AR$8</f>
        <v>62</v>
      </c>
      <c r="AK3" s="42">
        <f t="shared" ref="AK3:AK15" si="4">Q3</f>
        <v>0</v>
      </c>
      <c r="AL3" s="42">
        <f t="shared" ref="AL3:AL15" si="5">R3</f>
        <v>0</v>
      </c>
      <c r="AM3" s="42">
        <f t="shared" ref="AM3:AM15" si="6">S3</f>
        <v>0</v>
      </c>
      <c r="AN3" s="42">
        <f t="shared" ref="AN3:AN15" si="7">T3</f>
        <v>0</v>
      </c>
      <c r="AO3" s="42">
        <f t="shared" ref="AO3:AO15" si="8">U3</f>
        <v>18</v>
      </c>
      <c r="AP3" s="195">
        <f t="shared" ref="AP3:AP15" si="9">SUM(AI3:AO3)</f>
        <v>131.5</v>
      </c>
    </row>
    <row r="4" spans="1:45" x14ac:dyDescent="0.25">
      <c r="A4" t="s">
        <v>151</v>
      </c>
      <c r="B4" s="18" t="s">
        <v>183</v>
      </c>
      <c r="C4" s="6"/>
      <c r="D4" s="6" t="s">
        <v>304</v>
      </c>
      <c r="E4" s="6" t="e">
        <f>PLANTILLA!#REF!</f>
        <v>#REF!</v>
      </c>
      <c r="F4" s="20" t="e">
        <f>PLANTILLA!#REF!</f>
        <v>#REF!</v>
      </c>
      <c r="G4" s="89" t="e">
        <f>PLANTILLA!#REF!</f>
        <v>#REF!</v>
      </c>
      <c r="H4" s="89" t="e">
        <f>PLANTILLA!#REF!</f>
        <v>#REF!</v>
      </c>
      <c r="I4" s="89" t="e">
        <f>PLANTILLA!#REF!</f>
        <v>#REF!</v>
      </c>
      <c r="J4" s="89" t="e">
        <f>PLANTILLA!#REF!</f>
        <v>#REF!</v>
      </c>
      <c r="K4" s="89" t="e">
        <f>PLANTILLA!#REF!</f>
        <v>#REF!</v>
      </c>
      <c r="L4" s="89" t="e">
        <f>PLANTILLA!#REF!</f>
        <v>#REF!</v>
      </c>
      <c r="M4" s="89" t="e">
        <f>PLANTILLA!#REF!</f>
        <v>#REF!</v>
      </c>
      <c r="N4" s="37" t="e">
        <f>PLANTILLA!#REF!</f>
        <v>#REF!</v>
      </c>
      <c r="O4" s="42">
        <v>0</v>
      </c>
      <c r="P4" s="42">
        <f>104.3</f>
        <v>104.3</v>
      </c>
      <c r="Q4" s="42">
        <v>12</v>
      </c>
      <c r="R4" s="42">
        <v>11</v>
      </c>
      <c r="S4" s="42">
        <v>23</v>
      </c>
      <c r="T4" s="42">
        <v>0</v>
      </c>
      <c r="U4" s="42">
        <v>15</v>
      </c>
      <c r="V4" s="195">
        <f t="shared" si="0"/>
        <v>165.3</v>
      </c>
      <c r="X4" t="s">
        <v>151</v>
      </c>
      <c r="Y4" s="6" t="e">
        <f>E4</f>
        <v>#REF!</v>
      </c>
      <c r="Z4" s="6" t="e">
        <f>F4+(7*$AR$8)</f>
        <v>#REF!</v>
      </c>
      <c r="AA4" s="55" t="e">
        <f t="shared" si="1"/>
        <v>#REF!</v>
      </c>
      <c r="AB4" s="55">
        <f>15+3/18</f>
        <v>15.166666666666666</v>
      </c>
      <c r="AC4" s="55" t="e">
        <f t="shared" ref="AC4:AC15" si="10">I4</f>
        <v>#REF!</v>
      </c>
      <c r="AD4" s="55">
        <f>5+2/10</f>
        <v>5.2</v>
      </c>
      <c r="AE4" s="55" t="e">
        <f t="shared" ref="AE4:AE15" si="11">K4</f>
        <v>#REF!</v>
      </c>
      <c r="AF4" s="55" t="e">
        <f t="shared" ref="AF4:AF15" si="12">L4</f>
        <v>#REF!</v>
      </c>
      <c r="AG4" s="55" t="e">
        <f t="shared" ref="AG4:AG15" si="13">M4</f>
        <v>#REF!</v>
      </c>
      <c r="AH4" s="37">
        <f>(28000+135+130+135)*1.004</f>
        <v>28513.599999999999</v>
      </c>
      <c r="AI4" s="42">
        <f t="shared" si="2"/>
        <v>0</v>
      </c>
      <c r="AJ4" s="42">
        <f t="shared" si="3"/>
        <v>104.3</v>
      </c>
      <c r="AK4" s="42">
        <f t="shared" si="4"/>
        <v>12</v>
      </c>
      <c r="AL4" s="42">
        <f t="shared" si="5"/>
        <v>11</v>
      </c>
      <c r="AM4" s="42">
        <f t="shared" si="6"/>
        <v>23</v>
      </c>
      <c r="AN4" s="42">
        <f t="shared" si="7"/>
        <v>0</v>
      </c>
      <c r="AO4" s="42">
        <f t="shared" si="8"/>
        <v>15</v>
      </c>
      <c r="AP4" s="195">
        <f t="shared" si="9"/>
        <v>165.3</v>
      </c>
    </row>
    <row r="5" spans="1:45" x14ac:dyDescent="0.25">
      <c r="A5" t="s">
        <v>160</v>
      </c>
      <c r="B5" s="18" t="s">
        <v>183</v>
      </c>
      <c r="C5" s="6"/>
      <c r="D5" s="6" t="s">
        <v>305</v>
      </c>
      <c r="E5" s="6">
        <f>PLANTILLA!E7</f>
        <v>30</v>
      </c>
      <c r="F5" s="20">
        <f ca="1">PLANTILLA!F7</f>
        <v>80</v>
      </c>
      <c r="G5" s="89">
        <f>PLANTILLA!X7</f>
        <v>0</v>
      </c>
      <c r="H5" s="89">
        <f>PLANTILLA!Y7</f>
        <v>15</v>
      </c>
      <c r="I5" s="89">
        <f>PLANTILLA!Z7</f>
        <v>3.4569444444444448</v>
      </c>
      <c r="J5" s="89">
        <f>PLANTILLA!AA7</f>
        <v>9.4</v>
      </c>
      <c r="K5" s="89">
        <f>PLANTILLA!AB7</f>
        <v>12</v>
      </c>
      <c r="L5" s="89">
        <f>PLANTILLA!AC7</f>
        <v>3.95</v>
      </c>
      <c r="M5" s="89">
        <f>PLANTILLA!AD7</f>
        <v>16.166666666666668</v>
      </c>
      <c r="N5" s="37">
        <f>PLANTILLA!V7</f>
        <v>24270</v>
      </c>
      <c r="O5" s="42">
        <v>0</v>
      </c>
      <c r="P5" s="42">
        <v>83</v>
      </c>
      <c r="Q5" s="42">
        <v>3</v>
      </c>
      <c r="R5" s="42">
        <v>15.5</v>
      </c>
      <c r="S5" s="42">
        <v>43</v>
      </c>
      <c r="T5" s="42">
        <v>5</v>
      </c>
      <c r="U5" s="42">
        <v>16</v>
      </c>
      <c r="V5" s="195">
        <f t="shared" si="0"/>
        <v>165.5</v>
      </c>
      <c r="X5" t="s">
        <v>160</v>
      </c>
      <c r="Y5" s="6">
        <f>E5</f>
        <v>30</v>
      </c>
      <c r="Z5" s="6">
        <f ca="1">F5+(7*$AR$8)</f>
        <v>80</v>
      </c>
      <c r="AA5" s="55">
        <f t="shared" si="1"/>
        <v>0</v>
      </c>
      <c r="AB5" s="55">
        <f>13+5/12</f>
        <v>13.416666666666666</v>
      </c>
      <c r="AC5" s="55">
        <f t="shared" si="10"/>
        <v>3.4569444444444448</v>
      </c>
      <c r="AD5" s="55">
        <f>7+1/12</f>
        <v>7.083333333333333</v>
      </c>
      <c r="AE5" s="55">
        <f t="shared" si="11"/>
        <v>12</v>
      </c>
      <c r="AF5" s="55">
        <f t="shared" si="12"/>
        <v>3.95</v>
      </c>
      <c r="AG5" s="55">
        <f t="shared" si="13"/>
        <v>16.166666666666668</v>
      </c>
      <c r="AH5" s="37">
        <f>(195+13000+190)*1.008</f>
        <v>13492.08</v>
      </c>
      <c r="AI5" s="42">
        <f t="shared" si="2"/>
        <v>0</v>
      </c>
      <c r="AJ5" s="42">
        <f t="shared" si="3"/>
        <v>83</v>
      </c>
      <c r="AK5" s="42">
        <f t="shared" si="4"/>
        <v>3</v>
      </c>
      <c r="AL5" s="42">
        <f t="shared" si="5"/>
        <v>15.5</v>
      </c>
      <c r="AM5" s="42">
        <f t="shared" si="6"/>
        <v>43</v>
      </c>
      <c r="AN5" s="42">
        <f t="shared" si="7"/>
        <v>5</v>
      </c>
      <c r="AO5" s="42">
        <f t="shared" si="8"/>
        <v>16</v>
      </c>
      <c r="AP5" s="195">
        <f t="shared" si="9"/>
        <v>165.5</v>
      </c>
    </row>
    <row r="6" spans="1:45" x14ac:dyDescent="0.25">
      <c r="A6" t="s">
        <v>154</v>
      </c>
      <c r="B6" s="18" t="s">
        <v>183</v>
      </c>
      <c r="C6" s="6"/>
      <c r="D6" s="6" t="s">
        <v>306</v>
      </c>
      <c r="E6" s="6">
        <f>PLANTILLA!E6</f>
        <v>30</v>
      </c>
      <c r="F6" s="20">
        <f ca="1">PLANTILLA!F6</f>
        <v>30</v>
      </c>
      <c r="G6" s="89">
        <f>PLANTILLA!X6</f>
        <v>0</v>
      </c>
      <c r="H6" s="89">
        <f>PLANTILLA!Y6</f>
        <v>16.043478260869566</v>
      </c>
      <c r="I6" s="89">
        <f>PLANTILLA!Z6</f>
        <v>5.25</v>
      </c>
      <c r="J6" s="89">
        <f>PLANTILLA!AA6</f>
        <v>9</v>
      </c>
      <c r="K6" s="89">
        <f>PLANTILLA!AB6</f>
        <v>9</v>
      </c>
      <c r="L6" s="89">
        <f>PLANTILLA!AC6</f>
        <v>1</v>
      </c>
      <c r="M6" s="89">
        <f>PLANTILLA!AD6</f>
        <v>16</v>
      </c>
      <c r="N6" s="37">
        <f>PLANTILLA!V6</f>
        <v>33530</v>
      </c>
      <c r="O6" s="42">
        <v>0</v>
      </c>
      <c r="P6" s="42">
        <v>105</v>
      </c>
      <c r="Q6" s="42">
        <v>9</v>
      </c>
      <c r="R6" s="42">
        <v>14.5</v>
      </c>
      <c r="S6" s="42">
        <v>22</v>
      </c>
      <c r="T6" s="42">
        <v>0</v>
      </c>
      <c r="U6" s="42">
        <v>14</v>
      </c>
      <c r="V6" s="195">
        <f t="shared" si="0"/>
        <v>164.5</v>
      </c>
      <c r="X6" t="s">
        <v>154</v>
      </c>
      <c r="Y6" s="6">
        <f>E6</f>
        <v>30</v>
      </c>
      <c r="Z6" s="6">
        <f ca="1">F6+(7*$AR$8)</f>
        <v>30</v>
      </c>
      <c r="AA6" s="55">
        <f t="shared" si="1"/>
        <v>0</v>
      </c>
      <c r="AB6" s="55">
        <f>15+3/18</f>
        <v>15.166666666666666</v>
      </c>
      <c r="AC6" s="55">
        <f t="shared" si="10"/>
        <v>5.25</v>
      </c>
      <c r="AD6" s="55">
        <f>J6+(0.5*AR9)/4</f>
        <v>9</v>
      </c>
      <c r="AE6" s="55">
        <f t="shared" si="11"/>
        <v>9</v>
      </c>
      <c r="AF6" s="55">
        <f t="shared" si="12"/>
        <v>1</v>
      </c>
      <c r="AG6" s="55">
        <f t="shared" si="13"/>
        <v>16</v>
      </c>
      <c r="AH6" s="37">
        <f>(28000+135+130+135)*1.004</f>
        <v>28513.599999999999</v>
      </c>
      <c r="AI6" s="42">
        <f t="shared" si="2"/>
        <v>0</v>
      </c>
      <c r="AJ6" s="42">
        <f t="shared" si="3"/>
        <v>105</v>
      </c>
      <c r="AK6" s="42">
        <f t="shared" si="4"/>
        <v>9</v>
      </c>
      <c r="AL6" s="42">
        <f t="shared" si="5"/>
        <v>14.5</v>
      </c>
      <c r="AM6" s="42">
        <f t="shared" si="6"/>
        <v>22</v>
      </c>
      <c r="AN6" s="42">
        <f t="shared" si="7"/>
        <v>0</v>
      </c>
      <c r="AO6" s="42">
        <f t="shared" si="8"/>
        <v>14</v>
      </c>
      <c r="AP6" s="195">
        <f t="shared" si="9"/>
        <v>164.5</v>
      </c>
    </row>
    <row r="7" spans="1:45" x14ac:dyDescent="0.25">
      <c r="A7" t="s">
        <v>163</v>
      </c>
      <c r="B7" s="18" t="s">
        <v>183</v>
      </c>
      <c r="C7" s="6"/>
      <c r="D7" s="6" t="s">
        <v>307</v>
      </c>
      <c r="E7" s="6">
        <f>PLANTILLA!E8</f>
        <v>30</v>
      </c>
      <c r="F7" s="20">
        <f ca="1">PLANTILLA!F8</f>
        <v>65</v>
      </c>
      <c r="G7" s="89">
        <f>PLANTILLA!X8</f>
        <v>0</v>
      </c>
      <c r="H7" s="89">
        <f>PLANTILLA!Y8</f>
        <v>13.1875</v>
      </c>
      <c r="I7" s="89">
        <f>PLANTILLA!Z8</f>
        <v>11.666666666666666</v>
      </c>
      <c r="J7" s="89">
        <f>PLANTILLA!AA8</f>
        <v>5.25</v>
      </c>
      <c r="K7" s="89">
        <f>PLANTILLA!AB8</f>
        <v>11.142857142857142</v>
      </c>
      <c r="L7" s="89">
        <f>PLANTILLA!AC8</f>
        <v>4</v>
      </c>
      <c r="M7" s="89">
        <f>PLANTILLA!AD8</f>
        <v>16</v>
      </c>
      <c r="N7" s="37">
        <f>PLANTILLA!V8</f>
        <v>16330</v>
      </c>
      <c r="O7" s="42">
        <v>0</v>
      </c>
      <c r="P7" s="42">
        <v>60</v>
      </c>
      <c r="Q7" s="42">
        <v>41</v>
      </c>
      <c r="R7" s="42">
        <v>4.5</v>
      </c>
      <c r="S7" s="42">
        <v>36</v>
      </c>
      <c r="T7" s="42">
        <v>5</v>
      </c>
      <c r="U7" s="42">
        <v>15</v>
      </c>
      <c r="V7" s="195">
        <f t="shared" si="0"/>
        <v>161.5</v>
      </c>
      <c r="X7" t="s">
        <v>163</v>
      </c>
      <c r="Y7" s="6">
        <f>E7</f>
        <v>30</v>
      </c>
      <c r="Z7" s="6">
        <f ca="1">F7+(7*$AR$8)</f>
        <v>65</v>
      </c>
      <c r="AA7" s="55">
        <f t="shared" si="1"/>
        <v>0</v>
      </c>
      <c r="AB7" s="55">
        <f>11+7/10</f>
        <v>11.7</v>
      </c>
      <c r="AC7" s="55">
        <f t="shared" si="10"/>
        <v>11.666666666666666</v>
      </c>
      <c r="AD7" s="55">
        <f>J7</f>
        <v>5.25</v>
      </c>
      <c r="AE7" s="55">
        <f t="shared" si="11"/>
        <v>11.142857142857142</v>
      </c>
      <c r="AF7" s="55">
        <f t="shared" si="12"/>
        <v>4</v>
      </c>
      <c r="AG7" s="55">
        <f t="shared" si="13"/>
        <v>16</v>
      </c>
      <c r="AH7" s="37">
        <f>(6800+2505+145)*1.008</f>
        <v>9525.6</v>
      </c>
      <c r="AI7" s="42">
        <f t="shared" si="2"/>
        <v>0</v>
      </c>
      <c r="AJ7" s="42">
        <f t="shared" si="3"/>
        <v>60</v>
      </c>
      <c r="AK7" s="42">
        <f t="shared" si="4"/>
        <v>41</v>
      </c>
      <c r="AL7" s="42">
        <f t="shared" si="5"/>
        <v>4.5</v>
      </c>
      <c r="AM7" s="42">
        <f t="shared" si="6"/>
        <v>36</v>
      </c>
      <c r="AN7" s="42">
        <f t="shared" si="7"/>
        <v>5</v>
      </c>
      <c r="AO7" s="42">
        <f t="shared" si="8"/>
        <v>15</v>
      </c>
      <c r="AP7" s="195">
        <f t="shared" si="9"/>
        <v>161.5</v>
      </c>
      <c r="AR7" s="90" t="s">
        <v>133</v>
      </c>
      <c r="AS7" s="90" t="s">
        <v>308</v>
      </c>
    </row>
    <row r="8" spans="1:45" x14ac:dyDescent="0.25">
      <c r="A8" t="s">
        <v>167</v>
      </c>
      <c r="B8" s="18" t="s">
        <v>183</v>
      </c>
      <c r="C8" s="6"/>
      <c r="D8" s="6" t="s">
        <v>309</v>
      </c>
      <c r="E8" s="6">
        <f>PLANTILLA!E9</f>
        <v>30</v>
      </c>
      <c r="F8" s="20">
        <f ca="1">PLANTILLA!F9</f>
        <v>108</v>
      </c>
      <c r="G8" s="89">
        <f>PLANTILLA!X9</f>
        <v>0</v>
      </c>
      <c r="H8" s="89">
        <f>PLANTILLA!Y9</f>
        <v>15</v>
      </c>
      <c r="I8" s="89">
        <f>PLANTILLA!Z9</f>
        <v>5.375</v>
      </c>
      <c r="J8" s="89">
        <f>PLANTILLA!AA9</f>
        <v>3.3333333333333335</v>
      </c>
      <c r="K8" s="89">
        <f>PLANTILLA!AB9</f>
        <v>12.222222222222221</v>
      </c>
      <c r="L8" s="89">
        <f>PLANTILLA!AC9</f>
        <v>6</v>
      </c>
      <c r="M8" s="89">
        <f>PLANTILLA!AD9</f>
        <v>16</v>
      </c>
      <c r="N8" s="37">
        <f>PLANTILLA!V9</f>
        <v>24550</v>
      </c>
      <c r="O8" s="42">
        <v>0</v>
      </c>
      <c r="P8" s="42">
        <v>83</v>
      </c>
      <c r="Q8" s="42">
        <v>9.5</v>
      </c>
      <c r="R8" s="42">
        <v>0</v>
      </c>
      <c r="S8" s="42">
        <v>44</v>
      </c>
      <c r="T8" s="42">
        <v>12</v>
      </c>
      <c r="U8" s="42">
        <v>13</v>
      </c>
      <c r="V8" s="195">
        <f t="shared" si="0"/>
        <v>161.5</v>
      </c>
      <c r="X8" t="s">
        <v>167</v>
      </c>
      <c r="Y8" s="6">
        <f>E8+1</f>
        <v>31</v>
      </c>
      <c r="Z8" s="6">
        <f ca="1">F8+(7*$AR$8)-112</f>
        <v>-4</v>
      </c>
      <c r="AA8" s="55">
        <f t="shared" si="1"/>
        <v>0</v>
      </c>
      <c r="AB8" s="55">
        <f>H8</f>
        <v>15</v>
      </c>
      <c r="AC8" s="55">
        <f t="shared" si="10"/>
        <v>5.375</v>
      </c>
      <c r="AD8" s="55">
        <f>J8</f>
        <v>3.3333333333333335</v>
      </c>
      <c r="AE8" s="55">
        <f t="shared" si="11"/>
        <v>12.222222222222221</v>
      </c>
      <c r="AF8" s="55">
        <f t="shared" si="12"/>
        <v>6</v>
      </c>
      <c r="AG8" s="55">
        <f t="shared" si="13"/>
        <v>16</v>
      </c>
      <c r="AH8" s="37"/>
      <c r="AI8" s="42">
        <f t="shared" si="2"/>
        <v>0</v>
      </c>
      <c r="AJ8" s="42">
        <f t="shared" si="3"/>
        <v>83</v>
      </c>
      <c r="AK8" s="42">
        <f t="shared" si="4"/>
        <v>9.5</v>
      </c>
      <c r="AL8" s="42">
        <f t="shared" si="5"/>
        <v>0</v>
      </c>
      <c r="AM8" s="42">
        <f t="shared" si="6"/>
        <v>44</v>
      </c>
      <c r="AN8" s="42">
        <f t="shared" si="7"/>
        <v>12</v>
      </c>
      <c r="AO8" s="42">
        <f t="shared" si="8"/>
        <v>13</v>
      </c>
      <c r="AP8" s="195">
        <f t="shared" si="9"/>
        <v>161.5</v>
      </c>
      <c r="AQ8" s="90" t="s">
        <v>183</v>
      </c>
      <c r="AR8" s="54">
        <v>0</v>
      </c>
      <c r="AS8" s="97">
        <f>AR8/16</f>
        <v>0</v>
      </c>
    </row>
    <row r="9" spans="1:45" x14ac:dyDescent="0.25">
      <c r="A9" t="s">
        <v>156</v>
      </c>
      <c r="B9" s="18" t="s">
        <v>183</v>
      </c>
      <c r="C9" s="6" t="s">
        <v>159</v>
      </c>
      <c r="D9" s="6" t="s">
        <v>310</v>
      </c>
      <c r="E9" s="6">
        <f>PLANTILLA!E10</f>
        <v>30</v>
      </c>
      <c r="F9" s="20">
        <f ca="1">PLANTILLA!F10</f>
        <v>45</v>
      </c>
      <c r="G9" s="89">
        <f>PLANTILLA!X10</f>
        <v>0</v>
      </c>
      <c r="H9" s="89">
        <f>PLANTILLA!Y10</f>
        <v>14.375</v>
      </c>
      <c r="I9" s="89">
        <f>PLANTILLA!Z10</f>
        <v>5</v>
      </c>
      <c r="J9" s="89">
        <f>PLANTILLA!AA10</f>
        <v>14</v>
      </c>
      <c r="K9" s="89">
        <f>PLANTILLA!AB10</f>
        <v>9</v>
      </c>
      <c r="L9" s="89">
        <f>PLANTILLA!AC10</f>
        <v>7</v>
      </c>
      <c r="M9" s="89">
        <f>PLANTILLA!AD10</f>
        <v>17</v>
      </c>
      <c r="N9" s="37">
        <f>PLANTILLA!V10</f>
        <v>23870</v>
      </c>
      <c r="O9" s="42">
        <v>0</v>
      </c>
      <c r="P9" s="42">
        <v>76</v>
      </c>
      <c r="Q9" s="42">
        <v>6</v>
      </c>
      <c r="R9" s="42">
        <v>40.5</v>
      </c>
      <c r="S9" s="42">
        <v>18</v>
      </c>
      <c r="T9" s="42">
        <v>16</v>
      </c>
      <c r="U9" s="42">
        <v>16</v>
      </c>
      <c r="V9" s="195">
        <f t="shared" si="0"/>
        <v>172.5</v>
      </c>
      <c r="X9" t="s">
        <v>156</v>
      </c>
      <c r="Y9" s="6">
        <f>E9</f>
        <v>30</v>
      </c>
      <c r="Z9" s="6">
        <f ca="1">F9+(7*$AR$8)</f>
        <v>45</v>
      </c>
      <c r="AA9" s="55">
        <f t="shared" si="1"/>
        <v>0</v>
      </c>
      <c r="AB9" s="55">
        <f>12+10/11</f>
        <v>12.909090909090908</v>
      </c>
      <c r="AC9" s="55">
        <f t="shared" si="10"/>
        <v>5</v>
      </c>
      <c r="AD9" s="55">
        <v>12.5</v>
      </c>
      <c r="AE9" s="55">
        <f t="shared" si="11"/>
        <v>9</v>
      </c>
      <c r="AF9" s="55">
        <f t="shared" si="12"/>
        <v>7</v>
      </c>
      <c r="AG9" s="55">
        <f t="shared" si="13"/>
        <v>17</v>
      </c>
      <c r="AH9" s="37">
        <f>(12930+2985+125+125+245)*1.012</f>
        <v>16606.920000000002</v>
      </c>
      <c r="AI9" s="42">
        <f t="shared" si="2"/>
        <v>0</v>
      </c>
      <c r="AJ9" s="42">
        <f t="shared" si="3"/>
        <v>76</v>
      </c>
      <c r="AK9" s="42">
        <f t="shared" si="4"/>
        <v>6</v>
      </c>
      <c r="AL9" s="42">
        <f t="shared" si="5"/>
        <v>40.5</v>
      </c>
      <c r="AM9" s="42">
        <f t="shared" si="6"/>
        <v>18</v>
      </c>
      <c r="AN9" s="42">
        <f t="shared" si="7"/>
        <v>16</v>
      </c>
      <c r="AO9" s="42">
        <f t="shared" si="8"/>
        <v>16</v>
      </c>
      <c r="AP9" s="195">
        <f t="shared" si="9"/>
        <v>172.5</v>
      </c>
      <c r="AR9" s="98"/>
      <c r="AS9" s="98"/>
    </row>
    <row r="10" spans="1:45" x14ac:dyDescent="0.25">
      <c r="A10" t="s">
        <v>164</v>
      </c>
      <c r="B10" s="18" t="s">
        <v>183</v>
      </c>
      <c r="C10" s="6" t="s">
        <v>159</v>
      </c>
      <c r="D10" s="6" t="s">
        <v>311</v>
      </c>
      <c r="E10" s="6">
        <f>PLANTILLA!E12</f>
        <v>30</v>
      </c>
      <c r="F10" s="20">
        <f ca="1">PLANTILLA!F12</f>
        <v>45</v>
      </c>
      <c r="G10" s="89">
        <f>PLANTILLA!X12</f>
        <v>0</v>
      </c>
      <c r="H10" s="89">
        <f>PLANTILLA!Y12</f>
        <v>13.333333333333334</v>
      </c>
      <c r="I10" s="89">
        <f>PLANTILLA!Z12</f>
        <v>4.7083333333333339</v>
      </c>
      <c r="J10" s="89">
        <f>PLANTILLA!AA12</f>
        <v>14</v>
      </c>
      <c r="K10" s="89">
        <f>PLANTILLA!AB12</f>
        <v>10</v>
      </c>
      <c r="L10" s="89">
        <f>PLANTILLA!AC12</f>
        <v>7.25</v>
      </c>
      <c r="M10" s="89">
        <f>PLANTILLA!AD12</f>
        <v>17.166666666666668</v>
      </c>
      <c r="N10" s="37">
        <f>PLANTILLA!V12</f>
        <v>17790</v>
      </c>
      <c r="O10" s="42">
        <v>0</v>
      </c>
      <c r="P10" s="42">
        <v>62</v>
      </c>
      <c r="Q10" s="42">
        <v>3.5</v>
      </c>
      <c r="R10" s="29">
        <v>42</v>
      </c>
      <c r="S10" s="42">
        <v>24</v>
      </c>
      <c r="T10" s="42">
        <v>17</v>
      </c>
      <c r="U10" s="42">
        <v>17</v>
      </c>
      <c r="V10" s="195">
        <f t="shared" si="0"/>
        <v>165.5</v>
      </c>
      <c r="X10" t="s">
        <v>164</v>
      </c>
      <c r="Y10" s="6">
        <f>E10</f>
        <v>30</v>
      </c>
      <c r="Z10" s="6">
        <f ca="1">F10+(7*$AR$8)</f>
        <v>45</v>
      </c>
      <c r="AA10" s="55">
        <f t="shared" si="1"/>
        <v>0</v>
      </c>
      <c r="AB10" s="55">
        <v>12</v>
      </c>
      <c r="AC10" s="55">
        <f t="shared" si="10"/>
        <v>4.7083333333333339</v>
      </c>
      <c r="AD10" s="55">
        <v>11.9</v>
      </c>
      <c r="AE10" s="55">
        <f t="shared" si="11"/>
        <v>10</v>
      </c>
      <c r="AF10" s="55">
        <f t="shared" si="12"/>
        <v>7.25</v>
      </c>
      <c r="AG10" s="55">
        <f t="shared" si="13"/>
        <v>17.166666666666668</v>
      </c>
      <c r="AH10" s="37">
        <f>(12930+2985+125+125+245)*1.012</f>
        <v>16606.920000000002</v>
      </c>
      <c r="AI10" s="42">
        <f t="shared" si="2"/>
        <v>0</v>
      </c>
      <c r="AJ10" s="42">
        <f t="shared" si="3"/>
        <v>62</v>
      </c>
      <c r="AK10" s="42">
        <f t="shared" si="4"/>
        <v>3.5</v>
      </c>
      <c r="AL10" s="29">
        <f t="shared" si="5"/>
        <v>42</v>
      </c>
      <c r="AM10" s="42">
        <f t="shared" si="6"/>
        <v>24</v>
      </c>
      <c r="AN10" s="42">
        <f t="shared" si="7"/>
        <v>17</v>
      </c>
      <c r="AO10" s="42">
        <f t="shared" si="8"/>
        <v>17</v>
      </c>
      <c r="AP10" s="195">
        <f t="shared" si="9"/>
        <v>165.5</v>
      </c>
      <c r="AR10" s="98"/>
      <c r="AS10" s="98"/>
    </row>
    <row r="11" spans="1:45" x14ac:dyDescent="0.25">
      <c r="A11" t="s">
        <v>157</v>
      </c>
      <c r="B11" s="18" t="s">
        <v>312</v>
      </c>
      <c r="C11" s="6" t="s">
        <v>162</v>
      </c>
      <c r="D11" s="6" t="s">
        <v>313</v>
      </c>
      <c r="E11" s="6" t="e">
        <f>PLANTILLA!#REF!</f>
        <v>#REF!</v>
      </c>
      <c r="F11" s="20" t="e">
        <f>PLANTILLA!#REF!</f>
        <v>#REF!</v>
      </c>
      <c r="G11" s="89" t="e">
        <f>PLANTILLA!#REF!</f>
        <v>#REF!</v>
      </c>
      <c r="H11" s="89" t="e">
        <f>PLANTILLA!#REF!</f>
        <v>#REF!</v>
      </c>
      <c r="I11" s="89" t="e">
        <f>PLANTILLA!#REF!</f>
        <v>#REF!</v>
      </c>
      <c r="J11" s="89" t="e">
        <f>PLANTILLA!#REF!</f>
        <v>#REF!</v>
      </c>
      <c r="K11" s="89" t="e">
        <f>PLANTILLA!#REF!</f>
        <v>#REF!</v>
      </c>
      <c r="L11" s="89" t="e">
        <f>PLANTILLA!#REF!</f>
        <v>#REF!</v>
      </c>
      <c r="M11" s="89" t="e">
        <f>PLANTILLA!#REF!</f>
        <v>#REF!</v>
      </c>
      <c r="N11" s="37" t="e">
        <f>PLANTILLA!#REF!</f>
        <v>#REF!</v>
      </c>
      <c r="O11" s="42">
        <v>0</v>
      </c>
      <c r="P11" s="42">
        <v>62.5</v>
      </c>
      <c r="Q11" s="42">
        <v>27</v>
      </c>
      <c r="R11" s="42">
        <v>3.5</v>
      </c>
      <c r="S11" s="42">
        <v>23</v>
      </c>
      <c r="T11" s="42">
        <v>5</v>
      </c>
      <c r="U11" s="42">
        <v>38</v>
      </c>
      <c r="V11" s="195">
        <f t="shared" si="0"/>
        <v>159</v>
      </c>
      <c r="X11" t="s">
        <v>157</v>
      </c>
      <c r="Y11" s="6" t="e">
        <f>E11</f>
        <v>#REF!</v>
      </c>
      <c r="Z11" s="6" t="e">
        <f>F11+(7*$AR$8)</f>
        <v>#REF!</v>
      </c>
      <c r="AA11" s="55" t="e">
        <f t="shared" si="1"/>
        <v>#REF!</v>
      </c>
      <c r="AB11" s="55" t="e">
        <f>H11+2/10</f>
        <v>#REF!</v>
      </c>
      <c r="AC11" s="55" t="e">
        <f t="shared" si="10"/>
        <v>#REF!</v>
      </c>
      <c r="AD11" s="55" t="e">
        <f>J11</f>
        <v>#REF!</v>
      </c>
      <c r="AE11" s="55" t="e">
        <f t="shared" si="11"/>
        <v>#REF!</v>
      </c>
      <c r="AF11" s="55" t="e">
        <f t="shared" si="12"/>
        <v>#REF!</v>
      </c>
      <c r="AG11" s="55" t="e">
        <f t="shared" si="13"/>
        <v>#REF!</v>
      </c>
      <c r="AH11" s="37" t="e">
        <f>N11</f>
        <v>#REF!</v>
      </c>
      <c r="AI11" s="42">
        <f t="shared" si="2"/>
        <v>0</v>
      </c>
      <c r="AJ11" s="42">
        <f t="shared" si="3"/>
        <v>62.5</v>
      </c>
      <c r="AK11" s="42">
        <f t="shared" si="4"/>
        <v>27</v>
      </c>
      <c r="AL11" s="42">
        <f t="shared" si="5"/>
        <v>3.5</v>
      </c>
      <c r="AM11" s="42">
        <f t="shared" si="6"/>
        <v>23</v>
      </c>
      <c r="AN11" s="42">
        <f t="shared" si="7"/>
        <v>5</v>
      </c>
      <c r="AO11" s="42">
        <f t="shared" si="8"/>
        <v>38</v>
      </c>
      <c r="AP11" s="195">
        <f t="shared" si="9"/>
        <v>159</v>
      </c>
    </row>
    <row r="12" spans="1:45" x14ac:dyDescent="0.25">
      <c r="A12" t="s">
        <v>314</v>
      </c>
      <c r="B12" s="18" t="s">
        <v>312</v>
      </c>
      <c r="C12" s="6"/>
      <c r="D12" s="6"/>
      <c r="E12" s="6"/>
      <c r="F12" s="6"/>
      <c r="G12" s="89">
        <v>0</v>
      </c>
      <c r="H12" s="63">
        <v>2</v>
      </c>
      <c r="I12" s="89">
        <v>2</v>
      </c>
      <c r="J12" s="63">
        <v>2</v>
      </c>
      <c r="K12" s="89">
        <v>2</v>
      </c>
      <c r="L12" s="63">
        <v>2</v>
      </c>
      <c r="M12" s="89">
        <v>2</v>
      </c>
      <c r="N12" s="37"/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195">
        <f t="shared" si="0"/>
        <v>0</v>
      </c>
      <c r="X12" t="s">
        <v>314</v>
      </c>
      <c r="Y12" s="6"/>
      <c r="Z12" s="6"/>
      <c r="AA12" s="55">
        <f t="shared" si="1"/>
        <v>0</v>
      </c>
      <c r="AB12" s="55">
        <f>H12</f>
        <v>2</v>
      </c>
      <c r="AC12" s="55">
        <f t="shared" si="10"/>
        <v>2</v>
      </c>
      <c r="AD12" s="55">
        <f>J12</f>
        <v>2</v>
      </c>
      <c r="AE12" s="55">
        <f t="shared" si="11"/>
        <v>2</v>
      </c>
      <c r="AF12" s="55">
        <f t="shared" si="12"/>
        <v>2</v>
      </c>
      <c r="AG12" s="55">
        <f t="shared" si="13"/>
        <v>2</v>
      </c>
      <c r="AH12" s="37"/>
      <c r="AI12" s="42">
        <f t="shared" si="2"/>
        <v>0</v>
      </c>
      <c r="AJ12" s="42">
        <v>0</v>
      </c>
      <c r="AK12" s="42">
        <f t="shared" si="4"/>
        <v>0</v>
      </c>
      <c r="AL12" s="42">
        <f t="shared" si="5"/>
        <v>0</v>
      </c>
      <c r="AM12" s="42">
        <f t="shared" si="6"/>
        <v>0</v>
      </c>
      <c r="AN12" s="42">
        <f t="shared" si="7"/>
        <v>0</v>
      </c>
      <c r="AO12" s="42">
        <f t="shared" si="8"/>
        <v>0</v>
      </c>
      <c r="AP12" s="195">
        <f t="shared" si="9"/>
        <v>0</v>
      </c>
    </row>
    <row r="13" spans="1:45" x14ac:dyDescent="0.25">
      <c r="A13" t="s">
        <v>165</v>
      </c>
      <c r="B13" s="18" t="s">
        <v>315</v>
      </c>
      <c r="C13" s="6" t="s">
        <v>162</v>
      </c>
      <c r="D13" s="6" t="s">
        <v>316</v>
      </c>
      <c r="E13" s="6">
        <f>PLANTILLA!E13</f>
        <v>30</v>
      </c>
      <c r="F13" s="20">
        <f ca="1">PLANTILLA!F13</f>
        <v>41</v>
      </c>
      <c r="G13" s="89">
        <f>PLANTILLA!X13</f>
        <v>0</v>
      </c>
      <c r="H13" s="89">
        <f>PLANTILLA!Y13</f>
        <v>12.666666666666666</v>
      </c>
      <c r="I13" s="89">
        <f>PLANTILLA!Z13</f>
        <v>6.6</v>
      </c>
      <c r="J13" s="89">
        <f>PLANTILLA!AA13</f>
        <v>16</v>
      </c>
      <c r="K13" s="89">
        <f>PLANTILLA!AB13</f>
        <v>10</v>
      </c>
      <c r="L13" s="89">
        <f>PLANTILLA!AC13</f>
        <v>7.8</v>
      </c>
      <c r="M13" s="89">
        <f>PLANTILLA!AD13</f>
        <v>18</v>
      </c>
      <c r="N13" s="37">
        <f>PLANTILLA!V13</f>
        <v>26810</v>
      </c>
      <c r="O13" s="42">
        <v>0</v>
      </c>
      <c r="P13" s="42">
        <v>52</v>
      </c>
      <c r="Q13" s="42">
        <v>11</v>
      </c>
      <c r="R13" s="42">
        <v>55</v>
      </c>
      <c r="S13" s="42">
        <v>23</v>
      </c>
      <c r="T13" s="42">
        <v>20</v>
      </c>
      <c r="U13" s="42">
        <v>18</v>
      </c>
      <c r="V13" s="195">
        <f t="shared" si="0"/>
        <v>179</v>
      </c>
      <c r="X13" t="s">
        <v>165</v>
      </c>
      <c r="Y13" s="6">
        <f>E13</f>
        <v>30</v>
      </c>
      <c r="Z13" s="6">
        <f ca="1">F13+(7*$AR$8)</f>
        <v>41</v>
      </c>
      <c r="AA13" s="55">
        <f t="shared" si="1"/>
        <v>0</v>
      </c>
      <c r="AB13" s="55">
        <f>10+6/9</f>
        <v>10.666666666666666</v>
      </c>
      <c r="AC13" s="55">
        <f t="shared" si="10"/>
        <v>6.6</v>
      </c>
      <c r="AD13" s="55">
        <v>14</v>
      </c>
      <c r="AE13" s="55">
        <f t="shared" si="11"/>
        <v>10</v>
      </c>
      <c r="AF13" s="55">
        <f t="shared" si="12"/>
        <v>7.8</v>
      </c>
      <c r="AG13" s="55">
        <f t="shared" si="13"/>
        <v>18</v>
      </c>
      <c r="AH13" s="37">
        <f>(11610+300+145+150+1200)*1.016</f>
        <v>13619.48</v>
      </c>
      <c r="AI13" s="42">
        <f t="shared" si="2"/>
        <v>0</v>
      </c>
      <c r="AJ13" s="42">
        <f>P13+$AR$8</f>
        <v>52</v>
      </c>
      <c r="AK13" s="42">
        <f t="shared" si="4"/>
        <v>11</v>
      </c>
      <c r="AL13" s="42">
        <f t="shared" si="5"/>
        <v>55</v>
      </c>
      <c r="AM13" s="42">
        <f t="shared" si="6"/>
        <v>23</v>
      </c>
      <c r="AN13" s="42">
        <f t="shared" si="7"/>
        <v>20</v>
      </c>
      <c r="AO13" s="42">
        <f t="shared" si="8"/>
        <v>18</v>
      </c>
      <c r="AP13" s="195">
        <f t="shared" si="9"/>
        <v>179</v>
      </c>
    </row>
    <row r="14" spans="1:45" x14ac:dyDescent="0.25">
      <c r="A14" t="s">
        <v>317</v>
      </c>
      <c r="B14" s="18" t="s">
        <v>315</v>
      </c>
      <c r="C14" s="6" t="s">
        <v>162</v>
      </c>
      <c r="D14" s="6" t="s">
        <v>318</v>
      </c>
      <c r="E14" s="6">
        <f>PLANTILLA!E11</f>
        <v>30</v>
      </c>
      <c r="F14" s="20">
        <f ca="1">PLANTILLA!F11</f>
        <v>6</v>
      </c>
      <c r="G14" s="89">
        <f>PLANTILLA!X11</f>
        <v>0</v>
      </c>
      <c r="H14" s="89">
        <f>PLANTILLA!Y11</f>
        <v>14</v>
      </c>
      <c r="I14" s="89">
        <f>PLANTILLA!Z11</f>
        <v>5</v>
      </c>
      <c r="J14" s="89">
        <f>PLANTILLA!AA11</f>
        <v>15.111111111111111</v>
      </c>
      <c r="K14" s="89">
        <f>PLANTILLA!AB11</f>
        <v>10</v>
      </c>
      <c r="L14" s="89">
        <f>PLANTILLA!AC11</f>
        <v>7</v>
      </c>
      <c r="M14" s="89">
        <f>PLANTILLA!AD11</f>
        <v>17</v>
      </c>
      <c r="N14" s="37">
        <f>PLANTILLA!V11</f>
        <v>24350</v>
      </c>
      <c r="O14" s="42">
        <v>0</v>
      </c>
      <c r="P14" s="42">
        <v>68</v>
      </c>
      <c r="Q14" s="42">
        <v>3.5</v>
      </c>
      <c r="R14" s="42">
        <v>46.5</v>
      </c>
      <c r="S14" s="42">
        <v>26</v>
      </c>
      <c r="T14" s="42">
        <v>16</v>
      </c>
      <c r="U14" s="42">
        <v>17</v>
      </c>
      <c r="V14" s="195">
        <f t="shared" si="0"/>
        <v>177</v>
      </c>
      <c r="X14" t="s">
        <v>317</v>
      </c>
      <c r="Y14" s="6">
        <f>E14+1</f>
        <v>31</v>
      </c>
      <c r="Z14" s="6">
        <f ca="1">F14+(7*$AR$8)-112</f>
        <v>-106</v>
      </c>
      <c r="AA14" s="55">
        <f t="shared" si="1"/>
        <v>0</v>
      </c>
      <c r="AB14" s="55">
        <f>12+2/11</f>
        <v>12.181818181818182</v>
      </c>
      <c r="AC14" s="55">
        <f t="shared" si="10"/>
        <v>5</v>
      </c>
      <c r="AD14" s="55">
        <f>12+5/6</f>
        <v>12.833333333333334</v>
      </c>
      <c r="AE14" s="55">
        <f t="shared" si="11"/>
        <v>10</v>
      </c>
      <c r="AF14" s="55">
        <f t="shared" si="12"/>
        <v>7</v>
      </c>
      <c r="AG14" s="55">
        <f t="shared" si="13"/>
        <v>17</v>
      </c>
      <c r="AH14" s="37">
        <f>(7000+165+125+245+3505)*1.012</f>
        <v>11172.48</v>
      </c>
      <c r="AI14" s="42">
        <f t="shared" si="2"/>
        <v>0</v>
      </c>
      <c r="AJ14" s="42">
        <f>P14+$AR$8</f>
        <v>68</v>
      </c>
      <c r="AK14" s="42">
        <f t="shared" si="4"/>
        <v>3.5</v>
      </c>
      <c r="AL14" s="42">
        <f t="shared" si="5"/>
        <v>46.5</v>
      </c>
      <c r="AM14" s="42">
        <f t="shared" si="6"/>
        <v>26</v>
      </c>
      <c r="AN14" s="42">
        <f t="shared" si="7"/>
        <v>16</v>
      </c>
      <c r="AO14" s="42">
        <f t="shared" si="8"/>
        <v>17</v>
      </c>
      <c r="AP14" s="195">
        <f t="shared" si="9"/>
        <v>177</v>
      </c>
    </row>
    <row r="15" spans="1:45" x14ac:dyDescent="0.25">
      <c r="A15" t="s">
        <v>153</v>
      </c>
      <c r="B15" s="18" t="s">
        <v>315</v>
      </c>
      <c r="C15" s="6" t="s">
        <v>159</v>
      </c>
      <c r="D15" s="6" t="s">
        <v>319</v>
      </c>
      <c r="E15" s="6">
        <f>PLANTILLA!E14</f>
        <v>30</v>
      </c>
      <c r="F15" s="20">
        <f ca="1">PLANTILLA!F14</f>
        <v>41</v>
      </c>
      <c r="G15" s="89">
        <f>PLANTILLA!X14</f>
        <v>0</v>
      </c>
      <c r="H15" s="89">
        <f>PLANTILLA!Y14</f>
        <v>13</v>
      </c>
      <c r="I15" s="89">
        <f>PLANTILLA!Z14</f>
        <v>6.4</v>
      </c>
      <c r="J15" s="89">
        <f>PLANTILLA!AA14</f>
        <v>15</v>
      </c>
      <c r="K15" s="89">
        <f>PLANTILLA!AB14</f>
        <v>9</v>
      </c>
      <c r="L15" s="89">
        <f>PLANTILLA!AC14</f>
        <v>7.95</v>
      </c>
      <c r="M15" s="89">
        <f>PLANTILLA!AD14</f>
        <v>17</v>
      </c>
      <c r="N15" s="37">
        <f>PLANTILLA!V14</f>
        <v>20740</v>
      </c>
      <c r="O15" s="42">
        <v>0</v>
      </c>
      <c r="P15" s="42">
        <v>55</v>
      </c>
      <c r="Q15" s="42">
        <v>10</v>
      </c>
      <c r="R15" s="42">
        <v>46.5</v>
      </c>
      <c r="S15" s="42">
        <v>20</v>
      </c>
      <c r="T15" s="42">
        <v>21</v>
      </c>
      <c r="U15" s="42">
        <v>16</v>
      </c>
      <c r="V15" s="195">
        <f t="shared" si="0"/>
        <v>168.5</v>
      </c>
      <c r="X15" t="s">
        <v>153</v>
      </c>
      <c r="Y15" s="6">
        <f>E15</f>
        <v>30</v>
      </c>
      <c r="Z15" s="6">
        <f ca="1">F15+(7*$AR$8)</f>
        <v>41</v>
      </c>
      <c r="AA15" s="55">
        <f t="shared" si="1"/>
        <v>0</v>
      </c>
      <c r="AB15" s="55">
        <f>11+1/10</f>
        <v>11.1</v>
      </c>
      <c r="AC15" s="55">
        <f t="shared" si="10"/>
        <v>6.4</v>
      </c>
      <c r="AD15" s="55">
        <f>13+2/6</f>
        <v>13.333333333333334</v>
      </c>
      <c r="AE15" s="55">
        <f t="shared" si="11"/>
        <v>9</v>
      </c>
      <c r="AF15" s="55">
        <f t="shared" si="12"/>
        <v>7.95</v>
      </c>
      <c r="AG15" s="55">
        <f t="shared" si="13"/>
        <v>17</v>
      </c>
      <c r="AH15" s="37">
        <f>(9000+135+135+350+3900)*1.012</f>
        <v>13682.24</v>
      </c>
      <c r="AI15" s="42">
        <f t="shared" si="2"/>
        <v>0</v>
      </c>
      <c r="AJ15" s="42">
        <f>P15+$AR$8</f>
        <v>55</v>
      </c>
      <c r="AK15" s="42">
        <f t="shared" si="4"/>
        <v>10</v>
      </c>
      <c r="AL15" s="42">
        <f t="shared" si="5"/>
        <v>46.5</v>
      </c>
      <c r="AM15" s="42">
        <f t="shared" si="6"/>
        <v>20</v>
      </c>
      <c r="AN15" s="42">
        <f t="shared" si="7"/>
        <v>21</v>
      </c>
      <c r="AO15" s="42">
        <f t="shared" si="8"/>
        <v>16</v>
      </c>
      <c r="AP15" s="195">
        <f t="shared" si="9"/>
        <v>168.5</v>
      </c>
    </row>
    <row r="16" spans="1:45" x14ac:dyDescent="0.25">
      <c r="N16" s="77" t="e">
        <f>SUM(N18:N30)</f>
        <v>#REF!</v>
      </c>
      <c r="AH16" s="77">
        <f>SUM(AH18:AH30)</f>
        <v>236304.655</v>
      </c>
    </row>
    <row r="17" spans="1:45" x14ac:dyDescent="0.25">
      <c r="A17" s="13" t="s">
        <v>290</v>
      </c>
      <c r="B17" s="13" t="s">
        <v>105</v>
      </c>
      <c r="C17" s="13" t="s">
        <v>291</v>
      </c>
      <c r="D17" s="13" t="str">
        <f>D2</f>
        <v>Nombre</v>
      </c>
      <c r="E17" s="13" t="str">
        <f>E2</f>
        <v>Año</v>
      </c>
      <c r="F17" s="13" t="str">
        <f>F2</f>
        <v>Dia</v>
      </c>
      <c r="G17" s="13" t="s">
        <v>127</v>
      </c>
      <c r="H17" s="13" t="s">
        <v>128</v>
      </c>
      <c r="I17" s="13" t="s">
        <v>129</v>
      </c>
      <c r="J17" s="13" t="s">
        <v>130</v>
      </c>
      <c r="K17" s="13" t="s">
        <v>131</v>
      </c>
      <c r="L17" s="13" t="s">
        <v>132</v>
      </c>
      <c r="M17" s="13" t="s">
        <v>110</v>
      </c>
      <c r="N17" s="13" t="s">
        <v>294</v>
      </c>
      <c r="O17" s="13" t="s">
        <v>295</v>
      </c>
      <c r="P17" s="13" t="s">
        <v>296</v>
      </c>
      <c r="Q17" s="13" t="s">
        <v>297</v>
      </c>
      <c r="R17" s="13" t="s">
        <v>298</v>
      </c>
      <c r="S17" s="13" t="s">
        <v>299</v>
      </c>
      <c r="T17" s="13" t="s">
        <v>300</v>
      </c>
      <c r="U17" s="13" t="s">
        <v>301</v>
      </c>
      <c r="V17" s="13" t="s">
        <v>302</v>
      </c>
      <c r="X17" s="13" t="s">
        <v>290</v>
      </c>
      <c r="Y17" s="13" t="str">
        <f>Y2</f>
        <v>Año</v>
      </c>
      <c r="Z17" s="13" t="str">
        <f>Z2</f>
        <v>Dia</v>
      </c>
      <c r="AA17" s="13" t="s">
        <v>127</v>
      </c>
      <c r="AB17" s="13" t="s">
        <v>128</v>
      </c>
      <c r="AC17" s="13" t="s">
        <v>129</v>
      </c>
      <c r="AD17" s="13" t="s">
        <v>130</v>
      </c>
      <c r="AE17" s="13" t="s">
        <v>131</v>
      </c>
      <c r="AF17" s="13" t="s">
        <v>132</v>
      </c>
      <c r="AG17" s="13" t="s">
        <v>110</v>
      </c>
      <c r="AH17" s="13" t="s">
        <v>294</v>
      </c>
      <c r="AI17" s="13" t="s">
        <v>295</v>
      </c>
      <c r="AJ17" s="13" t="s">
        <v>296</v>
      </c>
      <c r="AK17" s="13" t="s">
        <v>297</v>
      </c>
      <c r="AL17" s="13" t="s">
        <v>298</v>
      </c>
      <c r="AM17" s="13" t="s">
        <v>299</v>
      </c>
      <c r="AN17" s="13" t="s">
        <v>300</v>
      </c>
      <c r="AO17" s="13" t="s">
        <v>301</v>
      </c>
      <c r="AP17" s="13" t="s">
        <v>302</v>
      </c>
    </row>
    <row r="18" spans="1:45" x14ac:dyDescent="0.25">
      <c r="A18" t="s">
        <v>148</v>
      </c>
      <c r="B18" s="18" t="s">
        <v>149</v>
      </c>
      <c r="C18" s="6"/>
      <c r="D18" s="6" t="str">
        <f>D3</f>
        <v>C. Fonteboa</v>
      </c>
      <c r="E18" s="6">
        <f t="shared" ref="E18:E26" si="14">Y3</f>
        <v>30</v>
      </c>
      <c r="F18" s="6">
        <f t="shared" ref="F18:F26" ca="1" si="15">Z3</f>
        <v>52</v>
      </c>
      <c r="G18" s="55">
        <f t="shared" ref="G18:G26" si="16">AA3</f>
        <v>15</v>
      </c>
      <c r="H18" s="55">
        <f t="shared" ref="H18:H26" si="17">AB3</f>
        <v>11.6</v>
      </c>
      <c r="I18" s="55">
        <f t="shared" ref="I18:I26" si="18">AC3</f>
        <v>0</v>
      </c>
      <c r="J18" s="55">
        <f t="shared" ref="J18:J26" si="19">AD3</f>
        <v>2</v>
      </c>
      <c r="K18" s="55">
        <f t="shared" ref="K18:K26" si="20">AE3</f>
        <v>1</v>
      </c>
      <c r="L18" s="55">
        <f t="shared" ref="L18:L26" si="21">AF3</f>
        <v>1</v>
      </c>
      <c r="M18" s="55">
        <f t="shared" ref="M18:M26" si="22">AG3</f>
        <v>18</v>
      </c>
      <c r="N18" s="37">
        <f t="shared" ref="N18:N26" si="23">AH3</f>
        <v>26782.560000000001</v>
      </c>
      <c r="O18" s="42">
        <f t="shared" ref="O18:O26" si="24">AI3</f>
        <v>51.5</v>
      </c>
      <c r="P18" s="42">
        <f t="shared" ref="P18:P26" si="25">AJ3</f>
        <v>62</v>
      </c>
      <c r="Q18" s="42">
        <f t="shared" ref="Q18:Q26" si="26">AK3</f>
        <v>0</v>
      </c>
      <c r="R18" s="42">
        <f t="shared" ref="R18:R26" si="27">AL3</f>
        <v>0</v>
      </c>
      <c r="S18" s="42">
        <f t="shared" ref="S18:S26" si="28">AM3</f>
        <v>0</v>
      </c>
      <c r="T18" s="42">
        <f t="shared" ref="T18:T26" si="29">AN3</f>
        <v>0</v>
      </c>
      <c r="U18" s="42">
        <f t="shared" ref="U18:U26" si="30">AO3</f>
        <v>18</v>
      </c>
      <c r="V18" s="195">
        <f t="shared" ref="V18:V30" si="31">SUM(O18:U18)</f>
        <v>131.5</v>
      </c>
      <c r="X18" t="s">
        <v>148</v>
      </c>
      <c r="Y18" s="6">
        <f>E18+2</f>
        <v>32</v>
      </c>
      <c r="Z18" s="6">
        <f ca="1">F18+(($AR$22+$AR$23)*7)-112-112</f>
        <v>31</v>
      </c>
      <c r="AA18" s="55">
        <f t="shared" ref="AA18:AF18" si="32">G18</f>
        <v>15</v>
      </c>
      <c r="AB18" s="55">
        <f t="shared" si="32"/>
        <v>11.6</v>
      </c>
      <c r="AC18" s="55">
        <f t="shared" si="32"/>
        <v>0</v>
      </c>
      <c r="AD18" s="55">
        <f t="shared" si="32"/>
        <v>2</v>
      </c>
      <c r="AE18" s="55">
        <f t="shared" si="32"/>
        <v>1</v>
      </c>
      <c r="AF18" s="55">
        <f t="shared" si="32"/>
        <v>1</v>
      </c>
      <c r="AG18" s="55">
        <v>13.5</v>
      </c>
      <c r="AH18" s="37">
        <f>(24270+2300)*1.038</f>
        <v>27579.66</v>
      </c>
      <c r="AI18" s="42">
        <f t="shared" ref="AI18:AN18" si="33">O18</f>
        <v>51.5</v>
      </c>
      <c r="AJ18" s="42">
        <f t="shared" si="33"/>
        <v>62</v>
      </c>
      <c r="AK18" s="42">
        <f t="shared" si="33"/>
        <v>0</v>
      </c>
      <c r="AL18" s="42">
        <f t="shared" si="33"/>
        <v>0</v>
      </c>
      <c r="AM18" s="42">
        <f t="shared" si="33"/>
        <v>0</v>
      </c>
      <c r="AN18" s="42">
        <f t="shared" si="33"/>
        <v>0</v>
      </c>
      <c r="AO18" s="42">
        <f t="shared" ref="AO18:AO25" si="34">U18+$AR$23</f>
        <v>33</v>
      </c>
      <c r="AP18" s="195">
        <f t="shared" ref="AP18:AP30" si="35">SUM(AI18:AO18)</f>
        <v>146.5</v>
      </c>
    </row>
    <row r="19" spans="1:45" x14ac:dyDescent="0.25">
      <c r="A19" t="s">
        <v>151</v>
      </c>
      <c r="B19" s="18" t="s">
        <v>183</v>
      </c>
      <c r="C19" s="6"/>
      <c r="D19" s="6" t="str">
        <f>D4</f>
        <v>M. Fernandez</v>
      </c>
      <c r="E19" s="6" t="e">
        <f t="shared" si="14"/>
        <v>#REF!</v>
      </c>
      <c r="F19" s="6" t="e">
        <f t="shared" si="15"/>
        <v>#REF!</v>
      </c>
      <c r="G19" s="55" t="e">
        <f t="shared" si="16"/>
        <v>#REF!</v>
      </c>
      <c r="H19" s="55">
        <f t="shared" si="17"/>
        <v>15.166666666666666</v>
      </c>
      <c r="I19" s="55" t="e">
        <f t="shared" si="18"/>
        <v>#REF!</v>
      </c>
      <c r="J19" s="55">
        <f t="shared" si="19"/>
        <v>5.2</v>
      </c>
      <c r="K19" s="55" t="e">
        <f t="shared" si="20"/>
        <v>#REF!</v>
      </c>
      <c r="L19" s="55" t="e">
        <f t="shared" si="21"/>
        <v>#REF!</v>
      </c>
      <c r="M19" s="55" t="e">
        <f t="shared" si="22"/>
        <v>#REF!</v>
      </c>
      <c r="N19" s="37">
        <f t="shared" si="23"/>
        <v>28513.599999999999</v>
      </c>
      <c r="O19" s="42">
        <f t="shared" si="24"/>
        <v>0</v>
      </c>
      <c r="P19" s="42">
        <f t="shared" si="25"/>
        <v>104.3</v>
      </c>
      <c r="Q19" s="42">
        <f t="shared" si="26"/>
        <v>12</v>
      </c>
      <c r="R19" s="42">
        <f t="shared" si="27"/>
        <v>11</v>
      </c>
      <c r="S19" s="42">
        <f t="shared" si="28"/>
        <v>23</v>
      </c>
      <c r="T19" s="42">
        <f t="shared" si="29"/>
        <v>0</v>
      </c>
      <c r="U19" s="42">
        <f t="shared" si="30"/>
        <v>15</v>
      </c>
      <c r="V19" s="195">
        <f t="shared" si="31"/>
        <v>165.3</v>
      </c>
      <c r="X19" t="s">
        <v>151</v>
      </c>
      <c r="Y19" s="6" t="e">
        <f>E19+2</f>
        <v>#REF!</v>
      </c>
      <c r="Z19" s="6" t="e">
        <f>F19+(($AR$22+$AR$23)*7)-112-112</f>
        <v>#REF!</v>
      </c>
      <c r="AA19" s="55" t="e">
        <f t="shared" ref="AA19:AA30" si="36">G19</f>
        <v>#REF!</v>
      </c>
      <c r="AB19" s="55">
        <f t="shared" ref="AB19:AB30" si="37">H19</f>
        <v>15.166666666666666</v>
      </c>
      <c r="AC19" s="55" t="e">
        <f t="shared" ref="AC19:AC30" si="38">I19</f>
        <v>#REF!</v>
      </c>
      <c r="AD19" s="55">
        <f t="shared" ref="AD19:AD30" si="39">J19</f>
        <v>5.2</v>
      </c>
      <c r="AE19" s="55">
        <f>8+3/5</f>
        <v>8.6</v>
      </c>
      <c r="AF19" s="55" t="e">
        <f t="shared" ref="AF19:AF30" si="40">L19</f>
        <v>#REF!</v>
      </c>
      <c r="AG19" s="55">
        <v>13.5</v>
      </c>
      <c r="AH19" s="37">
        <f>(28000+135+140+135)*1.038</f>
        <v>29489.58</v>
      </c>
      <c r="AI19" s="42">
        <f t="shared" ref="AI19:AI30" si="41">O19</f>
        <v>0</v>
      </c>
      <c r="AJ19" s="42">
        <f t="shared" ref="AJ19:AJ30" si="42">P19</f>
        <v>104.3</v>
      </c>
      <c r="AK19" s="42">
        <f t="shared" ref="AK19:AK30" si="43">Q19</f>
        <v>12</v>
      </c>
      <c r="AL19" s="42">
        <f t="shared" ref="AL19:AL30" si="44">R19</f>
        <v>11</v>
      </c>
      <c r="AM19" s="42">
        <f t="shared" ref="AM19:AM30" si="45">S19+$AR$22</f>
        <v>37</v>
      </c>
      <c r="AN19" s="42">
        <f t="shared" ref="AN19:AN30" si="46">T19</f>
        <v>0</v>
      </c>
      <c r="AO19" s="42">
        <f t="shared" si="34"/>
        <v>30</v>
      </c>
      <c r="AP19" s="195">
        <f t="shared" si="35"/>
        <v>194.3</v>
      </c>
    </row>
    <row r="20" spans="1:45" x14ac:dyDescent="0.25">
      <c r="A20" t="s">
        <v>160</v>
      </c>
      <c r="B20" s="18" t="s">
        <v>183</v>
      </c>
      <c r="C20" s="6"/>
      <c r="D20" s="6" t="str">
        <f>D5</f>
        <v>B. Abandero</v>
      </c>
      <c r="E20" s="6">
        <f t="shared" si="14"/>
        <v>30</v>
      </c>
      <c r="F20" s="6">
        <f t="shared" ca="1" si="15"/>
        <v>80</v>
      </c>
      <c r="G20" s="55">
        <f t="shared" si="16"/>
        <v>0</v>
      </c>
      <c r="H20" s="55">
        <f t="shared" si="17"/>
        <v>13.416666666666666</v>
      </c>
      <c r="I20" s="55">
        <f t="shared" si="18"/>
        <v>3.4569444444444448</v>
      </c>
      <c r="J20" s="55">
        <f t="shared" si="19"/>
        <v>7.083333333333333</v>
      </c>
      <c r="K20" s="55">
        <f t="shared" si="20"/>
        <v>12</v>
      </c>
      <c r="L20" s="55">
        <f t="shared" si="21"/>
        <v>3.95</v>
      </c>
      <c r="M20" s="55">
        <f t="shared" si="22"/>
        <v>16.166666666666668</v>
      </c>
      <c r="N20" s="37">
        <f t="shared" si="23"/>
        <v>13492.08</v>
      </c>
      <c r="O20" s="42">
        <f t="shared" si="24"/>
        <v>0</v>
      </c>
      <c r="P20" s="42">
        <f t="shared" si="25"/>
        <v>83</v>
      </c>
      <c r="Q20" s="42">
        <f t="shared" si="26"/>
        <v>3</v>
      </c>
      <c r="R20" s="42">
        <f t="shared" si="27"/>
        <v>15.5</v>
      </c>
      <c r="S20" s="42">
        <f t="shared" si="28"/>
        <v>43</v>
      </c>
      <c r="T20" s="42">
        <f t="shared" si="29"/>
        <v>5</v>
      </c>
      <c r="U20" s="42">
        <f t="shared" si="30"/>
        <v>16</v>
      </c>
      <c r="V20" s="195">
        <f t="shared" si="31"/>
        <v>165.5</v>
      </c>
      <c r="X20" t="s">
        <v>160</v>
      </c>
      <c r="Y20" s="6">
        <f>E20+2</f>
        <v>32</v>
      </c>
      <c r="Z20" s="6">
        <f ca="1">F20+(($AR$22+$AR$23)*7)-112-112</f>
        <v>59</v>
      </c>
      <c r="AA20" s="55">
        <f t="shared" si="36"/>
        <v>0</v>
      </c>
      <c r="AB20" s="55">
        <f t="shared" si="37"/>
        <v>13.416666666666666</v>
      </c>
      <c r="AC20" s="55">
        <f t="shared" si="38"/>
        <v>3.4569444444444448</v>
      </c>
      <c r="AD20" s="55">
        <f t="shared" si="39"/>
        <v>7.083333333333333</v>
      </c>
      <c r="AE20" s="55">
        <v>12</v>
      </c>
      <c r="AF20" s="55">
        <f t="shared" si="40"/>
        <v>3.95</v>
      </c>
      <c r="AG20" s="55">
        <v>13.5</v>
      </c>
      <c r="AH20" s="37">
        <f>(195+13000+515)*1.038</f>
        <v>14230.98</v>
      </c>
      <c r="AI20" s="42">
        <f t="shared" si="41"/>
        <v>0</v>
      </c>
      <c r="AJ20" s="42">
        <f t="shared" si="42"/>
        <v>83</v>
      </c>
      <c r="AK20" s="42">
        <f t="shared" si="43"/>
        <v>3</v>
      </c>
      <c r="AL20" s="42">
        <f t="shared" si="44"/>
        <v>15.5</v>
      </c>
      <c r="AM20" s="42">
        <f t="shared" si="45"/>
        <v>57</v>
      </c>
      <c r="AN20" s="42">
        <f t="shared" si="46"/>
        <v>5</v>
      </c>
      <c r="AO20" s="42">
        <f t="shared" si="34"/>
        <v>31</v>
      </c>
      <c r="AP20" s="195">
        <f t="shared" si="35"/>
        <v>194.5</v>
      </c>
      <c r="AQ20" s="90"/>
    </row>
    <row r="21" spans="1:45" x14ac:dyDescent="0.25">
      <c r="A21" t="s">
        <v>154</v>
      </c>
      <c r="B21" s="18" t="s">
        <v>183</v>
      </c>
      <c r="C21" s="6"/>
      <c r="D21" s="6" t="str">
        <f>D6</f>
        <v>I. R. Figueroa</v>
      </c>
      <c r="E21" s="6">
        <f t="shared" si="14"/>
        <v>30</v>
      </c>
      <c r="F21" s="6">
        <f t="shared" ca="1" si="15"/>
        <v>30</v>
      </c>
      <c r="G21" s="55">
        <f t="shared" si="16"/>
        <v>0</v>
      </c>
      <c r="H21" s="55">
        <f t="shared" si="17"/>
        <v>15.166666666666666</v>
      </c>
      <c r="I21" s="55">
        <f t="shared" si="18"/>
        <v>5.25</v>
      </c>
      <c r="J21" s="55">
        <f t="shared" si="19"/>
        <v>9</v>
      </c>
      <c r="K21" s="55">
        <f t="shared" si="20"/>
        <v>9</v>
      </c>
      <c r="L21" s="55">
        <f t="shared" si="21"/>
        <v>1</v>
      </c>
      <c r="M21" s="55">
        <f t="shared" si="22"/>
        <v>16</v>
      </c>
      <c r="N21" s="37">
        <f t="shared" si="23"/>
        <v>28513.599999999999</v>
      </c>
      <c r="O21" s="42">
        <f t="shared" si="24"/>
        <v>0</v>
      </c>
      <c r="P21" s="42">
        <f t="shared" si="25"/>
        <v>105</v>
      </c>
      <c r="Q21" s="42">
        <f t="shared" si="26"/>
        <v>9</v>
      </c>
      <c r="R21" s="42">
        <f t="shared" si="27"/>
        <v>14.5</v>
      </c>
      <c r="S21" s="42">
        <f t="shared" si="28"/>
        <v>22</v>
      </c>
      <c r="T21" s="42">
        <f t="shared" si="29"/>
        <v>0</v>
      </c>
      <c r="U21" s="42">
        <f t="shared" si="30"/>
        <v>14</v>
      </c>
      <c r="V21" s="195">
        <f t="shared" si="31"/>
        <v>164.5</v>
      </c>
      <c r="X21" t="s">
        <v>154</v>
      </c>
      <c r="Y21" s="6">
        <f>E21+2</f>
        <v>32</v>
      </c>
      <c r="Z21" s="6">
        <f ca="1">F21+(($AR$22+$AR$23)*7)-112-112</f>
        <v>9</v>
      </c>
      <c r="AA21" s="55">
        <f t="shared" si="36"/>
        <v>0</v>
      </c>
      <c r="AB21" s="55">
        <f t="shared" si="37"/>
        <v>15.166666666666666</v>
      </c>
      <c r="AC21" s="55">
        <f t="shared" si="38"/>
        <v>5.25</v>
      </c>
      <c r="AD21" s="55">
        <f t="shared" si="39"/>
        <v>9</v>
      </c>
      <c r="AE21" s="55">
        <f>8+3/5</f>
        <v>8.6</v>
      </c>
      <c r="AF21" s="55">
        <f t="shared" si="40"/>
        <v>1</v>
      </c>
      <c r="AG21" s="55">
        <v>13.5</v>
      </c>
      <c r="AH21" s="37">
        <f>(28000+135+145+135)*1.038</f>
        <v>29494.77</v>
      </c>
      <c r="AI21" s="42">
        <f t="shared" si="41"/>
        <v>0</v>
      </c>
      <c r="AJ21" s="42">
        <f t="shared" si="42"/>
        <v>105</v>
      </c>
      <c r="AK21" s="42">
        <f t="shared" si="43"/>
        <v>9</v>
      </c>
      <c r="AL21" s="42">
        <f t="shared" si="44"/>
        <v>14.5</v>
      </c>
      <c r="AM21" s="42">
        <f t="shared" si="45"/>
        <v>36</v>
      </c>
      <c r="AN21" s="42">
        <f t="shared" si="46"/>
        <v>0</v>
      </c>
      <c r="AO21" s="42">
        <f t="shared" si="34"/>
        <v>29</v>
      </c>
      <c r="AP21" s="195">
        <f t="shared" si="35"/>
        <v>193.5</v>
      </c>
      <c r="AQ21" s="90"/>
      <c r="AR21" s="90" t="s">
        <v>133</v>
      </c>
      <c r="AS21" s="90" t="s">
        <v>308</v>
      </c>
    </row>
    <row r="22" spans="1:45" x14ac:dyDescent="0.25">
      <c r="A22" t="s">
        <v>163</v>
      </c>
      <c r="B22" s="18" t="s">
        <v>183</v>
      </c>
      <c r="C22" s="6"/>
      <c r="D22" s="6" t="str">
        <f>D7</f>
        <v>G. Pedrajas</v>
      </c>
      <c r="E22" s="6">
        <f t="shared" si="14"/>
        <v>30</v>
      </c>
      <c r="F22" s="6">
        <f t="shared" ca="1" si="15"/>
        <v>65</v>
      </c>
      <c r="G22" s="55">
        <f t="shared" si="16"/>
        <v>0</v>
      </c>
      <c r="H22" s="55">
        <f t="shared" si="17"/>
        <v>11.7</v>
      </c>
      <c r="I22" s="55">
        <f t="shared" si="18"/>
        <v>11.666666666666666</v>
      </c>
      <c r="J22" s="55">
        <f t="shared" si="19"/>
        <v>5.25</v>
      </c>
      <c r="K22" s="55">
        <f t="shared" si="20"/>
        <v>11.142857142857142</v>
      </c>
      <c r="L22" s="55">
        <f t="shared" si="21"/>
        <v>4</v>
      </c>
      <c r="M22" s="55">
        <f t="shared" si="22"/>
        <v>16</v>
      </c>
      <c r="N22" s="37">
        <f t="shared" si="23"/>
        <v>9525.6</v>
      </c>
      <c r="O22" s="42">
        <f t="shared" si="24"/>
        <v>0</v>
      </c>
      <c r="P22" s="42">
        <f t="shared" si="25"/>
        <v>60</v>
      </c>
      <c r="Q22" s="42">
        <f t="shared" si="26"/>
        <v>41</v>
      </c>
      <c r="R22" s="42">
        <f t="shared" si="27"/>
        <v>4.5</v>
      </c>
      <c r="S22" s="42">
        <f t="shared" si="28"/>
        <v>36</v>
      </c>
      <c r="T22" s="42">
        <f t="shared" si="29"/>
        <v>5</v>
      </c>
      <c r="U22" s="42">
        <f t="shared" si="30"/>
        <v>15</v>
      </c>
      <c r="V22" s="195">
        <f t="shared" si="31"/>
        <v>161.5</v>
      </c>
      <c r="X22" t="s">
        <v>163</v>
      </c>
      <c r="Y22" s="6">
        <f>E22+2</f>
        <v>32</v>
      </c>
      <c r="Z22" s="6">
        <f ca="1">F22+(($AR$22+$AR$23)*7)-112-112</f>
        <v>44</v>
      </c>
      <c r="AA22" s="55">
        <f t="shared" si="36"/>
        <v>0</v>
      </c>
      <c r="AB22" s="55">
        <f t="shared" si="37"/>
        <v>11.7</v>
      </c>
      <c r="AC22" s="55">
        <f t="shared" si="38"/>
        <v>11.666666666666666</v>
      </c>
      <c r="AD22" s="55">
        <f t="shared" si="39"/>
        <v>5.25</v>
      </c>
      <c r="AE22" s="55">
        <f>11+1/7</f>
        <v>11.142857142857142</v>
      </c>
      <c r="AF22" s="55">
        <f t="shared" si="40"/>
        <v>4</v>
      </c>
      <c r="AG22" s="55">
        <v>13.5</v>
      </c>
      <c r="AH22" s="37">
        <f>(6800+2505+305)*1.038</f>
        <v>9975.18</v>
      </c>
      <c r="AI22" s="42">
        <f t="shared" si="41"/>
        <v>0</v>
      </c>
      <c r="AJ22" s="42">
        <f t="shared" si="42"/>
        <v>60</v>
      </c>
      <c r="AK22" s="42">
        <f t="shared" si="43"/>
        <v>41</v>
      </c>
      <c r="AL22" s="42">
        <f t="shared" si="44"/>
        <v>4.5</v>
      </c>
      <c r="AM22" s="42">
        <f t="shared" si="45"/>
        <v>50</v>
      </c>
      <c r="AN22" s="42">
        <f t="shared" si="46"/>
        <v>5</v>
      </c>
      <c r="AO22" s="42">
        <f t="shared" si="34"/>
        <v>30</v>
      </c>
      <c r="AP22" s="195">
        <f t="shared" si="35"/>
        <v>190.5</v>
      </c>
      <c r="AQ22" s="90" t="s">
        <v>320</v>
      </c>
      <c r="AR22" s="54">
        <v>14</v>
      </c>
      <c r="AS22" s="97">
        <f>AR22/16</f>
        <v>0.875</v>
      </c>
    </row>
    <row r="23" spans="1:45" x14ac:dyDescent="0.25">
      <c r="A23" t="s">
        <v>167</v>
      </c>
      <c r="B23" s="18" t="s">
        <v>183</v>
      </c>
      <c r="C23" s="6"/>
      <c r="D23" s="6" t="s">
        <v>309</v>
      </c>
      <c r="E23" s="6">
        <f t="shared" si="14"/>
        <v>31</v>
      </c>
      <c r="F23" s="6">
        <f t="shared" ca="1" si="15"/>
        <v>-4</v>
      </c>
      <c r="G23" s="55">
        <f t="shared" si="16"/>
        <v>0</v>
      </c>
      <c r="H23" s="55">
        <f t="shared" si="17"/>
        <v>15</v>
      </c>
      <c r="I23" s="55">
        <f t="shared" si="18"/>
        <v>5.375</v>
      </c>
      <c r="J23" s="55">
        <f t="shared" si="19"/>
        <v>3.3333333333333335</v>
      </c>
      <c r="K23" s="55">
        <f t="shared" si="20"/>
        <v>12.222222222222221</v>
      </c>
      <c r="L23" s="55">
        <f t="shared" si="21"/>
        <v>6</v>
      </c>
      <c r="M23" s="55">
        <f t="shared" si="22"/>
        <v>16</v>
      </c>
      <c r="N23" s="37">
        <f t="shared" si="23"/>
        <v>0</v>
      </c>
      <c r="O23" s="42">
        <f t="shared" si="24"/>
        <v>0</v>
      </c>
      <c r="P23" s="42">
        <f t="shared" si="25"/>
        <v>83</v>
      </c>
      <c r="Q23" s="42">
        <f t="shared" si="26"/>
        <v>9.5</v>
      </c>
      <c r="R23" s="42">
        <f t="shared" si="27"/>
        <v>0</v>
      </c>
      <c r="S23" s="42">
        <f t="shared" si="28"/>
        <v>44</v>
      </c>
      <c r="T23" s="42">
        <f t="shared" si="29"/>
        <v>12</v>
      </c>
      <c r="U23" s="42">
        <f t="shared" si="30"/>
        <v>13</v>
      </c>
      <c r="V23" s="195">
        <f t="shared" si="31"/>
        <v>161.5</v>
      </c>
      <c r="X23" t="s">
        <v>167</v>
      </c>
      <c r="Y23" s="6">
        <f>E23+1</f>
        <v>32</v>
      </c>
      <c r="Z23" s="6">
        <f ca="1">F23+(($AR$22+$AR$23)*7)-112</f>
        <v>87</v>
      </c>
      <c r="AA23" s="55">
        <f t="shared" si="36"/>
        <v>0</v>
      </c>
      <c r="AB23" s="55">
        <f t="shared" si="37"/>
        <v>15</v>
      </c>
      <c r="AC23" s="55">
        <f t="shared" si="38"/>
        <v>5.375</v>
      </c>
      <c r="AD23" s="55">
        <f t="shared" si="39"/>
        <v>3.3333333333333335</v>
      </c>
      <c r="AE23" s="55">
        <f>10+3/7</f>
        <v>10.428571428571429</v>
      </c>
      <c r="AF23" s="55">
        <f t="shared" si="40"/>
        <v>6</v>
      </c>
      <c r="AG23" s="55">
        <v>13.5</v>
      </c>
      <c r="AH23" s="37">
        <f>(18370+445+200)*1.038</f>
        <v>19737.57</v>
      </c>
      <c r="AI23" s="42">
        <f t="shared" si="41"/>
        <v>0</v>
      </c>
      <c r="AJ23" s="42">
        <f t="shared" si="42"/>
        <v>83</v>
      </c>
      <c r="AK23" s="42">
        <f t="shared" si="43"/>
        <v>9.5</v>
      </c>
      <c r="AL23" s="42">
        <f t="shared" si="44"/>
        <v>0</v>
      </c>
      <c r="AM23" s="42">
        <f t="shared" si="45"/>
        <v>58</v>
      </c>
      <c r="AN23" s="42">
        <f t="shared" si="46"/>
        <v>12</v>
      </c>
      <c r="AO23" s="42">
        <f t="shared" si="34"/>
        <v>28</v>
      </c>
      <c r="AP23" s="195">
        <f t="shared" si="35"/>
        <v>190.5</v>
      </c>
      <c r="AQ23" s="90" t="s">
        <v>188</v>
      </c>
      <c r="AR23" s="54">
        <v>15</v>
      </c>
      <c r="AS23" s="97">
        <f>AR23/16</f>
        <v>0.9375</v>
      </c>
    </row>
    <row r="24" spans="1:45" x14ac:dyDescent="0.25">
      <c r="A24" t="s">
        <v>156</v>
      </c>
      <c r="B24" s="18" t="s">
        <v>183</v>
      </c>
      <c r="C24" s="6" t="s">
        <v>159</v>
      </c>
      <c r="D24" s="6" t="s">
        <v>310</v>
      </c>
      <c r="E24" s="6">
        <f t="shared" si="14"/>
        <v>30</v>
      </c>
      <c r="F24" s="6">
        <f t="shared" ca="1" si="15"/>
        <v>45</v>
      </c>
      <c r="G24" s="55">
        <f t="shared" si="16"/>
        <v>0</v>
      </c>
      <c r="H24" s="55">
        <f t="shared" si="17"/>
        <v>12.909090909090908</v>
      </c>
      <c r="I24" s="55">
        <f t="shared" si="18"/>
        <v>5</v>
      </c>
      <c r="J24" s="55">
        <f t="shared" si="19"/>
        <v>12.5</v>
      </c>
      <c r="K24" s="55">
        <f t="shared" si="20"/>
        <v>9</v>
      </c>
      <c r="L24" s="55">
        <f t="shared" si="21"/>
        <v>7</v>
      </c>
      <c r="M24" s="55">
        <f t="shared" si="22"/>
        <v>17</v>
      </c>
      <c r="N24" s="37">
        <f t="shared" si="23"/>
        <v>16606.920000000002</v>
      </c>
      <c r="O24" s="42">
        <f t="shared" si="24"/>
        <v>0</v>
      </c>
      <c r="P24" s="42">
        <f t="shared" si="25"/>
        <v>76</v>
      </c>
      <c r="Q24" s="42">
        <f t="shared" si="26"/>
        <v>6</v>
      </c>
      <c r="R24" s="42">
        <f t="shared" si="27"/>
        <v>40.5</v>
      </c>
      <c r="S24" s="42">
        <f t="shared" si="28"/>
        <v>18</v>
      </c>
      <c r="T24" s="42">
        <f t="shared" si="29"/>
        <v>16</v>
      </c>
      <c r="U24" s="42">
        <f t="shared" si="30"/>
        <v>16</v>
      </c>
      <c r="V24" s="195">
        <f t="shared" si="31"/>
        <v>172.5</v>
      </c>
      <c r="X24" t="s">
        <v>156</v>
      </c>
      <c r="Y24" s="6">
        <f>E24+2</f>
        <v>32</v>
      </c>
      <c r="Z24" s="6">
        <f ca="1">F24+(($AR$22+$AR$23)*7)-112-112</f>
        <v>24</v>
      </c>
      <c r="AA24" s="55">
        <f t="shared" si="36"/>
        <v>0</v>
      </c>
      <c r="AB24" s="55">
        <f t="shared" si="37"/>
        <v>12.909090909090908</v>
      </c>
      <c r="AC24" s="55">
        <f t="shared" si="38"/>
        <v>5</v>
      </c>
      <c r="AD24" s="55">
        <f t="shared" si="39"/>
        <v>12.5</v>
      </c>
      <c r="AE24" s="55">
        <f>8+1/5</f>
        <v>8.1999999999999993</v>
      </c>
      <c r="AF24" s="55">
        <f t="shared" si="40"/>
        <v>7</v>
      </c>
      <c r="AG24" s="55">
        <v>14</v>
      </c>
      <c r="AH24" s="37">
        <f>(12930+2985+125+145+245)*1.04</f>
        <v>17087.2</v>
      </c>
      <c r="AI24" s="42">
        <f t="shared" si="41"/>
        <v>0</v>
      </c>
      <c r="AJ24" s="42">
        <f t="shared" si="42"/>
        <v>76</v>
      </c>
      <c r="AK24" s="42">
        <f t="shared" si="43"/>
        <v>6</v>
      </c>
      <c r="AL24" s="42">
        <f t="shared" si="44"/>
        <v>40.5</v>
      </c>
      <c r="AM24" s="42">
        <f t="shared" si="45"/>
        <v>32</v>
      </c>
      <c r="AN24" s="42">
        <f t="shared" si="46"/>
        <v>16</v>
      </c>
      <c r="AO24" s="42">
        <f t="shared" si="34"/>
        <v>31</v>
      </c>
      <c r="AP24" s="195">
        <f t="shared" si="35"/>
        <v>201.5</v>
      </c>
      <c r="AQ24" s="90"/>
    </row>
    <row r="25" spans="1:45" x14ac:dyDescent="0.25">
      <c r="A25" t="s">
        <v>164</v>
      </c>
      <c r="B25" s="18" t="s">
        <v>183</v>
      </c>
      <c r="C25" s="6" t="s">
        <v>159</v>
      </c>
      <c r="D25" s="6" t="s">
        <v>311</v>
      </c>
      <c r="E25" s="6">
        <f t="shared" si="14"/>
        <v>30</v>
      </c>
      <c r="F25" s="6">
        <f t="shared" ca="1" si="15"/>
        <v>45</v>
      </c>
      <c r="G25" s="55">
        <f t="shared" si="16"/>
        <v>0</v>
      </c>
      <c r="H25" s="55">
        <f t="shared" si="17"/>
        <v>12</v>
      </c>
      <c r="I25" s="55">
        <f t="shared" si="18"/>
        <v>4.7083333333333339</v>
      </c>
      <c r="J25" s="55">
        <f t="shared" si="19"/>
        <v>11.9</v>
      </c>
      <c r="K25" s="55">
        <f t="shared" si="20"/>
        <v>10</v>
      </c>
      <c r="L25" s="55">
        <f t="shared" si="21"/>
        <v>7.25</v>
      </c>
      <c r="M25" s="55">
        <f t="shared" si="22"/>
        <v>17.166666666666668</v>
      </c>
      <c r="N25" s="37">
        <f t="shared" si="23"/>
        <v>16606.920000000002</v>
      </c>
      <c r="O25" s="42">
        <f t="shared" si="24"/>
        <v>0</v>
      </c>
      <c r="P25" s="42">
        <f t="shared" si="25"/>
        <v>62</v>
      </c>
      <c r="Q25" s="42">
        <f t="shared" si="26"/>
        <v>3.5</v>
      </c>
      <c r="R25" s="29">
        <f t="shared" si="27"/>
        <v>42</v>
      </c>
      <c r="S25" s="42">
        <f t="shared" si="28"/>
        <v>24</v>
      </c>
      <c r="T25" s="42">
        <f t="shared" si="29"/>
        <v>17</v>
      </c>
      <c r="U25" s="42">
        <f t="shared" si="30"/>
        <v>17</v>
      </c>
      <c r="V25" s="195">
        <f t="shared" si="31"/>
        <v>165.5</v>
      </c>
      <c r="X25" t="s">
        <v>164</v>
      </c>
      <c r="Y25" s="6">
        <f>E25+2</f>
        <v>32</v>
      </c>
      <c r="Z25" s="6">
        <f ca="1">F25+(($AR$22+$AR$23)*7)-112-112</f>
        <v>24</v>
      </c>
      <c r="AA25" s="55">
        <f t="shared" si="36"/>
        <v>0</v>
      </c>
      <c r="AB25" s="55">
        <f t="shared" si="37"/>
        <v>12</v>
      </c>
      <c r="AC25" s="55">
        <f t="shared" si="38"/>
        <v>4.7083333333333339</v>
      </c>
      <c r="AD25" s="55">
        <f t="shared" si="39"/>
        <v>11.9</v>
      </c>
      <c r="AE25" s="55">
        <f>9+1/7</f>
        <v>9.1428571428571423</v>
      </c>
      <c r="AF25" s="55">
        <f t="shared" si="40"/>
        <v>7.25</v>
      </c>
      <c r="AG25" s="55">
        <v>14</v>
      </c>
      <c r="AH25" s="37">
        <f>(12930+2985+180+125+245)*1.04</f>
        <v>17123.600000000002</v>
      </c>
      <c r="AI25" s="42">
        <f t="shared" si="41"/>
        <v>0</v>
      </c>
      <c r="AJ25" s="42">
        <f t="shared" si="42"/>
        <v>62</v>
      </c>
      <c r="AK25" s="42">
        <f t="shared" si="43"/>
        <v>3.5</v>
      </c>
      <c r="AL25" s="29">
        <f t="shared" si="44"/>
        <v>42</v>
      </c>
      <c r="AM25" s="42">
        <f t="shared" si="45"/>
        <v>38</v>
      </c>
      <c r="AN25" s="42">
        <f t="shared" si="46"/>
        <v>17</v>
      </c>
      <c r="AO25" s="42">
        <f t="shared" si="34"/>
        <v>32</v>
      </c>
      <c r="AP25" s="195">
        <f t="shared" si="35"/>
        <v>194.5</v>
      </c>
      <c r="AQ25" s="90"/>
    </row>
    <row r="26" spans="1:45" x14ac:dyDescent="0.25">
      <c r="A26" t="s">
        <v>157</v>
      </c>
      <c r="B26" s="18" t="s">
        <v>312</v>
      </c>
      <c r="C26" s="6" t="s">
        <v>162</v>
      </c>
      <c r="D26" s="6" t="str">
        <f>D11</f>
        <v>J. Gräbitz</v>
      </c>
      <c r="E26" s="6" t="e">
        <f t="shared" si="14"/>
        <v>#REF!</v>
      </c>
      <c r="F26" s="6" t="e">
        <f t="shared" si="15"/>
        <v>#REF!</v>
      </c>
      <c r="G26" s="55" t="e">
        <f t="shared" si="16"/>
        <v>#REF!</v>
      </c>
      <c r="H26" s="55" t="e">
        <f t="shared" si="17"/>
        <v>#REF!</v>
      </c>
      <c r="I26" s="55" t="e">
        <f t="shared" si="18"/>
        <v>#REF!</v>
      </c>
      <c r="J26" s="55" t="e">
        <f t="shared" si="19"/>
        <v>#REF!</v>
      </c>
      <c r="K26" s="55" t="e">
        <f t="shared" si="20"/>
        <v>#REF!</v>
      </c>
      <c r="L26" s="55" t="e">
        <f t="shared" si="21"/>
        <v>#REF!</v>
      </c>
      <c r="M26" s="55" t="e">
        <f t="shared" si="22"/>
        <v>#REF!</v>
      </c>
      <c r="N26" s="37" t="e">
        <f t="shared" si="23"/>
        <v>#REF!</v>
      </c>
      <c r="O26" s="42">
        <f t="shared" si="24"/>
        <v>0</v>
      </c>
      <c r="P26" s="42">
        <f t="shared" si="25"/>
        <v>62.5</v>
      </c>
      <c r="Q26" s="42">
        <f t="shared" si="26"/>
        <v>27</v>
      </c>
      <c r="R26" s="42">
        <f t="shared" si="27"/>
        <v>3.5</v>
      </c>
      <c r="S26" s="42">
        <f t="shared" si="28"/>
        <v>23</v>
      </c>
      <c r="T26" s="42">
        <f t="shared" si="29"/>
        <v>5</v>
      </c>
      <c r="U26" s="42">
        <f t="shared" si="30"/>
        <v>38</v>
      </c>
      <c r="V26" s="195">
        <f t="shared" si="31"/>
        <v>159</v>
      </c>
      <c r="X26" t="s">
        <v>157</v>
      </c>
      <c r="Y26" s="6" t="e">
        <f>E26+2</f>
        <v>#REF!</v>
      </c>
      <c r="Z26" s="6" t="e">
        <f>F26+(($AR$22+$AR$23)*7)-112-112</f>
        <v>#REF!</v>
      </c>
      <c r="AA26" s="55" t="e">
        <f t="shared" si="36"/>
        <v>#REF!</v>
      </c>
      <c r="AB26" s="55" t="e">
        <f t="shared" si="37"/>
        <v>#REF!</v>
      </c>
      <c r="AC26" s="55" t="e">
        <f t="shared" si="38"/>
        <v>#REF!</v>
      </c>
      <c r="AD26" s="55" t="e">
        <f t="shared" si="39"/>
        <v>#REF!</v>
      </c>
      <c r="AE26" s="55">
        <f>9+1/6</f>
        <v>9.1666666666666661</v>
      </c>
      <c r="AF26" s="55" t="e">
        <f t="shared" si="40"/>
        <v>#REF!</v>
      </c>
      <c r="AG26" s="55">
        <f>20</f>
        <v>20</v>
      </c>
      <c r="AH26" s="37">
        <f>(14490+225+200+125+165)*1.049</f>
        <v>15950.044999999998</v>
      </c>
      <c r="AI26" s="42">
        <f t="shared" si="41"/>
        <v>0</v>
      </c>
      <c r="AJ26" s="42">
        <f t="shared" si="42"/>
        <v>62.5</v>
      </c>
      <c r="AK26" s="42">
        <f t="shared" si="43"/>
        <v>27</v>
      </c>
      <c r="AL26" s="42">
        <f t="shared" si="44"/>
        <v>3.5</v>
      </c>
      <c r="AM26" s="42">
        <f t="shared" si="45"/>
        <v>37</v>
      </c>
      <c r="AN26" s="42">
        <f t="shared" si="46"/>
        <v>5</v>
      </c>
      <c r="AO26" s="42">
        <f>U26+AR23</f>
        <v>53</v>
      </c>
      <c r="AP26" s="195">
        <f t="shared" si="35"/>
        <v>188</v>
      </c>
    </row>
    <row r="27" spans="1:45" x14ac:dyDescent="0.25">
      <c r="A27" t="s">
        <v>314</v>
      </c>
      <c r="B27" s="18" t="s">
        <v>312</v>
      </c>
      <c r="C27" s="6" t="s">
        <v>321</v>
      </c>
      <c r="D27" s="6" t="s">
        <v>322</v>
      </c>
      <c r="E27" s="6">
        <v>23</v>
      </c>
      <c r="F27" s="6">
        <v>50</v>
      </c>
      <c r="G27" s="55">
        <f>AA12</f>
        <v>0</v>
      </c>
      <c r="H27" s="55">
        <v>13</v>
      </c>
      <c r="I27" s="55">
        <v>9</v>
      </c>
      <c r="J27" s="55">
        <v>3</v>
      </c>
      <c r="K27" s="55">
        <v>6</v>
      </c>
      <c r="L27" s="55">
        <v>5</v>
      </c>
      <c r="M27" s="55">
        <v>14</v>
      </c>
      <c r="N27" s="37">
        <f>(14490+225+185+125+165)*1.03</f>
        <v>15645.7</v>
      </c>
      <c r="O27" s="42">
        <f>AI12</f>
        <v>0</v>
      </c>
      <c r="P27" s="42">
        <v>67</v>
      </c>
      <c r="Q27" s="42">
        <v>26</v>
      </c>
      <c r="R27" s="42">
        <v>1.5</v>
      </c>
      <c r="S27" s="42">
        <v>10</v>
      </c>
      <c r="T27" s="42">
        <v>5.5</v>
      </c>
      <c r="U27" s="42">
        <v>16</v>
      </c>
      <c r="V27" s="195">
        <f t="shared" si="31"/>
        <v>126</v>
      </c>
      <c r="X27" t="s">
        <v>314</v>
      </c>
      <c r="Y27" s="6">
        <f>E27+2</f>
        <v>25</v>
      </c>
      <c r="Z27" s="6">
        <f>F27+(($AR$22+$AR$23)*7)-112-112</f>
        <v>29</v>
      </c>
      <c r="AA27" s="55">
        <f t="shared" si="36"/>
        <v>0</v>
      </c>
      <c r="AB27" s="55">
        <f t="shared" si="37"/>
        <v>13</v>
      </c>
      <c r="AC27" s="55">
        <f t="shared" si="38"/>
        <v>9</v>
      </c>
      <c r="AD27" s="55">
        <f t="shared" si="39"/>
        <v>3</v>
      </c>
      <c r="AE27" s="55">
        <f>9+5/6</f>
        <v>9.8333333333333339</v>
      </c>
      <c r="AF27" s="55">
        <f t="shared" si="40"/>
        <v>5</v>
      </c>
      <c r="AG27" s="55">
        <v>19</v>
      </c>
      <c r="AH27" s="37">
        <f>(14490+225+200+125+165)*1.049</f>
        <v>15950.044999999998</v>
      </c>
      <c r="AI27" s="42">
        <f t="shared" si="41"/>
        <v>0</v>
      </c>
      <c r="AJ27" s="42">
        <f t="shared" si="42"/>
        <v>67</v>
      </c>
      <c r="AK27" s="42">
        <f t="shared" si="43"/>
        <v>26</v>
      </c>
      <c r="AL27" s="42">
        <f t="shared" si="44"/>
        <v>1.5</v>
      </c>
      <c r="AM27" s="42">
        <f t="shared" si="45"/>
        <v>24</v>
      </c>
      <c r="AN27" s="42">
        <f t="shared" si="46"/>
        <v>5.5</v>
      </c>
      <c r="AO27" s="42">
        <v>31</v>
      </c>
      <c r="AP27" s="195">
        <f t="shared" si="35"/>
        <v>155</v>
      </c>
    </row>
    <row r="28" spans="1:45" x14ac:dyDescent="0.25">
      <c r="A28" t="s">
        <v>165</v>
      </c>
      <c r="B28" s="18" t="s">
        <v>315</v>
      </c>
      <c r="C28" s="6" t="s">
        <v>162</v>
      </c>
      <c r="D28" s="6" t="s">
        <v>316</v>
      </c>
      <c r="E28" s="6">
        <f t="shared" ref="E28:F30" si="47">Y13</f>
        <v>30</v>
      </c>
      <c r="F28" s="6">
        <f t="shared" ca="1" si="47"/>
        <v>41</v>
      </c>
      <c r="G28" s="55">
        <f>AA13</f>
        <v>0</v>
      </c>
      <c r="H28" s="55">
        <f t="shared" ref="H28:N30" si="48">AB13</f>
        <v>10.666666666666666</v>
      </c>
      <c r="I28" s="55">
        <f t="shared" si="48"/>
        <v>6.6</v>
      </c>
      <c r="J28" s="55">
        <f t="shared" si="48"/>
        <v>14</v>
      </c>
      <c r="K28" s="55">
        <f t="shared" si="48"/>
        <v>10</v>
      </c>
      <c r="L28" s="55">
        <f t="shared" si="48"/>
        <v>7.8</v>
      </c>
      <c r="M28" s="55">
        <f t="shared" si="48"/>
        <v>18</v>
      </c>
      <c r="N28" s="37">
        <f t="shared" si="48"/>
        <v>13619.48</v>
      </c>
      <c r="O28" s="42">
        <f>AI13</f>
        <v>0</v>
      </c>
      <c r="P28" s="42">
        <f t="shared" ref="P28:U30" si="49">AJ13</f>
        <v>52</v>
      </c>
      <c r="Q28" s="42">
        <f t="shared" si="49"/>
        <v>11</v>
      </c>
      <c r="R28" s="42">
        <f t="shared" si="49"/>
        <v>55</v>
      </c>
      <c r="S28" s="42">
        <f t="shared" si="49"/>
        <v>23</v>
      </c>
      <c r="T28" s="42">
        <f t="shared" si="49"/>
        <v>20</v>
      </c>
      <c r="U28" s="42">
        <f t="shared" si="49"/>
        <v>18</v>
      </c>
      <c r="V28" s="195">
        <f t="shared" si="31"/>
        <v>179</v>
      </c>
      <c r="X28" t="s">
        <v>165</v>
      </c>
      <c r="Y28" s="6">
        <f>E28+2</f>
        <v>32</v>
      </c>
      <c r="Z28" s="6">
        <f ca="1">F28+(($AR$22+$AR$23)*7)-112-112</f>
        <v>20</v>
      </c>
      <c r="AA28" s="55">
        <f t="shared" si="36"/>
        <v>0</v>
      </c>
      <c r="AB28" s="55">
        <f t="shared" si="37"/>
        <v>10.666666666666666</v>
      </c>
      <c r="AC28" s="55">
        <f t="shared" si="38"/>
        <v>6.6</v>
      </c>
      <c r="AD28" s="55">
        <f t="shared" si="39"/>
        <v>14</v>
      </c>
      <c r="AE28" s="55">
        <f>9+1/7</f>
        <v>9.1428571428571423</v>
      </c>
      <c r="AF28" s="55">
        <f t="shared" si="40"/>
        <v>7.8</v>
      </c>
      <c r="AG28" s="55">
        <v>15</v>
      </c>
      <c r="AH28" s="37">
        <f>(11610+300+185+150+1200)*1.045</f>
        <v>14050.025</v>
      </c>
      <c r="AI28" s="42">
        <f t="shared" si="41"/>
        <v>0</v>
      </c>
      <c r="AJ28" s="42">
        <f t="shared" si="42"/>
        <v>52</v>
      </c>
      <c r="AK28" s="42">
        <f t="shared" si="43"/>
        <v>11</v>
      </c>
      <c r="AL28" s="42">
        <f t="shared" si="44"/>
        <v>55</v>
      </c>
      <c r="AM28" s="42">
        <f t="shared" si="45"/>
        <v>37</v>
      </c>
      <c r="AN28" s="42">
        <f t="shared" si="46"/>
        <v>20</v>
      </c>
      <c r="AO28" s="42">
        <f>U28+$AR$23</f>
        <v>33</v>
      </c>
      <c r="AP28" s="195">
        <f t="shared" si="35"/>
        <v>208</v>
      </c>
    </row>
    <row r="29" spans="1:45" x14ac:dyDescent="0.25">
      <c r="A29" t="s">
        <v>317</v>
      </c>
      <c r="B29" s="18" t="s">
        <v>315</v>
      </c>
      <c r="C29" s="6" t="s">
        <v>162</v>
      </c>
      <c r="D29" s="6" t="s">
        <v>318</v>
      </c>
      <c r="E29" s="6">
        <f t="shared" si="47"/>
        <v>31</v>
      </c>
      <c r="F29" s="6">
        <f t="shared" ca="1" si="47"/>
        <v>-106</v>
      </c>
      <c r="G29" s="55">
        <f>AA14</f>
        <v>0</v>
      </c>
      <c r="H29" s="55">
        <f t="shared" si="48"/>
        <v>12.181818181818182</v>
      </c>
      <c r="I29" s="55">
        <f t="shared" si="48"/>
        <v>5</v>
      </c>
      <c r="J29" s="55">
        <f t="shared" si="48"/>
        <v>12.833333333333334</v>
      </c>
      <c r="K29" s="55">
        <f t="shared" si="48"/>
        <v>10</v>
      </c>
      <c r="L29" s="55">
        <f t="shared" si="48"/>
        <v>7</v>
      </c>
      <c r="M29" s="55">
        <f t="shared" si="48"/>
        <v>17</v>
      </c>
      <c r="N29" s="37">
        <f t="shared" si="48"/>
        <v>11172.48</v>
      </c>
      <c r="O29" s="42">
        <f>AI14</f>
        <v>0</v>
      </c>
      <c r="P29" s="42">
        <f t="shared" si="49"/>
        <v>68</v>
      </c>
      <c r="Q29" s="42">
        <f t="shared" si="49"/>
        <v>3.5</v>
      </c>
      <c r="R29" s="42">
        <f t="shared" si="49"/>
        <v>46.5</v>
      </c>
      <c r="S29" s="42">
        <f t="shared" si="49"/>
        <v>26</v>
      </c>
      <c r="T29" s="42">
        <f t="shared" si="49"/>
        <v>16</v>
      </c>
      <c r="U29" s="42">
        <f t="shared" si="49"/>
        <v>17</v>
      </c>
      <c r="V29" s="195">
        <f t="shared" si="31"/>
        <v>177</v>
      </c>
      <c r="X29" t="s">
        <v>317</v>
      </c>
      <c r="Y29" s="6">
        <f>E29+1</f>
        <v>32</v>
      </c>
      <c r="Z29" s="6">
        <f ca="1">F29+(($AR$22+$AR$23)*7)-112</f>
        <v>-15</v>
      </c>
      <c r="AA29" s="55">
        <f t="shared" si="36"/>
        <v>0</v>
      </c>
      <c r="AB29" s="55">
        <f t="shared" si="37"/>
        <v>12.181818181818182</v>
      </c>
      <c r="AC29" s="55">
        <f t="shared" si="38"/>
        <v>5</v>
      </c>
      <c r="AD29" s="55">
        <f t="shared" si="39"/>
        <v>12.833333333333334</v>
      </c>
      <c r="AE29" s="55">
        <f>9+5/6</f>
        <v>9.8333333333333339</v>
      </c>
      <c r="AF29" s="55">
        <f t="shared" si="40"/>
        <v>7</v>
      </c>
      <c r="AG29" s="55">
        <v>14</v>
      </c>
      <c r="AH29" s="37">
        <f>(7000+165+165+245+3505)*1.04</f>
        <v>11523.2</v>
      </c>
      <c r="AI29" s="42">
        <f t="shared" si="41"/>
        <v>0</v>
      </c>
      <c r="AJ29" s="42">
        <f t="shared" si="42"/>
        <v>68</v>
      </c>
      <c r="AK29" s="42">
        <f t="shared" si="43"/>
        <v>3.5</v>
      </c>
      <c r="AL29" s="42">
        <f t="shared" si="44"/>
        <v>46.5</v>
      </c>
      <c r="AM29" s="42">
        <f t="shared" si="45"/>
        <v>40</v>
      </c>
      <c r="AN29" s="42">
        <f t="shared" si="46"/>
        <v>16</v>
      </c>
      <c r="AO29" s="42">
        <f>U29+$AR$23</f>
        <v>32</v>
      </c>
      <c r="AP29" s="195">
        <f t="shared" si="35"/>
        <v>206</v>
      </c>
    </row>
    <row r="30" spans="1:45" x14ac:dyDescent="0.25">
      <c r="A30" t="s">
        <v>153</v>
      </c>
      <c r="B30" s="18" t="s">
        <v>315</v>
      </c>
      <c r="C30" s="6" t="s">
        <v>159</v>
      </c>
      <c r="D30" s="6" t="s">
        <v>319</v>
      </c>
      <c r="E30" s="6">
        <f t="shared" si="47"/>
        <v>30</v>
      </c>
      <c r="F30" s="6">
        <f t="shared" ca="1" si="47"/>
        <v>41</v>
      </c>
      <c r="G30" s="55">
        <f>AA15</f>
        <v>0</v>
      </c>
      <c r="H30" s="55">
        <f t="shared" si="48"/>
        <v>11.1</v>
      </c>
      <c r="I30" s="55">
        <f t="shared" si="48"/>
        <v>6.4</v>
      </c>
      <c r="J30" s="55">
        <f t="shared" si="48"/>
        <v>13.333333333333334</v>
      </c>
      <c r="K30" s="55">
        <f t="shared" si="48"/>
        <v>9</v>
      </c>
      <c r="L30" s="55">
        <f t="shared" si="48"/>
        <v>7.95</v>
      </c>
      <c r="M30" s="55">
        <f t="shared" si="48"/>
        <v>17</v>
      </c>
      <c r="N30" s="37">
        <f t="shared" si="48"/>
        <v>13682.24</v>
      </c>
      <c r="O30" s="42">
        <f>AI15</f>
        <v>0</v>
      </c>
      <c r="P30" s="42">
        <f t="shared" si="49"/>
        <v>55</v>
      </c>
      <c r="Q30" s="42">
        <f t="shared" si="49"/>
        <v>10</v>
      </c>
      <c r="R30" s="42">
        <f t="shared" si="49"/>
        <v>46.5</v>
      </c>
      <c r="S30" s="42">
        <f t="shared" si="49"/>
        <v>20</v>
      </c>
      <c r="T30" s="42">
        <f t="shared" si="49"/>
        <v>21</v>
      </c>
      <c r="U30" s="42">
        <f t="shared" si="49"/>
        <v>16</v>
      </c>
      <c r="V30" s="195">
        <f t="shared" si="31"/>
        <v>168.5</v>
      </c>
      <c r="X30" t="s">
        <v>153</v>
      </c>
      <c r="Y30" s="6">
        <f>E30+2</f>
        <v>32</v>
      </c>
      <c r="Z30" s="6">
        <f ca="1">F30+(($AR$22+$AR$23)*7)-112-112</f>
        <v>20</v>
      </c>
      <c r="AA30" s="55">
        <f t="shared" si="36"/>
        <v>0</v>
      </c>
      <c r="AB30" s="55">
        <f t="shared" si="37"/>
        <v>11.1</v>
      </c>
      <c r="AC30" s="55">
        <f t="shared" si="38"/>
        <v>6.4</v>
      </c>
      <c r="AD30" s="55">
        <f t="shared" si="39"/>
        <v>13.333333333333334</v>
      </c>
      <c r="AE30" s="55">
        <f>8+3/5</f>
        <v>8.6</v>
      </c>
      <c r="AF30" s="55">
        <f t="shared" si="40"/>
        <v>7.95</v>
      </c>
      <c r="AG30" s="55">
        <v>14</v>
      </c>
      <c r="AH30" s="37">
        <f>(9000+135+185+350+3900)*1.04</f>
        <v>14112.800000000001</v>
      </c>
      <c r="AI30" s="42">
        <f t="shared" si="41"/>
        <v>0</v>
      </c>
      <c r="AJ30" s="42">
        <f t="shared" si="42"/>
        <v>55</v>
      </c>
      <c r="AK30" s="42">
        <f t="shared" si="43"/>
        <v>10</v>
      </c>
      <c r="AL30" s="42">
        <f t="shared" si="44"/>
        <v>46.5</v>
      </c>
      <c r="AM30" s="42">
        <f t="shared" si="45"/>
        <v>34</v>
      </c>
      <c r="AN30" s="42">
        <f t="shared" si="46"/>
        <v>21</v>
      </c>
      <c r="AO30" s="42">
        <f>U30+$AR$23</f>
        <v>31</v>
      </c>
      <c r="AP30" s="195">
        <f t="shared" si="35"/>
        <v>197.5</v>
      </c>
    </row>
  </sheetData>
  <conditionalFormatting sqref="AH18:AH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{48571BCF-F67C-D5E4-70E4-BA265B65CD42}</x14:id>
        </ext>
      </extLst>
    </cfRule>
  </conditionalFormatting>
  <conditionalFormatting sqref="AA18:AG30">
    <cfRule type="colorScale" priority="2">
      <colorScale>
        <cfvo type="min"/>
        <cfvo type="max"/>
        <color rgb="FFFFEF9C"/>
        <color rgb="FF63BE7B"/>
      </colorScale>
    </cfRule>
  </conditionalFormatting>
  <conditionalFormatting sqref="AP18:AP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{70E446E5-152A-31E6-48E5-332D2AE96463}</x14:id>
        </ext>
      </extLst>
    </cfRule>
  </conditionalFormatting>
  <conditionalFormatting sqref="AI18:AO30">
    <cfRule type="colorScale" priority="4">
      <colorScale>
        <cfvo type="min"/>
        <cfvo type="max"/>
        <color rgb="FFFCFCFF"/>
        <color rgb="FFF8696B"/>
      </colorScale>
    </cfRule>
  </conditionalFormatting>
  <conditionalFormatting sqref="V18:V3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{3544B828-B0EC-A27A-719F-397024BF4329}</x14:id>
        </ext>
      </extLst>
    </cfRule>
  </conditionalFormatting>
  <conditionalFormatting sqref="N18:N3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{21B5F840-7886-2AD6-1F29-5865F604DD5C}</x14:id>
        </ext>
      </extLst>
    </cfRule>
  </conditionalFormatting>
  <conditionalFormatting sqref="G5:M8">
    <cfRule type="colorScale" priority="7">
      <colorScale>
        <cfvo type="min"/>
        <cfvo type="max"/>
        <color rgb="FFFFEF9C"/>
        <color rgb="FF63BE7B"/>
      </colorScale>
    </cfRule>
  </conditionalFormatting>
  <conditionalFormatting sqref="G3:M4 G9:M15">
    <cfRule type="colorScale" priority="8">
      <colorScale>
        <cfvo type="min"/>
        <cfvo type="max"/>
        <color rgb="FFFFEF9C"/>
        <color rgb="FF63BE7B"/>
      </colorScale>
    </cfRule>
  </conditionalFormatting>
  <conditionalFormatting sqref="N3:N1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{605EB649-D71F-A286-97CA-1C057CCDC43D}</x14:id>
        </ext>
      </extLst>
    </cfRule>
  </conditionalFormatting>
  <conditionalFormatting sqref="O3:U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V3:V1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{698CD0E5-26DF-181E-46B4-F1705D4F7371}</x14:id>
        </ext>
      </extLst>
    </cfRule>
  </conditionalFormatting>
  <conditionalFormatting sqref="AA3:AG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AH3:AH15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{2298E817-D016-45DA-FBBD-D06186B40360}</x14:id>
        </ext>
      </extLst>
    </cfRule>
  </conditionalFormatting>
  <conditionalFormatting sqref="AI3:AO15">
    <cfRule type="colorScale" priority="14">
      <colorScale>
        <cfvo type="min"/>
        <cfvo type="max"/>
        <color rgb="FFFCFCFF"/>
        <color rgb="FFF8696B"/>
      </colorScale>
    </cfRule>
  </conditionalFormatting>
  <conditionalFormatting sqref="AP3:AP15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{29CEAB35-04E0-C9B0-1BDD-A42829EAE87F}</x14:id>
        </ext>
      </extLst>
    </cfRule>
  </conditionalFormatting>
  <conditionalFormatting sqref="G18:M30">
    <cfRule type="colorScale" priority="16">
      <colorScale>
        <cfvo type="min"/>
        <cfvo type="max"/>
        <color rgb="FFFFEF9C"/>
        <color rgb="FF63BE7B"/>
      </colorScale>
    </cfRule>
  </conditionalFormatting>
  <conditionalFormatting sqref="O18:U3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71BCF-F67C-D5E4-70E4-BA265B65CD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AH18:AH30</xm:sqref>
        </x14:conditionalFormatting>
        <x14:conditionalFormatting xmlns:xm="http://schemas.microsoft.com/office/excel/2006/main">
          <x14:cfRule type="dataBar" id="{70E446E5-152A-31E6-48E5-332D2AE964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AP18:AP30</xm:sqref>
        </x14:conditionalFormatting>
        <x14:conditionalFormatting xmlns:xm="http://schemas.microsoft.com/office/excel/2006/main">
          <x14:cfRule type="dataBar" id="{3544B828-B0EC-A27A-719F-397024BF43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V18:V30</xm:sqref>
        </x14:conditionalFormatting>
        <x14:conditionalFormatting xmlns:xm="http://schemas.microsoft.com/office/excel/2006/main">
          <x14:cfRule type="dataBar" id="{21B5F840-7886-2AD6-1F29-5865F604DD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N18:N30</xm:sqref>
        </x14:conditionalFormatting>
        <x14:conditionalFormatting xmlns:xm="http://schemas.microsoft.com/office/excel/2006/main">
          <x14:cfRule type="dataBar" id="{605EB649-D71F-A286-97CA-1C057CCDC4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698CD0E5-26DF-181E-46B4-F1705D4F73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V3:V15</xm:sqref>
        </x14:conditionalFormatting>
        <x14:conditionalFormatting xmlns:xm="http://schemas.microsoft.com/office/excel/2006/main">
          <x14:cfRule type="dataBar" id="{2298E817-D016-45DA-FBBD-D06186B403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AH3:AH15</xm:sqref>
        </x14:conditionalFormatting>
        <x14:conditionalFormatting xmlns:xm="http://schemas.microsoft.com/office/excel/2006/main">
          <x14:cfRule type="dataBar" id="{29CEAB35-04E0-C9B0-1BDD-A42829EAE8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AP3:AP15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0497A"/>
  </sheetPr>
  <dimension ref="A1:U13"/>
  <sheetViews>
    <sheetView workbookViewId="0">
      <selection activeCell="T5" sqref="T5"/>
    </sheetView>
  </sheetViews>
  <sheetFormatPr baseColWidth="10" defaultColWidth="10.7109375" defaultRowHeight="15" x14ac:dyDescent="0.25"/>
  <cols>
    <col min="1" max="1" width="18" customWidth="1"/>
    <col min="2" max="2" width="5.42578125" customWidth="1"/>
    <col min="3" max="3" width="4.7109375" customWidth="1"/>
    <col min="4" max="4" width="4.140625" customWidth="1"/>
    <col min="5" max="5" width="12" customWidth="1"/>
    <col min="6" max="6" width="4.5703125" customWidth="1"/>
    <col min="7" max="7" width="5.5703125" customWidth="1"/>
    <col min="8" max="8" width="5.7109375" customWidth="1"/>
    <col min="9" max="9" width="7.140625" customWidth="1"/>
    <col min="10" max="10" width="7.42578125" customWidth="1"/>
    <col min="11" max="11" width="3.5703125" customWidth="1"/>
    <col min="12" max="14" width="5.5703125" customWidth="1"/>
    <col min="15" max="15" width="4.5703125" customWidth="1"/>
    <col min="16" max="16" width="5.5703125" customWidth="1"/>
    <col min="17" max="17" width="5.140625" customWidth="1"/>
    <col min="18" max="18" width="5.5703125" customWidth="1"/>
    <col min="19" max="19" width="7.7109375" customWidth="1"/>
    <col min="20" max="20" width="7.85546875" customWidth="1"/>
  </cols>
  <sheetData>
    <row r="1" spans="1:21" x14ac:dyDescent="0.25">
      <c r="A1" s="23"/>
      <c r="D1" s="42"/>
      <c r="S1" t="s">
        <v>617</v>
      </c>
    </row>
    <row r="2" spans="1:21" x14ac:dyDescent="0.25">
      <c r="A2" s="31" t="s">
        <v>177</v>
      </c>
      <c r="B2" s="31" t="s">
        <v>629</v>
      </c>
      <c r="C2" s="31" t="s">
        <v>109</v>
      </c>
      <c r="D2" s="51" t="s">
        <v>291</v>
      </c>
      <c r="E2" s="31" t="s">
        <v>654</v>
      </c>
      <c r="F2" s="39" t="s">
        <v>631</v>
      </c>
      <c r="G2" s="39" t="s">
        <v>121</v>
      </c>
      <c r="H2" s="39" t="s">
        <v>122</v>
      </c>
      <c r="I2" s="39" t="s">
        <v>294</v>
      </c>
      <c r="J2" s="40" t="s">
        <v>117</v>
      </c>
      <c r="K2" s="32" t="s">
        <v>518</v>
      </c>
      <c r="L2" s="32" t="s">
        <v>149</v>
      </c>
      <c r="M2" s="32" t="s">
        <v>183</v>
      </c>
      <c r="N2" s="32" t="s">
        <v>184</v>
      </c>
      <c r="O2" s="32" t="s">
        <v>315</v>
      </c>
      <c r="P2" s="32" t="s">
        <v>186</v>
      </c>
      <c r="Q2" s="32" t="s">
        <v>187</v>
      </c>
      <c r="R2" s="32" t="s">
        <v>188</v>
      </c>
      <c r="S2" s="34" t="s">
        <v>636</v>
      </c>
      <c r="T2" s="34" t="s">
        <v>637</v>
      </c>
    </row>
    <row r="3" spans="1:21" x14ac:dyDescent="0.25">
      <c r="A3" t="str">
        <f>PLANTILLA!D4</f>
        <v>Cosme Fonteboa</v>
      </c>
      <c r="B3">
        <v>22</v>
      </c>
      <c r="C3" s="25">
        <v>89</v>
      </c>
      <c r="D3" s="42"/>
      <c r="E3" s="45"/>
      <c r="F3" s="37">
        <f>PLANTILLA!Q4</f>
        <v>6</v>
      </c>
      <c r="G3" s="38">
        <f>(F3/7)^0.5</f>
        <v>0.92582009977255142</v>
      </c>
      <c r="H3" s="38">
        <f>IF(F3=7,1,((F3+0.99)/7)^0.5)</f>
        <v>0.99928545900129484</v>
      </c>
      <c r="I3" s="38"/>
      <c r="J3" s="104">
        <f ca="1">PLANTILLA!N4</f>
        <v>1</v>
      </c>
      <c r="K3" s="29">
        <f>PLANTILLA!I4</f>
        <v>12</v>
      </c>
      <c r="L3" s="36">
        <f>PLANTILLA!X4</f>
        <v>15</v>
      </c>
      <c r="M3" s="36">
        <f>PLANTILLA!Y4</f>
        <v>13.214285714285714</v>
      </c>
      <c r="N3" s="36">
        <f>PLANTILLA!Z4</f>
        <v>0</v>
      </c>
      <c r="O3" s="36">
        <f>PLANTILLA!AA4</f>
        <v>2</v>
      </c>
      <c r="P3" s="36">
        <f>PLANTILLA!AB4</f>
        <v>1</v>
      </c>
      <c r="Q3" s="36">
        <f>PLANTILLA!AC4</f>
        <v>1</v>
      </c>
      <c r="R3" s="36">
        <f>PLANTILLA!AD4</f>
        <v>18</v>
      </c>
      <c r="S3" s="27">
        <f t="shared" ref="S3:S10" ca="1" si="0">((L3+J3+(LOG(K3)*4/3))*0.597)+((M3+J3+(LOG(K3)*4/3))*0.276)</f>
        <v>14.731309827542294</v>
      </c>
      <c r="T3" s="27">
        <f t="shared" ref="T3:T10" ca="1" si="1">((L3+J3+(LOG(K3)*4/3))*0.866)+((M3+J3+(LOG(K3)*4/3))*0.425)</f>
        <v>21.754702080101406</v>
      </c>
    </row>
    <row r="4" spans="1:21" x14ac:dyDescent="0.25">
      <c r="A4" t="str">
        <f>PLANTILLA!D5</f>
        <v>Nicolae Hornet</v>
      </c>
      <c r="B4">
        <v>23</v>
      </c>
      <c r="C4" s="25">
        <v>2</v>
      </c>
      <c r="D4" s="42"/>
      <c r="E4" s="45"/>
      <c r="F4" s="37">
        <f>PLANTILLA!Q5</f>
        <v>4</v>
      </c>
      <c r="G4" s="38">
        <f>(F4/7)^0.5</f>
        <v>0.7559289460184544</v>
      </c>
      <c r="H4" s="38">
        <f>IF(F4=7,1,((F4+0.99)/7)^0.5)</f>
        <v>0.84430867747355465</v>
      </c>
      <c r="I4" s="38"/>
      <c r="J4" s="104">
        <f ca="1">PLANTILLA!N5</f>
        <v>1</v>
      </c>
      <c r="K4" s="29">
        <f>PLANTILLA!I5</f>
        <v>2.2999999999999998</v>
      </c>
      <c r="L4" s="36">
        <f>PLANTILLA!X5</f>
        <v>6</v>
      </c>
      <c r="M4" s="36">
        <f>PLANTILLA!Y5</f>
        <v>6</v>
      </c>
      <c r="N4" s="36">
        <f>PLANTILLA!Z5</f>
        <v>0</v>
      </c>
      <c r="O4" s="36">
        <f>PLANTILLA!AA5</f>
        <v>3</v>
      </c>
      <c r="P4" s="36">
        <f>PLANTILLA!AB5</f>
        <v>1</v>
      </c>
      <c r="Q4" s="36">
        <f>PLANTILLA!AC5</f>
        <v>1</v>
      </c>
      <c r="R4" s="36">
        <f>PLANTILLA!AD5</f>
        <v>6</v>
      </c>
      <c r="S4" s="27">
        <f t="shared" ca="1" si="0"/>
        <v>6.532051201124478</v>
      </c>
      <c r="T4" s="27">
        <f t="shared" ca="1" si="1"/>
        <v>9.6596541817316179</v>
      </c>
    </row>
    <row r="5" spans="1:21" x14ac:dyDescent="0.25">
      <c r="A5" t="s">
        <v>669</v>
      </c>
      <c r="B5">
        <v>19</v>
      </c>
      <c r="C5">
        <v>34</v>
      </c>
      <c r="E5" s="45">
        <v>1100000</v>
      </c>
      <c r="I5">
        <v>2150</v>
      </c>
      <c r="J5" s="104">
        <v>1</v>
      </c>
      <c r="K5" s="29">
        <v>1.3</v>
      </c>
      <c r="L5" s="36">
        <v>8</v>
      </c>
      <c r="M5" s="36">
        <v>2</v>
      </c>
      <c r="N5" s="36">
        <v>0</v>
      </c>
      <c r="O5" s="36">
        <v>0</v>
      </c>
      <c r="P5" s="36">
        <v>0</v>
      </c>
      <c r="Q5" s="36">
        <v>0</v>
      </c>
      <c r="R5" s="36">
        <v>14</v>
      </c>
      <c r="S5" s="27">
        <f t="shared" si="0"/>
        <v>6.3336300620851578</v>
      </c>
      <c r="T5" s="27">
        <f t="shared" si="1"/>
        <v>9.2651344904375019</v>
      </c>
    </row>
    <row r="6" spans="1:21" x14ac:dyDescent="0.25">
      <c r="A6" t="s">
        <v>670</v>
      </c>
      <c r="B6">
        <v>19</v>
      </c>
      <c r="C6">
        <v>33</v>
      </c>
      <c r="E6" s="45">
        <v>1050000</v>
      </c>
      <c r="I6">
        <v>2390</v>
      </c>
      <c r="J6" s="104">
        <v>1</v>
      </c>
      <c r="K6" s="29">
        <v>1.2</v>
      </c>
      <c r="L6" s="36">
        <v>8</v>
      </c>
      <c r="M6" s="36">
        <v>1</v>
      </c>
      <c r="N6" s="36">
        <v>0</v>
      </c>
      <c r="O6" s="36">
        <v>0</v>
      </c>
      <c r="P6" s="36">
        <v>0</v>
      </c>
      <c r="Q6" s="36">
        <v>0</v>
      </c>
      <c r="R6" s="36">
        <v>12</v>
      </c>
      <c r="S6" s="27">
        <f t="shared" si="0"/>
        <v>6.017166970399435</v>
      </c>
      <c r="T6" s="27">
        <f t="shared" si="1"/>
        <v>8.7802973181966433</v>
      </c>
    </row>
    <row r="7" spans="1:21" x14ac:dyDescent="0.25">
      <c r="A7" t="s">
        <v>671</v>
      </c>
      <c r="B7">
        <v>19</v>
      </c>
      <c r="C7">
        <v>78</v>
      </c>
      <c r="E7" s="45">
        <v>1849000</v>
      </c>
      <c r="I7">
        <v>3670</v>
      </c>
      <c r="J7" s="104">
        <v>1</v>
      </c>
      <c r="K7" s="29">
        <v>1</v>
      </c>
      <c r="L7" s="36">
        <v>9.35</v>
      </c>
      <c r="M7" s="36">
        <v>3</v>
      </c>
      <c r="N7" s="36">
        <v>0</v>
      </c>
      <c r="O7" s="36">
        <v>0</v>
      </c>
      <c r="P7" s="36">
        <v>0</v>
      </c>
      <c r="Q7" s="36">
        <v>0</v>
      </c>
      <c r="R7" s="36">
        <v>13</v>
      </c>
      <c r="S7" s="27">
        <f t="shared" si="0"/>
        <v>7.2829499999999996</v>
      </c>
      <c r="T7" s="27">
        <f t="shared" si="1"/>
        <v>10.663099999999998</v>
      </c>
    </row>
    <row r="8" spans="1:21" x14ac:dyDescent="0.25">
      <c r="A8" t="s">
        <v>672</v>
      </c>
      <c r="B8">
        <v>20</v>
      </c>
      <c r="C8">
        <v>52</v>
      </c>
      <c r="E8" s="45">
        <v>1198000</v>
      </c>
      <c r="I8">
        <v>2330</v>
      </c>
      <c r="J8" s="104">
        <v>1</v>
      </c>
      <c r="K8" s="29">
        <v>1.2</v>
      </c>
      <c r="L8" s="36">
        <v>8</v>
      </c>
      <c r="M8" s="36">
        <v>2</v>
      </c>
      <c r="N8" s="36">
        <v>0</v>
      </c>
      <c r="O8" s="36">
        <v>0</v>
      </c>
      <c r="P8" s="36">
        <v>0</v>
      </c>
      <c r="Q8" s="36">
        <v>0</v>
      </c>
      <c r="R8" s="36">
        <v>14</v>
      </c>
      <c r="S8" s="27">
        <f t="shared" si="0"/>
        <v>6.2931669703994348</v>
      </c>
      <c r="T8" s="27">
        <f t="shared" si="1"/>
        <v>9.205297318196644</v>
      </c>
    </row>
    <row r="9" spans="1:21" x14ac:dyDescent="0.25">
      <c r="A9" t="s">
        <v>673</v>
      </c>
      <c r="B9">
        <v>20</v>
      </c>
      <c r="C9">
        <v>25</v>
      </c>
      <c r="E9" s="45">
        <v>750000</v>
      </c>
      <c r="I9">
        <v>1730</v>
      </c>
      <c r="J9" s="104">
        <v>1</v>
      </c>
      <c r="K9" s="29">
        <v>1.3</v>
      </c>
      <c r="L9" s="36">
        <v>7</v>
      </c>
      <c r="M9" s="36">
        <v>4</v>
      </c>
      <c r="N9" s="36">
        <v>0</v>
      </c>
      <c r="O9" s="36">
        <v>0</v>
      </c>
      <c r="P9" s="36">
        <v>0</v>
      </c>
      <c r="Q9" s="36">
        <v>0</v>
      </c>
      <c r="R9" s="36">
        <v>12</v>
      </c>
      <c r="S9" s="27">
        <f t="shared" si="0"/>
        <v>6.288630062085157</v>
      </c>
      <c r="T9" s="27">
        <f t="shared" si="1"/>
        <v>9.2491344904375019</v>
      </c>
    </row>
    <row r="10" spans="1:21" x14ac:dyDescent="0.25">
      <c r="A10" t="s">
        <v>674</v>
      </c>
      <c r="B10">
        <v>21</v>
      </c>
      <c r="C10">
        <v>82</v>
      </c>
      <c r="D10" t="s">
        <v>675</v>
      </c>
      <c r="E10" s="45">
        <v>900000</v>
      </c>
      <c r="I10">
        <v>650</v>
      </c>
      <c r="J10" s="104">
        <v>1</v>
      </c>
      <c r="K10" s="29">
        <v>2.6</v>
      </c>
      <c r="L10" s="36">
        <v>8</v>
      </c>
      <c r="M10" s="36">
        <v>6</v>
      </c>
      <c r="N10" s="36">
        <v>2</v>
      </c>
      <c r="O10" s="36">
        <v>3</v>
      </c>
      <c r="P10" s="36">
        <v>5</v>
      </c>
      <c r="Q10" s="36">
        <v>2</v>
      </c>
      <c r="R10" s="36">
        <v>12</v>
      </c>
      <c r="S10" s="27">
        <f t="shared" si="0"/>
        <v>7.7880289770380315</v>
      </c>
      <c r="T10" s="27">
        <f t="shared" si="1"/>
        <v>11.483307456307099</v>
      </c>
      <c r="U10">
        <f>(1610+165+135)*1.033*1.2</f>
        <v>2367.6359999999995</v>
      </c>
    </row>
    <row r="11" spans="1:21" x14ac:dyDescent="0.25">
      <c r="E11" s="45"/>
      <c r="J11" s="104"/>
      <c r="K11" s="29"/>
      <c r="L11" s="36"/>
      <c r="M11" s="36"/>
      <c r="N11" s="36"/>
      <c r="O11" s="36"/>
      <c r="P11" s="36"/>
      <c r="Q11" s="36"/>
      <c r="R11" s="36"/>
      <c r="S11" s="27"/>
      <c r="T11" s="27"/>
    </row>
    <row r="12" spans="1:21" x14ac:dyDescent="0.25">
      <c r="E12" s="45"/>
      <c r="J12" s="104"/>
      <c r="K12" s="29"/>
      <c r="L12" s="36"/>
      <c r="M12" s="36"/>
      <c r="N12" s="36"/>
      <c r="O12" s="36"/>
      <c r="P12" s="36"/>
      <c r="Q12" s="36"/>
      <c r="R12" s="36"/>
      <c r="S12" s="27"/>
      <c r="T12" s="27"/>
    </row>
    <row r="13" spans="1:21" x14ac:dyDescent="0.25">
      <c r="E13" s="45"/>
      <c r="J13" s="104"/>
      <c r="K13" s="29"/>
      <c r="L13" s="36"/>
      <c r="M13" s="36"/>
      <c r="N13" s="36"/>
      <c r="O13" s="36"/>
      <c r="P13" s="36"/>
      <c r="Q13" s="36"/>
      <c r="R13" s="36"/>
      <c r="S13" s="27"/>
      <c r="T13" s="27"/>
    </row>
  </sheetData>
  <conditionalFormatting sqref="K3:K13">
    <cfRule type="cellIs" dxfId="1" priority="1" operator="greaterThan">
      <formula>7</formula>
    </cfRule>
  </conditionalFormatting>
  <conditionalFormatting sqref="S3:T13">
    <cfRule type="cellIs" dxfId="0" priority="2" operator="greaterThan">
      <formula>12.5</formula>
    </cfRule>
  </conditionalFormatting>
  <conditionalFormatting sqref="L3:R1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W29"/>
  <sheetViews>
    <sheetView zoomScale="110" workbookViewId="0">
      <selection activeCell="C15" sqref="C15"/>
    </sheetView>
  </sheetViews>
  <sheetFormatPr baseColWidth="10" defaultColWidth="10.7109375" defaultRowHeight="15" x14ac:dyDescent="0.25"/>
  <cols>
    <col min="1" max="1" width="23.28515625" style="42" customWidth="1"/>
    <col min="2" max="2" width="10.85546875" style="42" customWidth="1"/>
    <col min="3" max="3" width="14.140625" style="42" customWidth="1"/>
    <col min="4" max="4" width="9.85546875" style="42" customWidth="1"/>
    <col min="5" max="6" width="14.140625" style="42" customWidth="1"/>
    <col min="7" max="7" width="5.7109375" style="42" customWidth="1"/>
    <col min="8" max="8" width="9.28515625" style="42" customWidth="1"/>
    <col min="9" max="9" width="10.5703125" style="42" customWidth="1"/>
    <col min="10" max="10" width="9.28515625" style="42" customWidth="1"/>
    <col min="11" max="11" width="10.5703125" style="42" customWidth="1"/>
    <col min="12" max="12" width="8.5703125" style="42" customWidth="1"/>
    <col min="13" max="14" width="6.140625" style="42" customWidth="1"/>
    <col min="15" max="15" width="7.42578125" style="42" customWidth="1"/>
    <col min="16" max="18" width="4.5703125" style="42" customWidth="1"/>
    <col min="19" max="19" width="4.140625" style="42" customWidth="1"/>
    <col min="20" max="21" width="4.5703125" style="42" customWidth="1"/>
    <col min="22" max="22" width="27" style="42" customWidth="1"/>
    <col min="23" max="23" width="11.7109375" style="42" customWidth="1"/>
  </cols>
  <sheetData>
    <row r="1" spans="1:23" x14ac:dyDescent="0.25">
      <c r="A1" s="351" t="s">
        <v>797</v>
      </c>
      <c r="B1" s="351" t="s">
        <v>203</v>
      </c>
      <c r="C1" s="351" t="s">
        <v>204</v>
      </c>
      <c r="D1" s="351" t="s">
        <v>205</v>
      </c>
      <c r="E1" s="351" t="s">
        <v>206</v>
      </c>
      <c r="F1" s="351" t="s">
        <v>207</v>
      </c>
      <c r="G1" s="351" t="s">
        <v>208</v>
      </c>
      <c r="H1" s="351" t="s">
        <v>123</v>
      </c>
      <c r="I1" s="351" t="s">
        <v>209</v>
      </c>
      <c r="J1" s="351" t="s">
        <v>210</v>
      </c>
      <c r="K1" s="351" t="s">
        <v>211</v>
      </c>
      <c r="L1" s="351" t="s">
        <v>212</v>
      </c>
      <c r="M1" s="351" t="s">
        <v>213</v>
      </c>
      <c r="N1" s="351" t="s">
        <v>214</v>
      </c>
      <c r="O1" s="351" t="s">
        <v>215</v>
      </c>
      <c r="P1" s="351" t="s">
        <v>190</v>
      </c>
      <c r="Q1" s="351" t="s">
        <v>170</v>
      </c>
      <c r="R1" s="351" t="s">
        <v>162</v>
      </c>
      <c r="S1" s="351" t="s">
        <v>200</v>
      </c>
      <c r="T1" s="351" t="s">
        <v>159</v>
      </c>
      <c r="U1" s="351" t="s">
        <v>216</v>
      </c>
      <c r="V1" s="351" t="s">
        <v>217</v>
      </c>
      <c r="W1" s="351" t="s">
        <v>218</v>
      </c>
    </row>
    <row r="2" spans="1:23" x14ac:dyDescent="0.25">
      <c r="A2" s="42" t="s">
        <v>798</v>
      </c>
      <c r="B2" s="113">
        <v>39966</v>
      </c>
      <c r="C2" s="42" t="s">
        <v>232</v>
      </c>
      <c r="D2" s="42" t="s">
        <v>799</v>
      </c>
      <c r="E2" s="240">
        <v>660831042</v>
      </c>
      <c r="F2" s="240">
        <v>719932639</v>
      </c>
      <c r="G2" s="42">
        <v>1957</v>
      </c>
      <c r="H2" s="241">
        <v>1498610</v>
      </c>
      <c r="I2" s="240">
        <v>567506</v>
      </c>
      <c r="J2" s="241">
        <v>1394210</v>
      </c>
      <c r="K2" s="240">
        <v>502888</v>
      </c>
      <c r="L2" s="36">
        <v>6</v>
      </c>
      <c r="M2" s="36">
        <v>7</v>
      </c>
      <c r="N2" s="36">
        <v>9.25</v>
      </c>
      <c r="O2" s="42" t="s">
        <v>800</v>
      </c>
      <c r="P2" s="42">
        <v>1</v>
      </c>
      <c r="Q2" s="42">
        <v>3</v>
      </c>
      <c r="R2" s="42">
        <v>1</v>
      </c>
      <c r="S2" s="42">
        <v>0</v>
      </c>
      <c r="T2" s="42">
        <v>1</v>
      </c>
      <c r="U2" s="42">
        <f t="shared" ref="U2:U9" si="0">SUM(P2:T2)</f>
        <v>6</v>
      </c>
      <c r="V2" s="42" t="s">
        <v>801</v>
      </c>
      <c r="W2" s="42" t="s">
        <v>802</v>
      </c>
    </row>
    <row r="3" spans="1:23" x14ac:dyDescent="0.25">
      <c r="A3" s="42" t="s">
        <v>803</v>
      </c>
      <c r="B3" s="113">
        <v>40045</v>
      </c>
      <c r="C3" s="42" t="s">
        <v>823</v>
      </c>
      <c r="D3" s="42" t="s">
        <v>256</v>
      </c>
      <c r="E3" s="240">
        <v>611700702</v>
      </c>
      <c r="F3" s="240">
        <v>646447378</v>
      </c>
      <c r="G3" s="42">
        <v>1082</v>
      </c>
      <c r="H3" s="241">
        <v>712010</v>
      </c>
      <c r="I3" s="240">
        <v>181102</v>
      </c>
      <c r="J3" s="241">
        <v>705200</v>
      </c>
      <c r="K3" s="240">
        <v>178568</v>
      </c>
      <c r="L3" s="36">
        <v>6</v>
      </c>
      <c r="M3" s="36">
        <v>6.25</v>
      </c>
      <c r="N3" s="36">
        <v>6.75</v>
      </c>
      <c r="O3" s="42" t="s">
        <v>828</v>
      </c>
      <c r="P3" s="42">
        <v>1</v>
      </c>
      <c r="Q3" s="42">
        <v>3</v>
      </c>
      <c r="R3" s="42">
        <v>1</v>
      </c>
      <c r="S3" s="42">
        <v>1</v>
      </c>
      <c r="T3" s="42">
        <v>2</v>
      </c>
      <c r="U3" s="42">
        <f t="shared" si="0"/>
        <v>8</v>
      </c>
      <c r="V3" s="42" t="s">
        <v>801</v>
      </c>
      <c r="W3" s="42" t="s">
        <v>804</v>
      </c>
    </row>
    <row r="4" spans="1:23" x14ac:dyDescent="0.25">
      <c r="A4" s="42" t="s">
        <v>805</v>
      </c>
      <c r="B4" s="113">
        <v>39067</v>
      </c>
      <c r="C4" s="42" t="s">
        <v>806</v>
      </c>
      <c r="D4" s="42" t="s">
        <v>807</v>
      </c>
      <c r="E4" s="240">
        <v>285573364</v>
      </c>
      <c r="F4" s="240">
        <v>326420263</v>
      </c>
      <c r="G4" s="42">
        <v>589</v>
      </c>
      <c r="H4" s="241">
        <v>2218860</v>
      </c>
      <c r="I4" s="240">
        <v>406454</v>
      </c>
      <c r="J4" s="241">
        <v>2207750</v>
      </c>
      <c r="K4" s="240">
        <v>403510</v>
      </c>
      <c r="L4" s="36">
        <v>6</v>
      </c>
      <c r="M4" s="36">
        <v>6</v>
      </c>
      <c r="N4" s="36">
        <v>6.75</v>
      </c>
      <c r="O4" s="42" t="s">
        <v>808</v>
      </c>
      <c r="P4" s="42">
        <v>1</v>
      </c>
      <c r="Q4" s="42">
        <v>1</v>
      </c>
      <c r="R4" s="42">
        <v>1</v>
      </c>
      <c r="S4" s="42">
        <v>0</v>
      </c>
      <c r="T4" s="42">
        <v>1</v>
      </c>
      <c r="U4" s="42">
        <f t="shared" si="0"/>
        <v>4</v>
      </c>
      <c r="V4" s="42" t="s">
        <v>801</v>
      </c>
      <c r="W4" s="42">
        <v>352</v>
      </c>
    </row>
    <row r="5" spans="1:23" x14ac:dyDescent="0.25">
      <c r="A5" s="42" t="s">
        <v>809</v>
      </c>
      <c r="B5" s="113">
        <v>39248</v>
      </c>
      <c r="C5" s="42" t="s">
        <v>248</v>
      </c>
      <c r="D5" s="42" t="s">
        <v>810</v>
      </c>
      <c r="E5" s="240">
        <v>341496415</v>
      </c>
      <c r="F5" s="240">
        <v>390590858</v>
      </c>
      <c r="G5" s="42">
        <v>1273</v>
      </c>
      <c r="H5" s="241">
        <v>1354780</v>
      </c>
      <c r="I5" s="240">
        <v>346236</v>
      </c>
      <c r="J5" s="241">
        <v>1280580</v>
      </c>
      <c r="K5" s="240">
        <v>307364</v>
      </c>
      <c r="L5" s="36">
        <v>6</v>
      </c>
      <c r="M5" s="36">
        <v>5.75</v>
      </c>
      <c r="N5" s="36">
        <v>10</v>
      </c>
      <c r="O5" s="42" t="s">
        <v>811</v>
      </c>
      <c r="P5" s="42">
        <v>3</v>
      </c>
      <c r="Q5" s="42">
        <v>3</v>
      </c>
      <c r="R5" s="42">
        <v>1</v>
      </c>
      <c r="S5" s="42">
        <v>1</v>
      </c>
      <c r="T5" s="42">
        <v>3</v>
      </c>
      <c r="U5" s="42">
        <f t="shared" si="0"/>
        <v>11</v>
      </c>
      <c r="V5" s="42" t="s">
        <v>812</v>
      </c>
      <c r="W5" s="42">
        <v>352</v>
      </c>
    </row>
    <row r="6" spans="1:23" x14ac:dyDescent="0.25">
      <c r="A6" s="42" t="s">
        <v>813</v>
      </c>
      <c r="B6" s="113">
        <v>42724</v>
      </c>
      <c r="C6" s="42" t="s">
        <v>243</v>
      </c>
      <c r="D6" s="42" t="s">
        <v>814</v>
      </c>
      <c r="E6" s="240">
        <v>51840220</v>
      </c>
      <c r="F6" s="240">
        <v>37476063</v>
      </c>
      <c r="G6" s="42">
        <v>344</v>
      </c>
      <c r="H6" s="241">
        <v>2110120</v>
      </c>
      <c r="I6" s="240">
        <v>345690</v>
      </c>
      <c r="J6" s="241">
        <v>1826850</v>
      </c>
      <c r="K6" s="240">
        <v>275318</v>
      </c>
      <c r="L6" s="36">
        <v>6</v>
      </c>
      <c r="M6" s="36">
        <v>7.25</v>
      </c>
      <c r="N6" s="36">
        <v>7.75</v>
      </c>
      <c r="O6" s="42" t="s">
        <v>283</v>
      </c>
      <c r="P6" s="42">
        <v>2</v>
      </c>
      <c r="Q6" s="42">
        <v>3</v>
      </c>
      <c r="R6" s="42">
        <v>4</v>
      </c>
      <c r="S6" s="42">
        <v>0</v>
      </c>
      <c r="T6" s="42">
        <v>2</v>
      </c>
      <c r="U6" s="42">
        <f t="shared" si="0"/>
        <v>11</v>
      </c>
      <c r="V6" s="42" t="s">
        <v>815</v>
      </c>
      <c r="W6" s="42" t="s">
        <v>816</v>
      </c>
    </row>
    <row r="7" spans="1:23" x14ac:dyDescent="0.25">
      <c r="A7" s="42" t="s">
        <v>817</v>
      </c>
      <c r="B7" s="113">
        <v>39413</v>
      </c>
      <c r="C7" s="42" t="s">
        <v>818</v>
      </c>
      <c r="D7" s="42" t="s">
        <v>819</v>
      </c>
      <c r="E7" s="240">
        <v>310869731</v>
      </c>
      <c r="F7" s="240">
        <v>313072470</v>
      </c>
      <c r="G7" s="42">
        <v>496</v>
      </c>
      <c r="H7" s="241">
        <v>930840</v>
      </c>
      <c r="I7" s="240">
        <v>178784</v>
      </c>
      <c r="J7" s="241">
        <v>844690</v>
      </c>
      <c r="K7" s="240">
        <v>159764</v>
      </c>
      <c r="L7" s="36">
        <v>6.25</v>
      </c>
      <c r="M7" s="36">
        <v>7.25</v>
      </c>
      <c r="N7" s="36">
        <v>6.75</v>
      </c>
      <c r="O7" s="42" t="s">
        <v>820</v>
      </c>
      <c r="P7" s="42">
        <v>0</v>
      </c>
      <c r="Q7" s="42">
        <v>3</v>
      </c>
      <c r="R7" s="42">
        <v>1</v>
      </c>
      <c r="S7" s="42">
        <v>1</v>
      </c>
      <c r="T7" s="42">
        <v>2</v>
      </c>
      <c r="U7" s="42">
        <f t="shared" si="0"/>
        <v>7</v>
      </c>
      <c r="V7" s="42" t="s">
        <v>821</v>
      </c>
      <c r="W7" s="42">
        <v>352</v>
      </c>
    </row>
    <row r="8" spans="1:23" x14ac:dyDescent="0.25">
      <c r="A8" s="42" t="s">
        <v>822</v>
      </c>
      <c r="B8" s="113">
        <v>39396</v>
      </c>
      <c r="C8" s="42" t="s">
        <v>823</v>
      </c>
      <c r="D8" s="42" t="s">
        <v>824</v>
      </c>
      <c r="E8" s="240">
        <v>350603253</v>
      </c>
      <c r="F8" s="240">
        <v>392730172</v>
      </c>
      <c r="G8" s="42">
        <v>927</v>
      </c>
      <c r="H8" s="241">
        <v>1238970</v>
      </c>
      <c r="I8" s="240">
        <v>330288</v>
      </c>
      <c r="J8" s="241">
        <v>1173940</v>
      </c>
      <c r="K8" s="240">
        <v>300720</v>
      </c>
      <c r="L8" s="36">
        <v>5.75</v>
      </c>
      <c r="M8" s="36">
        <v>6.5</v>
      </c>
      <c r="N8" s="36">
        <v>10.25</v>
      </c>
      <c r="O8" s="42" t="s">
        <v>825</v>
      </c>
      <c r="P8" s="42">
        <v>2</v>
      </c>
      <c r="Q8" s="42">
        <v>3</v>
      </c>
      <c r="R8" s="42">
        <v>2</v>
      </c>
      <c r="S8" s="42">
        <v>2</v>
      </c>
      <c r="T8" s="42">
        <v>0</v>
      </c>
      <c r="U8" s="42">
        <f t="shared" si="0"/>
        <v>9</v>
      </c>
      <c r="V8" s="42" t="s">
        <v>801</v>
      </c>
      <c r="W8" s="42">
        <v>352</v>
      </c>
    </row>
    <row r="9" spans="1:23" x14ac:dyDescent="0.25">
      <c r="A9" s="42" t="s">
        <v>255</v>
      </c>
      <c r="B9" s="113">
        <v>40792</v>
      </c>
      <c r="C9" s="42" t="s">
        <v>248</v>
      </c>
      <c r="D9" s="42" t="s">
        <v>256</v>
      </c>
      <c r="E9" s="240">
        <v>320425896</v>
      </c>
      <c r="F9" s="240">
        <v>323175820</v>
      </c>
      <c r="G9" s="42">
        <v>930</v>
      </c>
      <c r="H9" s="241">
        <v>2983360</v>
      </c>
      <c r="I9" s="240">
        <v>400864</v>
      </c>
      <c r="J9" s="241">
        <v>2563140</v>
      </c>
      <c r="K9" s="240">
        <v>292382</v>
      </c>
      <c r="L9" s="36">
        <v>6</v>
      </c>
      <c r="M9" s="36">
        <v>7</v>
      </c>
      <c r="N9" s="36">
        <v>8.25</v>
      </c>
      <c r="O9" s="42" t="s">
        <v>826</v>
      </c>
      <c r="P9" s="42">
        <v>0</v>
      </c>
      <c r="Q9" s="42">
        <v>0</v>
      </c>
      <c r="R9" s="42">
        <v>3</v>
      </c>
      <c r="S9" s="42">
        <v>0</v>
      </c>
      <c r="T9" s="42">
        <v>3</v>
      </c>
      <c r="U9" s="42">
        <f t="shared" si="0"/>
        <v>6</v>
      </c>
      <c r="V9" s="42" t="s">
        <v>827</v>
      </c>
      <c r="W9" s="42" t="s">
        <v>280</v>
      </c>
    </row>
    <row r="11" spans="1:23" x14ac:dyDescent="0.25">
      <c r="A11" s="239" t="s">
        <v>202</v>
      </c>
      <c r="B11" s="239" t="s">
        <v>203</v>
      </c>
      <c r="C11" s="239" t="s">
        <v>204</v>
      </c>
      <c r="D11" s="239" t="s">
        <v>205</v>
      </c>
      <c r="E11" s="239" t="s">
        <v>206</v>
      </c>
      <c r="F11" s="239" t="s">
        <v>207</v>
      </c>
      <c r="G11" s="239" t="s">
        <v>208</v>
      </c>
      <c r="H11" s="239" t="s">
        <v>123</v>
      </c>
      <c r="I11" s="239" t="s">
        <v>209</v>
      </c>
      <c r="J11" s="239" t="s">
        <v>210</v>
      </c>
      <c r="K11" s="239" t="s">
        <v>211</v>
      </c>
      <c r="L11" s="239" t="s">
        <v>212</v>
      </c>
      <c r="M11" s="239" t="s">
        <v>213</v>
      </c>
      <c r="N11" s="239" t="s">
        <v>214</v>
      </c>
      <c r="O11" s="239" t="s">
        <v>215</v>
      </c>
      <c r="P11" s="239" t="s">
        <v>190</v>
      </c>
      <c r="Q11" s="239" t="s">
        <v>170</v>
      </c>
      <c r="R11" s="239" t="s">
        <v>162</v>
      </c>
      <c r="S11" s="239" t="s">
        <v>200</v>
      </c>
      <c r="T11" s="239" t="s">
        <v>159</v>
      </c>
      <c r="U11" s="239" t="s">
        <v>216</v>
      </c>
      <c r="V11" s="239" t="s">
        <v>217</v>
      </c>
      <c r="W11" s="239" t="s">
        <v>218</v>
      </c>
    </row>
    <row r="12" spans="1:23" x14ac:dyDescent="0.25">
      <c r="A12" s="42" t="s">
        <v>219</v>
      </c>
      <c r="B12" s="113">
        <v>41884</v>
      </c>
      <c r="C12" s="42" t="s">
        <v>220</v>
      </c>
      <c r="D12" s="42" t="s">
        <v>221</v>
      </c>
      <c r="E12" s="240">
        <v>47129110</v>
      </c>
      <c r="F12" s="240">
        <v>36220760</v>
      </c>
      <c r="G12" s="42">
        <v>115</v>
      </c>
      <c r="H12" s="241">
        <v>1109350</v>
      </c>
      <c r="I12" s="240">
        <v>294908</v>
      </c>
      <c r="J12" s="241">
        <v>1036370</v>
      </c>
      <c r="K12" s="240">
        <v>264270</v>
      </c>
      <c r="L12" s="42">
        <v>5.5</v>
      </c>
      <c r="M12" s="42">
        <v>6.5</v>
      </c>
      <c r="N12" s="42">
        <v>5.5</v>
      </c>
      <c r="O12" s="42" t="s">
        <v>222</v>
      </c>
      <c r="P12" s="42">
        <v>0</v>
      </c>
      <c r="Q12" s="42">
        <v>5</v>
      </c>
      <c r="R12" s="42">
        <v>0</v>
      </c>
      <c r="S12" s="42">
        <v>1</v>
      </c>
      <c r="T12" s="42">
        <v>5</v>
      </c>
      <c r="U12" s="42">
        <f t="shared" ref="U12:U19" si="1">SUM(P12:T12)</f>
        <v>11</v>
      </c>
      <c r="V12" s="42" t="s">
        <v>223</v>
      </c>
      <c r="W12" s="42" t="s">
        <v>224</v>
      </c>
    </row>
    <row r="13" spans="1:23" x14ac:dyDescent="0.25">
      <c r="A13" s="42" t="s">
        <v>225</v>
      </c>
      <c r="B13" s="113">
        <v>39559</v>
      </c>
      <c r="C13" s="42" t="s">
        <v>226</v>
      </c>
      <c r="D13" s="42" t="s">
        <v>227</v>
      </c>
      <c r="E13" s="240">
        <v>256348598</v>
      </c>
      <c r="F13" s="240">
        <v>272162542</v>
      </c>
      <c r="G13" s="42">
        <v>482</v>
      </c>
      <c r="H13" s="241">
        <v>1213540</v>
      </c>
      <c r="I13" s="240">
        <v>226018</v>
      </c>
      <c r="J13" s="241">
        <v>1085590</v>
      </c>
      <c r="K13" s="240">
        <v>181988</v>
      </c>
      <c r="L13" s="42">
        <v>5.75</v>
      </c>
      <c r="M13" s="42">
        <v>6.75</v>
      </c>
      <c r="N13" s="42">
        <v>4.5</v>
      </c>
      <c r="O13" s="42" t="s">
        <v>228</v>
      </c>
      <c r="P13" s="42">
        <v>0</v>
      </c>
      <c r="Q13" s="42">
        <v>1</v>
      </c>
      <c r="R13" s="42">
        <v>1</v>
      </c>
      <c r="S13" s="42">
        <v>1</v>
      </c>
      <c r="T13" s="42">
        <v>1</v>
      </c>
      <c r="U13" s="42">
        <f t="shared" si="1"/>
        <v>4</v>
      </c>
      <c r="V13" s="42" t="s">
        <v>229</v>
      </c>
      <c r="W13" s="42" t="s">
        <v>230</v>
      </c>
    </row>
    <row r="14" spans="1:23" x14ac:dyDescent="0.25">
      <c r="A14" s="42" t="s">
        <v>231</v>
      </c>
      <c r="B14" s="113">
        <v>42028</v>
      </c>
      <c r="C14" s="42" t="s">
        <v>232</v>
      </c>
      <c r="D14" s="42" t="s">
        <v>233</v>
      </c>
      <c r="E14" s="240">
        <v>90598139</v>
      </c>
      <c r="F14" s="240">
        <v>95834988</v>
      </c>
      <c r="G14" s="42">
        <v>246</v>
      </c>
      <c r="H14" s="241">
        <v>1323480</v>
      </c>
      <c r="I14" s="240">
        <v>367712</v>
      </c>
      <c r="J14" s="241">
        <v>1200260</v>
      </c>
      <c r="K14" s="240">
        <v>313134</v>
      </c>
      <c r="L14" s="42">
        <v>6</v>
      </c>
      <c r="M14" s="42">
        <v>6</v>
      </c>
      <c r="N14" s="42">
        <v>5.5</v>
      </c>
      <c r="O14" s="42" t="s">
        <v>234</v>
      </c>
      <c r="P14" s="42">
        <v>2</v>
      </c>
      <c r="Q14" s="42">
        <v>1</v>
      </c>
      <c r="R14" s="42">
        <v>0</v>
      </c>
      <c r="S14" s="42">
        <v>3</v>
      </c>
      <c r="T14" s="42">
        <v>0</v>
      </c>
      <c r="U14" s="42">
        <f t="shared" si="1"/>
        <v>6</v>
      </c>
      <c r="V14" s="42" t="s">
        <v>235</v>
      </c>
      <c r="W14" s="42" t="s">
        <v>236</v>
      </c>
    </row>
    <row r="15" spans="1:23" x14ac:dyDescent="0.25">
      <c r="A15" s="42" t="s">
        <v>237</v>
      </c>
      <c r="B15" s="113">
        <v>39638</v>
      </c>
      <c r="C15" s="42" t="s">
        <v>232</v>
      </c>
      <c r="D15" s="42" t="s">
        <v>238</v>
      </c>
      <c r="E15" s="240">
        <v>101904410</v>
      </c>
      <c r="F15" s="240">
        <v>106728274</v>
      </c>
      <c r="G15" s="42">
        <v>369</v>
      </c>
      <c r="H15" s="241">
        <v>1091490</v>
      </c>
      <c r="I15" s="240">
        <v>314820</v>
      </c>
      <c r="J15" s="241">
        <v>1035660</v>
      </c>
      <c r="K15" s="240">
        <v>295298</v>
      </c>
      <c r="L15" s="42">
        <v>5.25</v>
      </c>
      <c r="M15" s="42">
        <v>5</v>
      </c>
      <c r="N15" s="42">
        <v>6.25</v>
      </c>
      <c r="O15" s="42" t="s">
        <v>239</v>
      </c>
      <c r="P15" s="42">
        <v>0</v>
      </c>
      <c r="Q15" s="42">
        <v>2</v>
      </c>
      <c r="R15" s="42">
        <v>0</v>
      </c>
      <c r="S15" s="42">
        <v>2</v>
      </c>
      <c r="T15" s="42">
        <v>0</v>
      </c>
      <c r="U15" s="42">
        <f t="shared" si="1"/>
        <v>4</v>
      </c>
      <c r="V15" s="42" t="s">
        <v>240</v>
      </c>
      <c r="W15" s="42" t="s">
        <v>241</v>
      </c>
    </row>
    <row r="16" spans="1:23" x14ac:dyDescent="0.25">
      <c r="A16" s="42" t="s">
        <v>242</v>
      </c>
      <c r="B16" s="113">
        <v>38176</v>
      </c>
      <c r="C16" s="42" t="s">
        <v>243</v>
      </c>
      <c r="D16" s="42" t="s">
        <v>227</v>
      </c>
      <c r="E16" s="240">
        <v>114552212</v>
      </c>
      <c r="F16" s="240">
        <v>106068085</v>
      </c>
      <c r="G16" s="42">
        <v>332</v>
      </c>
      <c r="H16" s="241">
        <v>613770</v>
      </c>
      <c r="I16" s="240">
        <v>214342</v>
      </c>
      <c r="J16" s="241">
        <v>594970</v>
      </c>
      <c r="K16" s="240">
        <v>196056</v>
      </c>
      <c r="L16" s="42">
        <v>5.75</v>
      </c>
      <c r="M16" s="42">
        <v>6.5</v>
      </c>
      <c r="N16" s="42">
        <v>5.25</v>
      </c>
      <c r="O16" s="42" t="s">
        <v>244</v>
      </c>
      <c r="P16" s="42">
        <v>0</v>
      </c>
      <c r="Q16" s="42">
        <v>2</v>
      </c>
      <c r="R16" s="42">
        <v>2</v>
      </c>
      <c r="S16" s="42">
        <v>0</v>
      </c>
      <c r="T16" s="42">
        <v>0</v>
      </c>
      <c r="U16" s="42">
        <f t="shared" si="1"/>
        <v>4</v>
      </c>
      <c r="V16" s="42" t="s">
        <v>245</v>
      </c>
      <c r="W16" s="42" t="s">
        <v>246</v>
      </c>
    </row>
    <row r="17" spans="1:23" x14ac:dyDescent="0.25">
      <c r="A17" s="42" t="s">
        <v>247</v>
      </c>
      <c r="B17" s="113">
        <v>37938</v>
      </c>
      <c r="C17" s="42" t="s">
        <v>248</v>
      </c>
      <c r="D17" s="42" t="s">
        <v>227</v>
      </c>
      <c r="E17" s="240">
        <v>152808114</v>
      </c>
      <c r="F17" s="240">
        <v>152569289</v>
      </c>
      <c r="G17" s="42">
        <v>454</v>
      </c>
      <c r="H17" s="241">
        <v>735430</v>
      </c>
      <c r="I17" s="240">
        <v>218146</v>
      </c>
      <c r="J17" s="241">
        <v>656840</v>
      </c>
      <c r="K17" s="240">
        <v>183738</v>
      </c>
      <c r="L17" s="42">
        <v>6.25</v>
      </c>
      <c r="M17" s="42">
        <v>6.5</v>
      </c>
      <c r="N17" s="42">
        <v>5.5</v>
      </c>
      <c r="O17" s="42" t="s">
        <v>249</v>
      </c>
      <c r="P17" s="42">
        <v>0</v>
      </c>
      <c r="Q17" s="42">
        <v>0</v>
      </c>
      <c r="R17" s="42">
        <v>0</v>
      </c>
      <c r="S17" s="42">
        <v>2</v>
      </c>
      <c r="T17" s="42">
        <v>1</v>
      </c>
      <c r="U17" s="42">
        <f t="shared" si="1"/>
        <v>3</v>
      </c>
      <c r="V17" s="42" t="s">
        <v>250</v>
      </c>
      <c r="W17" s="42">
        <v>352</v>
      </c>
    </row>
    <row r="18" spans="1:23" x14ac:dyDescent="0.25">
      <c r="A18" s="42" t="s">
        <v>251</v>
      </c>
      <c r="B18" s="113">
        <v>40968</v>
      </c>
      <c r="C18" s="42" t="s">
        <v>243</v>
      </c>
      <c r="D18" s="42" t="s">
        <v>252</v>
      </c>
      <c r="E18" s="240">
        <v>37248599</v>
      </c>
      <c r="F18" s="240">
        <v>18434858</v>
      </c>
      <c r="G18" s="42">
        <v>83</v>
      </c>
      <c r="H18" s="241">
        <v>926910</v>
      </c>
      <c r="I18" s="240">
        <v>175590</v>
      </c>
      <c r="J18" s="241">
        <v>811840</v>
      </c>
      <c r="K18" s="240">
        <v>152758</v>
      </c>
      <c r="L18" s="42">
        <v>6</v>
      </c>
      <c r="M18" s="42">
        <v>5.75</v>
      </c>
      <c r="N18" s="42">
        <v>5.75</v>
      </c>
      <c r="O18" s="42" t="s">
        <v>253</v>
      </c>
      <c r="P18" s="42">
        <v>1</v>
      </c>
      <c r="Q18" s="42">
        <v>0</v>
      </c>
      <c r="R18" s="42">
        <v>2</v>
      </c>
      <c r="S18" s="42">
        <v>4</v>
      </c>
      <c r="T18" s="42">
        <v>1</v>
      </c>
      <c r="U18" s="42">
        <f t="shared" si="1"/>
        <v>8</v>
      </c>
      <c r="V18" s="42" t="s">
        <v>254</v>
      </c>
      <c r="W18" s="42" t="s">
        <v>224</v>
      </c>
    </row>
    <row r="19" spans="1:23" x14ac:dyDescent="0.25">
      <c r="A19" s="42" t="s">
        <v>255</v>
      </c>
      <c r="B19" s="113">
        <v>40792</v>
      </c>
      <c r="C19" s="42" t="s">
        <v>248</v>
      </c>
      <c r="D19" s="42" t="s">
        <v>256</v>
      </c>
      <c r="E19" s="240">
        <v>276071009</v>
      </c>
      <c r="F19" s="240">
        <v>299255460</v>
      </c>
      <c r="G19" s="42">
        <v>893</v>
      </c>
      <c r="H19" s="241">
        <v>1389140</v>
      </c>
      <c r="I19" s="240">
        <v>226850</v>
      </c>
      <c r="J19" s="241">
        <v>1203640</v>
      </c>
      <c r="K19" s="240">
        <v>176410</v>
      </c>
      <c r="L19" s="42">
        <v>5.25</v>
      </c>
      <c r="M19" s="42">
        <v>6.25</v>
      </c>
      <c r="N19" s="42">
        <v>4.5</v>
      </c>
      <c r="O19" s="42" t="s">
        <v>257</v>
      </c>
      <c r="P19" s="42">
        <v>1</v>
      </c>
      <c r="Q19" s="42">
        <v>1</v>
      </c>
      <c r="R19" s="42">
        <v>3</v>
      </c>
      <c r="S19" s="42">
        <v>0</v>
      </c>
      <c r="T19" s="42">
        <v>6</v>
      </c>
      <c r="U19" s="42">
        <f t="shared" si="1"/>
        <v>11</v>
      </c>
      <c r="V19" s="42" t="s">
        <v>258</v>
      </c>
      <c r="W19" s="42" t="s">
        <v>259</v>
      </c>
    </row>
    <row r="21" spans="1:23" x14ac:dyDescent="0.25">
      <c r="A21" s="239" t="s">
        <v>260</v>
      </c>
      <c r="B21" s="239" t="s">
        <v>203</v>
      </c>
      <c r="C21" s="239" t="s">
        <v>204</v>
      </c>
      <c r="D21" s="239" t="s">
        <v>205</v>
      </c>
      <c r="E21" s="239" t="s">
        <v>206</v>
      </c>
      <c r="F21" s="239" t="s">
        <v>207</v>
      </c>
      <c r="G21" s="239" t="s">
        <v>208</v>
      </c>
      <c r="H21" s="239" t="s">
        <v>123</v>
      </c>
      <c r="I21" s="239" t="s">
        <v>209</v>
      </c>
      <c r="J21" s="239" t="s">
        <v>210</v>
      </c>
      <c r="K21" s="239" t="s">
        <v>211</v>
      </c>
      <c r="L21" s="239" t="s">
        <v>212</v>
      </c>
      <c r="M21" s="239" t="s">
        <v>213</v>
      </c>
      <c r="N21" s="239" t="s">
        <v>214</v>
      </c>
      <c r="O21" s="239" t="s">
        <v>215</v>
      </c>
      <c r="P21" s="239" t="s">
        <v>190</v>
      </c>
      <c r="Q21" s="239" t="s">
        <v>170</v>
      </c>
      <c r="R21" s="239" t="s">
        <v>162</v>
      </c>
      <c r="S21" s="239" t="s">
        <v>200</v>
      </c>
      <c r="T21" s="239" t="s">
        <v>159</v>
      </c>
      <c r="U21" s="239" t="s">
        <v>216</v>
      </c>
      <c r="V21" s="239" t="s">
        <v>217</v>
      </c>
      <c r="W21" s="239" t="s">
        <v>218</v>
      </c>
    </row>
    <row r="22" spans="1:23" x14ac:dyDescent="0.25">
      <c r="A22" s="42" t="s">
        <v>261</v>
      </c>
      <c r="B22" s="113">
        <v>42188</v>
      </c>
      <c r="C22" s="42" t="s">
        <v>262</v>
      </c>
      <c r="D22" s="42" t="s">
        <v>263</v>
      </c>
      <c r="E22" s="240">
        <v>82460995</v>
      </c>
      <c r="F22" s="240">
        <v>96298020</v>
      </c>
      <c r="G22" s="42">
        <v>203</v>
      </c>
      <c r="H22" s="241">
        <v>815450</v>
      </c>
      <c r="I22" s="240">
        <v>255716</v>
      </c>
      <c r="J22" s="241">
        <v>694460</v>
      </c>
      <c r="K22" s="240">
        <v>181616</v>
      </c>
      <c r="L22" s="42">
        <v>5.5</v>
      </c>
      <c r="M22" s="42">
        <v>6.25</v>
      </c>
      <c r="N22" s="42">
        <v>5.5</v>
      </c>
      <c r="O22" s="42" t="s">
        <v>222</v>
      </c>
      <c r="P22" s="42">
        <v>2</v>
      </c>
      <c r="Q22" s="42">
        <v>1</v>
      </c>
      <c r="R22" s="42">
        <v>2</v>
      </c>
      <c r="S22" s="42">
        <v>1</v>
      </c>
      <c r="T22" s="42">
        <v>0</v>
      </c>
      <c r="U22" s="42">
        <f t="shared" ref="U22:U29" si="2">SUM(P22:T22)</f>
        <v>6</v>
      </c>
      <c r="V22" s="42" t="s">
        <v>250</v>
      </c>
      <c r="W22" s="42" t="s">
        <v>264</v>
      </c>
    </row>
    <row r="23" spans="1:23" x14ac:dyDescent="0.25">
      <c r="A23" s="42" t="s">
        <v>265</v>
      </c>
      <c r="B23" s="113">
        <v>41373</v>
      </c>
      <c r="C23" s="42" t="s">
        <v>266</v>
      </c>
      <c r="D23" s="42" t="s">
        <v>267</v>
      </c>
      <c r="E23" s="240">
        <v>60889118</v>
      </c>
      <c r="F23" s="240">
        <v>48697720</v>
      </c>
      <c r="G23" s="42">
        <v>89</v>
      </c>
      <c r="H23" s="241">
        <v>1177340</v>
      </c>
      <c r="I23" s="240">
        <v>300932</v>
      </c>
      <c r="J23" s="241">
        <v>1140440</v>
      </c>
      <c r="K23" s="240">
        <v>291780</v>
      </c>
      <c r="L23" s="42">
        <v>5.75</v>
      </c>
      <c r="M23" s="42">
        <v>6.25</v>
      </c>
      <c r="N23" s="42">
        <v>6.5</v>
      </c>
      <c r="O23" s="42" t="s">
        <v>234</v>
      </c>
      <c r="P23" s="42">
        <v>0</v>
      </c>
      <c r="Q23" s="42">
        <v>1</v>
      </c>
      <c r="R23" s="42">
        <v>0</v>
      </c>
      <c r="S23" s="42">
        <v>1</v>
      </c>
      <c r="T23" s="42">
        <v>0</v>
      </c>
      <c r="U23" s="42">
        <f t="shared" si="2"/>
        <v>2</v>
      </c>
      <c r="V23" s="42" t="s">
        <v>268</v>
      </c>
      <c r="W23" s="42">
        <v>352</v>
      </c>
    </row>
    <row r="24" spans="1:23" x14ac:dyDescent="0.25">
      <c r="A24" s="42" t="s">
        <v>269</v>
      </c>
      <c r="B24" s="113">
        <v>40967</v>
      </c>
      <c r="C24" s="42" t="s">
        <v>262</v>
      </c>
      <c r="D24" s="42" t="s">
        <v>233</v>
      </c>
      <c r="E24" s="240">
        <v>82442500</v>
      </c>
      <c r="F24" s="240">
        <v>87332141</v>
      </c>
      <c r="G24" s="42">
        <v>178</v>
      </c>
      <c r="H24" s="241">
        <v>777010</v>
      </c>
      <c r="I24" s="240">
        <v>290792</v>
      </c>
      <c r="J24" s="241">
        <v>723210</v>
      </c>
      <c r="K24" s="240">
        <v>261158</v>
      </c>
      <c r="L24" s="42">
        <v>5.5</v>
      </c>
      <c r="M24" s="42">
        <v>5.75</v>
      </c>
      <c r="N24" s="42">
        <v>6.75</v>
      </c>
      <c r="O24" s="42" t="s">
        <v>270</v>
      </c>
      <c r="P24" s="42">
        <v>0</v>
      </c>
      <c r="Q24" s="42">
        <v>2</v>
      </c>
      <c r="R24" s="42">
        <v>2</v>
      </c>
      <c r="S24" s="42">
        <v>4</v>
      </c>
      <c r="T24" s="42">
        <v>2</v>
      </c>
      <c r="U24" s="42">
        <f t="shared" si="2"/>
        <v>10</v>
      </c>
      <c r="V24" s="42" t="s">
        <v>245</v>
      </c>
      <c r="W24" s="42">
        <v>352</v>
      </c>
    </row>
    <row r="25" spans="1:23" x14ac:dyDescent="0.25">
      <c r="A25" s="42" t="s">
        <v>271</v>
      </c>
      <c r="B25" s="113">
        <v>38761</v>
      </c>
      <c r="C25" s="42" t="s">
        <v>272</v>
      </c>
      <c r="D25" s="42" t="s">
        <v>273</v>
      </c>
      <c r="E25" s="240">
        <v>338220879</v>
      </c>
      <c r="F25" s="240">
        <v>354040033</v>
      </c>
      <c r="G25" s="42">
        <v>1243</v>
      </c>
      <c r="H25" s="241">
        <v>643900</v>
      </c>
      <c r="I25" s="240">
        <v>150312</v>
      </c>
      <c r="J25" s="241">
        <v>556130</v>
      </c>
      <c r="K25" s="240">
        <v>111082</v>
      </c>
      <c r="L25" s="42">
        <v>6</v>
      </c>
      <c r="M25" s="42">
        <v>6.25</v>
      </c>
      <c r="N25" s="42">
        <v>6.25</v>
      </c>
      <c r="O25" s="42" t="s">
        <v>274</v>
      </c>
      <c r="P25" s="42">
        <v>1</v>
      </c>
      <c r="Q25" s="42">
        <v>4</v>
      </c>
      <c r="R25" s="42">
        <v>1</v>
      </c>
      <c r="S25" s="42">
        <v>1</v>
      </c>
      <c r="T25" s="42">
        <v>0</v>
      </c>
      <c r="U25" s="42">
        <f t="shared" si="2"/>
        <v>7</v>
      </c>
      <c r="V25" s="42" t="s">
        <v>240</v>
      </c>
      <c r="W25" s="42" t="s">
        <v>275</v>
      </c>
    </row>
    <row r="26" spans="1:23" x14ac:dyDescent="0.25">
      <c r="A26" s="42" t="s">
        <v>276</v>
      </c>
      <c r="B26" s="113">
        <v>42114</v>
      </c>
      <c r="C26" s="42" t="s">
        <v>262</v>
      </c>
      <c r="D26" s="42" t="s">
        <v>277</v>
      </c>
      <c r="E26" s="240">
        <v>46709570</v>
      </c>
      <c r="F26" s="240">
        <v>37113808</v>
      </c>
      <c r="G26" s="42">
        <v>218</v>
      </c>
      <c r="H26" s="241">
        <v>829470</v>
      </c>
      <c r="I26" s="240">
        <v>182412</v>
      </c>
      <c r="J26" s="241">
        <v>756500</v>
      </c>
      <c r="K26" s="240">
        <v>160334</v>
      </c>
      <c r="L26" s="42">
        <v>5.25</v>
      </c>
      <c r="M26" s="42">
        <v>6.5</v>
      </c>
      <c r="N26" s="42">
        <v>5</v>
      </c>
      <c r="O26" s="42" t="s">
        <v>278</v>
      </c>
      <c r="P26" s="42">
        <v>2</v>
      </c>
      <c r="Q26" s="42">
        <v>3</v>
      </c>
      <c r="R26" s="42">
        <v>1</v>
      </c>
      <c r="S26" s="42">
        <v>1</v>
      </c>
      <c r="T26" s="42">
        <v>2</v>
      </c>
      <c r="U26" s="42">
        <f t="shared" si="2"/>
        <v>9</v>
      </c>
      <c r="V26" s="42" t="s">
        <v>279</v>
      </c>
      <c r="W26" s="42" t="s">
        <v>280</v>
      </c>
    </row>
    <row r="27" spans="1:23" x14ac:dyDescent="0.25">
      <c r="A27" s="42" t="s">
        <v>281</v>
      </c>
      <c r="B27" s="113">
        <v>42081</v>
      </c>
      <c r="C27" s="42" t="s">
        <v>282</v>
      </c>
      <c r="D27" s="42" t="s">
        <v>263</v>
      </c>
      <c r="E27" s="240">
        <v>65518666</v>
      </c>
      <c r="F27" s="240">
        <v>79171407</v>
      </c>
      <c r="G27" s="42">
        <v>144</v>
      </c>
      <c r="H27" s="241">
        <v>1116530</v>
      </c>
      <c r="I27" s="240">
        <v>355742</v>
      </c>
      <c r="J27" s="241">
        <v>1052690</v>
      </c>
      <c r="K27" s="240">
        <v>319518</v>
      </c>
      <c r="L27" s="42">
        <v>5.25</v>
      </c>
      <c r="M27" s="42">
        <v>6.25</v>
      </c>
      <c r="N27" s="42">
        <v>5.75</v>
      </c>
      <c r="O27" s="42" t="s">
        <v>283</v>
      </c>
      <c r="P27" s="42">
        <v>0</v>
      </c>
      <c r="Q27" s="42">
        <v>2</v>
      </c>
      <c r="R27" s="42">
        <v>0</v>
      </c>
      <c r="S27" s="42">
        <v>1</v>
      </c>
      <c r="T27" s="42">
        <v>1</v>
      </c>
      <c r="U27" s="42">
        <f t="shared" si="2"/>
        <v>4</v>
      </c>
      <c r="V27" s="42" t="s">
        <v>284</v>
      </c>
      <c r="W27" s="42" t="s">
        <v>285</v>
      </c>
    </row>
    <row r="28" spans="1:23" x14ac:dyDescent="0.25">
      <c r="A28" s="42" t="s">
        <v>286</v>
      </c>
      <c r="B28" s="113">
        <v>42987</v>
      </c>
      <c r="C28" s="42" t="s">
        <v>248</v>
      </c>
      <c r="D28" s="42" t="s">
        <v>287</v>
      </c>
      <c r="E28" s="240">
        <v>12127780</v>
      </c>
      <c r="F28" s="240">
        <v>10570244</v>
      </c>
      <c r="G28" s="42">
        <v>41</v>
      </c>
      <c r="H28" s="241">
        <v>485360</v>
      </c>
      <c r="I28" s="240">
        <v>114784</v>
      </c>
      <c r="J28" s="241">
        <v>416940</v>
      </c>
      <c r="K28" s="240">
        <v>101762</v>
      </c>
      <c r="L28" s="42">
        <v>6</v>
      </c>
      <c r="M28" s="42">
        <v>6.5</v>
      </c>
      <c r="N28" s="42">
        <v>3.5</v>
      </c>
      <c r="O28" s="42" t="s">
        <v>288</v>
      </c>
      <c r="P28" s="42">
        <v>4</v>
      </c>
      <c r="Q28" s="42">
        <v>0</v>
      </c>
      <c r="R28" s="42">
        <v>1</v>
      </c>
      <c r="S28" s="42">
        <v>0</v>
      </c>
      <c r="T28" s="42">
        <v>3</v>
      </c>
      <c r="U28" s="42">
        <f t="shared" si="2"/>
        <v>8</v>
      </c>
      <c r="V28" s="42" t="s">
        <v>289</v>
      </c>
      <c r="W28" s="42">
        <v>343</v>
      </c>
    </row>
    <row r="29" spans="1:23" x14ac:dyDescent="0.25">
      <c r="A29" s="42" t="s">
        <v>255</v>
      </c>
      <c r="B29" s="113">
        <v>40792</v>
      </c>
      <c r="C29" s="42" t="s">
        <v>248</v>
      </c>
      <c r="D29" s="42" t="s">
        <v>256</v>
      </c>
      <c r="E29" s="240">
        <v>276071009</v>
      </c>
      <c r="F29" s="240">
        <v>299255460</v>
      </c>
      <c r="G29" s="42">
        <v>893</v>
      </c>
      <c r="H29" s="241">
        <v>1389140</v>
      </c>
      <c r="I29" s="240">
        <v>226850</v>
      </c>
      <c r="J29" s="241">
        <v>1203640</v>
      </c>
      <c r="K29" s="240">
        <v>176410</v>
      </c>
      <c r="L29" s="42">
        <v>5.25</v>
      </c>
      <c r="M29" s="42">
        <v>6.25</v>
      </c>
      <c r="N29" s="42">
        <v>4.5</v>
      </c>
      <c r="O29" s="42" t="s">
        <v>257</v>
      </c>
      <c r="P29" s="42">
        <v>1</v>
      </c>
      <c r="Q29" s="42">
        <v>1</v>
      </c>
      <c r="R29" s="42">
        <v>3</v>
      </c>
      <c r="S29" s="42">
        <v>0</v>
      </c>
      <c r="T29" s="42">
        <v>6</v>
      </c>
      <c r="U29" s="42">
        <f t="shared" si="2"/>
        <v>11</v>
      </c>
      <c r="V29" s="42" t="s">
        <v>258</v>
      </c>
      <c r="W29" s="42" t="s">
        <v>259</v>
      </c>
    </row>
  </sheetData>
  <conditionalFormatting sqref="U22:U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N29">
    <cfRule type="colorScale" priority="9">
      <colorScale>
        <cfvo type="min"/>
        <cfvo type="max"/>
        <color rgb="FFFCFCFF"/>
        <color rgb="FF63BE7B"/>
      </colorScale>
    </cfRule>
  </conditionalFormatting>
  <conditionalFormatting sqref="M22:M29">
    <cfRule type="colorScale" priority="10">
      <colorScale>
        <cfvo type="min"/>
        <cfvo type="max"/>
        <color rgb="FFFCFCFF"/>
        <color rgb="FFF8696B"/>
      </colorScale>
    </cfRule>
  </conditionalFormatting>
  <conditionalFormatting sqref="L22:L2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2:I29 K22:K2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:H29 J22:J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F29">
    <cfRule type="colorScale" priority="14">
      <colorScale>
        <cfvo type="min"/>
        <cfvo type="max"/>
        <color rgb="FFFCFCFF"/>
        <color rgb="FFF8696B"/>
      </colorScale>
    </cfRule>
  </conditionalFormatting>
  <conditionalFormatting sqref="U12:U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9">
    <cfRule type="colorScale" priority="16">
      <colorScale>
        <cfvo type="min"/>
        <cfvo type="max"/>
        <color rgb="FFFCFCFF"/>
        <color rgb="FF63BE7B"/>
      </colorScale>
    </cfRule>
  </conditionalFormatting>
  <conditionalFormatting sqref="M12:M19">
    <cfRule type="colorScale" priority="17">
      <colorScale>
        <cfvo type="min"/>
        <cfvo type="max"/>
        <color rgb="FFFCFCFF"/>
        <color rgb="FFF8696B"/>
      </colorScale>
    </cfRule>
  </conditionalFormatting>
  <conditionalFormatting sqref="L12:L19">
    <cfRule type="colorScale" priority="18">
      <colorScale>
        <cfvo type="min"/>
        <cfvo type="max"/>
        <color rgb="FFFCFCFF"/>
        <color rgb="FFF8696B"/>
      </colorScale>
    </cfRule>
  </conditionalFormatting>
  <conditionalFormatting sqref="I12:I19 K12:K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9 J12:J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9">
    <cfRule type="colorScale" priority="21">
      <colorScale>
        <cfvo type="min"/>
        <cfvo type="max"/>
        <color rgb="FFFCFCFF"/>
        <color rgb="FFF8696B"/>
      </colorScale>
    </cfRule>
  </conditionalFormatting>
  <conditionalFormatting sqref="U2:U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9">
    <cfRule type="colorScale" priority="3">
      <colorScale>
        <cfvo type="min"/>
        <cfvo type="max"/>
        <color rgb="FFFCFCFF"/>
        <color rgb="FFF8696B"/>
      </colorScale>
    </cfRule>
  </conditionalFormatting>
  <conditionalFormatting sqref="L2:L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9 K2:K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 J2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9">
    <cfRule type="colorScale" priority="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33862-F36F-483E-93C2-1FDBF1A8C5D8}">
  <sheetPr>
    <tabColor theme="5" tint="0.79998168889431442"/>
  </sheetPr>
  <dimension ref="A1:H511"/>
  <sheetViews>
    <sheetView workbookViewId="0">
      <selection activeCell="H15" sqref="H15"/>
    </sheetView>
  </sheetViews>
  <sheetFormatPr baseColWidth="10" defaultRowHeight="15" x14ac:dyDescent="0.25"/>
  <cols>
    <col min="1" max="1" width="27.42578125" bestFit="1" customWidth="1"/>
    <col min="7" max="7" width="24.28515625" bestFit="1" customWidth="1"/>
    <col min="8" max="8" width="14" bestFit="1" customWidth="1"/>
  </cols>
  <sheetData>
    <row r="1" spans="1:8" x14ac:dyDescent="0.25">
      <c r="A1" t="s">
        <v>1301</v>
      </c>
      <c r="B1" t="s">
        <v>1299</v>
      </c>
      <c r="C1" t="s">
        <v>1300</v>
      </c>
      <c r="D1" t="s">
        <v>177</v>
      </c>
      <c r="G1" s="389" t="s">
        <v>396</v>
      </c>
      <c r="H1" s="390" t="s">
        <v>1303</v>
      </c>
    </row>
    <row r="2" spans="1:8" x14ac:dyDescent="0.25">
      <c r="A2" t="s">
        <v>852</v>
      </c>
      <c r="B2">
        <v>7</v>
      </c>
      <c r="C2" t="s">
        <v>1298</v>
      </c>
      <c r="D2" t="str">
        <f>MID(A2,SEARCH(" ",A2)+1,150)</f>
        <v xml:space="preserve">Rodolfo Rinaldo Paso </v>
      </c>
      <c r="G2" s="391" t="s">
        <v>1304</v>
      </c>
      <c r="H2" s="392">
        <v>98</v>
      </c>
    </row>
    <row r="3" spans="1:8" x14ac:dyDescent="0.25">
      <c r="A3" t="s">
        <v>862</v>
      </c>
      <c r="B3">
        <v>1</v>
      </c>
      <c r="C3" t="s">
        <v>1298</v>
      </c>
      <c r="D3" t="str">
        <f t="shared" ref="D3:D66" si="0">MID(A3,SEARCH(" ",A3)+1,150)</f>
        <v xml:space="preserve">Leandro Faias </v>
      </c>
      <c r="G3" s="393" t="s">
        <v>1305</v>
      </c>
      <c r="H3" s="394">
        <v>90</v>
      </c>
    </row>
    <row r="4" spans="1:8" x14ac:dyDescent="0.25">
      <c r="A4" t="s">
        <v>863</v>
      </c>
      <c r="B4">
        <v>1</v>
      </c>
      <c r="C4" t="s">
        <v>1298</v>
      </c>
      <c r="D4" t="str">
        <f t="shared" si="0"/>
        <v xml:space="preserve">Francesc Añigas </v>
      </c>
      <c r="G4" s="393" t="s">
        <v>1306</v>
      </c>
      <c r="H4" s="394">
        <v>67</v>
      </c>
    </row>
    <row r="5" spans="1:8" x14ac:dyDescent="0.25">
      <c r="A5" t="s">
        <v>864</v>
      </c>
      <c r="B5">
        <v>1</v>
      </c>
      <c r="C5" t="s">
        <v>1298</v>
      </c>
      <c r="D5" t="str">
        <f t="shared" si="0"/>
        <v xml:space="preserve">Cosme Fonteboa </v>
      </c>
      <c r="G5" s="393" t="s">
        <v>1307</v>
      </c>
      <c r="H5" s="394">
        <v>63</v>
      </c>
    </row>
    <row r="6" spans="1:8" x14ac:dyDescent="0.25">
      <c r="A6" t="s">
        <v>854</v>
      </c>
      <c r="B6">
        <v>4</v>
      </c>
      <c r="C6" t="s">
        <v>1298</v>
      </c>
      <c r="D6" t="str">
        <f t="shared" si="0"/>
        <v xml:space="preserve">Nicolás Galaz </v>
      </c>
      <c r="G6" s="393" t="s">
        <v>1308</v>
      </c>
      <c r="H6" s="394">
        <v>63</v>
      </c>
    </row>
    <row r="7" spans="1:8" x14ac:dyDescent="0.25">
      <c r="A7" t="s">
        <v>855</v>
      </c>
      <c r="B7">
        <v>4</v>
      </c>
      <c r="C7" t="s">
        <v>1298</v>
      </c>
      <c r="D7" t="str">
        <f t="shared" si="0"/>
        <v xml:space="preserve">Julian Gräbitz </v>
      </c>
      <c r="G7" s="393" t="s">
        <v>1309</v>
      </c>
      <c r="H7" s="394">
        <v>63</v>
      </c>
    </row>
    <row r="8" spans="1:8" x14ac:dyDescent="0.25">
      <c r="A8" t="s">
        <v>856</v>
      </c>
      <c r="B8">
        <v>3</v>
      </c>
      <c r="C8" t="s">
        <v>1298</v>
      </c>
      <c r="D8" t="str">
        <f t="shared" si="0"/>
        <v xml:space="preserve">Berto Abandero </v>
      </c>
      <c r="G8" s="393" t="s">
        <v>1310</v>
      </c>
      <c r="H8" s="394">
        <v>55</v>
      </c>
    </row>
    <row r="9" spans="1:8" x14ac:dyDescent="0.25">
      <c r="A9" t="s">
        <v>857</v>
      </c>
      <c r="B9">
        <v>3</v>
      </c>
      <c r="C9" t="s">
        <v>1298</v>
      </c>
      <c r="D9" t="str">
        <f t="shared" si="0"/>
        <v xml:space="preserve">Enrique Cubas </v>
      </c>
      <c r="G9" s="393" t="s">
        <v>1311</v>
      </c>
      <c r="H9" s="394">
        <v>51</v>
      </c>
    </row>
    <row r="10" spans="1:8" x14ac:dyDescent="0.25">
      <c r="A10" t="s">
        <v>858</v>
      </c>
      <c r="B10">
        <v>3</v>
      </c>
      <c r="C10" t="s">
        <v>1298</v>
      </c>
      <c r="D10" t="str">
        <f t="shared" si="0"/>
        <v xml:space="preserve">Valeri Gomis </v>
      </c>
      <c r="G10" s="393" t="s">
        <v>1312</v>
      </c>
      <c r="H10" s="394">
        <v>47</v>
      </c>
    </row>
    <row r="11" spans="1:8" x14ac:dyDescent="0.25">
      <c r="A11" t="s">
        <v>859</v>
      </c>
      <c r="B11">
        <v>2</v>
      </c>
      <c r="C11" t="s">
        <v>1298</v>
      </c>
      <c r="D11" t="str">
        <f t="shared" si="0"/>
        <v xml:space="preserve">Wil Duffill </v>
      </c>
      <c r="G11" s="393" t="s">
        <v>1313</v>
      </c>
      <c r="H11" s="394">
        <v>43</v>
      </c>
    </row>
    <row r="12" spans="1:8" x14ac:dyDescent="0.25">
      <c r="A12" t="s">
        <v>860</v>
      </c>
      <c r="B12">
        <v>2</v>
      </c>
      <c r="C12" t="s">
        <v>1298</v>
      </c>
      <c r="D12" t="str">
        <f t="shared" si="0"/>
        <v xml:space="preserve">Juan García Peñuela </v>
      </c>
      <c r="G12" s="393" t="s">
        <v>1314</v>
      </c>
      <c r="H12" s="394">
        <v>39</v>
      </c>
    </row>
    <row r="13" spans="1:8" x14ac:dyDescent="0.25">
      <c r="A13" t="s">
        <v>861</v>
      </c>
      <c r="B13">
        <v>2</v>
      </c>
      <c r="C13" t="s">
        <v>1298</v>
      </c>
      <c r="D13" t="str">
        <f t="shared" si="0"/>
        <v xml:space="preserve">Meraj Siddiqui </v>
      </c>
      <c r="G13" s="393" t="s">
        <v>1315</v>
      </c>
      <c r="H13" s="394">
        <v>38</v>
      </c>
    </row>
    <row r="14" spans="1:8" x14ac:dyDescent="0.25">
      <c r="A14" t="s">
        <v>880</v>
      </c>
      <c r="B14">
        <v>19</v>
      </c>
      <c r="C14" t="s">
        <v>853</v>
      </c>
      <c r="D14" t="str">
        <f t="shared" si="0"/>
        <v xml:space="preserve">Enrique Cubas </v>
      </c>
      <c r="G14" s="393" t="s">
        <v>1316</v>
      </c>
      <c r="H14" s="394">
        <v>33</v>
      </c>
    </row>
    <row r="15" spans="1:8" x14ac:dyDescent="0.25">
      <c r="A15" t="s">
        <v>880</v>
      </c>
      <c r="B15">
        <v>10</v>
      </c>
      <c r="C15" t="s">
        <v>853</v>
      </c>
      <c r="D15" t="str">
        <f t="shared" si="0"/>
        <v xml:space="preserve">Enrique Cubas </v>
      </c>
      <c r="G15" s="393" t="s">
        <v>1317</v>
      </c>
      <c r="H15" s="394">
        <v>31</v>
      </c>
    </row>
    <row r="16" spans="1:8" x14ac:dyDescent="0.25">
      <c r="A16" t="s">
        <v>880</v>
      </c>
      <c r="B16">
        <v>9</v>
      </c>
      <c r="C16" t="s">
        <v>853</v>
      </c>
      <c r="D16" t="str">
        <f t="shared" si="0"/>
        <v xml:space="preserve">Enrique Cubas </v>
      </c>
      <c r="G16" s="393" t="s">
        <v>1318</v>
      </c>
      <c r="H16" s="394">
        <v>30</v>
      </c>
    </row>
    <row r="17" spans="1:8" x14ac:dyDescent="0.25">
      <c r="A17" t="s">
        <v>880</v>
      </c>
      <c r="B17">
        <v>8</v>
      </c>
      <c r="C17" t="s">
        <v>853</v>
      </c>
      <c r="D17" t="str">
        <f t="shared" si="0"/>
        <v xml:space="preserve">Enrique Cubas </v>
      </c>
      <c r="G17" s="393" t="s">
        <v>1319</v>
      </c>
      <c r="H17" s="394">
        <v>30</v>
      </c>
    </row>
    <row r="18" spans="1:8" x14ac:dyDescent="0.25">
      <c r="A18" t="s">
        <v>852</v>
      </c>
      <c r="B18">
        <v>12</v>
      </c>
      <c r="C18" t="s">
        <v>853</v>
      </c>
      <c r="D18" t="str">
        <f t="shared" si="0"/>
        <v xml:space="preserve">Rodolfo Rinaldo Paso </v>
      </c>
      <c r="G18" s="393" t="s">
        <v>1320</v>
      </c>
      <c r="H18" s="394">
        <v>29</v>
      </c>
    </row>
    <row r="19" spans="1:8" x14ac:dyDescent="0.25">
      <c r="A19" t="s">
        <v>852</v>
      </c>
      <c r="B19">
        <v>14</v>
      </c>
      <c r="C19" t="s">
        <v>853</v>
      </c>
      <c r="D19" t="str">
        <f t="shared" si="0"/>
        <v xml:space="preserve">Rodolfo Rinaldo Paso </v>
      </c>
      <c r="G19" s="393" t="s">
        <v>1321</v>
      </c>
      <c r="H19" s="394">
        <v>27</v>
      </c>
    </row>
    <row r="20" spans="1:8" x14ac:dyDescent="0.25">
      <c r="A20" t="s">
        <v>852</v>
      </c>
      <c r="B20">
        <v>10</v>
      </c>
      <c r="C20" t="s">
        <v>853</v>
      </c>
      <c r="D20" t="str">
        <f t="shared" si="0"/>
        <v xml:space="preserve">Rodolfo Rinaldo Paso </v>
      </c>
      <c r="G20" s="393" t="s">
        <v>1322</v>
      </c>
      <c r="H20" s="394">
        <v>24</v>
      </c>
    </row>
    <row r="21" spans="1:8" x14ac:dyDescent="0.25">
      <c r="A21" t="s">
        <v>964</v>
      </c>
      <c r="B21">
        <v>6</v>
      </c>
      <c r="C21" t="s">
        <v>853</v>
      </c>
      <c r="D21" t="str">
        <f t="shared" si="0"/>
        <v xml:space="preserve">Wil Duffill </v>
      </c>
      <c r="G21" s="393" t="s">
        <v>1323</v>
      </c>
      <c r="H21" s="394">
        <v>24</v>
      </c>
    </row>
    <row r="22" spans="1:8" x14ac:dyDescent="0.25">
      <c r="A22" t="s">
        <v>929</v>
      </c>
      <c r="B22">
        <v>2</v>
      </c>
      <c r="C22" t="s">
        <v>853</v>
      </c>
      <c r="D22" t="str">
        <f t="shared" si="0"/>
        <v xml:space="preserve">Berto Abandero </v>
      </c>
      <c r="G22" s="393" t="s">
        <v>1324</v>
      </c>
      <c r="H22" s="394">
        <v>24</v>
      </c>
    </row>
    <row r="23" spans="1:8" x14ac:dyDescent="0.25">
      <c r="A23" t="s">
        <v>910</v>
      </c>
      <c r="B23">
        <v>2</v>
      </c>
      <c r="C23" t="s">
        <v>853</v>
      </c>
      <c r="D23" t="str">
        <f t="shared" si="0"/>
        <v xml:space="preserve">Francesc Añigas </v>
      </c>
      <c r="G23" s="393" t="s">
        <v>1325</v>
      </c>
      <c r="H23" s="394">
        <v>24</v>
      </c>
    </row>
    <row r="24" spans="1:8" x14ac:dyDescent="0.25">
      <c r="A24" t="s">
        <v>900</v>
      </c>
      <c r="B24">
        <v>2</v>
      </c>
      <c r="C24" t="s">
        <v>853</v>
      </c>
      <c r="D24" t="str">
        <f t="shared" si="0"/>
        <v xml:space="preserve">Iván Real Figueroa </v>
      </c>
      <c r="G24" s="393" t="s">
        <v>1326</v>
      </c>
      <c r="H24" s="394">
        <v>24</v>
      </c>
    </row>
    <row r="25" spans="1:8" x14ac:dyDescent="0.25">
      <c r="A25" t="s">
        <v>889</v>
      </c>
      <c r="B25">
        <v>4</v>
      </c>
      <c r="C25" t="s">
        <v>853</v>
      </c>
      <c r="D25" t="str">
        <f t="shared" si="0"/>
        <v xml:space="preserve">Valeri Gomis </v>
      </c>
      <c r="G25" s="393" t="s">
        <v>1327</v>
      </c>
      <c r="H25" s="394">
        <v>22</v>
      </c>
    </row>
    <row r="26" spans="1:8" x14ac:dyDescent="0.25">
      <c r="A26" t="s">
        <v>889</v>
      </c>
      <c r="B26">
        <v>3</v>
      </c>
      <c r="C26" t="s">
        <v>853</v>
      </c>
      <c r="D26" t="str">
        <f t="shared" si="0"/>
        <v xml:space="preserve">Valeri Gomis </v>
      </c>
      <c r="G26" s="393" t="s">
        <v>1328</v>
      </c>
      <c r="H26" s="394">
        <v>22</v>
      </c>
    </row>
    <row r="27" spans="1:8" x14ac:dyDescent="0.25">
      <c r="A27" t="s">
        <v>889</v>
      </c>
      <c r="B27">
        <v>1</v>
      </c>
      <c r="C27" t="s">
        <v>853</v>
      </c>
      <c r="D27" t="str">
        <f t="shared" si="0"/>
        <v xml:space="preserve">Valeri Gomis </v>
      </c>
      <c r="G27" s="393" t="s">
        <v>1329</v>
      </c>
      <c r="H27" s="394">
        <v>22</v>
      </c>
    </row>
    <row r="28" spans="1:8" x14ac:dyDescent="0.25">
      <c r="A28" t="s">
        <v>873</v>
      </c>
      <c r="B28">
        <v>3</v>
      </c>
      <c r="C28" t="s">
        <v>853</v>
      </c>
      <c r="D28" t="str">
        <f t="shared" si="0"/>
        <v xml:space="preserve">Venanci Oset </v>
      </c>
      <c r="G28" s="393" t="s">
        <v>1330</v>
      </c>
      <c r="H28" s="394">
        <v>22</v>
      </c>
    </row>
    <row r="29" spans="1:8" x14ac:dyDescent="0.25">
      <c r="A29" t="s">
        <v>911</v>
      </c>
      <c r="B29">
        <v>1</v>
      </c>
      <c r="C29" t="s">
        <v>853</v>
      </c>
      <c r="D29" t="str">
        <f t="shared" si="0"/>
        <v xml:space="preserve">Berto Abandero </v>
      </c>
      <c r="G29" s="393" t="s">
        <v>1331</v>
      </c>
      <c r="H29" s="394">
        <v>21</v>
      </c>
    </row>
    <row r="30" spans="1:8" x14ac:dyDescent="0.25">
      <c r="A30" t="s">
        <v>890</v>
      </c>
      <c r="B30">
        <v>3</v>
      </c>
      <c r="C30" t="s">
        <v>853</v>
      </c>
      <c r="D30" t="str">
        <f t="shared" si="0"/>
        <v xml:space="preserve">Iván Real Figueroa </v>
      </c>
      <c r="G30" s="393" t="s">
        <v>1332</v>
      </c>
      <c r="H30" s="394">
        <v>19</v>
      </c>
    </row>
    <row r="31" spans="1:8" x14ac:dyDescent="0.25">
      <c r="A31" t="s">
        <v>874</v>
      </c>
      <c r="B31">
        <v>3</v>
      </c>
      <c r="C31" t="s">
        <v>853</v>
      </c>
      <c r="D31" t="str">
        <f t="shared" si="0"/>
        <v xml:space="preserve">Leandro Faias </v>
      </c>
      <c r="G31" s="393" t="s">
        <v>1333</v>
      </c>
      <c r="H31" s="394">
        <v>19</v>
      </c>
    </row>
    <row r="32" spans="1:8" x14ac:dyDescent="0.25">
      <c r="A32" t="s">
        <v>901</v>
      </c>
      <c r="B32">
        <v>2</v>
      </c>
      <c r="C32" t="s">
        <v>853</v>
      </c>
      <c r="D32" t="str">
        <f t="shared" si="0"/>
        <v xml:space="preserve">Venanci Oset </v>
      </c>
      <c r="G32" s="393" t="s">
        <v>1334</v>
      </c>
      <c r="H32" s="394">
        <v>19</v>
      </c>
    </row>
    <row r="33" spans="1:8" x14ac:dyDescent="0.25">
      <c r="A33" t="s">
        <v>875</v>
      </c>
      <c r="B33">
        <v>2</v>
      </c>
      <c r="C33" t="s">
        <v>853</v>
      </c>
      <c r="D33" t="str">
        <f t="shared" si="0"/>
        <v xml:space="preserve">Berto Abandero </v>
      </c>
      <c r="G33" s="393" t="s">
        <v>1335</v>
      </c>
      <c r="H33" s="394">
        <v>18</v>
      </c>
    </row>
    <row r="34" spans="1:8" x14ac:dyDescent="0.25">
      <c r="A34" t="s">
        <v>891</v>
      </c>
      <c r="B34">
        <v>3</v>
      </c>
      <c r="C34" t="s">
        <v>853</v>
      </c>
      <c r="D34" t="str">
        <f t="shared" si="0"/>
        <v xml:space="preserve">Francesc Añigas </v>
      </c>
      <c r="G34" s="393" t="s">
        <v>1336</v>
      </c>
      <c r="H34" s="394">
        <v>18</v>
      </c>
    </row>
    <row r="35" spans="1:8" x14ac:dyDescent="0.25">
      <c r="A35" t="s">
        <v>891</v>
      </c>
      <c r="B35">
        <v>2</v>
      </c>
      <c r="C35" t="s">
        <v>853</v>
      </c>
      <c r="D35" t="str">
        <f t="shared" si="0"/>
        <v xml:space="preserve">Francesc Añigas </v>
      </c>
      <c r="G35" s="393" t="s">
        <v>1337</v>
      </c>
      <c r="H35" s="394">
        <v>18</v>
      </c>
    </row>
    <row r="36" spans="1:8" x14ac:dyDescent="0.25">
      <c r="A36" t="s">
        <v>944</v>
      </c>
      <c r="B36">
        <v>1</v>
      </c>
      <c r="C36" t="s">
        <v>853</v>
      </c>
      <c r="D36" t="str">
        <f t="shared" si="0"/>
        <v xml:space="preserve">Iván Real Figueroa </v>
      </c>
      <c r="G36" s="393" t="s">
        <v>1338</v>
      </c>
      <c r="H36" s="394">
        <v>17</v>
      </c>
    </row>
    <row r="37" spans="1:8" x14ac:dyDescent="0.25">
      <c r="A37" t="s">
        <v>902</v>
      </c>
      <c r="B37">
        <v>1</v>
      </c>
      <c r="C37" t="s">
        <v>853</v>
      </c>
      <c r="D37" t="str">
        <f t="shared" si="0"/>
        <v xml:space="preserve">Valeri Gomis </v>
      </c>
      <c r="G37" s="393" t="s">
        <v>1339</v>
      </c>
      <c r="H37" s="394">
        <v>17</v>
      </c>
    </row>
    <row r="38" spans="1:8" x14ac:dyDescent="0.25">
      <c r="A38" t="s">
        <v>902</v>
      </c>
      <c r="B38">
        <v>1</v>
      </c>
      <c r="C38" t="s">
        <v>853</v>
      </c>
      <c r="D38" t="str">
        <f t="shared" si="0"/>
        <v xml:space="preserve">Valeri Gomis </v>
      </c>
      <c r="G38" s="393" t="s">
        <v>1340</v>
      </c>
      <c r="H38" s="394">
        <v>17</v>
      </c>
    </row>
    <row r="39" spans="1:8" x14ac:dyDescent="0.25">
      <c r="A39" t="s">
        <v>931</v>
      </c>
      <c r="B39">
        <v>2</v>
      </c>
      <c r="C39" t="s">
        <v>853</v>
      </c>
      <c r="D39" t="str">
        <f t="shared" si="0"/>
        <v xml:space="preserve">Venanci Oset </v>
      </c>
      <c r="G39" s="393" t="s">
        <v>1341</v>
      </c>
      <c r="H39" s="394">
        <v>16</v>
      </c>
    </row>
    <row r="40" spans="1:8" x14ac:dyDescent="0.25">
      <c r="A40" t="s">
        <v>962</v>
      </c>
      <c r="B40">
        <v>1</v>
      </c>
      <c r="C40" t="s">
        <v>853</v>
      </c>
      <c r="D40" t="str">
        <f t="shared" si="0"/>
        <v xml:space="preserve">Wil Duffill </v>
      </c>
      <c r="G40" s="393" t="s">
        <v>1342</v>
      </c>
      <c r="H40" s="394">
        <v>16</v>
      </c>
    </row>
    <row r="41" spans="1:8" x14ac:dyDescent="0.25">
      <c r="A41" t="s">
        <v>876</v>
      </c>
      <c r="B41">
        <v>2</v>
      </c>
      <c r="C41" t="s">
        <v>853</v>
      </c>
      <c r="D41" t="str">
        <f t="shared" si="0"/>
        <v xml:space="preserve">Guillermo Pedrajas </v>
      </c>
      <c r="G41" s="393" t="s">
        <v>1343</v>
      </c>
      <c r="H41" s="394">
        <v>15</v>
      </c>
    </row>
    <row r="42" spans="1:8" x14ac:dyDescent="0.25">
      <c r="A42" t="s">
        <v>876</v>
      </c>
      <c r="B42">
        <v>2</v>
      </c>
      <c r="C42" t="s">
        <v>853</v>
      </c>
      <c r="D42" t="str">
        <f t="shared" si="0"/>
        <v xml:space="preserve">Guillermo Pedrajas </v>
      </c>
      <c r="G42" s="393" t="s">
        <v>1344</v>
      </c>
      <c r="H42" s="394">
        <v>14</v>
      </c>
    </row>
    <row r="43" spans="1:8" x14ac:dyDescent="0.25">
      <c r="A43" t="s">
        <v>913</v>
      </c>
      <c r="B43">
        <v>1</v>
      </c>
      <c r="C43" t="s">
        <v>853</v>
      </c>
      <c r="D43" t="str">
        <f t="shared" si="0"/>
        <v xml:space="preserve">Iván Real Figueroa </v>
      </c>
      <c r="G43" s="393" t="s">
        <v>1345</v>
      </c>
      <c r="H43" s="394">
        <v>14</v>
      </c>
    </row>
    <row r="44" spans="1:8" x14ac:dyDescent="0.25">
      <c r="A44" t="s">
        <v>913</v>
      </c>
      <c r="B44">
        <v>2</v>
      </c>
      <c r="C44" t="s">
        <v>853</v>
      </c>
      <c r="D44" t="str">
        <f t="shared" si="0"/>
        <v xml:space="preserve">Iván Real Figueroa </v>
      </c>
      <c r="G44" s="393" t="s">
        <v>1346</v>
      </c>
      <c r="H44" s="394">
        <v>13</v>
      </c>
    </row>
    <row r="45" spans="1:8" x14ac:dyDescent="0.25">
      <c r="A45" t="s">
        <v>892</v>
      </c>
      <c r="B45">
        <v>3</v>
      </c>
      <c r="C45" t="s">
        <v>853</v>
      </c>
      <c r="D45" t="str">
        <f t="shared" si="0"/>
        <v xml:space="preserve">Leandro Faias </v>
      </c>
      <c r="G45" s="393" t="s">
        <v>1347</v>
      </c>
      <c r="H45" s="394">
        <v>13</v>
      </c>
    </row>
    <row r="46" spans="1:8" x14ac:dyDescent="0.25">
      <c r="A46" t="s">
        <v>893</v>
      </c>
      <c r="B46">
        <v>2</v>
      </c>
      <c r="C46" t="s">
        <v>853</v>
      </c>
      <c r="D46" t="str">
        <f t="shared" si="0"/>
        <v xml:space="preserve">Berto Abandero </v>
      </c>
      <c r="G46" s="393" t="s">
        <v>1348</v>
      </c>
      <c r="H46" s="394">
        <v>13</v>
      </c>
    </row>
    <row r="47" spans="1:8" x14ac:dyDescent="0.25">
      <c r="A47" t="s">
        <v>893</v>
      </c>
      <c r="B47">
        <v>1</v>
      </c>
      <c r="C47" t="s">
        <v>853</v>
      </c>
      <c r="D47" t="str">
        <f t="shared" si="0"/>
        <v xml:space="preserve">Berto Abandero </v>
      </c>
      <c r="G47" s="393" t="s">
        <v>1349</v>
      </c>
      <c r="H47" s="394">
        <v>13</v>
      </c>
    </row>
    <row r="48" spans="1:8" x14ac:dyDescent="0.25">
      <c r="A48" t="s">
        <v>985</v>
      </c>
      <c r="B48">
        <v>1</v>
      </c>
      <c r="C48" t="s">
        <v>853</v>
      </c>
      <c r="D48" t="str">
        <f t="shared" si="0"/>
        <v xml:space="preserve">Francesc Añigas </v>
      </c>
      <c r="G48" s="393" t="s">
        <v>1350</v>
      </c>
      <c r="H48" s="394">
        <v>12</v>
      </c>
    </row>
    <row r="49" spans="1:8" x14ac:dyDescent="0.25">
      <c r="A49" t="s">
        <v>923</v>
      </c>
      <c r="B49">
        <v>2</v>
      </c>
      <c r="C49" t="s">
        <v>853</v>
      </c>
      <c r="D49" t="str">
        <f t="shared" si="0"/>
        <v xml:space="preserve">Iván Real Figueroa </v>
      </c>
      <c r="G49" s="393" t="s">
        <v>1351</v>
      </c>
      <c r="H49" s="394">
        <v>12</v>
      </c>
    </row>
    <row r="50" spans="1:8" x14ac:dyDescent="0.25">
      <c r="A50" t="s">
        <v>923</v>
      </c>
      <c r="B50">
        <v>1</v>
      </c>
      <c r="C50" t="s">
        <v>853</v>
      </c>
      <c r="D50" t="str">
        <f t="shared" si="0"/>
        <v xml:space="preserve">Iván Real Figueroa </v>
      </c>
      <c r="G50" s="393" t="s">
        <v>1352</v>
      </c>
      <c r="H50" s="394">
        <v>12</v>
      </c>
    </row>
    <row r="51" spans="1:8" x14ac:dyDescent="0.25">
      <c r="A51" t="s">
        <v>877</v>
      </c>
      <c r="B51">
        <v>2</v>
      </c>
      <c r="C51" t="s">
        <v>853</v>
      </c>
      <c r="D51" t="str">
        <f t="shared" si="0"/>
        <v xml:space="preserve">Valeri Gomis </v>
      </c>
      <c r="G51" s="393" t="s">
        <v>1353</v>
      </c>
      <c r="H51" s="394">
        <v>12</v>
      </c>
    </row>
    <row r="52" spans="1:8" x14ac:dyDescent="0.25">
      <c r="A52" t="s">
        <v>914</v>
      </c>
      <c r="B52">
        <v>1</v>
      </c>
      <c r="C52" t="s">
        <v>853</v>
      </c>
      <c r="D52" t="str">
        <f t="shared" si="0"/>
        <v xml:space="preserve">Venanci Oset </v>
      </c>
      <c r="G52" s="393" t="s">
        <v>1354</v>
      </c>
      <c r="H52" s="394">
        <v>11</v>
      </c>
    </row>
    <row r="53" spans="1:8" x14ac:dyDescent="0.25">
      <c r="A53" t="s">
        <v>904</v>
      </c>
      <c r="B53">
        <v>1</v>
      </c>
      <c r="C53" t="s">
        <v>853</v>
      </c>
      <c r="D53" t="str">
        <f t="shared" si="0"/>
        <v xml:space="preserve">Guillermo Pedrajas </v>
      </c>
      <c r="G53" s="393" t="s">
        <v>1355</v>
      </c>
      <c r="H53" s="394">
        <v>11</v>
      </c>
    </row>
    <row r="54" spans="1:8" x14ac:dyDescent="0.25">
      <c r="A54" t="s">
        <v>878</v>
      </c>
      <c r="B54">
        <v>1</v>
      </c>
      <c r="C54" t="s">
        <v>853</v>
      </c>
      <c r="D54" t="str">
        <f t="shared" si="0"/>
        <v xml:space="preserve">Iván Real Figueroa </v>
      </c>
      <c r="G54" s="393" t="s">
        <v>1356</v>
      </c>
      <c r="H54" s="394">
        <v>11</v>
      </c>
    </row>
    <row r="55" spans="1:8" x14ac:dyDescent="0.25">
      <c r="A55" t="s">
        <v>879</v>
      </c>
      <c r="B55">
        <v>1</v>
      </c>
      <c r="C55" t="s">
        <v>853</v>
      </c>
      <c r="D55" t="str">
        <f t="shared" si="0"/>
        <v xml:space="preserve">Cosme Fonteboa </v>
      </c>
      <c r="G55" s="393" t="s">
        <v>1357</v>
      </c>
      <c r="H55" s="394">
        <v>11</v>
      </c>
    </row>
    <row r="56" spans="1:8" x14ac:dyDescent="0.25">
      <c r="A56" t="s">
        <v>934</v>
      </c>
      <c r="B56">
        <v>1</v>
      </c>
      <c r="C56" t="s">
        <v>853</v>
      </c>
      <c r="D56" t="str">
        <f t="shared" si="0"/>
        <v xml:space="preserve">Guillermo Pedrajas </v>
      </c>
      <c r="G56" s="393" t="s">
        <v>1358</v>
      </c>
      <c r="H56" s="394">
        <v>10</v>
      </c>
    </row>
    <row r="57" spans="1:8" x14ac:dyDescent="0.25">
      <c r="A57" t="s">
        <v>935</v>
      </c>
      <c r="B57">
        <v>1</v>
      </c>
      <c r="C57" t="s">
        <v>853</v>
      </c>
      <c r="D57" t="str">
        <f t="shared" si="0"/>
        <v xml:space="preserve">Cosme Fonteboa </v>
      </c>
      <c r="G57" s="393" t="s">
        <v>1359</v>
      </c>
      <c r="H57" s="394">
        <v>10</v>
      </c>
    </row>
    <row r="58" spans="1:8" x14ac:dyDescent="0.25">
      <c r="A58" t="s">
        <v>947</v>
      </c>
      <c r="B58">
        <v>8</v>
      </c>
      <c r="C58" t="s">
        <v>853</v>
      </c>
      <c r="D58" t="str">
        <f t="shared" si="0"/>
        <v xml:space="preserve">Enrique Cubas </v>
      </c>
      <c r="G58" s="393" t="s">
        <v>1360</v>
      </c>
      <c r="H58" s="394">
        <v>10</v>
      </c>
    </row>
    <row r="59" spans="1:8" x14ac:dyDescent="0.25">
      <c r="A59" t="s">
        <v>937</v>
      </c>
      <c r="B59">
        <v>6</v>
      </c>
      <c r="C59" t="s">
        <v>853</v>
      </c>
      <c r="D59" t="str">
        <f t="shared" si="0"/>
        <v xml:space="preserve">Francesc Añigas </v>
      </c>
      <c r="G59" s="393" t="s">
        <v>1361</v>
      </c>
      <c r="H59" s="394">
        <v>10</v>
      </c>
    </row>
    <row r="60" spans="1:8" x14ac:dyDescent="0.25">
      <c r="A60" t="s">
        <v>937</v>
      </c>
      <c r="B60">
        <v>3</v>
      </c>
      <c r="C60" t="s">
        <v>853</v>
      </c>
      <c r="D60" t="str">
        <f t="shared" si="0"/>
        <v xml:space="preserve">Francesc Añigas </v>
      </c>
      <c r="G60" s="393" t="s">
        <v>1362</v>
      </c>
      <c r="H60" s="394">
        <v>10</v>
      </c>
    </row>
    <row r="61" spans="1:8" x14ac:dyDescent="0.25">
      <c r="A61" t="s">
        <v>965</v>
      </c>
      <c r="B61">
        <v>5</v>
      </c>
      <c r="C61" t="s">
        <v>853</v>
      </c>
      <c r="D61" t="str">
        <f t="shared" si="0"/>
        <v xml:space="preserve">Juan García Peñuela </v>
      </c>
      <c r="G61" s="393" t="s">
        <v>1363</v>
      </c>
      <c r="H61" s="394">
        <v>9</v>
      </c>
    </row>
    <row r="62" spans="1:8" x14ac:dyDescent="0.25">
      <c r="A62" t="s">
        <v>881</v>
      </c>
      <c r="B62">
        <v>15</v>
      </c>
      <c r="C62" t="s">
        <v>853</v>
      </c>
      <c r="D62" t="str">
        <f t="shared" si="0"/>
        <v xml:space="preserve">Wil Duffill </v>
      </c>
      <c r="G62" s="393" t="s">
        <v>1364</v>
      </c>
      <c r="H62" s="394">
        <v>9</v>
      </c>
    </row>
    <row r="63" spans="1:8" x14ac:dyDescent="0.25">
      <c r="A63" t="s">
        <v>881</v>
      </c>
      <c r="B63">
        <v>9</v>
      </c>
      <c r="C63" t="s">
        <v>853</v>
      </c>
      <c r="D63" t="str">
        <f t="shared" si="0"/>
        <v xml:space="preserve">Wil Duffill </v>
      </c>
      <c r="G63" s="393" t="s">
        <v>1365</v>
      </c>
      <c r="H63" s="394">
        <v>9</v>
      </c>
    </row>
    <row r="64" spans="1:8" x14ac:dyDescent="0.25">
      <c r="A64" t="s">
        <v>866</v>
      </c>
      <c r="B64">
        <v>7</v>
      </c>
      <c r="C64" t="s">
        <v>853</v>
      </c>
      <c r="D64" t="str">
        <f t="shared" si="0"/>
        <v xml:space="preserve">Enrique Cubas </v>
      </c>
      <c r="G64" s="393" t="s">
        <v>1366</v>
      </c>
      <c r="H64" s="394">
        <v>9</v>
      </c>
    </row>
    <row r="65" spans="1:8" x14ac:dyDescent="0.25">
      <c r="A65" t="s">
        <v>866</v>
      </c>
      <c r="B65">
        <v>8</v>
      </c>
      <c r="C65" t="s">
        <v>853</v>
      </c>
      <c r="D65" t="str">
        <f t="shared" si="0"/>
        <v xml:space="preserve">Enrique Cubas </v>
      </c>
      <c r="G65" s="393" t="s">
        <v>1367</v>
      </c>
      <c r="H65" s="394">
        <v>8</v>
      </c>
    </row>
    <row r="66" spans="1:8" x14ac:dyDescent="0.25">
      <c r="A66" t="s">
        <v>866</v>
      </c>
      <c r="B66">
        <v>12</v>
      </c>
      <c r="C66" t="s">
        <v>853</v>
      </c>
      <c r="D66" t="str">
        <f t="shared" si="0"/>
        <v xml:space="preserve">Enrique Cubas </v>
      </c>
      <c r="G66" s="393" t="s">
        <v>1368</v>
      </c>
      <c r="H66" s="394">
        <v>8</v>
      </c>
    </row>
    <row r="67" spans="1:8" x14ac:dyDescent="0.25">
      <c r="A67" t="s">
        <v>866</v>
      </c>
      <c r="B67">
        <v>4</v>
      </c>
      <c r="C67" t="s">
        <v>853</v>
      </c>
      <c r="D67" t="str">
        <f t="shared" ref="D67:D130" si="1">MID(A67,SEARCH(" ",A67)+1,150)</f>
        <v xml:space="preserve">Enrique Cubas </v>
      </c>
      <c r="G67" s="393" t="s">
        <v>1369</v>
      </c>
      <c r="H67" s="394">
        <v>8</v>
      </c>
    </row>
    <row r="68" spans="1:8" x14ac:dyDescent="0.25">
      <c r="A68" t="s">
        <v>882</v>
      </c>
      <c r="B68">
        <v>13</v>
      </c>
      <c r="C68" t="s">
        <v>853</v>
      </c>
      <c r="D68" t="str">
        <f t="shared" si="1"/>
        <v xml:space="preserve">Meraj Siddiqui </v>
      </c>
      <c r="G68" s="393" t="s">
        <v>1370</v>
      </c>
      <c r="H68" s="394">
        <v>8</v>
      </c>
    </row>
    <row r="69" spans="1:8" x14ac:dyDescent="0.25">
      <c r="A69" t="s">
        <v>896</v>
      </c>
      <c r="B69">
        <v>8</v>
      </c>
      <c r="C69" t="s">
        <v>853</v>
      </c>
      <c r="D69" t="str">
        <f t="shared" si="1"/>
        <v xml:space="preserve">Wil Duffill </v>
      </c>
      <c r="G69" s="393" t="s">
        <v>1371</v>
      </c>
      <c r="H69" s="394">
        <v>8</v>
      </c>
    </row>
    <row r="70" spans="1:8" x14ac:dyDescent="0.25">
      <c r="A70" t="s">
        <v>905</v>
      </c>
      <c r="B70">
        <v>6</v>
      </c>
      <c r="C70" t="s">
        <v>853</v>
      </c>
      <c r="D70" t="str">
        <f t="shared" si="1"/>
        <v xml:space="preserve">Juan García Peñuela </v>
      </c>
      <c r="G70" s="393" t="s">
        <v>1372</v>
      </c>
      <c r="H70" s="394">
        <v>7</v>
      </c>
    </row>
    <row r="71" spans="1:8" x14ac:dyDescent="0.25">
      <c r="A71" t="s">
        <v>905</v>
      </c>
      <c r="B71">
        <v>7</v>
      </c>
      <c r="C71" t="s">
        <v>853</v>
      </c>
      <c r="D71" t="str">
        <f t="shared" si="1"/>
        <v xml:space="preserve">Juan García Peñuela </v>
      </c>
      <c r="G71" s="393" t="s">
        <v>1373</v>
      </c>
      <c r="H71" s="394">
        <v>7</v>
      </c>
    </row>
    <row r="72" spans="1:8" x14ac:dyDescent="0.25">
      <c r="A72" t="s">
        <v>905</v>
      </c>
      <c r="B72">
        <v>4</v>
      </c>
      <c r="C72" t="s">
        <v>853</v>
      </c>
      <c r="D72" t="str">
        <f t="shared" si="1"/>
        <v xml:space="preserve">Juan García Peñuela </v>
      </c>
      <c r="G72" s="393" t="s">
        <v>1374</v>
      </c>
      <c r="H72" s="394">
        <v>7</v>
      </c>
    </row>
    <row r="73" spans="1:8" x14ac:dyDescent="0.25">
      <c r="A73" t="s">
        <v>905</v>
      </c>
      <c r="B73">
        <v>2</v>
      </c>
      <c r="C73" t="s">
        <v>853</v>
      </c>
      <c r="D73" t="str">
        <f t="shared" si="1"/>
        <v xml:space="preserve">Juan García Peñuela </v>
      </c>
      <c r="G73" s="393" t="s">
        <v>1375</v>
      </c>
      <c r="H73" s="394">
        <v>7</v>
      </c>
    </row>
    <row r="74" spans="1:8" x14ac:dyDescent="0.25">
      <c r="A74" t="s">
        <v>867</v>
      </c>
      <c r="B74">
        <v>6</v>
      </c>
      <c r="C74" t="s">
        <v>853</v>
      </c>
      <c r="D74" t="str">
        <f t="shared" si="1"/>
        <v xml:space="preserve">Julian Gräbitz </v>
      </c>
      <c r="G74" s="393" t="s">
        <v>1376</v>
      </c>
      <c r="H74" s="394">
        <v>7</v>
      </c>
    </row>
    <row r="75" spans="1:8" x14ac:dyDescent="0.25">
      <c r="A75" t="s">
        <v>883</v>
      </c>
      <c r="B75">
        <v>12</v>
      </c>
      <c r="C75" t="s">
        <v>853</v>
      </c>
      <c r="D75" t="str">
        <f t="shared" si="1"/>
        <v xml:space="preserve">Rodolfo Rinaldo Paso </v>
      </c>
      <c r="G75" s="393" t="s">
        <v>1377</v>
      </c>
      <c r="H75" s="394">
        <v>7</v>
      </c>
    </row>
    <row r="76" spans="1:8" x14ac:dyDescent="0.25">
      <c r="A76" t="s">
        <v>975</v>
      </c>
      <c r="B76">
        <v>2</v>
      </c>
      <c r="C76" t="s">
        <v>853</v>
      </c>
      <c r="D76" t="str">
        <f t="shared" si="1"/>
        <v xml:space="preserve">Valeri Gomis </v>
      </c>
      <c r="G76" s="393" t="s">
        <v>1378</v>
      </c>
      <c r="H76" s="394">
        <v>7</v>
      </c>
    </row>
    <row r="77" spans="1:8" x14ac:dyDescent="0.25">
      <c r="A77" t="s">
        <v>917</v>
      </c>
      <c r="B77">
        <v>6</v>
      </c>
      <c r="C77" t="s">
        <v>853</v>
      </c>
      <c r="D77" t="str">
        <f t="shared" si="1"/>
        <v xml:space="preserve">Wil Duffill </v>
      </c>
      <c r="G77" s="393" t="s">
        <v>1379</v>
      </c>
      <c r="H77" s="394">
        <v>7</v>
      </c>
    </row>
    <row r="78" spans="1:8" x14ac:dyDescent="0.25">
      <c r="A78" t="s">
        <v>917</v>
      </c>
      <c r="B78">
        <v>5</v>
      </c>
      <c r="C78" t="s">
        <v>853</v>
      </c>
      <c r="D78" t="str">
        <f t="shared" si="1"/>
        <v xml:space="preserve">Wil Duffill </v>
      </c>
      <c r="G78" s="393" t="s">
        <v>1380</v>
      </c>
      <c r="H78" s="394">
        <v>6</v>
      </c>
    </row>
    <row r="79" spans="1:8" x14ac:dyDescent="0.25">
      <c r="A79" t="s">
        <v>918</v>
      </c>
      <c r="B79">
        <v>6</v>
      </c>
      <c r="C79" t="s">
        <v>853</v>
      </c>
      <c r="D79" t="str">
        <f t="shared" si="1"/>
        <v xml:space="preserve">Francesc Añigas </v>
      </c>
      <c r="G79" s="393" t="s">
        <v>1381</v>
      </c>
      <c r="H79" s="394">
        <v>6</v>
      </c>
    </row>
    <row r="80" spans="1:8" x14ac:dyDescent="0.25">
      <c r="A80" t="s">
        <v>906</v>
      </c>
      <c r="B80">
        <v>5</v>
      </c>
      <c r="C80" t="s">
        <v>853</v>
      </c>
      <c r="D80" t="str">
        <f t="shared" si="1"/>
        <v xml:space="preserve">Guillermo Pedrajas </v>
      </c>
      <c r="G80" s="393" t="s">
        <v>1382</v>
      </c>
      <c r="H80" s="394">
        <v>6</v>
      </c>
    </row>
    <row r="81" spans="1:8" x14ac:dyDescent="0.25">
      <c r="A81" t="s">
        <v>906</v>
      </c>
      <c r="B81">
        <v>4</v>
      </c>
      <c r="C81" t="s">
        <v>853</v>
      </c>
      <c r="D81" t="str">
        <f t="shared" si="1"/>
        <v xml:space="preserve">Guillermo Pedrajas </v>
      </c>
      <c r="G81" s="393" t="s">
        <v>1383</v>
      </c>
      <c r="H81" s="394">
        <v>6</v>
      </c>
    </row>
    <row r="82" spans="1:8" x14ac:dyDescent="0.25">
      <c r="A82" t="s">
        <v>939</v>
      </c>
      <c r="B82">
        <v>5</v>
      </c>
      <c r="C82" t="s">
        <v>853</v>
      </c>
      <c r="D82" t="str">
        <f t="shared" si="1"/>
        <v xml:space="preserve">Juan García Peñuela </v>
      </c>
      <c r="G82" s="393" t="s">
        <v>1384</v>
      </c>
      <c r="H82" s="394">
        <v>6</v>
      </c>
    </row>
    <row r="83" spans="1:8" x14ac:dyDescent="0.25">
      <c r="A83" t="s">
        <v>884</v>
      </c>
      <c r="B83">
        <v>6</v>
      </c>
      <c r="C83" t="s">
        <v>853</v>
      </c>
      <c r="D83" t="str">
        <f t="shared" si="1"/>
        <v xml:space="preserve">Julian Gräbitz </v>
      </c>
      <c r="G83" s="393" t="s">
        <v>1385</v>
      </c>
      <c r="H83" s="394">
        <v>6</v>
      </c>
    </row>
    <row r="84" spans="1:8" x14ac:dyDescent="0.25">
      <c r="A84" t="s">
        <v>884</v>
      </c>
      <c r="B84">
        <v>6</v>
      </c>
      <c r="C84" t="s">
        <v>853</v>
      </c>
      <c r="D84" t="str">
        <f t="shared" si="1"/>
        <v xml:space="preserve">Julian Gräbitz </v>
      </c>
      <c r="G84" s="393" t="s">
        <v>1386</v>
      </c>
      <c r="H84" s="394">
        <v>6</v>
      </c>
    </row>
    <row r="85" spans="1:8" x14ac:dyDescent="0.25">
      <c r="A85" t="s">
        <v>868</v>
      </c>
      <c r="B85">
        <v>6</v>
      </c>
      <c r="C85" t="s">
        <v>853</v>
      </c>
      <c r="D85" t="str">
        <f t="shared" si="1"/>
        <v xml:space="preserve">Nicolás Galaz </v>
      </c>
      <c r="G85" s="393" t="s">
        <v>1387</v>
      </c>
      <c r="H85" s="394">
        <v>6</v>
      </c>
    </row>
    <row r="86" spans="1:8" x14ac:dyDescent="0.25">
      <c r="A86" t="s">
        <v>926</v>
      </c>
      <c r="B86">
        <v>6</v>
      </c>
      <c r="C86" t="s">
        <v>853</v>
      </c>
      <c r="D86" t="str">
        <f t="shared" si="1"/>
        <v xml:space="preserve">Valeri Gomis </v>
      </c>
      <c r="G86" s="393" t="s">
        <v>1388</v>
      </c>
      <c r="H86" s="394">
        <v>6</v>
      </c>
    </row>
    <row r="87" spans="1:8" x14ac:dyDescent="0.25">
      <c r="A87" t="s">
        <v>948</v>
      </c>
      <c r="B87">
        <v>3</v>
      </c>
      <c r="C87" t="s">
        <v>853</v>
      </c>
      <c r="D87" t="str">
        <f t="shared" si="1"/>
        <v xml:space="preserve">Berto Abandero </v>
      </c>
      <c r="G87" s="393" t="s">
        <v>1389</v>
      </c>
      <c r="H87" s="394">
        <v>6</v>
      </c>
    </row>
    <row r="88" spans="1:8" x14ac:dyDescent="0.25">
      <c r="A88" t="s">
        <v>898</v>
      </c>
      <c r="B88">
        <v>6</v>
      </c>
      <c r="C88" t="s">
        <v>853</v>
      </c>
      <c r="D88" t="str">
        <f t="shared" si="1"/>
        <v xml:space="preserve">Enrique Cubas </v>
      </c>
      <c r="G88" s="393" t="s">
        <v>1390</v>
      </c>
      <c r="H88" s="394">
        <v>6</v>
      </c>
    </row>
    <row r="89" spans="1:8" x14ac:dyDescent="0.25">
      <c r="A89" t="s">
        <v>940</v>
      </c>
      <c r="B89">
        <v>4</v>
      </c>
      <c r="C89" t="s">
        <v>853</v>
      </c>
      <c r="D89" t="str">
        <f t="shared" si="1"/>
        <v xml:space="preserve">Guillermo Pedrajas </v>
      </c>
      <c r="G89" s="393" t="s">
        <v>1391</v>
      </c>
      <c r="H89" s="394">
        <v>6</v>
      </c>
    </row>
    <row r="90" spans="1:8" x14ac:dyDescent="0.25">
      <c r="A90" t="s">
        <v>885</v>
      </c>
      <c r="B90">
        <v>5</v>
      </c>
      <c r="C90" t="s">
        <v>853</v>
      </c>
      <c r="D90" t="str">
        <f t="shared" si="1"/>
        <v xml:space="preserve">Juan García Peñuela </v>
      </c>
      <c r="G90" s="393" t="s">
        <v>1392</v>
      </c>
      <c r="H90" s="394">
        <v>6</v>
      </c>
    </row>
    <row r="91" spans="1:8" x14ac:dyDescent="0.25">
      <c r="A91" t="s">
        <v>858</v>
      </c>
      <c r="B91">
        <v>5</v>
      </c>
      <c r="C91" t="s">
        <v>853</v>
      </c>
      <c r="D91" t="str">
        <f t="shared" si="1"/>
        <v xml:space="preserve">Valeri Gomis </v>
      </c>
      <c r="G91" s="393" t="s">
        <v>1393</v>
      </c>
      <c r="H91" s="394">
        <v>6</v>
      </c>
    </row>
    <row r="92" spans="1:8" x14ac:dyDescent="0.25">
      <c r="A92" t="s">
        <v>869</v>
      </c>
      <c r="B92">
        <v>6</v>
      </c>
      <c r="C92" t="s">
        <v>853</v>
      </c>
      <c r="D92" t="str">
        <f t="shared" si="1"/>
        <v xml:space="preserve">Wil Duffill </v>
      </c>
      <c r="G92" s="393" t="s">
        <v>1394</v>
      </c>
      <c r="H92" s="394">
        <v>6</v>
      </c>
    </row>
    <row r="93" spans="1:8" x14ac:dyDescent="0.25">
      <c r="A93" t="s">
        <v>869</v>
      </c>
      <c r="B93">
        <v>6</v>
      </c>
      <c r="C93" t="s">
        <v>853</v>
      </c>
      <c r="D93" t="str">
        <f t="shared" si="1"/>
        <v xml:space="preserve">Wil Duffill </v>
      </c>
      <c r="G93" s="393" t="s">
        <v>1395</v>
      </c>
      <c r="H93" s="394">
        <v>6</v>
      </c>
    </row>
    <row r="94" spans="1:8" x14ac:dyDescent="0.25">
      <c r="A94" t="s">
        <v>941</v>
      </c>
      <c r="B94">
        <v>4</v>
      </c>
      <c r="C94" t="s">
        <v>853</v>
      </c>
      <c r="D94" t="str">
        <f t="shared" si="1"/>
        <v xml:space="preserve">Enrique Cubas </v>
      </c>
      <c r="G94" s="393" t="s">
        <v>1396</v>
      </c>
      <c r="H94" s="394">
        <v>6</v>
      </c>
    </row>
    <row r="95" spans="1:8" x14ac:dyDescent="0.25">
      <c r="A95" t="s">
        <v>870</v>
      </c>
      <c r="B95">
        <v>5</v>
      </c>
      <c r="C95" t="s">
        <v>853</v>
      </c>
      <c r="D95" t="str">
        <f t="shared" si="1"/>
        <v xml:space="preserve">Francesc Añigas </v>
      </c>
      <c r="G95" s="393" t="s">
        <v>1397</v>
      </c>
      <c r="H95" s="394">
        <v>5</v>
      </c>
    </row>
    <row r="96" spans="1:8" x14ac:dyDescent="0.25">
      <c r="A96" t="s">
        <v>870</v>
      </c>
      <c r="B96">
        <v>5</v>
      </c>
      <c r="C96" t="s">
        <v>853</v>
      </c>
      <c r="D96" t="str">
        <f t="shared" si="1"/>
        <v xml:space="preserve">Francesc Añigas </v>
      </c>
      <c r="G96" s="393" t="s">
        <v>1398</v>
      </c>
      <c r="H96" s="394">
        <v>5</v>
      </c>
    </row>
    <row r="97" spans="1:8" x14ac:dyDescent="0.25">
      <c r="A97" t="s">
        <v>870</v>
      </c>
      <c r="B97">
        <v>5</v>
      </c>
      <c r="C97" t="s">
        <v>853</v>
      </c>
      <c r="D97" t="str">
        <f t="shared" si="1"/>
        <v xml:space="preserve">Francesc Añigas </v>
      </c>
      <c r="G97" s="393" t="s">
        <v>1399</v>
      </c>
      <c r="H97" s="394">
        <v>5</v>
      </c>
    </row>
    <row r="98" spans="1:8" x14ac:dyDescent="0.25">
      <c r="A98" t="s">
        <v>886</v>
      </c>
      <c r="B98">
        <v>5</v>
      </c>
      <c r="C98" t="s">
        <v>853</v>
      </c>
      <c r="D98" t="str">
        <f t="shared" si="1"/>
        <v xml:space="preserve">Guillermo Pedrajas </v>
      </c>
      <c r="G98" s="393" t="s">
        <v>1400</v>
      </c>
      <c r="H98" s="394">
        <v>5</v>
      </c>
    </row>
    <row r="99" spans="1:8" x14ac:dyDescent="0.25">
      <c r="A99" t="s">
        <v>978</v>
      </c>
      <c r="B99">
        <v>2</v>
      </c>
      <c r="C99" t="s">
        <v>853</v>
      </c>
      <c r="D99" t="str">
        <f t="shared" si="1"/>
        <v xml:space="preserve">Juan García Peñuela </v>
      </c>
      <c r="G99" s="393" t="s">
        <v>1401</v>
      </c>
      <c r="H99" s="394">
        <v>5</v>
      </c>
    </row>
    <row r="100" spans="1:8" x14ac:dyDescent="0.25">
      <c r="A100" t="s">
        <v>920</v>
      </c>
      <c r="B100">
        <v>4</v>
      </c>
      <c r="C100" t="s">
        <v>853</v>
      </c>
      <c r="D100" t="str">
        <f t="shared" si="1"/>
        <v xml:space="preserve">Julian Gräbitz </v>
      </c>
      <c r="G100" s="393" t="s">
        <v>1402</v>
      </c>
      <c r="H100" s="394">
        <v>5</v>
      </c>
    </row>
    <row r="101" spans="1:8" x14ac:dyDescent="0.25">
      <c r="A101" t="s">
        <v>958</v>
      </c>
      <c r="B101">
        <v>1</v>
      </c>
      <c r="C101" t="s">
        <v>853</v>
      </c>
      <c r="D101" t="str">
        <f t="shared" si="1"/>
        <v xml:space="preserve">Berto Abandero </v>
      </c>
      <c r="G101" s="393" t="s">
        <v>1403</v>
      </c>
      <c r="H101" s="394">
        <v>5</v>
      </c>
    </row>
    <row r="102" spans="1:8" x14ac:dyDescent="0.25">
      <c r="A102" t="s">
        <v>860</v>
      </c>
      <c r="B102">
        <v>3</v>
      </c>
      <c r="C102" t="s">
        <v>853</v>
      </c>
      <c r="D102" t="str">
        <f t="shared" si="1"/>
        <v xml:space="preserve">Juan García Peñuela </v>
      </c>
      <c r="G102" s="393" t="s">
        <v>1404</v>
      </c>
      <c r="H102" s="394">
        <v>5</v>
      </c>
    </row>
    <row r="103" spans="1:8" x14ac:dyDescent="0.25">
      <c r="A103" t="s">
        <v>860</v>
      </c>
      <c r="B103">
        <v>3</v>
      </c>
      <c r="C103" t="s">
        <v>853</v>
      </c>
      <c r="D103" t="str">
        <f t="shared" si="1"/>
        <v xml:space="preserve">Juan García Peñuela </v>
      </c>
      <c r="G103" s="393" t="s">
        <v>1405</v>
      </c>
      <c r="H103" s="394">
        <v>5</v>
      </c>
    </row>
    <row r="104" spans="1:8" x14ac:dyDescent="0.25">
      <c r="A104" t="s">
        <v>871</v>
      </c>
      <c r="B104">
        <v>4</v>
      </c>
      <c r="C104" t="s">
        <v>853</v>
      </c>
      <c r="D104" t="str">
        <f t="shared" si="1"/>
        <v xml:space="preserve">Meraj Siddiqui </v>
      </c>
      <c r="G104" s="393" t="s">
        <v>1406</v>
      </c>
      <c r="H104" s="394">
        <v>5</v>
      </c>
    </row>
    <row r="105" spans="1:8" x14ac:dyDescent="0.25">
      <c r="A105" t="s">
        <v>950</v>
      </c>
      <c r="B105">
        <v>3</v>
      </c>
      <c r="C105" t="s">
        <v>853</v>
      </c>
      <c r="D105" t="str">
        <f t="shared" si="1"/>
        <v xml:space="preserve">Valeri Gomis </v>
      </c>
      <c r="G105" s="393" t="s">
        <v>1407</v>
      </c>
      <c r="H105" s="394">
        <v>5</v>
      </c>
    </row>
    <row r="106" spans="1:8" x14ac:dyDescent="0.25">
      <c r="A106" t="s">
        <v>887</v>
      </c>
      <c r="B106">
        <v>5</v>
      </c>
      <c r="C106" t="s">
        <v>853</v>
      </c>
      <c r="D106" t="str">
        <f t="shared" si="1"/>
        <v xml:space="preserve">Venanci Oset </v>
      </c>
      <c r="G106" s="393" t="s">
        <v>1408</v>
      </c>
      <c r="H106" s="394">
        <v>5</v>
      </c>
    </row>
    <row r="107" spans="1:8" x14ac:dyDescent="0.25">
      <c r="A107" t="s">
        <v>921</v>
      </c>
      <c r="B107">
        <v>3</v>
      </c>
      <c r="C107" t="s">
        <v>853</v>
      </c>
      <c r="D107" t="str">
        <f t="shared" si="1"/>
        <v xml:space="preserve">Berto Abandero </v>
      </c>
      <c r="G107" s="393" t="s">
        <v>1409</v>
      </c>
      <c r="H107" s="394">
        <v>4</v>
      </c>
    </row>
    <row r="108" spans="1:8" x14ac:dyDescent="0.25">
      <c r="A108" t="s">
        <v>872</v>
      </c>
      <c r="B108">
        <v>3</v>
      </c>
      <c r="C108" t="s">
        <v>853</v>
      </c>
      <c r="D108" t="str">
        <f t="shared" si="1"/>
        <v xml:space="preserve">Juan García Peñuela </v>
      </c>
      <c r="G108" s="393" t="s">
        <v>1410</v>
      </c>
      <c r="H108" s="394">
        <v>4</v>
      </c>
    </row>
    <row r="109" spans="1:8" x14ac:dyDescent="0.25">
      <c r="A109" t="s">
        <v>909</v>
      </c>
      <c r="B109">
        <v>3</v>
      </c>
      <c r="C109" t="s">
        <v>853</v>
      </c>
      <c r="D109" t="str">
        <f t="shared" si="1"/>
        <v xml:space="preserve">Julian Gräbitz </v>
      </c>
      <c r="G109" s="393" t="s">
        <v>1411</v>
      </c>
      <c r="H109" s="394">
        <v>4</v>
      </c>
    </row>
    <row r="110" spans="1:8" x14ac:dyDescent="0.25">
      <c r="A110" t="s">
        <v>951</v>
      </c>
      <c r="B110">
        <v>3</v>
      </c>
      <c r="C110" t="s">
        <v>853</v>
      </c>
      <c r="D110" t="str">
        <f t="shared" si="1"/>
        <v xml:space="preserve">Wil Duffill </v>
      </c>
      <c r="G110" s="393" t="s">
        <v>1412</v>
      </c>
      <c r="H110" s="394">
        <v>4</v>
      </c>
    </row>
    <row r="111" spans="1:8" x14ac:dyDescent="0.25">
      <c r="A111" t="s">
        <v>1013</v>
      </c>
      <c r="B111">
        <v>15</v>
      </c>
      <c r="D111" t="str">
        <f t="shared" si="1"/>
        <v xml:space="preserve">Adam Moss </v>
      </c>
      <c r="G111" s="393" t="s">
        <v>1413</v>
      </c>
      <c r="H111" s="394">
        <v>4</v>
      </c>
    </row>
    <row r="112" spans="1:8" x14ac:dyDescent="0.25">
      <c r="A112" t="s">
        <v>1238</v>
      </c>
      <c r="B112">
        <v>8</v>
      </c>
      <c r="D112" t="str">
        <f t="shared" si="1"/>
        <v xml:space="preserve">Augustin Demaison </v>
      </c>
      <c r="G112" s="393" t="s">
        <v>1414</v>
      </c>
      <c r="H112" s="394">
        <v>4</v>
      </c>
    </row>
    <row r="113" spans="1:8" x14ac:dyDescent="0.25">
      <c r="A113" t="s">
        <v>1136</v>
      </c>
      <c r="B113">
        <v>10</v>
      </c>
      <c r="D113" t="str">
        <f t="shared" si="1"/>
        <v xml:space="preserve">Brunon Chuda </v>
      </c>
      <c r="G113" s="393" t="s">
        <v>1415</v>
      </c>
      <c r="H113" s="394">
        <v>4</v>
      </c>
    </row>
    <row r="114" spans="1:8" x14ac:dyDescent="0.25">
      <c r="A114" t="s">
        <v>936</v>
      </c>
      <c r="B114">
        <v>6</v>
      </c>
      <c r="D114" t="str">
        <f t="shared" si="1"/>
        <v xml:space="preserve">David Garcia-Spiess </v>
      </c>
      <c r="G114" s="393" t="s">
        <v>1416</v>
      </c>
      <c r="H114" s="394">
        <v>4</v>
      </c>
    </row>
    <row r="115" spans="1:8" x14ac:dyDescent="0.25">
      <c r="A115" t="s">
        <v>946</v>
      </c>
      <c r="B115">
        <v>11</v>
      </c>
      <c r="D115" t="str">
        <f t="shared" si="1"/>
        <v xml:space="preserve">Emilio Rojas </v>
      </c>
      <c r="G115" s="393" t="s">
        <v>1417</v>
      </c>
      <c r="H115" s="394">
        <v>4</v>
      </c>
    </row>
    <row r="116" spans="1:8" x14ac:dyDescent="0.25">
      <c r="A116" t="s">
        <v>1155</v>
      </c>
      <c r="B116">
        <v>7</v>
      </c>
      <c r="D116" t="str">
        <f t="shared" si="1"/>
        <v xml:space="preserve">Erik Lemming </v>
      </c>
      <c r="G116" s="393" t="s">
        <v>1418</v>
      </c>
      <c r="H116" s="394">
        <v>4</v>
      </c>
    </row>
    <row r="117" spans="1:8" x14ac:dyDescent="0.25">
      <c r="A117" t="s">
        <v>1074</v>
      </c>
      <c r="B117">
        <v>2</v>
      </c>
      <c r="D117" t="str">
        <f t="shared" si="1"/>
        <v xml:space="preserve">Ilari Santasalmi </v>
      </c>
      <c r="G117" s="393" t="s">
        <v>1419</v>
      </c>
      <c r="H117" s="394">
        <v>4</v>
      </c>
    </row>
    <row r="118" spans="1:8" x14ac:dyDescent="0.25">
      <c r="A118" t="s">
        <v>1102</v>
      </c>
      <c r="B118">
        <v>15</v>
      </c>
      <c r="D118" t="str">
        <f t="shared" si="1"/>
        <v xml:space="preserve">Joãozinho do Mato </v>
      </c>
      <c r="G118" s="393" t="s">
        <v>1420</v>
      </c>
      <c r="H118" s="394">
        <v>4</v>
      </c>
    </row>
    <row r="119" spans="1:8" x14ac:dyDescent="0.25">
      <c r="A119" t="s">
        <v>924</v>
      </c>
      <c r="B119">
        <v>17</v>
      </c>
      <c r="D119" t="str">
        <f t="shared" si="1"/>
        <v xml:space="preserve">Leo Hilpinen </v>
      </c>
      <c r="G119" s="393" t="s">
        <v>1421</v>
      </c>
      <c r="H119" s="394">
        <v>4</v>
      </c>
    </row>
    <row r="120" spans="1:8" x14ac:dyDescent="0.25">
      <c r="A120" t="s">
        <v>1039</v>
      </c>
      <c r="B120">
        <v>18</v>
      </c>
      <c r="D120" t="str">
        <f t="shared" si="1"/>
        <v xml:space="preserve">Leonardo Baltico </v>
      </c>
      <c r="G120" s="393" t="s">
        <v>1422</v>
      </c>
      <c r="H120" s="394">
        <v>4</v>
      </c>
    </row>
    <row r="121" spans="1:8" x14ac:dyDescent="0.25">
      <c r="A121" t="s">
        <v>1039</v>
      </c>
      <c r="B121">
        <v>12</v>
      </c>
      <c r="D121" t="str">
        <f t="shared" si="1"/>
        <v xml:space="preserve">Leonardo Baltico </v>
      </c>
      <c r="G121" s="393" t="s">
        <v>1423</v>
      </c>
      <c r="H121" s="394">
        <v>4</v>
      </c>
    </row>
    <row r="122" spans="1:8" x14ac:dyDescent="0.25">
      <c r="A122" t="s">
        <v>1039</v>
      </c>
      <c r="B122">
        <v>14</v>
      </c>
      <c r="D122" t="str">
        <f t="shared" si="1"/>
        <v xml:space="preserve">Leonardo Baltico </v>
      </c>
      <c r="G122" s="393" t="s">
        <v>1424</v>
      </c>
      <c r="H122" s="394">
        <v>3</v>
      </c>
    </row>
    <row r="123" spans="1:8" x14ac:dyDescent="0.25">
      <c r="A123" t="s">
        <v>1170</v>
      </c>
      <c r="B123">
        <v>9</v>
      </c>
      <c r="D123" t="str">
        <f t="shared" si="1"/>
        <v xml:space="preserve">Malte Neulinger </v>
      </c>
      <c r="G123" s="393" t="s">
        <v>1425</v>
      </c>
      <c r="H123" s="394">
        <v>3</v>
      </c>
    </row>
    <row r="124" spans="1:8" x14ac:dyDescent="0.25">
      <c r="A124" t="s">
        <v>1170</v>
      </c>
      <c r="B124">
        <v>7</v>
      </c>
      <c r="D124" t="str">
        <f t="shared" si="1"/>
        <v xml:space="preserve">Malte Neulinger </v>
      </c>
      <c r="G124" s="393" t="s">
        <v>1426</v>
      </c>
      <c r="H124" s="394">
        <v>3</v>
      </c>
    </row>
    <row r="125" spans="1:8" x14ac:dyDescent="0.25">
      <c r="A125" t="s">
        <v>1170</v>
      </c>
      <c r="B125">
        <v>9</v>
      </c>
      <c r="D125" t="str">
        <f t="shared" si="1"/>
        <v xml:space="preserve">Malte Neulinger </v>
      </c>
      <c r="G125" s="393" t="s">
        <v>1427</v>
      </c>
      <c r="H125" s="394">
        <v>3</v>
      </c>
    </row>
    <row r="126" spans="1:8" x14ac:dyDescent="0.25">
      <c r="A126" t="s">
        <v>1274</v>
      </c>
      <c r="B126">
        <v>6</v>
      </c>
      <c r="D126" t="str">
        <f t="shared" si="1"/>
        <v xml:space="preserve">Manolo Negrín </v>
      </c>
      <c r="G126" s="393" t="s">
        <v>1428</v>
      </c>
      <c r="H126" s="394">
        <v>3</v>
      </c>
    </row>
    <row r="127" spans="1:8" x14ac:dyDescent="0.25">
      <c r="A127" t="s">
        <v>1287</v>
      </c>
      <c r="B127">
        <v>6</v>
      </c>
      <c r="D127" t="str">
        <f t="shared" si="1"/>
        <v xml:space="preserve">Martin Kilev </v>
      </c>
      <c r="G127" s="393" t="s">
        <v>1429</v>
      </c>
      <c r="H127" s="394">
        <v>3</v>
      </c>
    </row>
    <row r="128" spans="1:8" x14ac:dyDescent="0.25">
      <c r="A128" t="s">
        <v>1256</v>
      </c>
      <c r="B128">
        <v>9</v>
      </c>
      <c r="D128" t="str">
        <f t="shared" si="1"/>
        <v xml:space="preserve">Melcior Calmet </v>
      </c>
      <c r="G128" s="393" t="s">
        <v>1430</v>
      </c>
      <c r="H128" s="394">
        <v>3</v>
      </c>
    </row>
    <row r="129" spans="1:8" x14ac:dyDescent="0.25">
      <c r="A129" t="s">
        <v>1084</v>
      </c>
      <c r="B129">
        <v>14</v>
      </c>
      <c r="D129" t="str">
        <f t="shared" si="1"/>
        <v xml:space="preserve">Nikolas Lakkotripi </v>
      </c>
      <c r="G129" s="393" t="s">
        <v>1431</v>
      </c>
      <c r="H129" s="394">
        <v>3</v>
      </c>
    </row>
    <row r="130" spans="1:8" x14ac:dyDescent="0.25">
      <c r="A130" t="s">
        <v>1214</v>
      </c>
      <c r="B130">
        <v>8</v>
      </c>
      <c r="D130" t="str">
        <f t="shared" si="1"/>
        <v xml:space="preserve">Pere Beltran </v>
      </c>
      <c r="G130" s="393" t="s">
        <v>1432</v>
      </c>
      <c r="H130" s="394">
        <v>3</v>
      </c>
    </row>
    <row r="131" spans="1:8" x14ac:dyDescent="0.25">
      <c r="A131" t="s">
        <v>1119</v>
      </c>
      <c r="B131">
        <v>14</v>
      </c>
      <c r="D131" t="str">
        <f t="shared" ref="D131:D194" si="2">MID(A131,SEARCH(" ",A131)+1,150)</f>
        <v xml:space="preserve">Roelant Bierman </v>
      </c>
      <c r="G131" s="393" t="s">
        <v>1433</v>
      </c>
      <c r="H131" s="394">
        <v>3</v>
      </c>
    </row>
    <row r="132" spans="1:8" x14ac:dyDescent="0.25">
      <c r="A132" t="s">
        <v>987</v>
      </c>
      <c r="B132">
        <v>15</v>
      </c>
      <c r="D132" t="str">
        <f t="shared" si="2"/>
        <v xml:space="preserve">Saúl Piña </v>
      </c>
      <c r="G132" s="393" t="s">
        <v>1434</v>
      </c>
      <c r="H132" s="394">
        <v>3</v>
      </c>
    </row>
    <row r="133" spans="1:8" x14ac:dyDescent="0.25">
      <c r="A133" t="s">
        <v>987</v>
      </c>
      <c r="B133">
        <v>13</v>
      </c>
      <c r="D133" t="str">
        <f t="shared" si="2"/>
        <v xml:space="preserve">Saúl Piña </v>
      </c>
      <c r="G133" s="393" t="s">
        <v>1435</v>
      </c>
      <c r="H133" s="394">
        <v>3</v>
      </c>
    </row>
    <row r="134" spans="1:8" x14ac:dyDescent="0.25">
      <c r="A134" t="s">
        <v>987</v>
      </c>
      <c r="B134">
        <v>22</v>
      </c>
      <c r="D134" t="str">
        <f t="shared" si="2"/>
        <v xml:space="preserve">Saúl Piña </v>
      </c>
      <c r="G134" s="393" t="s">
        <v>1436</v>
      </c>
      <c r="H134" s="394">
        <v>3</v>
      </c>
    </row>
    <row r="135" spans="1:8" x14ac:dyDescent="0.25">
      <c r="A135" t="s">
        <v>1093</v>
      </c>
      <c r="B135">
        <v>3</v>
      </c>
      <c r="D135" t="str">
        <f t="shared" si="2"/>
        <v xml:space="preserve">? (Ho) ?? (Minwei) </v>
      </c>
      <c r="G135" s="393" t="s">
        <v>1437</v>
      </c>
      <c r="H135" s="394">
        <v>3</v>
      </c>
    </row>
    <row r="136" spans="1:8" x14ac:dyDescent="0.25">
      <c r="A136" t="s">
        <v>1164</v>
      </c>
      <c r="B136">
        <v>2</v>
      </c>
      <c r="D136" t="str">
        <f t="shared" si="2"/>
        <v xml:space="preserve">Adamantios Fikias </v>
      </c>
      <c r="G136" s="393" t="s">
        <v>1438</v>
      </c>
      <c r="H136" s="394">
        <v>3</v>
      </c>
    </row>
    <row r="137" spans="1:8" x14ac:dyDescent="0.25">
      <c r="A137" t="s">
        <v>1178</v>
      </c>
      <c r="B137">
        <v>1</v>
      </c>
      <c r="D137" t="str">
        <f t="shared" si="2"/>
        <v xml:space="preserve">Andrija Miškovic </v>
      </c>
      <c r="G137" s="393" t="s">
        <v>1439</v>
      </c>
      <c r="H137" s="394">
        <v>3</v>
      </c>
    </row>
    <row r="138" spans="1:8" x14ac:dyDescent="0.25">
      <c r="A138" t="s">
        <v>1110</v>
      </c>
      <c r="B138">
        <v>4</v>
      </c>
      <c r="D138" t="str">
        <f t="shared" si="2"/>
        <v xml:space="preserve">Andrin Bärtsch </v>
      </c>
      <c r="G138" s="393" t="s">
        <v>1440</v>
      </c>
      <c r="H138" s="394">
        <v>3</v>
      </c>
    </row>
    <row r="139" spans="1:8" x14ac:dyDescent="0.25">
      <c r="A139" t="s">
        <v>1035</v>
      </c>
      <c r="B139">
        <v>4</v>
      </c>
      <c r="D139" t="str">
        <f t="shared" si="2"/>
        <v xml:space="preserve">Antoine Dupré </v>
      </c>
      <c r="G139" s="393" t="s">
        <v>1441</v>
      </c>
      <c r="H139" s="394">
        <v>3</v>
      </c>
    </row>
    <row r="140" spans="1:8" x14ac:dyDescent="0.25">
      <c r="A140" t="s">
        <v>1035</v>
      </c>
      <c r="B140">
        <v>6</v>
      </c>
      <c r="D140" t="str">
        <f t="shared" si="2"/>
        <v xml:space="preserve">Antoine Dupré </v>
      </c>
      <c r="G140" s="393" t="s">
        <v>1442</v>
      </c>
      <c r="H140" s="394">
        <v>3</v>
      </c>
    </row>
    <row r="141" spans="1:8" x14ac:dyDescent="0.25">
      <c r="A141" t="s">
        <v>996</v>
      </c>
      <c r="B141">
        <v>2</v>
      </c>
      <c r="D141" t="str">
        <f t="shared" si="2"/>
        <v xml:space="preserve">Cezary Pauch </v>
      </c>
      <c r="G141" s="393" t="s">
        <v>1443</v>
      </c>
      <c r="H141" s="394">
        <v>3</v>
      </c>
    </row>
    <row r="142" spans="1:8" x14ac:dyDescent="0.25">
      <c r="A142" t="s">
        <v>1222</v>
      </c>
      <c r="B142">
        <v>3</v>
      </c>
      <c r="D142" t="str">
        <f t="shared" si="2"/>
        <v xml:space="preserve">Clifford Smallwood </v>
      </c>
      <c r="G142" s="393" t="s">
        <v>1444</v>
      </c>
      <c r="H142" s="394">
        <v>2</v>
      </c>
    </row>
    <row r="143" spans="1:8" x14ac:dyDescent="0.25">
      <c r="A143" t="s">
        <v>971</v>
      </c>
      <c r="B143">
        <v>1</v>
      </c>
      <c r="D143" t="str">
        <f t="shared" si="2"/>
        <v xml:space="preserve">Eckardt Hägerling </v>
      </c>
      <c r="G143" s="393" t="s">
        <v>1445</v>
      </c>
      <c r="H143" s="394">
        <v>2</v>
      </c>
    </row>
    <row r="144" spans="1:8" x14ac:dyDescent="0.25">
      <c r="A144" t="s">
        <v>1145</v>
      </c>
      <c r="B144">
        <v>3</v>
      </c>
      <c r="D144" t="str">
        <f t="shared" si="2"/>
        <v xml:space="preserve">Erik Lemming </v>
      </c>
      <c r="G144" s="393" t="s">
        <v>1446</v>
      </c>
      <c r="H144" s="394">
        <v>2</v>
      </c>
    </row>
    <row r="145" spans="1:8" x14ac:dyDescent="0.25">
      <c r="A145" t="s">
        <v>1188</v>
      </c>
      <c r="B145">
        <v>2</v>
      </c>
      <c r="D145" t="str">
        <f t="shared" si="2"/>
        <v xml:space="preserve">Fabien Goncalves </v>
      </c>
      <c r="G145" s="393" t="s">
        <v>1447</v>
      </c>
      <c r="H145" s="394">
        <v>2</v>
      </c>
    </row>
    <row r="146" spans="1:8" x14ac:dyDescent="0.25">
      <c r="A146" t="s">
        <v>1021</v>
      </c>
      <c r="B146">
        <v>3</v>
      </c>
      <c r="D146" t="str">
        <f t="shared" si="2"/>
        <v xml:space="preserve">Gregor Freischläger </v>
      </c>
      <c r="G146" s="393" t="s">
        <v>1448</v>
      </c>
      <c r="H146" s="394">
        <v>2</v>
      </c>
    </row>
    <row r="147" spans="1:8" x14ac:dyDescent="0.25">
      <c r="A147" t="s">
        <v>1203</v>
      </c>
      <c r="B147">
        <v>2</v>
      </c>
      <c r="D147" t="str">
        <f t="shared" si="2"/>
        <v xml:space="preserve">Jacobo Ferrueros </v>
      </c>
      <c r="G147" s="393" t="s">
        <v>1449</v>
      </c>
      <c r="H147" s="394">
        <v>2</v>
      </c>
    </row>
    <row r="148" spans="1:8" x14ac:dyDescent="0.25">
      <c r="A148" t="s">
        <v>1009</v>
      </c>
      <c r="B148">
        <v>2</v>
      </c>
      <c r="D148" t="str">
        <f t="shared" si="2"/>
        <v xml:space="preserve">Jorge Walter Whitaker </v>
      </c>
      <c r="G148" s="393" t="s">
        <v>1450</v>
      </c>
      <c r="H148" s="394">
        <v>2</v>
      </c>
    </row>
    <row r="149" spans="1:8" x14ac:dyDescent="0.25">
      <c r="A149" t="s">
        <v>952</v>
      </c>
      <c r="B149">
        <v>2</v>
      </c>
      <c r="D149" t="str">
        <f t="shared" si="2"/>
        <v xml:space="preserve">Jurgen Muësen </v>
      </c>
      <c r="G149" s="393" t="s">
        <v>1451</v>
      </c>
      <c r="H149" s="394">
        <v>2</v>
      </c>
    </row>
    <row r="150" spans="1:8" x14ac:dyDescent="0.25">
      <c r="A150" t="s">
        <v>1055</v>
      </c>
      <c r="B150">
        <v>3</v>
      </c>
      <c r="D150" t="str">
        <f t="shared" si="2"/>
        <v xml:space="preserve">Károly Serfel </v>
      </c>
      <c r="G150" s="393" t="s">
        <v>1452</v>
      </c>
      <c r="H150" s="394">
        <v>2</v>
      </c>
    </row>
    <row r="151" spans="1:8" x14ac:dyDescent="0.25">
      <c r="A151" t="s">
        <v>1083</v>
      </c>
      <c r="B151">
        <v>1</v>
      </c>
      <c r="D151" t="str">
        <f t="shared" si="2"/>
        <v xml:space="preserve">Lars Pouilliers </v>
      </c>
      <c r="G151" s="393" t="s">
        <v>1453</v>
      </c>
      <c r="H151" s="394">
        <v>2</v>
      </c>
    </row>
    <row r="152" spans="1:8" x14ac:dyDescent="0.25">
      <c r="A152" t="s">
        <v>1296</v>
      </c>
      <c r="B152">
        <v>2</v>
      </c>
      <c r="D152" t="str">
        <f t="shared" si="2"/>
        <v xml:space="preserve">Manolo Negrín </v>
      </c>
      <c r="G152" s="393" t="s">
        <v>1454</v>
      </c>
      <c r="H152" s="394">
        <v>2</v>
      </c>
    </row>
    <row r="153" spans="1:8" x14ac:dyDescent="0.25">
      <c r="A153" t="s">
        <v>1246</v>
      </c>
      <c r="B153">
        <v>2</v>
      </c>
      <c r="D153" t="str">
        <f t="shared" si="2"/>
        <v xml:space="preserve">Markus Currie </v>
      </c>
      <c r="G153" s="393" t="s">
        <v>1455</v>
      </c>
      <c r="H153" s="394">
        <v>2</v>
      </c>
    </row>
    <row r="154" spans="1:8" x14ac:dyDescent="0.25">
      <c r="A154" t="s">
        <v>981</v>
      </c>
      <c r="B154">
        <v>1</v>
      </c>
      <c r="D154" t="str">
        <f t="shared" si="2"/>
        <v xml:space="preserve">Morgan Thomas </v>
      </c>
      <c r="G154" s="393" t="s">
        <v>1456</v>
      </c>
      <c r="H154" s="394">
        <v>2</v>
      </c>
    </row>
    <row r="155" spans="1:8" x14ac:dyDescent="0.25">
      <c r="A155" t="s">
        <v>1128</v>
      </c>
      <c r="B155">
        <v>4</v>
      </c>
      <c r="D155" t="str">
        <f t="shared" si="2"/>
        <v xml:space="preserve">Nicolai Stentoft </v>
      </c>
      <c r="G155" s="393" t="s">
        <v>1457</v>
      </c>
      <c r="H155" s="394">
        <v>2</v>
      </c>
    </row>
    <row r="156" spans="1:8" x14ac:dyDescent="0.25">
      <c r="A156" t="s">
        <v>1265</v>
      </c>
      <c r="B156">
        <v>2</v>
      </c>
      <c r="D156" t="str">
        <f t="shared" si="2"/>
        <v xml:space="preserve">Ofek Azuri </v>
      </c>
      <c r="G156" s="393" t="s">
        <v>1458</v>
      </c>
      <c r="H156" s="394">
        <v>2</v>
      </c>
    </row>
    <row r="157" spans="1:8" x14ac:dyDescent="0.25">
      <c r="A157" t="s">
        <v>1283</v>
      </c>
      <c r="B157">
        <v>1</v>
      </c>
      <c r="D157" t="str">
        <f t="shared" si="2"/>
        <v xml:space="preserve">Olli Rambow </v>
      </c>
      <c r="G157" s="393" t="s">
        <v>1459</v>
      </c>
      <c r="H157" s="394">
        <v>2</v>
      </c>
    </row>
    <row r="158" spans="1:8" x14ac:dyDescent="0.25">
      <c r="A158" t="s">
        <v>960</v>
      </c>
      <c r="B158">
        <v>1</v>
      </c>
      <c r="D158" t="str">
        <f t="shared" si="2"/>
        <v xml:space="preserve">Roberto Montero </v>
      </c>
      <c r="G158" s="393" t="s">
        <v>1460</v>
      </c>
      <c r="H158" s="394">
        <v>2</v>
      </c>
    </row>
    <row r="159" spans="1:8" x14ac:dyDescent="0.25">
      <c r="A159" t="s">
        <v>1067</v>
      </c>
      <c r="B159">
        <v>5</v>
      </c>
      <c r="D159" t="str">
        <f t="shared" si="2"/>
        <v xml:space="preserve">Saúl Piña </v>
      </c>
      <c r="G159" s="393" t="s">
        <v>1461</v>
      </c>
      <c r="H159" s="394">
        <v>2</v>
      </c>
    </row>
    <row r="160" spans="1:8" x14ac:dyDescent="0.25">
      <c r="A160" t="s">
        <v>1129</v>
      </c>
      <c r="B160">
        <v>4</v>
      </c>
      <c r="D160" t="str">
        <f t="shared" si="2"/>
        <v xml:space="preserve">Adamantios Fikias </v>
      </c>
      <c r="G160" s="393" t="s">
        <v>1462</v>
      </c>
      <c r="H160" s="394">
        <v>2</v>
      </c>
    </row>
    <row r="161" spans="1:8" x14ac:dyDescent="0.25">
      <c r="A161" t="s">
        <v>1056</v>
      </c>
      <c r="B161">
        <v>1</v>
      </c>
      <c r="D161" t="str">
        <f t="shared" si="2"/>
        <v xml:space="preserve">Adolfo Vitulli </v>
      </c>
      <c r="G161" s="393" t="s">
        <v>1463</v>
      </c>
      <c r="H161" s="394">
        <v>2</v>
      </c>
    </row>
    <row r="162" spans="1:8" x14ac:dyDescent="0.25">
      <c r="A162" t="s">
        <v>1045</v>
      </c>
      <c r="B162">
        <v>5</v>
      </c>
      <c r="D162" t="str">
        <f t="shared" si="2"/>
        <v xml:space="preserve">Aleksi Alarotu </v>
      </c>
      <c r="G162" s="393" t="s">
        <v>1464</v>
      </c>
      <c r="H162" s="394">
        <v>2</v>
      </c>
    </row>
    <row r="163" spans="1:8" x14ac:dyDescent="0.25">
      <c r="A163" t="s">
        <v>1223</v>
      </c>
      <c r="B163">
        <v>2</v>
      </c>
      <c r="D163" t="str">
        <f t="shared" si="2"/>
        <v xml:space="preserve">Aureliusz Staszczuk </v>
      </c>
      <c r="G163" s="393" t="s">
        <v>1465</v>
      </c>
      <c r="H163" s="394">
        <v>2</v>
      </c>
    </row>
    <row r="164" spans="1:8" x14ac:dyDescent="0.25">
      <c r="A164" t="s">
        <v>1179</v>
      </c>
      <c r="B164">
        <v>1</v>
      </c>
      <c r="D164" t="str">
        <f t="shared" si="2"/>
        <v xml:space="preserve">Barnabás Borsányi </v>
      </c>
      <c r="G164" s="393" t="s">
        <v>1466</v>
      </c>
      <c r="H164" s="394">
        <v>2</v>
      </c>
    </row>
    <row r="165" spans="1:8" x14ac:dyDescent="0.25">
      <c r="A165" t="s">
        <v>1010</v>
      </c>
      <c r="B165">
        <v>1</v>
      </c>
      <c r="D165" t="str">
        <f t="shared" si="2"/>
        <v xml:space="preserve">Boleslaw Starzomski </v>
      </c>
      <c r="G165" s="393" t="s">
        <v>1467</v>
      </c>
      <c r="H165" s="394">
        <v>2</v>
      </c>
    </row>
    <row r="166" spans="1:8" x14ac:dyDescent="0.25">
      <c r="A166" t="s">
        <v>997</v>
      </c>
      <c r="B166">
        <v>1</v>
      </c>
      <c r="D166" t="str">
        <f t="shared" si="2"/>
        <v xml:space="preserve">Emilio Mochelato </v>
      </c>
      <c r="G166" s="393" t="s">
        <v>1468</v>
      </c>
      <c r="H166" s="394">
        <v>2</v>
      </c>
    </row>
    <row r="167" spans="1:8" x14ac:dyDescent="0.25">
      <c r="A167" t="s">
        <v>930</v>
      </c>
      <c r="B167">
        <v>2</v>
      </c>
      <c r="D167" t="str">
        <f t="shared" si="2"/>
        <v xml:space="preserve">Fabien Fabre </v>
      </c>
      <c r="G167" s="393" t="s">
        <v>1469</v>
      </c>
      <c r="H167" s="394">
        <v>2</v>
      </c>
    </row>
    <row r="168" spans="1:8" x14ac:dyDescent="0.25">
      <c r="A168" t="s">
        <v>930</v>
      </c>
      <c r="B168">
        <v>1</v>
      </c>
      <c r="D168" t="str">
        <f t="shared" si="2"/>
        <v xml:space="preserve">Fabien Fabre </v>
      </c>
      <c r="G168" s="393" t="s">
        <v>1470</v>
      </c>
      <c r="H168" s="394">
        <v>1</v>
      </c>
    </row>
    <row r="169" spans="1:8" x14ac:dyDescent="0.25">
      <c r="A169" t="s">
        <v>1146</v>
      </c>
      <c r="B169">
        <v>3</v>
      </c>
      <c r="D169" t="str">
        <f t="shared" si="2"/>
        <v xml:space="preserve">Honesto Cousa </v>
      </c>
      <c r="G169" s="393" t="s">
        <v>1471</v>
      </c>
      <c r="H169" s="394">
        <v>1</v>
      </c>
    </row>
    <row r="170" spans="1:8" x14ac:dyDescent="0.25">
      <c r="A170" t="s">
        <v>1266</v>
      </c>
      <c r="B170">
        <v>2</v>
      </c>
      <c r="D170" t="str">
        <f t="shared" si="2"/>
        <v xml:space="preserve">Karl Edwin </v>
      </c>
      <c r="G170" s="393" t="s">
        <v>1472</v>
      </c>
      <c r="H170" s="394">
        <v>1</v>
      </c>
    </row>
    <row r="171" spans="1:8" x14ac:dyDescent="0.25">
      <c r="A171" t="s">
        <v>1111</v>
      </c>
      <c r="B171">
        <v>4</v>
      </c>
      <c r="D171" t="str">
        <f t="shared" si="2"/>
        <v xml:space="preserve">Lars Pouilliers </v>
      </c>
      <c r="G171" s="393" t="s">
        <v>1473</v>
      </c>
      <c r="H171" s="394">
        <v>1</v>
      </c>
    </row>
    <row r="172" spans="1:8" x14ac:dyDescent="0.25">
      <c r="A172" t="s">
        <v>1094</v>
      </c>
      <c r="B172">
        <v>3</v>
      </c>
      <c r="D172" t="str">
        <f t="shared" si="2"/>
        <v xml:space="preserve">Leonardo Baltico </v>
      </c>
      <c r="G172" s="393" t="s">
        <v>1474</v>
      </c>
      <c r="H172" s="394">
        <v>1</v>
      </c>
    </row>
    <row r="173" spans="1:8" x14ac:dyDescent="0.25">
      <c r="A173" t="s">
        <v>1284</v>
      </c>
      <c r="B173">
        <v>1</v>
      </c>
      <c r="D173" t="str">
        <f t="shared" si="2"/>
        <v xml:space="preserve">Martin Kilev </v>
      </c>
      <c r="G173" s="393" t="s">
        <v>1475</v>
      </c>
      <c r="H173" s="394">
        <v>1</v>
      </c>
    </row>
    <row r="174" spans="1:8" x14ac:dyDescent="0.25">
      <c r="A174" t="s">
        <v>922</v>
      </c>
      <c r="B174">
        <v>2</v>
      </c>
      <c r="D174" t="str">
        <f t="shared" si="2"/>
        <v xml:space="preserve">Miguel Fernández </v>
      </c>
      <c r="G174" s="393" t="s">
        <v>1476</v>
      </c>
      <c r="H174" s="394">
        <v>1</v>
      </c>
    </row>
    <row r="175" spans="1:8" x14ac:dyDescent="0.25">
      <c r="A175" t="s">
        <v>922</v>
      </c>
      <c r="B175">
        <v>2</v>
      </c>
      <c r="D175" t="str">
        <f t="shared" si="2"/>
        <v xml:space="preserve">Miguel Fernández </v>
      </c>
      <c r="G175" s="393" t="s">
        <v>1477</v>
      </c>
      <c r="H175" s="394">
        <v>1</v>
      </c>
    </row>
    <row r="176" spans="1:8" x14ac:dyDescent="0.25">
      <c r="A176" t="s">
        <v>1022</v>
      </c>
      <c r="B176">
        <v>2</v>
      </c>
      <c r="D176" t="str">
        <f t="shared" si="2"/>
        <v xml:space="preserve">Morgan Thomas </v>
      </c>
      <c r="G176" s="393" t="s">
        <v>1478</v>
      </c>
      <c r="H176" s="394">
        <v>1</v>
      </c>
    </row>
    <row r="177" spans="1:8" x14ac:dyDescent="0.25">
      <c r="A177" t="s">
        <v>1036</v>
      </c>
      <c r="B177">
        <v>3</v>
      </c>
      <c r="D177" t="str">
        <f t="shared" si="2"/>
        <v xml:space="preserve">Patrick Werner </v>
      </c>
      <c r="G177" s="393" t="s">
        <v>1479</v>
      </c>
      <c r="H177" s="394">
        <v>1</v>
      </c>
    </row>
    <row r="178" spans="1:8" x14ac:dyDescent="0.25">
      <c r="A178" t="s">
        <v>1247</v>
      </c>
      <c r="B178">
        <v>2</v>
      </c>
      <c r="D178" t="str">
        <f t="shared" si="2"/>
        <v xml:space="preserve">Percy Alfredsson </v>
      </c>
      <c r="G178" s="393" t="s">
        <v>1480</v>
      </c>
      <c r="H178" s="394">
        <v>1</v>
      </c>
    </row>
    <row r="179" spans="1:8" x14ac:dyDescent="0.25">
      <c r="A179" t="s">
        <v>1165</v>
      </c>
      <c r="B179">
        <v>2</v>
      </c>
      <c r="D179" t="str">
        <f t="shared" si="2"/>
        <v xml:space="preserve">Pere Beltran </v>
      </c>
      <c r="G179" s="393" t="s">
        <v>1481</v>
      </c>
      <c r="H179" s="394">
        <v>1</v>
      </c>
    </row>
    <row r="180" spans="1:8" x14ac:dyDescent="0.25">
      <c r="A180" t="s">
        <v>982</v>
      </c>
      <c r="B180">
        <v>1</v>
      </c>
      <c r="D180" t="str">
        <f t="shared" si="2"/>
        <v xml:space="preserve">Rasheed Da'na </v>
      </c>
      <c r="G180" s="393" t="s">
        <v>1482</v>
      </c>
      <c r="H180" s="394">
        <v>1</v>
      </c>
    </row>
    <row r="181" spans="1:8" x14ac:dyDescent="0.25">
      <c r="A181" t="s">
        <v>982</v>
      </c>
      <c r="B181">
        <v>4</v>
      </c>
      <c r="D181" t="str">
        <f t="shared" si="2"/>
        <v xml:space="preserve">Rasheed Da'na </v>
      </c>
      <c r="G181" s="393" t="s">
        <v>1483</v>
      </c>
      <c r="H181" s="394">
        <v>1</v>
      </c>
    </row>
    <row r="182" spans="1:8" x14ac:dyDescent="0.25">
      <c r="A182" t="s">
        <v>972</v>
      </c>
      <c r="B182">
        <v>1</v>
      </c>
      <c r="D182" t="str">
        <f t="shared" si="2"/>
        <v xml:space="preserve">Roberto Montero </v>
      </c>
      <c r="G182" s="393" t="s">
        <v>1484</v>
      </c>
      <c r="H182" s="394">
        <v>1</v>
      </c>
    </row>
    <row r="183" spans="1:8" x14ac:dyDescent="0.25">
      <c r="A183" t="s">
        <v>1189</v>
      </c>
      <c r="B183">
        <v>2</v>
      </c>
      <c r="D183" t="str">
        <f t="shared" si="2"/>
        <v xml:space="preserve">Romain Grière </v>
      </c>
      <c r="G183" s="393" t="s">
        <v>1485</v>
      </c>
      <c r="H183" s="394">
        <v>1</v>
      </c>
    </row>
    <row r="184" spans="1:8" x14ac:dyDescent="0.25">
      <c r="A184" t="s">
        <v>961</v>
      </c>
      <c r="B184">
        <v>1</v>
      </c>
      <c r="D184" t="str">
        <f t="shared" si="2"/>
        <v xml:space="preserve">Seran Aranguren </v>
      </c>
      <c r="G184" s="393" t="s">
        <v>1486</v>
      </c>
      <c r="H184" s="394">
        <v>1</v>
      </c>
    </row>
    <row r="185" spans="1:8" x14ac:dyDescent="0.25">
      <c r="A185" t="s">
        <v>1297</v>
      </c>
      <c r="B185">
        <v>1</v>
      </c>
      <c r="D185" t="str">
        <f t="shared" si="2"/>
        <v xml:space="preserve">Serapio Castrelos </v>
      </c>
      <c r="G185" s="393" t="s">
        <v>1487</v>
      </c>
      <c r="H185" s="394">
        <v>1</v>
      </c>
    </row>
    <row r="186" spans="1:8" x14ac:dyDescent="0.25">
      <c r="A186" t="s">
        <v>1204</v>
      </c>
      <c r="B186">
        <v>2</v>
      </c>
      <c r="D186" t="str">
        <f t="shared" si="2"/>
        <v xml:space="preserve">Uday Adeeb </v>
      </c>
      <c r="G186" s="393" t="s">
        <v>1488</v>
      </c>
      <c r="H186" s="394">
        <v>1</v>
      </c>
    </row>
    <row r="187" spans="1:8" x14ac:dyDescent="0.25">
      <c r="A187" t="s">
        <v>998</v>
      </c>
      <c r="B187">
        <v>1</v>
      </c>
      <c r="D187" t="str">
        <f t="shared" si="2"/>
        <v xml:space="preserve">Andrea Califano </v>
      </c>
      <c r="G187" s="393" t="s">
        <v>1489</v>
      </c>
      <c r="H187" s="394">
        <v>1</v>
      </c>
    </row>
    <row r="188" spans="1:8" x14ac:dyDescent="0.25">
      <c r="A188" t="s">
        <v>1037</v>
      </c>
      <c r="B188">
        <v>2</v>
      </c>
      <c r="D188" t="str">
        <f t="shared" si="2"/>
        <v xml:space="preserve">Arnold Kalckstein </v>
      </c>
      <c r="G188" s="393" t="s">
        <v>1490</v>
      </c>
      <c r="H188" s="394">
        <v>1</v>
      </c>
    </row>
    <row r="189" spans="1:8" x14ac:dyDescent="0.25">
      <c r="A189" t="s">
        <v>1046</v>
      </c>
      <c r="B189">
        <v>4</v>
      </c>
      <c r="D189" t="str">
        <f t="shared" si="2"/>
        <v xml:space="preserve">Christophe Reinhart </v>
      </c>
      <c r="G189" s="393" t="s">
        <v>1491</v>
      </c>
      <c r="H189" s="394">
        <v>1</v>
      </c>
    </row>
    <row r="190" spans="1:8" x14ac:dyDescent="0.25">
      <c r="A190" t="s">
        <v>1011</v>
      </c>
      <c r="B190">
        <v>1</v>
      </c>
      <c r="D190" t="str">
        <f t="shared" si="2"/>
        <v xml:space="preserve">Csaba Mezo </v>
      </c>
      <c r="G190" s="393" t="s">
        <v>1492</v>
      </c>
      <c r="H190" s="394">
        <v>1</v>
      </c>
    </row>
    <row r="191" spans="1:8" x14ac:dyDescent="0.25">
      <c r="A191" t="s">
        <v>912</v>
      </c>
      <c r="B191">
        <v>1</v>
      </c>
      <c r="D191" t="str">
        <f t="shared" si="2"/>
        <v xml:space="preserve">David Garcia-Spiess </v>
      </c>
      <c r="G191" s="393" t="s">
        <v>1493</v>
      </c>
      <c r="H191" s="394">
        <v>1</v>
      </c>
    </row>
    <row r="192" spans="1:8" x14ac:dyDescent="0.25">
      <c r="A192" t="s">
        <v>912</v>
      </c>
      <c r="B192">
        <v>2</v>
      </c>
      <c r="D192" t="str">
        <f t="shared" si="2"/>
        <v xml:space="preserve">David Garcia-Spiess </v>
      </c>
      <c r="G192" s="393" t="s">
        <v>1494</v>
      </c>
      <c r="H192" s="394">
        <v>1</v>
      </c>
    </row>
    <row r="193" spans="1:8" x14ac:dyDescent="0.25">
      <c r="A193" t="s">
        <v>1205</v>
      </c>
      <c r="B193">
        <v>2</v>
      </c>
      <c r="D193" t="str">
        <f t="shared" si="2"/>
        <v xml:space="preserve">David Knuff </v>
      </c>
      <c r="G193" s="393" t="s">
        <v>1495</v>
      </c>
      <c r="H193" s="394">
        <v>1</v>
      </c>
    </row>
    <row r="194" spans="1:8" x14ac:dyDescent="0.25">
      <c r="A194" t="s">
        <v>1112</v>
      </c>
      <c r="B194">
        <v>3</v>
      </c>
      <c r="D194" t="str">
        <f t="shared" si="2"/>
        <v xml:space="preserve">Dolf Fohringer </v>
      </c>
      <c r="G194" s="393" t="s">
        <v>1496</v>
      </c>
      <c r="H194" s="394">
        <v>1</v>
      </c>
    </row>
    <row r="195" spans="1:8" x14ac:dyDescent="0.25">
      <c r="A195" t="s">
        <v>983</v>
      </c>
      <c r="B195">
        <v>1</v>
      </c>
      <c r="D195" t="str">
        <f t="shared" ref="D195:D258" si="3">MID(A195,SEARCH(" ",A195)+1,150)</f>
        <v xml:space="preserve">Eckardt Hägerling </v>
      </c>
      <c r="G195" s="393" t="s">
        <v>1497</v>
      </c>
      <c r="H195" s="394">
        <v>1</v>
      </c>
    </row>
    <row r="196" spans="1:8" x14ac:dyDescent="0.25">
      <c r="A196" t="s">
        <v>1023</v>
      </c>
      <c r="B196">
        <v>2</v>
      </c>
      <c r="D196" t="str">
        <f t="shared" si="3"/>
        <v xml:space="preserve">Emilio Mochelato </v>
      </c>
      <c r="G196" s="393" t="s">
        <v>1498</v>
      </c>
      <c r="H196" s="394">
        <v>1</v>
      </c>
    </row>
    <row r="197" spans="1:8" x14ac:dyDescent="0.25">
      <c r="A197" t="s">
        <v>1147</v>
      </c>
      <c r="B197">
        <v>2</v>
      </c>
      <c r="D197" t="str">
        <f t="shared" si="3"/>
        <v xml:space="preserve">Gino van Hoesel </v>
      </c>
      <c r="G197" s="393" t="s">
        <v>1499</v>
      </c>
      <c r="H197" s="394">
        <v>1</v>
      </c>
    </row>
    <row r="198" spans="1:8" x14ac:dyDescent="0.25">
      <c r="A198" t="s">
        <v>1224</v>
      </c>
      <c r="B198">
        <v>2</v>
      </c>
      <c r="D198" t="str">
        <f t="shared" si="3"/>
        <v xml:space="preserve">Igli Volpicelli </v>
      </c>
      <c r="G198" s="393" t="s">
        <v>1500</v>
      </c>
      <c r="H198" s="394">
        <v>1</v>
      </c>
    </row>
    <row r="199" spans="1:8" x14ac:dyDescent="0.25">
      <c r="A199" t="s">
        <v>1130</v>
      </c>
      <c r="B199">
        <v>4</v>
      </c>
      <c r="D199" t="str">
        <f t="shared" si="3"/>
        <v xml:space="preserve">Jos Pittoors </v>
      </c>
      <c r="G199" s="393" t="s">
        <v>1302</v>
      </c>
      <c r="H199" s="394"/>
    </row>
    <row r="200" spans="1:8" x14ac:dyDescent="0.25">
      <c r="A200" t="s">
        <v>1068</v>
      </c>
      <c r="B200">
        <v>4</v>
      </c>
      <c r="D200" t="str">
        <f t="shared" si="3"/>
        <v xml:space="preserve">Károly Serfel </v>
      </c>
      <c r="G200" s="395" t="s">
        <v>409</v>
      </c>
      <c r="H200" s="396">
        <v>2054</v>
      </c>
    </row>
    <row r="201" spans="1:8" x14ac:dyDescent="0.25">
      <c r="A201" t="s">
        <v>1267</v>
      </c>
      <c r="B201">
        <v>2</v>
      </c>
      <c r="D201" t="str">
        <f t="shared" si="3"/>
        <v xml:space="preserve">Lauri Piminäinen </v>
      </c>
    </row>
    <row r="202" spans="1:8" x14ac:dyDescent="0.25">
      <c r="A202" t="s">
        <v>1095</v>
      </c>
      <c r="B202">
        <v>3</v>
      </c>
      <c r="D202" t="str">
        <f t="shared" si="3"/>
        <v xml:space="preserve">Ludwik Mojescik </v>
      </c>
    </row>
    <row r="203" spans="1:8" x14ac:dyDescent="0.25">
      <c r="A203" t="s">
        <v>1095</v>
      </c>
      <c r="B203">
        <v>2</v>
      </c>
      <c r="D203" t="str">
        <f t="shared" si="3"/>
        <v xml:space="preserve">Ludwik Mojescik </v>
      </c>
    </row>
    <row r="204" spans="1:8" x14ac:dyDescent="0.25">
      <c r="A204" t="s">
        <v>1248</v>
      </c>
      <c r="B204">
        <v>1</v>
      </c>
      <c r="D204" t="str">
        <f t="shared" si="3"/>
        <v xml:space="preserve">Massimiliano Jula </v>
      </c>
    </row>
    <row r="205" spans="1:8" x14ac:dyDescent="0.25">
      <c r="A205" t="s">
        <v>1285</v>
      </c>
      <c r="B205">
        <v>1</v>
      </c>
      <c r="D205" t="str">
        <f t="shared" si="3"/>
        <v xml:space="preserve">Pieter Pelleboer </v>
      </c>
    </row>
    <row r="206" spans="1:8" x14ac:dyDescent="0.25">
      <c r="A206" t="s">
        <v>1057</v>
      </c>
      <c r="B206">
        <v>1</v>
      </c>
      <c r="D206" t="str">
        <f t="shared" si="3"/>
        <v xml:space="preserve">Raffaele Sitter </v>
      </c>
    </row>
    <row r="207" spans="1:8" x14ac:dyDescent="0.25">
      <c r="A207" t="s">
        <v>1190</v>
      </c>
      <c r="B207">
        <v>1</v>
      </c>
      <c r="D207" t="str">
        <f t="shared" si="3"/>
        <v xml:space="preserve">Steve Mckinnon </v>
      </c>
    </row>
    <row r="208" spans="1:8" x14ac:dyDescent="0.25">
      <c r="A208" t="s">
        <v>1180</v>
      </c>
      <c r="B208">
        <v>1</v>
      </c>
      <c r="D208" t="str">
        <f t="shared" si="3"/>
        <v xml:space="preserve">Tomasz Artymiuk </v>
      </c>
    </row>
    <row r="209" spans="1:4" x14ac:dyDescent="0.25">
      <c r="A209" t="s">
        <v>1286</v>
      </c>
      <c r="B209">
        <v>1</v>
      </c>
      <c r="D209" t="str">
        <f t="shared" si="3"/>
        <v xml:space="preserve">? (Pan) ?? (Yuandong) </v>
      </c>
    </row>
    <row r="210" spans="1:4" x14ac:dyDescent="0.25">
      <c r="A210" t="s">
        <v>1206</v>
      </c>
      <c r="B210">
        <v>1</v>
      </c>
      <c r="D210" t="str">
        <f t="shared" si="3"/>
        <v xml:space="preserve">Aamos Vara </v>
      </c>
    </row>
    <row r="211" spans="1:4" x14ac:dyDescent="0.25">
      <c r="A211" t="s">
        <v>1069</v>
      </c>
      <c r="B211">
        <v>3</v>
      </c>
      <c r="D211" t="str">
        <f t="shared" si="3"/>
        <v xml:space="preserve">Arjo Olthuis </v>
      </c>
    </row>
    <row r="212" spans="1:4" x14ac:dyDescent="0.25">
      <c r="A212" t="s">
        <v>1038</v>
      </c>
      <c r="B212">
        <v>1</v>
      </c>
      <c r="D212" t="str">
        <f t="shared" si="3"/>
        <v xml:space="preserve">Christophe Reinhart </v>
      </c>
    </row>
    <row r="213" spans="1:4" x14ac:dyDescent="0.25">
      <c r="A213" t="s">
        <v>1038</v>
      </c>
      <c r="B213">
        <v>1</v>
      </c>
      <c r="D213" t="str">
        <f t="shared" si="3"/>
        <v xml:space="preserve">Christophe Reinhart </v>
      </c>
    </row>
    <row r="214" spans="1:4" x14ac:dyDescent="0.25">
      <c r="A214" t="s">
        <v>953</v>
      </c>
      <c r="B214">
        <v>2</v>
      </c>
      <c r="D214" t="str">
        <f t="shared" si="3"/>
        <v xml:space="preserve">Cornel Caraba </v>
      </c>
    </row>
    <row r="215" spans="1:4" x14ac:dyDescent="0.25">
      <c r="A215" t="s">
        <v>1012</v>
      </c>
      <c r="B215">
        <v>1</v>
      </c>
      <c r="D215" t="str">
        <f t="shared" si="3"/>
        <v xml:space="preserve">Emilio Mochelato </v>
      </c>
    </row>
    <row r="216" spans="1:4" x14ac:dyDescent="0.25">
      <c r="A216" t="s">
        <v>1181</v>
      </c>
      <c r="B216">
        <v>1</v>
      </c>
      <c r="D216" t="str">
        <f t="shared" si="3"/>
        <v xml:space="preserve">Fere Pulido </v>
      </c>
    </row>
    <row r="217" spans="1:4" x14ac:dyDescent="0.25">
      <c r="A217" t="s">
        <v>984</v>
      </c>
      <c r="B217">
        <v>1</v>
      </c>
      <c r="D217" t="str">
        <f t="shared" si="3"/>
        <v xml:space="preserve">Fernando Gazón </v>
      </c>
    </row>
    <row r="218" spans="1:4" x14ac:dyDescent="0.25">
      <c r="A218" t="s">
        <v>1113</v>
      </c>
      <c r="B218">
        <v>3</v>
      </c>
      <c r="D218" t="str">
        <f t="shared" si="3"/>
        <v xml:space="preserve">Gino van Hoesel </v>
      </c>
    </row>
    <row r="219" spans="1:4" x14ac:dyDescent="0.25">
      <c r="A219" t="s">
        <v>1047</v>
      </c>
      <c r="B219">
        <v>3</v>
      </c>
      <c r="D219" t="str">
        <f t="shared" si="3"/>
        <v xml:space="preserve">Horacy Dzienis </v>
      </c>
    </row>
    <row r="220" spans="1:4" x14ac:dyDescent="0.25">
      <c r="A220" t="s">
        <v>1268</v>
      </c>
      <c r="B220">
        <v>2</v>
      </c>
      <c r="D220" t="str">
        <f t="shared" si="3"/>
        <v xml:space="preserve">Jacobo Ferrueros </v>
      </c>
    </row>
    <row r="221" spans="1:4" x14ac:dyDescent="0.25">
      <c r="A221" t="s">
        <v>1148</v>
      </c>
      <c r="B221">
        <v>2</v>
      </c>
      <c r="D221" t="str">
        <f t="shared" si="3"/>
        <v xml:space="preserve">Jos Pittoors </v>
      </c>
    </row>
    <row r="222" spans="1:4" x14ac:dyDescent="0.25">
      <c r="A222" t="s">
        <v>999</v>
      </c>
      <c r="B222">
        <v>1</v>
      </c>
      <c r="D222" t="str">
        <f t="shared" si="3"/>
        <v xml:space="preserve">Mario Omarini </v>
      </c>
    </row>
    <row r="223" spans="1:4" x14ac:dyDescent="0.25">
      <c r="A223" t="s">
        <v>1225</v>
      </c>
      <c r="B223">
        <v>2</v>
      </c>
      <c r="D223" t="str">
        <f t="shared" si="3"/>
        <v xml:space="preserve">Matteo Omacini </v>
      </c>
    </row>
    <row r="224" spans="1:4" x14ac:dyDescent="0.25">
      <c r="A224" t="s">
        <v>1225</v>
      </c>
      <c r="B224">
        <v>1</v>
      </c>
      <c r="D224" t="str">
        <f t="shared" si="3"/>
        <v xml:space="preserve">Matteo Omacini </v>
      </c>
    </row>
    <row r="225" spans="1:4" x14ac:dyDescent="0.25">
      <c r="A225" t="s">
        <v>945</v>
      </c>
      <c r="B225">
        <v>1</v>
      </c>
      <c r="D225" t="str">
        <f t="shared" si="3"/>
        <v xml:space="preserve">Miguel Fernández </v>
      </c>
    </row>
    <row r="226" spans="1:4" x14ac:dyDescent="0.25">
      <c r="A226" t="s">
        <v>1131</v>
      </c>
      <c r="B226">
        <v>4</v>
      </c>
      <c r="D226" t="str">
        <f t="shared" si="3"/>
        <v xml:space="preserve">Nikolay Gerasimenko </v>
      </c>
    </row>
    <row r="227" spans="1:4" x14ac:dyDescent="0.25">
      <c r="A227" t="s">
        <v>1166</v>
      </c>
      <c r="B227">
        <v>1</v>
      </c>
      <c r="D227" t="str">
        <f t="shared" si="3"/>
        <v xml:space="preserve">Pasqual Vilar </v>
      </c>
    </row>
    <row r="228" spans="1:4" x14ac:dyDescent="0.25">
      <c r="A228" t="s">
        <v>1191</v>
      </c>
      <c r="B228">
        <v>1</v>
      </c>
      <c r="D228" t="str">
        <f t="shared" si="3"/>
        <v xml:space="preserve">Pau Redondo </v>
      </c>
    </row>
    <row r="229" spans="1:4" x14ac:dyDescent="0.25">
      <c r="A229" t="s">
        <v>1096</v>
      </c>
      <c r="B229">
        <v>2</v>
      </c>
      <c r="D229" t="str">
        <f t="shared" si="3"/>
        <v xml:space="preserve">Pere Beltran </v>
      </c>
    </row>
    <row r="230" spans="1:4" x14ac:dyDescent="0.25">
      <c r="A230" t="s">
        <v>1024</v>
      </c>
      <c r="B230">
        <v>2</v>
      </c>
      <c r="D230" t="str">
        <f t="shared" si="3"/>
        <v xml:space="preserve">Raffaele Sitter </v>
      </c>
    </row>
    <row r="231" spans="1:4" x14ac:dyDescent="0.25">
      <c r="A231" t="s">
        <v>903</v>
      </c>
      <c r="B231">
        <v>1</v>
      </c>
      <c r="D231" t="str">
        <f t="shared" si="3"/>
        <v xml:space="preserve">Ryan Clarke </v>
      </c>
    </row>
    <row r="232" spans="1:4" x14ac:dyDescent="0.25">
      <c r="A232" t="s">
        <v>963</v>
      </c>
      <c r="B232">
        <v>1</v>
      </c>
      <c r="D232" t="str">
        <f t="shared" si="3"/>
        <v xml:space="preserve">Xofre Taín </v>
      </c>
    </row>
    <row r="233" spans="1:4" x14ac:dyDescent="0.25">
      <c r="A233" t="s">
        <v>1269</v>
      </c>
      <c r="B233">
        <v>2</v>
      </c>
      <c r="D233" t="str">
        <f t="shared" si="3"/>
        <v xml:space="preserve">Arkadiusz Dembek </v>
      </c>
    </row>
    <row r="234" spans="1:4" x14ac:dyDescent="0.25">
      <c r="A234" t="s">
        <v>1192</v>
      </c>
      <c r="B234">
        <v>1</v>
      </c>
      <c r="D234" t="str">
        <f t="shared" si="3"/>
        <v xml:space="preserve">Ellák Deák </v>
      </c>
    </row>
    <row r="235" spans="1:4" x14ac:dyDescent="0.25">
      <c r="A235" t="s">
        <v>1058</v>
      </c>
      <c r="B235">
        <v>1</v>
      </c>
      <c r="D235" t="str">
        <f t="shared" si="3"/>
        <v xml:space="preserve">Gianfranco Rezza </v>
      </c>
    </row>
    <row r="236" spans="1:4" x14ac:dyDescent="0.25">
      <c r="A236" t="s">
        <v>1070</v>
      </c>
      <c r="B236">
        <v>3</v>
      </c>
      <c r="D236" t="str">
        <f t="shared" si="3"/>
        <v xml:space="preserve">Lech Sipinski </v>
      </c>
    </row>
    <row r="237" spans="1:4" x14ac:dyDescent="0.25">
      <c r="A237" t="s">
        <v>1000</v>
      </c>
      <c r="B237">
        <v>1</v>
      </c>
      <c r="D237" t="str">
        <f t="shared" si="3"/>
        <v xml:space="preserve">Mateusz Brzostowski </v>
      </c>
    </row>
    <row r="238" spans="1:4" x14ac:dyDescent="0.25">
      <c r="A238" t="s">
        <v>1249</v>
      </c>
      <c r="B238">
        <v>1</v>
      </c>
      <c r="D238" t="str">
        <f t="shared" si="3"/>
        <v xml:space="preserve">Melcior Calmet </v>
      </c>
    </row>
    <row r="239" spans="1:4" x14ac:dyDescent="0.25">
      <c r="A239" t="s">
        <v>932</v>
      </c>
      <c r="B239">
        <v>1</v>
      </c>
      <c r="D239" t="str">
        <f t="shared" si="3"/>
        <v xml:space="preserve">Miklós Gábriel </v>
      </c>
    </row>
    <row r="240" spans="1:4" x14ac:dyDescent="0.25">
      <c r="A240" t="s">
        <v>1207</v>
      </c>
      <c r="B240">
        <v>1</v>
      </c>
      <c r="D240" t="str">
        <f t="shared" si="3"/>
        <v xml:space="preserve">Pere Beltran </v>
      </c>
    </row>
    <row r="241" spans="1:4" x14ac:dyDescent="0.25">
      <c r="A241" t="s">
        <v>1048</v>
      </c>
      <c r="B241">
        <v>3</v>
      </c>
      <c r="D241" t="str">
        <f t="shared" si="3"/>
        <v xml:space="preserve">Raffaele Sitter </v>
      </c>
    </row>
    <row r="242" spans="1:4" x14ac:dyDescent="0.25">
      <c r="A242" t="s">
        <v>1114</v>
      </c>
      <c r="B242">
        <v>3</v>
      </c>
      <c r="D242" t="str">
        <f t="shared" si="3"/>
        <v xml:space="preserve">Ragip Övgü </v>
      </c>
    </row>
    <row r="243" spans="1:4" x14ac:dyDescent="0.25">
      <c r="A243" t="s">
        <v>1114</v>
      </c>
      <c r="B243">
        <v>2</v>
      </c>
      <c r="D243" t="str">
        <f t="shared" si="3"/>
        <v xml:space="preserve">Ragip Övgü </v>
      </c>
    </row>
    <row r="244" spans="1:4" x14ac:dyDescent="0.25">
      <c r="A244" t="s">
        <v>1132</v>
      </c>
      <c r="B244">
        <v>3</v>
      </c>
      <c r="D244" t="str">
        <f t="shared" si="3"/>
        <v xml:space="preserve">Ricardo Esquerdo </v>
      </c>
    </row>
    <row r="245" spans="1:4" x14ac:dyDescent="0.25">
      <c r="A245" t="s">
        <v>1025</v>
      </c>
      <c r="B245">
        <v>1</v>
      </c>
      <c r="D245" t="str">
        <f t="shared" si="3"/>
        <v xml:space="preserve">Sansão Trindade Oliveira </v>
      </c>
    </row>
    <row r="246" spans="1:4" x14ac:dyDescent="0.25">
      <c r="A246" t="s">
        <v>1025</v>
      </c>
      <c r="B246">
        <v>1</v>
      </c>
      <c r="D246" t="str">
        <f t="shared" si="3"/>
        <v xml:space="preserve">Sansão Trindade Oliveira </v>
      </c>
    </row>
    <row r="247" spans="1:4" x14ac:dyDescent="0.25">
      <c r="A247" t="s">
        <v>1226</v>
      </c>
      <c r="B247">
        <v>2</v>
      </c>
      <c r="D247" t="str">
        <f t="shared" si="3"/>
        <v xml:space="preserve">Sascha Gilch </v>
      </c>
    </row>
    <row r="248" spans="1:4" x14ac:dyDescent="0.25">
      <c r="A248" t="s">
        <v>1097</v>
      </c>
      <c r="B248">
        <v>2</v>
      </c>
      <c r="D248" t="str">
        <f t="shared" si="3"/>
        <v xml:space="preserve">Stefano Spanu </v>
      </c>
    </row>
    <row r="249" spans="1:4" x14ac:dyDescent="0.25">
      <c r="A249" t="s">
        <v>1167</v>
      </c>
      <c r="B249">
        <v>1</v>
      </c>
      <c r="D249" t="str">
        <f t="shared" si="3"/>
        <v xml:space="preserve">Vincent Gautsch </v>
      </c>
    </row>
    <row r="250" spans="1:4" x14ac:dyDescent="0.25">
      <c r="A250" t="s">
        <v>1168</v>
      </c>
      <c r="B250">
        <v>1</v>
      </c>
      <c r="D250" t="str">
        <f t="shared" si="3"/>
        <v xml:space="preserve">Andrea Chiu </v>
      </c>
    </row>
    <row r="251" spans="1:4" x14ac:dyDescent="0.25">
      <c r="A251" t="s">
        <v>1193</v>
      </c>
      <c r="B251">
        <v>1</v>
      </c>
      <c r="D251" t="str">
        <f t="shared" si="3"/>
        <v xml:space="preserve">Carlos Ipinza </v>
      </c>
    </row>
    <row r="252" spans="1:4" x14ac:dyDescent="0.25">
      <c r="A252" t="s">
        <v>1026</v>
      </c>
      <c r="B252">
        <v>1</v>
      </c>
      <c r="D252" t="str">
        <f t="shared" si="3"/>
        <v xml:space="preserve">Csaba Mezo </v>
      </c>
    </row>
    <row r="253" spans="1:4" x14ac:dyDescent="0.25">
      <c r="A253" t="s">
        <v>1270</v>
      </c>
      <c r="B253">
        <v>1</v>
      </c>
      <c r="D253" t="str">
        <f t="shared" si="3"/>
        <v xml:space="preserve">Dan Lindgren </v>
      </c>
    </row>
    <row r="254" spans="1:4" x14ac:dyDescent="0.25">
      <c r="A254" t="s">
        <v>933</v>
      </c>
      <c r="B254">
        <v>1</v>
      </c>
      <c r="D254" t="str">
        <f t="shared" si="3"/>
        <v xml:space="preserve">Fernando Gazón </v>
      </c>
    </row>
    <row r="255" spans="1:4" x14ac:dyDescent="0.25">
      <c r="A255" t="s">
        <v>1208</v>
      </c>
      <c r="B255">
        <v>1</v>
      </c>
      <c r="D255" t="str">
        <f t="shared" si="3"/>
        <v xml:space="preserve">Francesc Giró </v>
      </c>
    </row>
    <row r="256" spans="1:4" x14ac:dyDescent="0.25">
      <c r="A256" t="s">
        <v>1059</v>
      </c>
      <c r="B256">
        <v>1</v>
      </c>
      <c r="D256" t="str">
        <f t="shared" si="3"/>
        <v xml:space="preserve">Hjalte Egede </v>
      </c>
    </row>
    <row r="257" spans="1:4" x14ac:dyDescent="0.25">
      <c r="A257" t="s">
        <v>1098</v>
      </c>
      <c r="B257">
        <v>2</v>
      </c>
      <c r="D257" t="str">
        <f t="shared" si="3"/>
        <v xml:space="preserve">Jos Pittoors </v>
      </c>
    </row>
    <row r="258" spans="1:4" x14ac:dyDescent="0.25">
      <c r="A258" t="s">
        <v>894</v>
      </c>
      <c r="B258">
        <v>1</v>
      </c>
      <c r="D258" t="str">
        <f t="shared" si="3"/>
        <v xml:space="preserve">Miguel Fernández </v>
      </c>
    </row>
    <row r="259" spans="1:4" x14ac:dyDescent="0.25">
      <c r="A259" t="s">
        <v>1115</v>
      </c>
      <c r="B259">
        <v>2</v>
      </c>
      <c r="D259" t="str">
        <f t="shared" ref="D259:D322" si="4">MID(A259,SEARCH(" ",A259)+1,150)</f>
        <v xml:space="preserve">Pasqual Vilar </v>
      </c>
    </row>
    <row r="260" spans="1:4" x14ac:dyDescent="0.25">
      <c r="A260" t="s">
        <v>1115</v>
      </c>
      <c r="B260">
        <v>2</v>
      </c>
      <c r="D260" t="str">
        <f t="shared" si="4"/>
        <v xml:space="preserve">Pasqual Vilar </v>
      </c>
    </row>
    <row r="261" spans="1:4" x14ac:dyDescent="0.25">
      <c r="A261" t="s">
        <v>1133</v>
      </c>
      <c r="B261">
        <v>2</v>
      </c>
      <c r="D261" t="str">
        <f t="shared" si="4"/>
        <v xml:space="preserve">Pere Beltran </v>
      </c>
    </row>
    <row r="262" spans="1:4" x14ac:dyDescent="0.25">
      <c r="A262" t="s">
        <v>986</v>
      </c>
      <c r="B262">
        <v>1</v>
      </c>
      <c r="D262" t="str">
        <f t="shared" si="4"/>
        <v xml:space="preserve">Roberto Montero </v>
      </c>
    </row>
    <row r="263" spans="1:4" x14ac:dyDescent="0.25">
      <c r="A263" t="s">
        <v>1071</v>
      </c>
      <c r="B263">
        <v>3</v>
      </c>
      <c r="D263" t="str">
        <f t="shared" si="4"/>
        <v xml:space="preserve">Tristan Voet </v>
      </c>
    </row>
    <row r="264" spans="1:4" x14ac:dyDescent="0.25">
      <c r="A264" t="s">
        <v>1227</v>
      </c>
      <c r="B264">
        <v>2</v>
      </c>
      <c r="D264" t="str">
        <f t="shared" si="4"/>
        <v xml:space="preserve">Uday Adeeb </v>
      </c>
    </row>
    <row r="265" spans="1:4" x14ac:dyDescent="0.25">
      <c r="A265" t="s">
        <v>1250</v>
      </c>
      <c r="B265">
        <v>1</v>
      </c>
      <c r="D265" t="str">
        <f t="shared" si="4"/>
        <v xml:space="preserve">Zsolt Novák </v>
      </c>
    </row>
    <row r="266" spans="1:4" x14ac:dyDescent="0.25">
      <c r="A266" t="s">
        <v>1099</v>
      </c>
      <c r="B266">
        <v>1</v>
      </c>
      <c r="D266" t="str">
        <f t="shared" si="4"/>
        <v xml:space="preserve">Adamantios Fikias </v>
      </c>
    </row>
    <row r="267" spans="1:4" x14ac:dyDescent="0.25">
      <c r="A267" t="s">
        <v>1099</v>
      </c>
      <c r="B267">
        <v>1</v>
      </c>
      <c r="D267" t="str">
        <f t="shared" si="4"/>
        <v xml:space="preserve">Adamantios Fikias </v>
      </c>
    </row>
    <row r="268" spans="1:4" x14ac:dyDescent="0.25">
      <c r="A268" t="s">
        <v>1169</v>
      </c>
      <c r="B268">
        <v>1</v>
      </c>
      <c r="D268" t="str">
        <f t="shared" si="4"/>
        <v xml:space="preserve">Andrija Miškovic </v>
      </c>
    </row>
    <row r="269" spans="1:4" x14ac:dyDescent="0.25">
      <c r="A269" t="s">
        <v>1251</v>
      </c>
      <c r="B269">
        <v>1</v>
      </c>
      <c r="D269" t="str">
        <f t="shared" si="4"/>
        <v xml:space="preserve">Dan Veneau </v>
      </c>
    </row>
    <row r="270" spans="1:4" x14ac:dyDescent="0.25">
      <c r="A270" t="s">
        <v>1209</v>
      </c>
      <c r="B270">
        <v>1</v>
      </c>
      <c r="D270" t="str">
        <f t="shared" si="4"/>
        <v xml:space="preserve">Gastone Cianelli </v>
      </c>
    </row>
    <row r="271" spans="1:4" x14ac:dyDescent="0.25">
      <c r="A271" t="s">
        <v>1060</v>
      </c>
      <c r="B271">
        <v>1</v>
      </c>
      <c r="D271" t="str">
        <f t="shared" si="4"/>
        <v xml:space="preserve">Horacy Dzienis </v>
      </c>
    </row>
    <row r="272" spans="1:4" x14ac:dyDescent="0.25">
      <c r="A272" t="s">
        <v>1134</v>
      </c>
      <c r="B272">
        <v>2</v>
      </c>
      <c r="D272" t="str">
        <f t="shared" si="4"/>
        <v xml:space="preserve">Joãozinho do Mato </v>
      </c>
    </row>
    <row r="273" spans="1:4" x14ac:dyDescent="0.25">
      <c r="A273" t="s">
        <v>1149</v>
      </c>
      <c r="B273">
        <v>1</v>
      </c>
      <c r="D273" t="str">
        <f t="shared" si="4"/>
        <v xml:space="preserve">José Luis Valdés Saavedra </v>
      </c>
    </row>
    <row r="274" spans="1:4" x14ac:dyDescent="0.25">
      <c r="A274" t="s">
        <v>1271</v>
      </c>
      <c r="B274">
        <v>1</v>
      </c>
      <c r="D274" t="str">
        <f t="shared" si="4"/>
        <v xml:space="preserve">Ludovic Gygax </v>
      </c>
    </row>
    <row r="275" spans="1:4" x14ac:dyDescent="0.25">
      <c r="A275" t="s">
        <v>1116</v>
      </c>
      <c r="B275">
        <v>2</v>
      </c>
      <c r="D275" t="str">
        <f t="shared" si="4"/>
        <v xml:space="preserve">Ludwik Mojescik </v>
      </c>
    </row>
    <row r="276" spans="1:4" x14ac:dyDescent="0.25">
      <c r="A276" t="s">
        <v>1072</v>
      </c>
      <c r="B276">
        <v>2</v>
      </c>
      <c r="D276" t="str">
        <f t="shared" si="4"/>
        <v xml:space="preserve">Martijn Collinet </v>
      </c>
    </row>
    <row r="277" spans="1:4" x14ac:dyDescent="0.25">
      <c r="A277" t="s">
        <v>1228</v>
      </c>
      <c r="B277">
        <v>2</v>
      </c>
      <c r="D277" t="str">
        <f t="shared" si="4"/>
        <v xml:space="preserve">Ulf Schenkel </v>
      </c>
    </row>
    <row r="278" spans="1:4" x14ac:dyDescent="0.25">
      <c r="A278" t="s">
        <v>1194</v>
      </c>
      <c r="B278">
        <v>1</v>
      </c>
      <c r="D278" t="str">
        <f t="shared" si="4"/>
        <v xml:space="preserve">Andres Kalvet </v>
      </c>
    </row>
    <row r="279" spans="1:4" x14ac:dyDescent="0.25">
      <c r="A279" t="s">
        <v>1135</v>
      </c>
      <c r="B279">
        <v>1</v>
      </c>
      <c r="D279" t="str">
        <f t="shared" si="4"/>
        <v xml:space="preserve">Catalin Corobea </v>
      </c>
    </row>
    <row r="280" spans="1:4" x14ac:dyDescent="0.25">
      <c r="A280" t="s">
        <v>1100</v>
      </c>
      <c r="B280">
        <v>1</v>
      </c>
      <c r="D280" t="str">
        <f t="shared" si="4"/>
        <v xml:space="preserve">Dimitris Prokos </v>
      </c>
    </row>
    <row r="281" spans="1:4" x14ac:dyDescent="0.25">
      <c r="A281" t="s">
        <v>1252</v>
      </c>
      <c r="B281">
        <v>1</v>
      </c>
      <c r="D281" t="str">
        <f t="shared" si="4"/>
        <v xml:space="preserve">Ellák Deák </v>
      </c>
    </row>
    <row r="282" spans="1:4" x14ac:dyDescent="0.25">
      <c r="A282" t="s">
        <v>1073</v>
      </c>
      <c r="B282">
        <v>1</v>
      </c>
      <c r="D282" t="str">
        <f t="shared" si="4"/>
        <v xml:space="preserve">Fernando Juárez Sierra </v>
      </c>
    </row>
    <row r="283" spans="1:4" x14ac:dyDescent="0.25">
      <c r="A283" t="s">
        <v>1210</v>
      </c>
      <c r="B283">
        <v>1</v>
      </c>
      <c r="D283" t="str">
        <f t="shared" si="4"/>
        <v xml:space="preserve">Iacob Sarpe </v>
      </c>
    </row>
    <row r="284" spans="1:4" x14ac:dyDescent="0.25">
      <c r="A284" t="s">
        <v>1272</v>
      </c>
      <c r="B284">
        <v>1</v>
      </c>
      <c r="D284" t="str">
        <f t="shared" si="4"/>
        <v xml:space="preserve">Krzysztof Buras </v>
      </c>
    </row>
    <row r="285" spans="1:4" x14ac:dyDescent="0.25">
      <c r="A285" t="s">
        <v>1150</v>
      </c>
      <c r="B285">
        <v>1</v>
      </c>
      <c r="D285" t="str">
        <f t="shared" si="4"/>
        <v xml:space="preserve">Morgan Gomes </v>
      </c>
    </row>
    <row r="286" spans="1:4" x14ac:dyDescent="0.25">
      <c r="A286" t="s">
        <v>1117</v>
      </c>
      <c r="B286">
        <v>2</v>
      </c>
      <c r="D286" t="str">
        <f t="shared" si="4"/>
        <v xml:space="preserve">Nicolai Stentoft </v>
      </c>
    </row>
    <row r="287" spans="1:4" x14ac:dyDescent="0.25">
      <c r="A287" t="s">
        <v>1229</v>
      </c>
      <c r="B287">
        <v>1</v>
      </c>
      <c r="D287" t="str">
        <f t="shared" si="4"/>
        <v xml:space="preserve">Zsolt Novák </v>
      </c>
    </row>
    <row r="288" spans="1:4" x14ac:dyDescent="0.25">
      <c r="A288" t="s">
        <v>1211</v>
      </c>
      <c r="B288">
        <v>1</v>
      </c>
      <c r="D288" t="str">
        <f t="shared" si="4"/>
        <v xml:space="preserve">Carlos Ipinza </v>
      </c>
    </row>
    <row r="289" spans="1:4" x14ac:dyDescent="0.25">
      <c r="A289" t="s">
        <v>1101</v>
      </c>
      <c r="B289">
        <v>1</v>
      </c>
      <c r="D289" t="str">
        <f t="shared" si="4"/>
        <v xml:space="preserve">Dolf Fohringer </v>
      </c>
    </row>
    <row r="290" spans="1:4" x14ac:dyDescent="0.25">
      <c r="A290" t="s">
        <v>1253</v>
      </c>
      <c r="B290">
        <v>1</v>
      </c>
      <c r="D290" t="str">
        <f t="shared" si="4"/>
        <v xml:space="preserve">Finlay MacGrory </v>
      </c>
    </row>
    <row r="291" spans="1:4" x14ac:dyDescent="0.25">
      <c r="A291" t="s">
        <v>1273</v>
      </c>
      <c r="B291">
        <v>1</v>
      </c>
      <c r="D291" t="str">
        <f t="shared" si="4"/>
        <v xml:space="preserve">Marcin Lulewicz </v>
      </c>
    </row>
    <row r="292" spans="1:4" x14ac:dyDescent="0.25">
      <c r="A292" t="s">
        <v>1151</v>
      </c>
      <c r="B292">
        <v>1</v>
      </c>
      <c r="D292" t="str">
        <f t="shared" si="4"/>
        <v xml:space="preserve">Nicolau Caraduxe </v>
      </c>
    </row>
    <row r="293" spans="1:4" x14ac:dyDescent="0.25">
      <c r="A293" t="s">
        <v>1230</v>
      </c>
      <c r="B293">
        <v>1</v>
      </c>
      <c r="D293" t="str">
        <f t="shared" si="4"/>
        <v xml:space="preserve">Pau Redondo </v>
      </c>
    </row>
    <row r="294" spans="1:4" x14ac:dyDescent="0.25">
      <c r="A294" t="s">
        <v>1118</v>
      </c>
      <c r="B294">
        <v>1</v>
      </c>
      <c r="D294" t="str">
        <f t="shared" si="4"/>
        <v xml:space="preserve">Stefano Spanu </v>
      </c>
    </row>
    <row r="295" spans="1:4" x14ac:dyDescent="0.25">
      <c r="A295" t="s">
        <v>1212</v>
      </c>
      <c r="B295">
        <v>1</v>
      </c>
      <c r="D295" t="str">
        <f t="shared" si="4"/>
        <v xml:space="preserve">Christophe Méjean </v>
      </c>
    </row>
    <row r="296" spans="1:4" x14ac:dyDescent="0.25">
      <c r="A296" t="s">
        <v>1152</v>
      </c>
      <c r="B296">
        <v>1</v>
      </c>
      <c r="D296" t="str">
        <f t="shared" si="4"/>
        <v xml:space="preserve">Fere Pulido </v>
      </c>
    </row>
    <row r="297" spans="1:4" x14ac:dyDescent="0.25">
      <c r="A297" t="s">
        <v>1254</v>
      </c>
      <c r="B297">
        <v>1</v>
      </c>
      <c r="D297" t="str">
        <f t="shared" si="4"/>
        <v xml:space="preserve">Gawel Nanowski </v>
      </c>
    </row>
    <row r="298" spans="1:4" x14ac:dyDescent="0.25">
      <c r="A298" t="s">
        <v>1231</v>
      </c>
      <c r="B298">
        <v>1</v>
      </c>
      <c r="D298" t="str">
        <f t="shared" si="4"/>
        <v xml:space="preserve">Jacobo Ferrueros </v>
      </c>
    </row>
    <row r="299" spans="1:4" x14ac:dyDescent="0.25">
      <c r="A299" t="s">
        <v>1001</v>
      </c>
      <c r="B299">
        <v>9</v>
      </c>
      <c r="D299" t="str">
        <f t="shared" si="4"/>
        <v xml:space="preserve">Adam Moss </v>
      </c>
    </row>
    <row r="300" spans="1:4" x14ac:dyDescent="0.25">
      <c r="A300" t="s">
        <v>1137</v>
      </c>
      <c r="B300">
        <v>8</v>
      </c>
      <c r="D300" t="str">
        <f t="shared" si="4"/>
        <v xml:space="preserve">Adamantios Fikias </v>
      </c>
    </row>
    <row r="301" spans="1:4" x14ac:dyDescent="0.25">
      <c r="A301" t="s">
        <v>1215</v>
      </c>
      <c r="B301">
        <v>6</v>
      </c>
      <c r="D301" t="str">
        <f t="shared" si="4"/>
        <v xml:space="preserve">Alex Txantre </v>
      </c>
    </row>
    <row r="302" spans="1:4" x14ac:dyDescent="0.25">
      <c r="A302" t="s">
        <v>1085</v>
      </c>
      <c r="B302">
        <v>10</v>
      </c>
      <c r="D302" t="str">
        <f t="shared" si="4"/>
        <v xml:space="preserve">Andrin Bärtsch </v>
      </c>
    </row>
    <row r="303" spans="1:4" x14ac:dyDescent="0.25">
      <c r="A303" t="s">
        <v>1171</v>
      </c>
      <c r="B303">
        <v>5</v>
      </c>
      <c r="D303" t="str">
        <f t="shared" si="4"/>
        <v xml:space="preserve">Brunon Chuda </v>
      </c>
    </row>
    <row r="304" spans="1:4" x14ac:dyDescent="0.25">
      <c r="A304" t="s">
        <v>1195</v>
      </c>
      <c r="B304">
        <v>7</v>
      </c>
      <c r="D304" t="str">
        <f t="shared" si="4"/>
        <v xml:space="preserve">Co Wolbers </v>
      </c>
    </row>
    <row r="305" spans="1:4" x14ac:dyDescent="0.25">
      <c r="A305" t="s">
        <v>1103</v>
      </c>
      <c r="B305">
        <v>10</v>
      </c>
      <c r="D305" t="str">
        <f t="shared" si="4"/>
        <v xml:space="preserve">Cornel Boicea </v>
      </c>
    </row>
    <row r="306" spans="1:4" x14ac:dyDescent="0.25">
      <c r="A306" t="s">
        <v>925</v>
      </c>
      <c r="B306">
        <v>15</v>
      </c>
      <c r="D306" t="str">
        <f t="shared" si="4"/>
        <v xml:space="preserve">David Garcia-Spiess </v>
      </c>
    </row>
    <row r="307" spans="1:4" x14ac:dyDescent="0.25">
      <c r="A307" t="s">
        <v>988</v>
      </c>
      <c r="B307">
        <v>7</v>
      </c>
      <c r="D307" t="str">
        <f t="shared" si="4"/>
        <v xml:space="preserve">Gianfranco Rezza </v>
      </c>
    </row>
    <row r="308" spans="1:4" x14ac:dyDescent="0.25">
      <c r="A308" t="s">
        <v>1075</v>
      </c>
      <c r="B308">
        <v>2</v>
      </c>
      <c r="D308" t="str">
        <f t="shared" si="4"/>
        <v xml:space="preserve">Joãozinho do Mato </v>
      </c>
    </row>
    <row r="309" spans="1:4" x14ac:dyDescent="0.25">
      <c r="A309" t="s">
        <v>1156</v>
      </c>
      <c r="B309">
        <v>6</v>
      </c>
      <c r="D309" t="str">
        <f t="shared" si="4"/>
        <v xml:space="preserve">John Chung </v>
      </c>
    </row>
    <row r="310" spans="1:4" x14ac:dyDescent="0.25">
      <c r="A310" t="s">
        <v>1040</v>
      </c>
      <c r="B310">
        <v>16</v>
      </c>
      <c r="D310" t="str">
        <f t="shared" si="4"/>
        <v xml:space="preserve">Kendor Nagiturri </v>
      </c>
    </row>
    <row r="311" spans="1:4" x14ac:dyDescent="0.25">
      <c r="A311" t="s">
        <v>1040</v>
      </c>
      <c r="B311">
        <v>8</v>
      </c>
      <c r="D311" t="str">
        <f t="shared" si="4"/>
        <v xml:space="preserve">Kendor Nagiturri </v>
      </c>
    </row>
    <row r="312" spans="1:4" x14ac:dyDescent="0.25">
      <c r="A312" t="s">
        <v>915</v>
      </c>
      <c r="B312">
        <v>7</v>
      </c>
      <c r="D312" t="str">
        <f t="shared" si="4"/>
        <v xml:space="preserve">Leo Hilpinen </v>
      </c>
    </row>
    <row r="313" spans="1:4" x14ac:dyDescent="0.25">
      <c r="A313" t="s">
        <v>1257</v>
      </c>
      <c r="B313">
        <v>7</v>
      </c>
      <c r="D313" t="str">
        <f t="shared" si="4"/>
        <v xml:space="preserve">Manolo Negrín </v>
      </c>
    </row>
    <row r="314" spans="1:4" x14ac:dyDescent="0.25">
      <c r="A314" t="s">
        <v>1288</v>
      </c>
      <c r="B314">
        <v>4</v>
      </c>
      <c r="D314" t="str">
        <f t="shared" si="4"/>
        <v xml:space="preserve">Mattia Sambri </v>
      </c>
    </row>
    <row r="315" spans="1:4" x14ac:dyDescent="0.25">
      <c r="A315" t="s">
        <v>1275</v>
      </c>
      <c r="B315">
        <v>6</v>
      </c>
      <c r="D315" t="str">
        <f t="shared" si="4"/>
        <v xml:space="preserve">Melcior Calmet </v>
      </c>
    </row>
    <row r="316" spans="1:4" x14ac:dyDescent="0.25">
      <c r="A316" t="s">
        <v>1120</v>
      </c>
      <c r="B316">
        <v>9</v>
      </c>
      <c r="D316" t="str">
        <f t="shared" si="4"/>
        <v xml:space="preserve">Nicolau Caraduxe </v>
      </c>
    </row>
    <row r="317" spans="1:4" x14ac:dyDescent="0.25">
      <c r="A317" t="s">
        <v>1182</v>
      </c>
      <c r="B317">
        <v>5</v>
      </c>
      <c r="D317" t="str">
        <f t="shared" si="4"/>
        <v xml:space="preserve">Pere Beltran </v>
      </c>
    </row>
    <row r="318" spans="1:4" x14ac:dyDescent="0.25">
      <c r="A318" t="s">
        <v>1182</v>
      </c>
      <c r="B318">
        <v>4</v>
      </c>
      <c r="D318" t="str">
        <f t="shared" si="4"/>
        <v xml:space="preserve">Pere Beltran </v>
      </c>
    </row>
    <row r="319" spans="1:4" x14ac:dyDescent="0.25">
      <c r="A319" t="s">
        <v>1027</v>
      </c>
      <c r="B319">
        <v>13</v>
      </c>
      <c r="D319" t="str">
        <f t="shared" si="4"/>
        <v xml:space="preserve">Rasheed Da'na </v>
      </c>
    </row>
    <row r="320" spans="1:4" x14ac:dyDescent="0.25">
      <c r="A320" t="s">
        <v>865</v>
      </c>
      <c r="B320">
        <v>7</v>
      </c>
      <c r="D320" t="str">
        <f t="shared" si="4"/>
        <v xml:space="preserve">Renato Galeano </v>
      </c>
    </row>
    <row r="321" spans="1:4" x14ac:dyDescent="0.25">
      <c r="A321" t="s">
        <v>973</v>
      </c>
      <c r="B321">
        <v>5</v>
      </c>
      <c r="D321" t="str">
        <f t="shared" si="4"/>
        <v xml:space="preserve">Roberto Abenoza </v>
      </c>
    </row>
    <row r="322" spans="1:4" x14ac:dyDescent="0.25">
      <c r="A322" t="s">
        <v>1014</v>
      </c>
      <c r="B322">
        <v>14</v>
      </c>
      <c r="D322" t="str">
        <f t="shared" si="4"/>
        <v xml:space="preserve">Saúl Piña </v>
      </c>
    </row>
    <row r="323" spans="1:4" x14ac:dyDescent="0.25">
      <c r="A323" t="s">
        <v>1014</v>
      </c>
      <c r="B323">
        <v>10</v>
      </c>
      <c r="D323" t="str">
        <f t="shared" ref="D323:D386" si="5">MID(A323,SEARCH(" ",A323)+1,150)</f>
        <v xml:space="preserve">Saúl Piña </v>
      </c>
    </row>
    <row r="324" spans="1:4" x14ac:dyDescent="0.25">
      <c r="A324" t="s">
        <v>895</v>
      </c>
      <c r="B324">
        <v>12</v>
      </c>
      <c r="D324" t="str">
        <f t="shared" si="5"/>
        <v xml:space="preserve">Tommaso Niscola </v>
      </c>
    </row>
    <row r="325" spans="1:4" x14ac:dyDescent="0.25">
      <c r="A325" t="s">
        <v>1213</v>
      </c>
      <c r="B325">
        <v>1</v>
      </c>
      <c r="D325" t="str">
        <f t="shared" si="5"/>
        <v xml:space="preserve">David Erbiti </v>
      </c>
    </row>
    <row r="326" spans="1:4" x14ac:dyDescent="0.25">
      <c r="A326" t="s">
        <v>1153</v>
      </c>
      <c r="B326">
        <v>1</v>
      </c>
      <c r="D326" t="str">
        <f t="shared" si="5"/>
        <v xml:space="preserve">David Knuff </v>
      </c>
    </row>
    <row r="327" spans="1:4" x14ac:dyDescent="0.25">
      <c r="A327" t="s">
        <v>1255</v>
      </c>
      <c r="B327">
        <v>1</v>
      </c>
      <c r="D327" t="str">
        <f t="shared" si="5"/>
        <v xml:space="preserve">Harald Georg Berchthold </v>
      </c>
    </row>
    <row r="328" spans="1:4" x14ac:dyDescent="0.25">
      <c r="A328" t="s">
        <v>1232</v>
      </c>
      <c r="B328">
        <v>1</v>
      </c>
      <c r="D328" t="str">
        <f t="shared" si="5"/>
        <v xml:space="preserve">Jan Jessen </v>
      </c>
    </row>
    <row r="329" spans="1:4" x14ac:dyDescent="0.25">
      <c r="A329" t="s">
        <v>1154</v>
      </c>
      <c r="B329">
        <v>1</v>
      </c>
      <c r="D329" t="str">
        <f t="shared" si="5"/>
        <v xml:space="preserve">Enis Kalan </v>
      </c>
    </row>
    <row r="330" spans="1:4" x14ac:dyDescent="0.25">
      <c r="A330" t="s">
        <v>1233</v>
      </c>
      <c r="B330">
        <v>1</v>
      </c>
      <c r="D330" t="str">
        <f t="shared" si="5"/>
        <v xml:space="preserve">José Manuel Carneiro </v>
      </c>
    </row>
    <row r="331" spans="1:4" x14ac:dyDescent="0.25">
      <c r="A331" t="s">
        <v>1234</v>
      </c>
      <c r="B331">
        <v>1</v>
      </c>
      <c r="D331" t="str">
        <f t="shared" si="5"/>
        <v xml:space="preserve">Ludvig Andreasson </v>
      </c>
    </row>
    <row r="332" spans="1:4" x14ac:dyDescent="0.25">
      <c r="A332" t="s">
        <v>1235</v>
      </c>
      <c r="B332">
        <v>1</v>
      </c>
      <c r="D332" t="str">
        <f t="shared" si="5"/>
        <v xml:space="preserve">Luigi Tripodo </v>
      </c>
    </row>
    <row r="333" spans="1:4" x14ac:dyDescent="0.25">
      <c r="A333" t="s">
        <v>1236</v>
      </c>
      <c r="B333">
        <v>1</v>
      </c>
      <c r="D333" t="str">
        <f t="shared" si="5"/>
        <v xml:space="preserve">Christophe Méjean </v>
      </c>
    </row>
    <row r="334" spans="1:4" x14ac:dyDescent="0.25">
      <c r="A334" t="s">
        <v>1237</v>
      </c>
      <c r="B334">
        <v>1</v>
      </c>
      <c r="D334" t="str">
        <f t="shared" si="5"/>
        <v xml:space="preserve">Aamos Vara </v>
      </c>
    </row>
    <row r="335" spans="1:4" x14ac:dyDescent="0.25">
      <c r="A335" t="s">
        <v>1041</v>
      </c>
      <c r="B335">
        <v>14</v>
      </c>
      <c r="D335" t="str">
        <f t="shared" si="5"/>
        <v xml:space="preserve">Adam Moss </v>
      </c>
    </row>
    <row r="336" spans="1:4" x14ac:dyDescent="0.25">
      <c r="A336" t="s">
        <v>1196</v>
      </c>
      <c r="B336">
        <v>5</v>
      </c>
      <c r="D336" t="str">
        <f t="shared" si="5"/>
        <v xml:space="preserve">Adamantios Fikias </v>
      </c>
    </row>
    <row r="337" spans="1:4" x14ac:dyDescent="0.25">
      <c r="A337" t="s">
        <v>1049</v>
      </c>
      <c r="B337">
        <v>10</v>
      </c>
      <c r="D337" t="str">
        <f t="shared" si="5"/>
        <v xml:space="preserve">Andrin Bärtsch </v>
      </c>
    </row>
    <row r="338" spans="1:4" x14ac:dyDescent="0.25">
      <c r="A338" t="s">
        <v>1049</v>
      </c>
      <c r="B338">
        <v>7</v>
      </c>
      <c r="D338" t="str">
        <f t="shared" si="5"/>
        <v xml:space="preserve">Andrin Bärtsch </v>
      </c>
    </row>
    <row r="339" spans="1:4" x14ac:dyDescent="0.25">
      <c r="A339" t="s">
        <v>1121</v>
      </c>
      <c r="B339">
        <v>8</v>
      </c>
      <c r="D339" t="str">
        <f t="shared" si="5"/>
        <v xml:space="preserve">Brunon Chuda </v>
      </c>
    </row>
    <row r="340" spans="1:4" x14ac:dyDescent="0.25">
      <c r="A340" t="s">
        <v>1121</v>
      </c>
      <c r="B340">
        <v>5</v>
      </c>
      <c r="D340" t="str">
        <f t="shared" si="5"/>
        <v xml:space="preserve">Brunon Chuda </v>
      </c>
    </row>
    <row r="341" spans="1:4" x14ac:dyDescent="0.25">
      <c r="A341" t="s">
        <v>1216</v>
      </c>
      <c r="B341">
        <v>6</v>
      </c>
      <c r="D341" t="str">
        <f t="shared" si="5"/>
        <v xml:space="preserve">Co Wolbers </v>
      </c>
    </row>
    <row r="342" spans="1:4" x14ac:dyDescent="0.25">
      <c r="A342" t="s">
        <v>1086</v>
      </c>
      <c r="B342">
        <v>9</v>
      </c>
      <c r="D342" t="str">
        <f t="shared" si="5"/>
        <v xml:space="preserve">Cornel Boicea </v>
      </c>
    </row>
    <row r="343" spans="1:4" x14ac:dyDescent="0.25">
      <c r="A343" t="s">
        <v>1276</v>
      </c>
      <c r="B343">
        <v>3</v>
      </c>
      <c r="D343" t="str">
        <f t="shared" si="5"/>
        <v xml:space="preserve">Damiano Clementi </v>
      </c>
    </row>
    <row r="344" spans="1:4" x14ac:dyDescent="0.25">
      <c r="A344" t="s">
        <v>1028</v>
      </c>
      <c r="B344">
        <v>11</v>
      </c>
      <c r="D344" t="str">
        <f t="shared" si="5"/>
        <v xml:space="preserve">Gianfranco Rezza </v>
      </c>
    </row>
    <row r="345" spans="1:4" x14ac:dyDescent="0.25">
      <c r="A345" t="s">
        <v>1258</v>
      </c>
      <c r="B345">
        <v>4</v>
      </c>
      <c r="D345" t="str">
        <f t="shared" si="5"/>
        <v xml:space="preserve">Harald Georg Berchthold </v>
      </c>
    </row>
    <row r="346" spans="1:4" x14ac:dyDescent="0.25">
      <c r="A346" t="s">
        <v>1138</v>
      </c>
      <c r="B346">
        <v>8</v>
      </c>
      <c r="D346" t="str">
        <f t="shared" si="5"/>
        <v xml:space="preserve">John Chung </v>
      </c>
    </row>
    <row r="347" spans="1:4" x14ac:dyDescent="0.25">
      <c r="A347" t="s">
        <v>1104</v>
      </c>
      <c r="B347">
        <v>8</v>
      </c>
      <c r="D347" t="str">
        <f t="shared" si="5"/>
        <v xml:space="preserve">Jos Pittoors </v>
      </c>
    </row>
    <row r="348" spans="1:4" x14ac:dyDescent="0.25">
      <c r="A348" t="s">
        <v>1076</v>
      </c>
      <c r="B348">
        <v>2</v>
      </c>
      <c r="D348" t="str">
        <f t="shared" si="5"/>
        <v xml:space="preserve">Leonardo Baltico </v>
      </c>
    </row>
    <row r="349" spans="1:4" x14ac:dyDescent="0.25">
      <c r="A349" t="s">
        <v>1002</v>
      </c>
      <c r="B349">
        <v>7</v>
      </c>
      <c r="D349" t="str">
        <f t="shared" si="5"/>
        <v xml:space="preserve">Mario Omarini </v>
      </c>
    </row>
    <row r="350" spans="1:4" x14ac:dyDescent="0.25">
      <c r="A350" t="s">
        <v>938</v>
      </c>
      <c r="B350">
        <v>6</v>
      </c>
      <c r="D350" t="str">
        <f t="shared" si="5"/>
        <v xml:space="preserve">Miklós Gábriel </v>
      </c>
    </row>
    <row r="351" spans="1:4" x14ac:dyDescent="0.25">
      <c r="A351" t="s">
        <v>938</v>
      </c>
      <c r="B351">
        <v>5</v>
      </c>
      <c r="D351" t="str">
        <f t="shared" si="5"/>
        <v xml:space="preserve">Miklós Gábriel </v>
      </c>
    </row>
    <row r="352" spans="1:4" x14ac:dyDescent="0.25">
      <c r="A352" t="s">
        <v>1157</v>
      </c>
      <c r="B352">
        <v>5</v>
      </c>
      <c r="D352" t="str">
        <f t="shared" si="5"/>
        <v xml:space="preserve">Nikolay Gerasimenko </v>
      </c>
    </row>
    <row r="353" spans="1:4" x14ac:dyDescent="0.25">
      <c r="A353" t="s">
        <v>1157</v>
      </c>
      <c r="B353">
        <v>3</v>
      </c>
      <c r="D353" t="str">
        <f t="shared" si="5"/>
        <v xml:space="preserve">Nikolay Gerasimenko </v>
      </c>
    </row>
    <row r="354" spans="1:4" x14ac:dyDescent="0.25">
      <c r="A354" t="s">
        <v>1289</v>
      </c>
      <c r="B354">
        <v>4</v>
      </c>
      <c r="D354" t="str">
        <f t="shared" si="5"/>
        <v xml:space="preserve">Pablo Gil Fano </v>
      </c>
    </row>
    <row r="355" spans="1:4" x14ac:dyDescent="0.25">
      <c r="A355" t="s">
        <v>989</v>
      </c>
      <c r="B355">
        <v>6</v>
      </c>
      <c r="D355" t="str">
        <f t="shared" si="5"/>
        <v xml:space="preserve">Rasheed Da'na </v>
      </c>
    </row>
    <row r="356" spans="1:4" x14ac:dyDescent="0.25">
      <c r="A356" t="s">
        <v>989</v>
      </c>
      <c r="B356">
        <v>13</v>
      </c>
      <c r="D356" t="str">
        <f t="shared" si="5"/>
        <v xml:space="preserve">Rasheed Da'na </v>
      </c>
    </row>
    <row r="357" spans="1:4" x14ac:dyDescent="0.25">
      <c r="A357" t="s">
        <v>974</v>
      </c>
      <c r="B357">
        <v>2</v>
      </c>
      <c r="D357" t="str">
        <f t="shared" si="5"/>
        <v xml:space="preserve">Raúl Riquelme </v>
      </c>
    </row>
    <row r="358" spans="1:4" x14ac:dyDescent="0.25">
      <c r="A358" t="s">
        <v>954</v>
      </c>
      <c r="B358">
        <v>3</v>
      </c>
      <c r="D358" t="str">
        <f t="shared" si="5"/>
        <v xml:space="preserve">Roberto Abenoza </v>
      </c>
    </row>
    <row r="359" spans="1:4" x14ac:dyDescent="0.25">
      <c r="A359" t="s">
        <v>1239</v>
      </c>
      <c r="B359">
        <v>4</v>
      </c>
      <c r="D359" t="str">
        <f t="shared" si="5"/>
        <v xml:space="preserve">Sejo Sáenz Marín </v>
      </c>
    </row>
    <row r="360" spans="1:4" x14ac:dyDescent="0.25">
      <c r="A360" t="s">
        <v>916</v>
      </c>
      <c r="B360">
        <v>7</v>
      </c>
      <c r="D360" t="str">
        <f t="shared" si="5"/>
        <v xml:space="preserve">Tommaso Niscola </v>
      </c>
    </row>
    <row r="361" spans="1:4" x14ac:dyDescent="0.25">
      <c r="A361" t="s">
        <v>1087</v>
      </c>
      <c r="B361">
        <v>9</v>
      </c>
      <c r="D361" t="str">
        <f t="shared" si="5"/>
        <v xml:space="preserve">Aimar Lasalde </v>
      </c>
    </row>
    <row r="362" spans="1:4" x14ac:dyDescent="0.25">
      <c r="A362" t="s">
        <v>1197</v>
      </c>
      <c r="B362">
        <v>5</v>
      </c>
      <c r="D362" t="str">
        <f t="shared" si="5"/>
        <v xml:space="preserve">Ellák Deák </v>
      </c>
    </row>
    <row r="363" spans="1:4" x14ac:dyDescent="0.25">
      <c r="A363" t="s">
        <v>1197</v>
      </c>
      <c r="B363">
        <v>6</v>
      </c>
      <c r="D363" t="str">
        <f t="shared" si="5"/>
        <v xml:space="preserve">Ellák Deák </v>
      </c>
    </row>
    <row r="364" spans="1:4" x14ac:dyDescent="0.25">
      <c r="A364" t="s">
        <v>1003</v>
      </c>
      <c r="B364">
        <v>6</v>
      </c>
      <c r="D364" t="str">
        <f t="shared" si="5"/>
        <v xml:space="preserve">Gianfranco Rezza </v>
      </c>
    </row>
    <row r="365" spans="1:4" x14ac:dyDescent="0.25">
      <c r="A365" t="s">
        <v>1003</v>
      </c>
      <c r="B365">
        <v>12</v>
      </c>
      <c r="D365" t="str">
        <f t="shared" si="5"/>
        <v xml:space="preserve">Gianfranco Rezza </v>
      </c>
    </row>
    <row r="366" spans="1:4" x14ac:dyDescent="0.25">
      <c r="A366" t="s">
        <v>1061</v>
      </c>
      <c r="B366">
        <v>7</v>
      </c>
      <c r="D366" t="str">
        <f t="shared" si="5"/>
        <v xml:space="preserve">Gongotzon Ialdebere </v>
      </c>
    </row>
    <row r="367" spans="1:4" x14ac:dyDescent="0.25">
      <c r="A367" t="s">
        <v>1290</v>
      </c>
      <c r="B367">
        <v>4</v>
      </c>
      <c r="D367" t="str">
        <f t="shared" si="5"/>
        <v xml:space="preserve">Hansjürg Devier </v>
      </c>
    </row>
    <row r="368" spans="1:4" x14ac:dyDescent="0.25">
      <c r="A368" t="s">
        <v>990</v>
      </c>
      <c r="B368">
        <v>6</v>
      </c>
      <c r="D368" t="str">
        <f t="shared" si="5"/>
        <v xml:space="preserve">Iyad Chaabo </v>
      </c>
    </row>
    <row r="369" spans="1:4" x14ac:dyDescent="0.25">
      <c r="A369" t="s">
        <v>1259</v>
      </c>
      <c r="B369">
        <v>4</v>
      </c>
      <c r="D369" t="str">
        <f t="shared" si="5"/>
        <v xml:space="preserve">Jörg Londorf </v>
      </c>
    </row>
    <row r="370" spans="1:4" x14ac:dyDescent="0.25">
      <c r="A370" t="s">
        <v>1029</v>
      </c>
      <c r="B370">
        <v>11</v>
      </c>
      <c r="D370" t="str">
        <f t="shared" si="5"/>
        <v xml:space="preserve">Leonardo Baltico </v>
      </c>
    </row>
    <row r="371" spans="1:4" x14ac:dyDescent="0.25">
      <c r="A371" t="s">
        <v>1122</v>
      </c>
      <c r="B371">
        <v>7</v>
      </c>
      <c r="D371" t="str">
        <f t="shared" si="5"/>
        <v xml:space="preserve">Ludwik Mojescik </v>
      </c>
    </row>
    <row r="372" spans="1:4" x14ac:dyDescent="0.25">
      <c r="A372" t="s">
        <v>1105</v>
      </c>
      <c r="B372">
        <v>7</v>
      </c>
      <c r="D372" t="str">
        <f t="shared" si="5"/>
        <v xml:space="preserve">Nikolas Lakkotripi </v>
      </c>
    </row>
    <row r="373" spans="1:4" x14ac:dyDescent="0.25">
      <c r="A373" t="s">
        <v>1139</v>
      </c>
      <c r="B373">
        <v>8</v>
      </c>
      <c r="D373" t="str">
        <f t="shared" si="5"/>
        <v xml:space="preserve">Nikolay Gerasimenko </v>
      </c>
    </row>
    <row r="374" spans="1:4" x14ac:dyDescent="0.25">
      <c r="A374" t="s">
        <v>1015</v>
      </c>
      <c r="B374">
        <v>6</v>
      </c>
      <c r="D374" t="str">
        <f t="shared" si="5"/>
        <v xml:space="preserve">Pepijn Zwaan </v>
      </c>
    </row>
    <row r="375" spans="1:4" x14ac:dyDescent="0.25">
      <c r="A375" t="s">
        <v>1077</v>
      </c>
      <c r="B375">
        <v>2</v>
      </c>
      <c r="D375" t="str">
        <f t="shared" si="5"/>
        <v xml:space="preserve">Pere Beltran </v>
      </c>
    </row>
    <row r="376" spans="1:4" x14ac:dyDescent="0.25">
      <c r="A376" t="s">
        <v>1277</v>
      </c>
      <c r="B376">
        <v>3</v>
      </c>
      <c r="D376" t="str">
        <f t="shared" si="5"/>
        <v xml:space="preserve">Petru Pena </v>
      </c>
    </row>
    <row r="377" spans="1:4" x14ac:dyDescent="0.25">
      <c r="A377" t="s">
        <v>1158</v>
      </c>
      <c r="B377">
        <v>5</v>
      </c>
      <c r="D377" t="str">
        <f t="shared" si="5"/>
        <v xml:space="preserve">Ragip Övgü </v>
      </c>
    </row>
    <row r="378" spans="1:4" x14ac:dyDescent="0.25">
      <c r="A378" t="s">
        <v>1050</v>
      </c>
      <c r="B378">
        <v>9</v>
      </c>
      <c r="D378" t="str">
        <f t="shared" si="5"/>
        <v xml:space="preserve">Rasheed Da'na </v>
      </c>
    </row>
    <row r="379" spans="1:4" x14ac:dyDescent="0.25">
      <c r="A379" t="s">
        <v>1172</v>
      </c>
      <c r="B379">
        <v>3</v>
      </c>
      <c r="D379" t="str">
        <f t="shared" si="5"/>
        <v xml:space="preserve">Relf Härteis </v>
      </c>
    </row>
    <row r="380" spans="1:4" x14ac:dyDescent="0.25">
      <c r="A380" t="s">
        <v>1172</v>
      </c>
      <c r="B380">
        <v>4</v>
      </c>
      <c r="D380" t="str">
        <f t="shared" si="5"/>
        <v xml:space="preserve">Relf Härteis </v>
      </c>
    </row>
    <row r="381" spans="1:4" x14ac:dyDescent="0.25">
      <c r="A381" t="s">
        <v>897</v>
      </c>
      <c r="B381">
        <v>8</v>
      </c>
      <c r="D381" t="str">
        <f t="shared" si="5"/>
        <v xml:space="preserve">Renato Galeano </v>
      </c>
    </row>
    <row r="382" spans="1:4" x14ac:dyDescent="0.25">
      <c r="A382" t="s">
        <v>966</v>
      </c>
      <c r="B382">
        <v>4</v>
      </c>
      <c r="D382" t="str">
        <f t="shared" si="5"/>
        <v xml:space="preserve">Roberto Abenoza </v>
      </c>
    </row>
    <row r="383" spans="1:4" x14ac:dyDescent="0.25">
      <c r="A383" t="s">
        <v>1240</v>
      </c>
      <c r="B383">
        <v>3</v>
      </c>
      <c r="D383" t="str">
        <f t="shared" si="5"/>
        <v xml:space="preserve">Zeno Baets </v>
      </c>
    </row>
    <row r="384" spans="1:4" x14ac:dyDescent="0.25">
      <c r="A384" t="s">
        <v>1030</v>
      </c>
      <c r="B384">
        <v>10</v>
      </c>
      <c r="D384" t="str">
        <f t="shared" si="5"/>
        <v xml:space="preserve">Adam Moss </v>
      </c>
    </row>
    <row r="385" spans="1:4" x14ac:dyDescent="0.25">
      <c r="A385" t="s">
        <v>1030</v>
      </c>
      <c r="B385">
        <v>6</v>
      </c>
      <c r="D385" t="str">
        <f t="shared" si="5"/>
        <v xml:space="preserve">Adam Moss </v>
      </c>
    </row>
    <row r="386" spans="1:4" x14ac:dyDescent="0.25">
      <c r="A386" t="s">
        <v>1106</v>
      </c>
      <c r="B386">
        <v>6</v>
      </c>
      <c r="D386" t="str">
        <f t="shared" si="5"/>
        <v xml:space="preserve">Aimar Lasalde </v>
      </c>
    </row>
    <row r="387" spans="1:4" x14ac:dyDescent="0.25">
      <c r="A387" t="s">
        <v>1291</v>
      </c>
      <c r="B387">
        <v>3</v>
      </c>
      <c r="D387" t="str">
        <f t="shared" ref="D387:D450" si="6">MID(A387,SEARCH(" ",A387)+1,150)</f>
        <v xml:space="preserve">Aiurdi Azpileta </v>
      </c>
    </row>
    <row r="388" spans="1:4" x14ac:dyDescent="0.25">
      <c r="A388" t="s">
        <v>976</v>
      </c>
      <c r="B388">
        <v>2</v>
      </c>
      <c r="D388" t="str">
        <f t="shared" si="6"/>
        <v xml:space="preserve">Casildo Abraldes </v>
      </c>
    </row>
    <row r="389" spans="1:4" x14ac:dyDescent="0.25">
      <c r="A389" t="s">
        <v>1173</v>
      </c>
      <c r="B389">
        <v>3</v>
      </c>
      <c r="D389" t="str">
        <f t="shared" si="6"/>
        <v xml:space="preserve">David Erbiti </v>
      </c>
    </row>
    <row r="390" spans="1:4" x14ac:dyDescent="0.25">
      <c r="A390" t="s">
        <v>1198</v>
      </c>
      <c r="B390">
        <v>4</v>
      </c>
      <c r="D390" t="str">
        <f t="shared" si="6"/>
        <v xml:space="preserve">Ernst Lammers </v>
      </c>
    </row>
    <row r="391" spans="1:4" x14ac:dyDescent="0.25">
      <c r="A391" t="s">
        <v>1159</v>
      </c>
      <c r="B391">
        <v>5</v>
      </c>
      <c r="D391" t="str">
        <f t="shared" si="6"/>
        <v xml:space="preserve">Fere Pulido </v>
      </c>
    </row>
    <row r="392" spans="1:4" x14ac:dyDescent="0.25">
      <c r="A392" t="s">
        <v>1016</v>
      </c>
      <c r="B392">
        <v>6</v>
      </c>
      <c r="D392" t="str">
        <f t="shared" si="6"/>
        <v xml:space="preserve">Gianfranco Rezza </v>
      </c>
    </row>
    <row r="393" spans="1:4" x14ac:dyDescent="0.25">
      <c r="A393" t="s">
        <v>1123</v>
      </c>
      <c r="B393">
        <v>6</v>
      </c>
      <c r="D393" t="str">
        <f t="shared" si="6"/>
        <v xml:space="preserve">Gino van Hoesel </v>
      </c>
    </row>
    <row r="394" spans="1:4" x14ac:dyDescent="0.25">
      <c r="A394" t="s">
        <v>1062</v>
      </c>
      <c r="B394">
        <v>7</v>
      </c>
      <c r="D394" t="str">
        <f t="shared" si="6"/>
        <v xml:space="preserve">Horacy Dzienis </v>
      </c>
    </row>
    <row r="395" spans="1:4" x14ac:dyDescent="0.25">
      <c r="A395" t="s">
        <v>991</v>
      </c>
      <c r="B395">
        <v>5</v>
      </c>
      <c r="D395" t="str">
        <f t="shared" si="6"/>
        <v xml:space="preserve">Ibiur Altxakoa </v>
      </c>
    </row>
    <row r="396" spans="1:4" x14ac:dyDescent="0.25">
      <c r="A396" t="s">
        <v>1241</v>
      </c>
      <c r="B396">
        <v>3</v>
      </c>
      <c r="D396" t="str">
        <f t="shared" si="6"/>
        <v xml:space="preserve">Iuliu Pana </v>
      </c>
    </row>
    <row r="397" spans="1:4" x14ac:dyDescent="0.25">
      <c r="A397" t="s">
        <v>1088</v>
      </c>
      <c r="B397">
        <v>8</v>
      </c>
      <c r="D397" t="str">
        <f t="shared" si="6"/>
        <v xml:space="preserve">Joãozinho do Mato </v>
      </c>
    </row>
    <row r="398" spans="1:4" x14ac:dyDescent="0.25">
      <c r="A398" t="s">
        <v>955</v>
      </c>
      <c r="B398">
        <v>2</v>
      </c>
      <c r="D398" t="str">
        <f t="shared" si="6"/>
        <v xml:space="preserve">Mauro Vaz </v>
      </c>
    </row>
    <row r="399" spans="1:4" x14ac:dyDescent="0.25">
      <c r="A399" t="s">
        <v>1217</v>
      </c>
      <c r="B399">
        <v>6</v>
      </c>
      <c r="D399" t="str">
        <f t="shared" si="6"/>
        <v xml:space="preserve">Michele Giampieri </v>
      </c>
    </row>
    <row r="400" spans="1:4" x14ac:dyDescent="0.25">
      <c r="A400" t="s">
        <v>1183</v>
      </c>
      <c r="B400">
        <v>4</v>
      </c>
      <c r="D400" t="str">
        <f t="shared" si="6"/>
        <v xml:space="preserve">Nikolay Gerasimenko </v>
      </c>
    </row>
    <row r="401" spans="1:4" x14ac:dyDescent="0.25">
      <c r="A401" t="s">
        <v>1278</v>
      </c>
      <c r="B401">
        <v>2</v>
      </c>
      <c r="D401" t="str">
        <f t="shared" si="6"/>
        <v xml:space="preserve">Pablo Gil Fano </v>
      </c>
    </row>
    <row r="402" spans="1:4" x14ac:dyDescent="0.25">
      <c r="A402" t="s">
        <v>1140</v>
      </c>
      <c r="B402">
        <v>8</v>
      </c>
      <c r="D402" t="str">
        <f t="shared" si="6"/>
        <v xml:space="preserve">Pere Beltran </v>
      </c>
    </row>
    <row r="403" spans="1:4" x14ac:dyDescent="0.25">
      <c r="A403" t="s">
        <v>1004</v>
      </c>
      <c r="B403">
        <v>6</v>
      </c>
      <c r="D403" t="str">
        <f t="shared" si="6"/>
        <v xml:space="preserve">Rasheed Da'na </v>
      </c>
    </row>
    <row r="404" spans="1:4" x14ac:dyDescent="0.25">
      <c r="A404" t="s">
        <v>1004</v>
      </c>
      <c r="B404">
        <v>11</v>
      </c>
      <c r="D404" t="str">
        <f t="shared" si="6"/>
        <v xml:space="preserve">Rasheed Da'na </v>
      </c>
    </row>
    <row r="405" spans="1:4" x14ac:dyDescent="0.25">
      <c r="A405" t="s">
        <v>967</v>
      </c>
      <c r="B405">
        <v>3</v>
      </c>
      <c r="D405" t="str">
        <f t="shared" si="6"/>
        <v xml:space="preserve">Raúl Riquelme </v>
      </c>
    </row>
    <row r="406" spans="1:4" x14ac:dyDescent="0.25">
      <c r="A406" t="s">
        <v>1260</v>
      </c>
      <c r="B406">
        <v>3</v>
      </c>
      <c r="D406" t="str">
        <f t="shared" si="6"/>
        <v xml:space="preserve">Richey Cowper </v>
      </c>
    </row>
    <row r="407" spans="1:4" x14ac:dyDescent="0.25">
      <c r="A407" t="s">
        <v>1078</v>
      </c>
      <c r="B407">
        <v>1</v>
      </c>
      <c r="D407" t="str">
        <f t="shared" si="6"/>
        <v xml:space="preserve">Zbyšek Hamrozi </v>
      </c>
    </row>
    <row r="408" spans="1:4" x14ac:dyDescent="0.25">
      <c r="A408" t="s">
        <v>1124</v>
      </c>
      <c r="B408">
        <v>6</v>
      </c>
      <c r="D408" t="str">
        <f t="shared" si="6"/>
        <v xml:space="preserve">Aimar Lasalde </v>
      </c>
    </row>
    <row r="409" spans="1:4" x14ac:dyDescent="0.25">
      <c r="A409" t="s">
        <v>1017</v>
      </c>
      <c r="B409">
        <v>5</v>
      </c>
      <c r="D409" t="str">
        <f t="shared" si="6"/>
        <v xml:space="preserve">Boleslaw Starzomski </v>
      </c>
    </row>
    <row r="410" spans="1:4" x14ac:dyDescent="0.25">
      <c r="A410" t="s">
        <v>1160</v>
      </c>
      <c r="B410">
        <v>5</v>
      </c>
      <c r="D410" t="str">
        <f t="shared" si="6"/>
        <v xml:space="preserve">Brunon Chuda </v>
      </c>
    </row>
    <row r="411" spans="1:4" x14ac:dyDescent="0.25">
      <c r="A411" t="s">
        <v>1279</v>
      </c>
      <c r="B411">
        <v>2</v>
      </c>
      <c r="D411" t="str">
        <f t="shared" si="6"/>
        <v xml:space="preserve">Christophe Bodin </v>
      </c>
    </row>
    <row r="412" spans="1:4" x14ac:dyDescent="0.25">
      <c r="A412" t="s">
        <v>1261</v>
      </c>
      <c r="B412">
        <v>3</v>
      </c>
      <c r="D412" t="str">
        <f t="shared" si="6"/>
        <v xml:space="preserve">David Berkenbosch </v>
      </c>
    </row>
    <row r="413" spans="1:4" x14ac:dyDescent="0.25">
      <c r="A413" t="s">
        <v>1174</v>
      </c>
      <c r="B413">
        <v>3</v>
      </c>
      <c r="D413" t="str">
        <f t="shared" si="6"/>
        <v xml:space="preserve">David Knuff </v>
      </c>
    </row>
    <row r="414" spans="1:4" x14ac:dyDescent="0.25">
      <c r="A414" t="s">
        <v>1292</v>
      </c>
      <c r="B414">
        <v>2</v>
      </c>
      <c r="D414" t="str">
        <f t="shared" si="6"/>
        <v xml:space="preserve">Domenic Janjic </v>
      </c>
    </row>
    <row r="415" spans="1:4" x14ac:dyDescent="0.25">
      <c r="A415" t="s">
        <v>956</v>
      </c>
      <c r="B415">
        <v>2</v>
      </c>
      <c r="D415" t="str">
        <f t="shared" si="6"/>
        <v xml:space="preserve">Fernando Gazón </v>
      </c>
    </row>
    <row r="416" spans="1:4" x14ac:dyDescent="0.25">
      <c r="A416" t="s">
        <v>956</v>
      </c>
      <c r="B416">
        <v>2</v>
      </c>
      <c r="D416" t="str">
        <f t="shared" si="6"/>
        <v xml:space="preserve">Fernando Gazón </v>
      </c>
    </row>
    <row r="417" spans="1:4" x14ac:dyDescent="0.25">
      <c r="A417" t="s">
        <v>1184</v>
      </c>
      <c r="B417">
        <v>3</v>
      </c>
      <c r="D417" t="str">
        <f t="shared" si="6"/>
        <v xml:space="preserve">Gastone Cianelli </v>
      </c>
    </row>
    <row r="418" spans="1:4" x14ac:dyDescent="0.25">
      <c r="A418" t="s">
        <v>1005</v>
      </c>
      <c r="B418">
        <v>4</v>
      </c>
      <c r="D418" t="str">
        <f t="shared" si="6"/>
        <v xml:space="preserve">Ibiur Altxakoa </v>
      </c>
    </row>
    <row r="419" spans="1:4" x14ac:dyDescent="0.25">
      <c r="A419" t="s">
        <v>992</v>
      </c>
      <c r="B419">
        <v>4</v>
      </c>
      <c r="D419" t="str">
        <f t="shared" si="6"/>
        <v xml:space="preserve">Jorge Walter Whitaker </v>
      </c>
    </row>
    <row r="420" spans="1:4" x14ac:dyDescent="0.25">
      <c r="A420" t="s">
        <v>977</v>
      </c>
      <c r="B420">
        <v>2</v>
      </c>
      <c r="D420" t="str">
        <f t="shared" si="6"/>
        <v xml:space="preserve">Juan Gabriel de Minaya </v>
      </c>
    </row>
    <row r="421" spans="1:4" x14ac:dyDescent="0.25">
      <c r="A421" t="s">
        <v>1051</v>
      </c>
      <c r="B421">
        <v>6</v>
      </c>
      <c r="D421" t="str">
        <f t="shared" si="6"/>
        <v xml:space="preserve">Kendor Nagiturri </v>
      </c>
    </row>
    <row r="422" spans="1:4" x14ac:dyDescent="0.25">
      <c r="A422" t="s">
        <v>1242</v>
      </c>
      <c r="B422">
        <v>3</v>
      </c>
      <c r="D422" t="str">
        <f t="shared" si="6"/>
        <v xml:space="preserve">Krzysztof Buras </v>
      </c>
    </row>
    <row r="423" spans="1:4" x14ac:dyDescent="0.25">
      <c r="A423" t="s">
        <v>1141</v>
      </c>
      <c r="B423">
        <v>7</v>
      </c>
      <c r="D423" t="str">
        <f t="shared" si="6"/>
        <v xml:space="preserve">Ludwik Mojescik </v>
      </c>
    </row>
    <row r="424" spans="1:4" x14ac:dyDescent="0.25">
      <c r="A424" t="s">
        <v>1218</v>
      </c>
      <c r="B424">
        <v>5</v>
      </c>
      <c r="D424" t="str">
        <f t="shared" si="6"/>
        <v xml:space="preserve">Malte Neulinger </v>
      </c>
    </row>
    <row r="425" spans="1:4" x14ac:dyDescent="0.25">
      <c r="A425" t="s">
        <v>1079</v>
      </c>
      <c r="B425">
        <v>1</v>
      </c>
      <c r="D425" t="str">
        <f t="shared" si="6"/>
        <v xml:space="preserve">Nikolas Lakkotripi </v>
      </c>
    </row>
    <row r="426" spans="1:4" x14ac:dyDescent="0.25">
      <c r="A426" t="s">
        <v>1089</v>
      </c>
      <c r="B426">
        <v>7</v>
      </c>
      <c r="D426" t="str">
        <f t="shared" si="6"/>
        <v xml:space="preserve">Pasqual Vilar </v>
      </c>
    </row>
    <row r="427" spans="1:4" x14ac:dyDescent="0.25">
      <c r="A427" t="s">
        <v>1031</v>
      </c>
      <c r="B427">
        <v>10</v>
      </c>
      <c r="D427" t="str">
        <f t="shared" si="6"/>
        <v xml:space="preserve">Pepijn Zwaan </v>
      </c>
    </row>
    <row r="428" spans="1:4" x14ac:dyDescent="0.25">
      <c r="A428" t="s">
        <v>1107</v>
      </c>
      <c r="B428">
        <v>5</v>
      </c>
      <c r="D428" t="str">
        <f t="shared" si="6"/>
        <v xml:space="preserve">Roelant Bierman </v>
      </c>
    </row>
    <row r="429" spans="1:4" x14ac:dyDescent="0.25">
      <c r="A429" t="s">
        <v>1199</v>
      </c>
      <c r="B429">
        <v>4</v>
      </c>
      <c r="D429" t="str">
        <f t="shared" si="6"/>
        <v xml:space="preserve">Romain Grière </v>
      </c>
    </row>
    <row r="430" spans="1:4" x14ac:dyDescent="0.25">
      <c r="A430" t="s">
        <v>1042</v>
      </c>
      <c r="B430">
        <v>11</v>
      </c>
      <c r="D430" t="str">
        <f t="shared" si="6"/>
        <v xml:space="preserve">Saúl Piña </v>
      </c>
    </row>
    <row r="431" spans="1:4" x14ac:dyDescent="0.25">
      <c r="A431" t="s">
        <v>919</v>
      </c>
      <c r="B431">
        <v>5</v>
      </c>
      <c r="D431" t="str">
        <f t="shared" si="6"/>
        <v xml:space="preserve">Stanislaw Zdankiewicz </v>
      </c>
    </row>
    <row r="432" spans="1:4" x14ac:dyDescent="0.25">
      <c r="A432" t="s">
        <v>1063</v>
      </c>
      <c r="B432">
        <v>6</v>
      </c>
      <c r="D432" t="str">
        <f t="shared" si="6"/>
        <v xml:space="preserve">Torsten Kortenhof </v>
      </c>
    </row>
    <row r="433" spans="1:4" x14ac:dyDescent="0.25">
      <c r="A433" t="s">
        <v>1262</v>
      </c>
      <c r="B433">
        <v>3</v>
      </c>
      <c r="D433" t="str">
        <f t="shared" si="6"/>
        <v xml:space="preserve">? (Pan) ?? (Yuandong) </v>
      </c>
    </row>
    <row r="434" spans="1:4" x14ac:dyDescent="0.25">
      <c r="A434" t="s">
        <v>993</v>
      </c>
      <c r="B434">
        <v>4</v>
      </c>
      <c r="D434" t="str">
        <f t="shared" si="6"/>
        <v xml:space="preserve">Adam Moss </v>
      </c>
    </row>
    <row r="435" spans="1:4" x14ac:dyDescent="0.25">
      <c r="A435" t="s">
        <v>1080</v>
      </c>
      <c r="B435">
        <v>1</v>
      </c>
      <c r="D435" t="str">
        <f t="shared" si="6"/>
        <v xml:space="preserve">Alexander Pahl </v>
      </c>
    </row>
    <row r="436" spans="1:4" x14ac:dyDescent="0.25">
      <c r="A436" t="s">
        <v>1280</v>
      </c>
      <c r="B436">
        <v>1</v>
      </c>
      <c r="D436" t="str">
        <f t="shared" si="6"/>
        <v xml:space="preserve">Alfonso Londoño </v>
      </c>
    </row>
    <row r="437" spans="1:4" x14ac:dyDescent="0.25">
      <c r="A437" t="s">
        <v>1006</v>
      </c>
      <c r="B437">
        <v>4</v>
      </c>
      <c r="D437" t="str">
        <f t="shared" si="6"/>
        <v xml:space="preserve">Andrea Califano </v>
      </c>
    </row>
    <row r="438" spans="1:4" x14ac:dyDescent="0.25">
      <c r="A438" t="s">
        <v>1032</v>
      </c>
      <c r="B438">
        <v>9</v>
      </c>
      <c r="D438" t="str">
        <f t="shared" si="6"/>
        <v xml:space="preserve">Andrin Bärtsch </v>
      </c>
    </row>
    <row r="439" spans="1:4" x14ac:dyDescent="0.25">
      <c r="A439" t="s">
        <v>1032</v>
      </c>
      <c r="B439">
        <v>10</v>
      </c>
      <c r="D439" t="str">
        <f t="shared" si="6"/>
        <v xml:space="preserve">Andrin Bärtsch </v>
      </c>
    </row>
    <row r="440" spans="1:4" x14ac:dyDescent="0.25">
      <c r="A440" t="s">
        <v>1052</v>
      </c>
      <c r="B440">
        <v>6</v>
      </c>
      <c r="D440" t="str">
        <f t="shared" si="6"/>
        <v xml:space="preserve">Arjo Olthuis </v>
      </c>
    </row>
    <row r="441" spans="1:4" x14ac:dyDescent="0.25">
      <c r="A441" t="s">
        <v>1243</v>
      </c>
      <c r="B441">
        <v>3</v>
      </c>
      <c r="D441" t="str">
        <f t="shared" si="6"/>
        <v xml:space="preserve">Aureliusz Staszczuk </v>
      </c>
    </row>
    <row r="442" spans="1:4" x14ac:dyDescent="0.25">
      <c r="A442" t="s">
        <v>957</v>
      </c>
      <c r="B442">
        <v>2</v>
      </c>
      <c r="D442" t="str">
        <f t="shared" si="6"/>
        <v xml:space="preserve">Eckardt Hägerling </v>
      </c>
    </row>
    <row r="443" spans="1:4" x14ac:dyDescent="0.25">
      <c r="A443" t="s">
        <v>949</v>
      </c>
      <c r="B443">
        <v>3</v>
      </c>
      <c r="D443" t="str">
        <f t="shared" si="6"/>
        <v xml:space="preserve">Fabien Fabre </v>
      </c>
    </row>
    <row r="444" spans="1:4" x14ac:dyDescent="0.25">
      <c r="A444" t="s">
        <v>1108</v>
      </c>
      <c r="B444">
        <v>4</v>
      </c>
      <c r="D444" t="str">
        <f t="shared" si="6"/>
        <v xml:space="preserve">Giulio Procaccianti </v>
      </c>
    </row>
    <row r="445" spans="1:4" x14ac:dyDescent="0.25">
      <c r="A445" t="s">
        <v>1161</v>
      </c>
      <c r="B445">
        <v>3</v>
      </c>
      <c r="D445" t="str">
        <f t="shared" si="6"/>
        <v xml:space="preserve">Honesto Cousa </v>
      </c>
    </row>
    <row r="446" spans="1:4" x14ac:dyDescent="0.25">
      <c r="A446" t="s">
        <v>1185</v>
      </c>
      <c r="B446">
        <v>2</v>
      </c>
      <c r="D446" t="str">
        <f t="shared" si="6"/>
        <v xml:space="preserve">Iacob Sarpe </v>
      </c>
    </row>
    <row r="447" spans="1:4" x14ac:dyDescent="0.25">
      <c r="A447" t="s">
        <v>1293</v>
      </c>
      <c r="B447">
        <v>2</v>
      </c>
      <c r="D447" t="str">
        <f t="shared" si="6"/>
        <v xml:space="preserve">Jaime Ocón </v>
      </c>
    </row>
    <row r="448" spans="1:4" x14ac:dyDescent="0.25">
      <c r="A448" t="s">
        <v>1090</v>
      </c>
      <c r="B448">
        <v>5</v>
      </c>
      <c r="D448" t="str">
        <f t="shared" si="6"/>
        <v xml:space="preserve">Lars Pouilliers </v>
      </c>
    </row>
    <row r="449" spans="1:4" x14ac:dyDescent="0.25">
      <c r="A449" t="s">
        <v>968</v>
      </c>
      <c r="B449">
        <v>2</v>
      </c>
      <c r="D449" t="str">
        <f t="shared" si="6"/>
        <v xml:space="preserve">Manuel Parejo </v>
      </c>
    </row>
    <row r="450" spans="1:4" x14ac:dyDescent="0.25">
      <c r="A450" t="s">
        <v>1219</v>
      </c>
      <c r="B450">
        <v>5</v>
      </c>
      <c r="D450" t="str">
        <f t="shared" si="6"/>
        <v xml:space="preserve">Markus Currie </v>
      </c>
    </row>
    <row r="451" spans="1:4" x14ac:dyDescent="0.25">
      <c r="A451" t="s">
        <v>1200</v>
      </c>
      <c r="B451">
        <v>3</v>
      </c>
      <c r="D451" t="str">
        <f t="shared" ref="D451:D511" si="7">MID(A451,SEARCH(" ",A451)+1,150)</f>
        <v xml:space="preserve">Michele Giampieri </v>
      </c>
    </row>
    <row r="452" spans="1:4" x14ac:dyDescent="0.25">
      <c r="A452" t="s">
        <v>1125</v>
      </c>
      <c r="B452">
        <v>6</v>
      </c>
      <c r="D452" t="str">
        <f t="shared" si="7"/>
        <v xml:space="preserve">Pasqual Vilar </v>
      </c>
    </row>
    <row r="453" spans="1:4" x14ac:dyDescent="0.25">
      <c r="A453" t="s">
        <v>1018</v>
      </c>
      <c r="B453">
        <v>5</v>
      </c>
      <c r="D453" t="str">
        <f t="shared" si="7"/>
        <v xml:space="preserve">Patrick Werner </v>
      </c>
    </row>
    <row r="454" spans="1:4" x14ac:dyDescent="0.25">
      <c r="A454" t="s">
        <v>907</v>
      </c>
      <c r="B454">
        <v>3</v>
      </c>
      <c r="D454" t="str">
        <f t="shared" si="7"/>
        <v xml:space="preserve">Stanislaw Zdankiewicz </v>
      </c>
    </row>
    <row r="455" spans="1:4" x14ac:dyDescent="0.25">
      <c r="A455" t="s">
        <v>1142</v>
      </c>
      <c r="B455">
        <v>5</v>
      </c>
      <c r="D455" t="str">
        <f t="shared" si="7"/>
        <v xml:space="preserve">Tomasz Artymiuk </v>
      </c>
    </row>
    <row r="456" spans="1:4" x14ac:dyDescent="0.25">
      <c r="A456" t="s">
        <v>1175</v>
      </c>
      <c r="B456">
        <v>2</v>
      </c>
      <c r="D456" t="str">
        <f t="shared" si="7"/>
        <v xml:space="preserve">Vincent Gautsch </v>
      </c>
    </row>
    <row r="457" spans="1:4" x14ac:dyDescent="0.25">
      <c r="A457" t="s">
        <v>1064</v>
      </c>
      <c r="B457">
        <v>6</v>
      </c>
      <c r="D457" t="str">
        <f t="shared" si="7"/>
        <v xml:space="preserve">Wicher Ossedrijver </v>
      </c>
    </row>
    <row r="458" spans="1:4" x14ac:dyDescent="0.25">
      <c r="A458" t="s">
        <v>1081</v>
      </c>
      <c r="B458">
        <v>1</v>
      </c>
      <c r="D458" t="str">
        <f t="shared" si="7"/>
        <v xml:space="preserve">Andrin Bärtsch </v>
      </c>
    </row>
    <row r="459" spans="1:4" x14ac:dyDescent="0.25">
      <c r="A459" t="s">
        <v>1043</v>
      </c>
      <c r="B459">
        <v>9</v>
      </c>
      <c r="D459" t="str">
        <f t="shared" si="7"/>
        <v xml:space="preserve">Arnold Kalckstein </v>
      </c>
    </row>
    <row r="460" spans="1:4" x14ac:dyDescent="0.25">
      <c r="A460" t="s">
        <v>1176</v>
      </c>
      <c r="B460">
        <v>2</v>
      </c>
      <c r="D460" t="str">
        <f t="shared" si="7"/>
        <v xml:space="preserve">Carlos Ipinza </v>
      </c>
    </row>
    <row r="461" spans="1:4" x14ac:dyDescent="0.25">
      <c r="A461" t="s">
        <v>1244</v>
      </c>
      <c r="B461">
        <v>2</v>
      </c>
      <c r="D461" t="str">
        <f t="shared" si="7"/>
        <v xml:space="preserve">Christophe Méjean </v>
      </c>
    </row>
    <row r="462" spans="1:4" x14ac:dyDescent="0.25">
      <c r="A462" t="s">
        <v>1186</v>
      </c>
      <c r="B462">
        <v>2</v>
      </c>
      <c r="D462" t="str">
        <f t="shared" si="7"/>
        <v xml:space="preserve">Co Wolbers </v>
      </c>
    </row>
    <row r="463" spans="1:4" x14ac:dyDescent="0.25">
      <c r="A463" t="s">
        <v>994</v>
      </c>
      <c r="B463">
        <v>3</v>
      </c>
      <c r="D463" t="str">
        <f t="shared" si="7"/>
        <v xml:space="preserve">Csaba Mezo </v>
      </c>
    </row>
    <row r="464" spans="1:4" x14ac:dyDescent="0.25">
      <c r="A464" t="s">
        <v>942</v>
      </c>
      <c r="B464">
        <v>3</v>
      </c>
      <c r="D464" t="str">
        <f t="shared" si="7"/>
        <v xml:space="preserve">Emilio Rojas </v>
      </c>
    </row>
    <row r="465" spans="1:4" x14ac:dyDescent="0.25">
      <c r="A465" t="s">
        <v>1162</v>
      </c>
      <c r="B465">
        <v>2</v>
      </c>
      <c r="D465" t="str">
        <f t="shared" si="7"/>
        <v xml:space="preserve">Felipe Andrés Massarelli </v>
      </c>
    </row>
    <row r="466" spans="1:4" x14ac:dyDescent="0.25">
      <c r="A466" t="s">
        <v>1053</v>
      </c>
      <c r="B466">
        <v>4</v>
      </c>
      <c r="D466" t="str">
        <f t="shared" si="7"/>
        <v xml:space="preserve">Fernando Juárez Sierra </v>
      </c>
    </row>
    <row r="467" spans="1:4" x14ac:dyDescent="0.25">
      <c r="A467" t="s">
        <v>1033</v>
      </c>
      <c r="B467">
        <v>9</v>
      </c>
      <c r="D467" t="str">
        <f t="shared" si="7"/>
        <v xml:space="preserve">Gregor Freischläger </v>
      </c>
    </row>
    <row r="468" spans="1:4" x14ac:dyDescent="0.25">
      <c r="A468" t="s">
        <v>1281</v>
      </c>
      <c r="B468">
        <v>1</v>
      </c>
      <c r="D468" t="str">
        <f t="shared" si="7"/>
        <v xml:space="preserve">Gregorio Manrique </v>
      </c>
    </row>
    <row r="469" spans="1:4" x14ac:dyDescent="0.25">
      <c r="A469" t="s">
        <v>1019</v>
      </c>
      <c r="B469">
        <v>4</v>
      </c>
      <c r="D469" t="str">
        <f t="shared" si="7"/>
        <v xml:space="preserve">Ibiur Altxakoa </v>
      </c>
    </row>
    <row r="470" spans="1:4" x14ac:dyDescent="0.25">
      <c r="A470" t="s">
        <v>1220</v>
      </c>
      <c r="B470">
        <v>4</v>
      </c>
      <c r="D470" t="str">
        <f t="shared" si="7"/>
        <v xml:space="preserve">Iuliu Pana </v>
      </c>
    </row>
    <row r="471" spans="1:4" x14ac:dyDescent="0.25">
      <c r="A471" t="s">
        <v>1294</v>
      </c>
      <c r="B471">
        <v>2</v>
      </c>
      <c r="D471" t="str">
        <f t="shared" si="7"/>
        <v xml:space="preserve">José Rubianes </v>
      </c>
    </row>
    <row r="472" spans="1:4" x14ac:dyDescent="0.25">
      <c r="A472" t="s">
        <v>979</v>
      </c>
      <c r="B472">
        <v>1</v>
      </c>
      <c r="D472" t="str">
        <f t="shared" si="7"/>
        <v xml:space="preserve">Manuel Parejo </v>
      </c>
    </row>
    <row r="473" spans="1:4" x14ac:dyDescent="0.25">
      <c r="A473" t="s">
        <v>1065</v>
      </c>
      <c r="B473">
        <v>5</v>
      </c>
      <c r="D473" t="str">
        <f t="shared" si="7"/>
        <v xml:space="preserve">Martin Herber </v>
      </c>
    </row>
    <row r="474" spans="1:4" x14ac:dyDescent="0.25">
      <c r="A474" t="s">
        <v>1007</v>
      </c>
      <c r="B474">
        <v>3</v>
      </c>
      <c r="D474" t="str">
        <f t="shared" si="7"/>
        <v xml:space="preserve">Morgan Thomas </v>
      </c>
    </row>
    <row r="475" spans="1:4" x14ac:dyDescent="0.25">
      <c r="A475" t="s">
        <v>1201</v>
      </c>
      <c r="B475">
        <v>3</v>
      </c>
      <c r="D475" t="str">
        <f t="shared" si="7"/>
        <v xml:space="preserve">Pau Redondo </v>
      </c>
    </row>
    <row r="476" spans="1:4" x14ac:dyDescent="0.25">
      <c r="A476" t="s">
        <v>1126</v>
      </c>
      <c r="B476">
        <v>6</v>
      </c>
      <c r="D476" t="str">
        <f t="shared" si="7"/>
        <v xml:space="preserve">Ragip Övgü </v>
      </c>
    </row>
    <row r="477" spans="1:4" x14ac:dyDescent="0.25">
      <c r="A477" t="s">
        <v>1091</v>
      </c>
      <c r="B477">
        <v>4</v>
      </c>
      <c r="D477" t="str">
        <f t="shared" si="7"/>
        <v xml:space="preserve">Ricardo Esquerdo </v>
      </c>
    </row>
    <row r="478" spans="1:4" x14ac:dyDescent="0.25">
      <c r="A478" t="s">
        <v>1091</v>
      </c>
      <c r="B478">
        <v>4</v>
      </c>
      <c r="D478" t="str">
        <f t="shared" si="7"/>
        <v xml:space="preserve">Ricardo Esquerdo </v>
      </c>
    </row>
    <row r="479" spans="1:4" x14ac:dyDescent="0.25">
      <c r="A479" t="s">
        <v>1143</v>
      </c>
      <c r="B479">
        <v>3</v>
      </c>
      <c r="D479" t="str">
        <f t="shared" si="7"/>
        <v xml:space="preserve">Roelant Bierman </v>
      </c>
    </row>
    <row r="480" spans="1:4" x14ac:dyDescent="0.25">
      <c r="A480" t="s">
        <v>927</v>
      </c>
      <c r="B480">
        <v>4</v>
      </c>
      <c r="D480" t="str">
        <f t="shared" si="7"/>
        <v xml:space="preserve">Stanislaw Zdankiewicz </v>
      </c>
    </row>
    <row r="481" spans="1:4" x14ac:dyDescent="0.25">
      <c r="A481" t="s">
        <v>1263</v>
      </c>
      <c r="B481">
        <v>2</v>
      </c>
      <c r="D481" t="str">
        <f t="shared" si="7"/>
        <v xml:space="preserve">Tijl van Hamburg </v>
      </c>
    </row>
    <row r="482" spans="1:4" x14ac:dyDescent="0.25">
      <c r="A482" t="s">
        <v>908</v>
      </c>
      <c r="B482">
        <v>3</v>
      </c>
      <c r="D482" t="str">
        <f t="shared" si="7"/>
        <v xml:space="preserve">Tommaso Niscola </v>
      </c>
    </row>
    <row r="483" spans="1:4" x14ac:dyDescent="0.25">
      <c r="A483" t="s">
        <v>969</v>
      </c>
      <c r="B483">
        <v>2</v>
      </c>
      <c r="D483" t="str">
        <f t="shared" si="7"/>
        <v xml:space="preserve">Xofre Taín </v>
      </c>
    </row>
    <row r="484" spans="1:4" x14ac:dyDescent="0.25">
      <c r="A484" t="s">
        <v>1066</v>
      </c>
      <c r="B484">
        <v>5</v>
      </c>
      <c r="D484" t="str">
        <f t="shared" si="7"/>
        <v xml:space="preserve">Adam Moss </v>
      </c>
    </row>
    <row r="485" spans="1:4" x14ac:dyDescent="0.25">
      <c r="A485" t="s">
        <v>1177</v>
      </c>
      <c r="B485">
        <v>1</v>
      </c>
      <c r="D485" t="str">
        <f t="shared" si="7"/>
        <v xml:space="preserve">Adamantios Fikias </v>
      </c>
    </row>
    <row r="486" spans="1:4" x14ac:dyDescent="0.25">
      <c r="A486" t="s">
        <v>1144</v>
      </c>
      <c r="B486">
        <v>3</v>
      </c>
      <c r="D486" t="str">
        <f t="shared" si="7"/>
        <v xml:space="preserve">Aimar Lasalde </v>
      </c>
    </row>
    <row r="487" spans="1:4" x14ac:dyDescent="0.25">
      <c r="A487" t="s">
        <v>1054</v>
      </c>
      <c r="B487">
        <v>3</v>
      </c>
      <c r="D487" t="str">
        <f t="shared" si="7"/>
        <v xml:space="preserve">Arnold Kalckstein </v>
      </c>
    </row>
    <row r="488" spans="1:4" x14ac:dyDescent="0.25">
      <c r="A488" t="s">
        <v>943</v>
      </c>
      <c r="B488">
        <v>3</v>
      </c>
      <c r="D488" t="str">
        <f t="shared" si="7"/>
        <v xml:space="preserve">Cornel Caraba </v>
      </c>
    </row>
    <row r="489" spans="1:4" x14ac:dyDescent="0.25">
      <c r="A489" t="s">
        <v>1221</v>
      </c>
      <c r="B489">
        <v>3</v>
      </c>
      <c r="D489" t="str">
        <f t="shared" si="7"/>
        <v xml:space="preserve">Dan Veneau </v>
      </c>
    </row>
    <row r="490" spans="1:4" x14ac:dyDescent="0.25">
      <c r="A490" t="s">
        <v>1187</v>
      </c>
      <c r="B490">
        <v>2</v>
      </c>
      <c r="D490" t="str">
        <f t="shared" si="7"/>
        <v xml:space="preserve">David Erbiti </v>
      </c>
    </row>
    <row r="491" spans="1:4" x14ac:dyDescent="0.25">
      <c r="A491" t="s">
        <v>928</v>
      </c>
      <c r="B491">
        <v>3</v>
      </c>
      <c r="D491" t="str">
        <f t="shared" si="7"/>
        <v xml:space="preserve">Emilio Rojas </v>
      </c>
    </row>
    <row r="492" spans="1:4" x14ac:dyDescent="0.25">
      <c r="A492" t="s">
        <v>1163</v>
      </c>
      <c r="B492">
        <v>2</v>
      </c>
      <c r="D492" t="str">
        <f t="shared" si="7"/>
        <v xml:space="preserve">Enis Kalan </v>
      </c>
    </row>
    <row r="493" spans="1:4" x14ac:dyDescent="0.25">
      <c r="A493" t="s">
        <v>1044</v>
      </c>
      <c r="B493">
        <v>8</v>
      </c>
      <c r="D493" t="str">
        <f t="shared" si="7"/>
        <v xml:space="preserve">Feliciano Becerril </v>
      </c>
    </row>
    <row r="494" spans="1:4" x14ac:dyDescent="0.25">
      <c r="A494" t="s">
        <v>1127</v>
      </c>
      <c r="B494">
        <v>5</v>
      </c>
      <c r="D494" t="str">
        <f t="shared" si="7"/>
        <v xml:space="preserve">Giulio Procaccianti </v>
      </c>
    </row>
    <row r="495" spans="1:4" x14ac:dyDescent="0.25">
      <c r="A495" t="s">
        <v>1282</v>
      </c>
      <c r="B495">
        <v>1</v>
      </c>
      <c r="D495" t="str">
        <f t="shared" si="7"/>
        <v xml:space="preserve">Gustaw Bugajski </v>
      </c>
    </row>
    <row r="496" spans="1:4" x14ac:dyDescent="0.25">
      <c r="A496" t="s">
        <v>1092</v>
      </c>
      <c r="B496">
        <v>3</v>
      </c>
      <c r="D496" t="str">
        <f t="shared" si="7"/>
        <v xml:space="preserve">Ilari Santasalmi </v>
      </c>
    </row>
    <row r="497" spans="1:4" x14ac:dyDescent="0.25">
      <c r="A497" t="s">
        <v>1082</v>
      </c>
      <c r="B497">
        <v>1</v>
      </c>
      <c r="D497" t="str">
        <f t="shared" si="7"/>
        <v xml:space="preserve">Jos Pittoors </v>
      </c>
    </row>
    <row r="498" spans="1:4" x14ac:dyDescent="0.25">
      <c r="A498" t="s">
        <v>1295</v>
      </c>
      <c r="B498">
        <v>2</v>
      </c>
      <c r="D498" t="str">
        <f t="shared" si="7"/>
        <v xml:space="preserve">Karst van Gils </v>
      </c>
    </row>
    <row r="499" spans="1:4" x14ac:dyDescent="0.25">
      <c r="A499" t="s">
        <v>1020</v>
      </c>
      <c r="B499">
        <v>3</v>
      </c>
      <c r="D499" t="str">
        <f t="shared" si="7"/>
        <v xml:space="preserve">Leonardo Baltico </v>
      </c>
    </row>
    <row r="500" spans="1:4" x14ac:dyDescent="0.25">
      <c r="A500" t="s">
        <v>1245</v>
      </c>
      <c r="B500">
        <v>2</v>
      </c>
      <c r="D500" t="str">
        <f t="shared" si="7"/>
        <v xml:space="preserve">Manolo Negrín </v>
      </c>
    </row>
    <row r="501" spans="1:4" x14ac:dyDescent="0.25">
      <c r="A501" t="s">
        <v>980</v>
      </c>
      <c r="B501">
        <v>1</v>
      </c>
      <c r="D501" t="str">
        <f t="shared" si="7"/>
        <v xml:space="preserve">Mateusz Brzostowski </v>
      </c>
    </row>
    <row r="502" spans="1:4" x14ac:dyDescent="0.25">
      <c r="A502" t="s">
        <v>970</v>
      </c>
      <c r="B502">
        <v>1</v>
      </c>
      <c r="D502" t="str">
        <f t="shared" si="7"/>
        <v xml:space="preserve">Mauro Vaz </v>
      </c>
    </row>
    <row r="503" spans="1:4" x14ac:dyDescent="0.25">
      <c r="A503" t="s">
        <v>899</v>
      </c>
      <c r="B503">
        <v>2</v>
      </c>
      <c r="D503" t="str">
        <f t="shared" si="7"/>
        <v xml:space="preserve">Miguel Fernández </v>
      </c>
    </row>
    <row r="504" spans="1:4" x14ac:dyDescent="0.25">
      <c r="A504" t="s">
        <v>995</v>
      </c>
      <c r="B504">
        <v>3</v>
      </c>
      <c r="D504" t="str">
        <f t="shared" si="7"/>
        <v xml:space="preserve">Morgan Thomas </v>
      </c>
    </row>
    <row r="505" spans="1:4" x14ac:dyDescent="0.25">
      <c r="A505" t="s">
        <v>1008</v>
      </c>
      <c r="B505">
        <v>2</v>
      </c>
      <c r="D505" t="str">
        <f t="shared" si="7"/>
        <v xml:space="preserve">Pepijn Zwaan </v>
      </c>
    </row>
    <row r="506" spans="1:4" x14ac:dyDescent="0.25">
      <c r="A506" t="s">
        <v>1109</v>
      </c>
      <c r="B506">
        <v>4</v>
      </c>
      <c r="D506" t="str">
        <f t="shared" si="7"/>
        <v xml:space="preserve">Pere Beltran </v>
      </c>
    </row>
    <row r="507" spans="1:4" x14ac:dyDescent="0.25">
      <c r="A507" t="s">
        <v>1034</v>
      </c>
      <c r="B507">
        <v>5</v>
      </c>
      <c r="D507" t="str">
        <f t="shared" si="7"/>
        <v xml:space="preserve">Raffaele Sitter </v>
      </c>
    </row>
    <row r="508" spans="1:4" x14ac:dyDescent="0.25">
      <c r="A508" t="s">
        <v>959</v>
      </c>
      <c r="B508">
        <v>1</v>
      </c>
      <c r="D508" t="str">
        <f t="shared" si="7"/>
        <v xml:space="preserve">Raúl Riquelme </v>
      </c>
    </row>
    <row r="509" spans="1:4" x14ac:dyDescent="0.25">
      <c r="A509" t="s">
        <v>888</v>
      </c>
      <c r="B509">
        <v>4</v>
      </c>
      <c r="D509" t="str">
        <f t="shared" si="7"/>
        <v xml:space="preserve">Renato Galeano </v>
      </c>
    </row>
    <row r="510" spans="1:4" x14ac:dyDescent="0.25">
      <c r="A510" t="s">
        <v>1264</v>
      </c>
      <c r="B510">
        <v>2</v>
      </c>
      <c r="D510" t="str">
        <f t="shared" si="7"/>
        <v xml:space="preserve">Udo Mier </v>
      </c>
    </row>
    <row r="511" spans="1:4" x14ac:dyDescent="0.25">
      <c r="A511" t="s">
        <v>1202</v>
      </c>
      <c r="B511">
        <v>3</v>
      </c>
      <c r="D511" t="str">
        <f t="shared" si="7"/>
        <v xml:space="preserve">Ulf Schenkel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U227"/>
  <sheetViews>
    <sheetView workbookViewId="0">
      <selection activeCell="T1" sqref="T1"/>
    </sheetView>
  </sheetViews>
  <sheetFormatPr baseColWidth="10" defaultColWidth="11.42578125" defaultRowHeight="15" x14ac:dyDescent="0.25"/>
  <cols>
    <col min="1" max="1" width="12.28515625" customWidth="1"/>
    <col min="2" max="2" width="22.42578125" customWidth="1"/>
    <col min="3" max="3" width="10.7109375" customWidth="1"/>
    <col min="4" max="4" width="9.140625" style="42" customWidth="1"/>
    <col min="5" max="5" width="5.140625" customWidth="1"/>
    <col min="6" max="6" width="5.28515625" style="42" customWidth="1"/>
    <col min="7" max="7" width="20.85546875" customWidth="1"/>
    <col min="8" max="8" width="5.85546875" style="42" customWidth="1"/>
    <col min="9" max="9" width="6.85546875" customWidth="1"/>
    <col min="10" max="10" width="5.28515625" style="42" customWidth="1"/>
    <col min="11" max="11" width="21.7109375" customWidth="1"/>
    <col min="12" max="12" width="5.85546875" customWidth="1"/>
    <col min="13" max="13" width="6.140625" customWidth="1"/>
    <col min="14" max="14" width="5.28515625" style="42" customWidth="1"/>
    <col min="15" max="15" width="21.28515625" customWidth="1"/>
    <col min="16" max="16" width="5.85546875" customWidth="1"/>
    <col min="18" max="18" width="5.28515625" style="42" bestFit="1" customWidth="1"/>
    <col min="19" max="19" width="24.7109375" style="42" bestFit="1" customWidth="1"/>
    <col min="20" max="20" width="5.42578125" style="42" bestFit="1" customWidth="1"/>
    <col min="21" max="21" width="11.42578125" style="42"/>
  </cols>
  <sheetData>
    <row r="1" spans="1:21" x14ac:dyDescent="0.25">
      <c r="A1" s="92" t="s">
        <v>0</v>
      </c>
      <c r="F1" s="94" t="s">
        <v>1</v>
      </c>
      <c r="G1" s="514" t="s">
        <v>2</v>
      </c>
      <c r="H1" s="514"/>
      <c r="J1" s="94" t="s">
        <v>1</v>
      </c>
      <c r="K1" s="399" t="s">
        <v>3</v>
      </c>
      <c r="L1" s="388" t="s">
        <v>1501</v>
      </c>
      <c r="N1" s="94" t="s">
        <v>1</v>
      </c>
      <c r="O1" s="514" t="s">
        <v>4</v>
      </c>
      <c r="P1" s="514"/>
      <c r="R1" s="388" t="s">
        <v>1</v>
      </c>
      <c r="S1" s="388" t="s">
        <v>1299</v>
      </c>
      <c r="T1" s="398" t="s">
        <v>385</v>
      </c>
    </row>
    <row r="2" spans="1:21" x14ac:dyDescent="0.25">
      <c r="A2" s="264">
        <v>44532</v>
      </c>
      <c r="F2" s="43">
        <v>1</v>
      </c>
      <c r="G2" s="93" t="s">
        <v>5</v>
      </c>
      <c r="H2" s="42" t="s">
        <v>6</v>
      </c>
      <c r="J2" s="43">
        <v>1</v>
      </c>
      <c r="K2" s="193" t="s">
        <v>14</v>
      </c>
      <c r="L2" s="42">
        <v>247</v>
      </c>
      <c r="N2" s="43">
        <v>1</v>
      </c>
      <c r="O2" s="193" t="s">
        <v>27</v>
      </c>
      <c r="P2" s="42">
        <v>130</v>
      </c>
      <c r="R2" s="450">
        <v>1</v>
      </c>
      <c r="S2" s="400" t="str">
        <f>Goles!G2</f>
        <v xml:space="preserve">Enrique Cubas </v>
      </c>
      <c r="T2" s="400">
        <v>119</v>
      </c>
      <c r="U2" s="42" t="s">
        <v>385</v>
      </c>
    </row>
    <row r="3" spans="1:21" x14ac:dyDescent="0.25">
      <c r="F3" s="43">
        <v>2</v>
      </c>
      <c r="G3" s="93" t="s">
        <v>10</v>
      </c>
      <c r="H3" s="42" t="s">
        <v>11</v>
      </c>
      <c r="J3" s="43">
        <v>2</v>
      </c>
      <c r="K3" s="193" t="s">
        <v>30</v>
      </c>
      <c r="L3" s="42">
        <v>237</v>
      </c>
      <c r="N3" s="43">
        <v>2</v>
      </c>
      <c r="O3" s="193" t="s">
        <v>24</v>
      </c>
      <c r="P3" s="42">
        <v>64</v>
      </c>
      <c r="R3" s="450">
        <v>2</v>
      </c>
      <c r="S3" s="397" t="str">
        <f>Goles!G3</f>
        <v xml:space="preserve">Saúl Piña </v>
      </c>
      <c r="T3" s="397">
        <f>Goles!H3</f>
        <v>90</v>
      </c>
      <c r="U3" s="42">
        <f>SUM(T:T)</f>
        <v>2168</v>
      </c>
    </row>
    <row r="4" spans="1:21" x14ac:dyDescent="0.25">
      <c r="A4" s="92" t="s">
        <v>15</v>
      </c>
      <c r="F4" s="43">
        <v>3</v>
      </c>
      <c r="G4" s="93" t="s">
        <v>16</v>
      </c>
      <c r="H4" s="42" t="s">
        <v>17</v>
      </c>
      <c r="J4" s="43">
        <v>3</v>
      </c>
      <c r="K4" s="193" t="s">
        <v>20</v>
      </c>
      <c r="L4" s="42">
        <v>231</v>
      </c>
      <c r="N4" s="43">
        <v>3</v>
      </c>
      <c r="O4" s="93" t="s">
        <v>8</v>
      </c>
      <c r="P4" s="42">
        <v>58</v>
      </c>
      <c r="R4" s="450">
        <v>3</v>
      </c>
      <c r="S4" s="400" t="str">
        <f>Goles!G4</f>
        <v xml:space="preserve">Wil Duffill </v>
      </c>
      <c r="T4" s="400">
        <v>75</v>
      </c>
    </row>
    <row r="5" spans="1:21" x14ac:dyDescent="0.25">
      <c r="A5" s="42" t="s">
        <v>21</v>
      </c>
      <c r="B5" t="s">
        <v>1596</v>
      </c>
      <c r="C5" s="479">
        <v>44492</v>
      </c>
      <c r="D5" s="43" t="s">
        <v>1597</v>
      </c>
      <c r="F5" s="43">
        <v>3</v>
      </c>
      <c r="G5" s="193" t="s">
        <v>676</v>
      </c>
      <c r="H5" s="42" t="s">
        <v>17</v>
      </c>
      <c r="J5" s="43">
        <v>4</v>
      </c>
      <c r="K5" s="193" t="s">
        <v>24</v>
      </c>
      <c r="L5" s="42">
        <v>214</v>
      </c>
      <c r="N5" s="43">
        <v>4</v>
      </c>
      <c r="O5" s="93" t="s">
        <v>13</v>
      </c>
      <c r="P5" s="42">
        <v>57</v>
      </c>
      <c r="R5" s="450">
        <v>4</v>
      </c>
      <c r="S5" s="400" t="str">
        <f>Goles!G8</f>
        <v xml:space="preserve">Rodolfo Rinaldo Paso </v>
      </c>
      <c r="T5" s="400">
        <v>75</v>
      </c>
    </row>
    <row r="6" spans="1:21" x14ac:dyDescent="0.25">
      <c r="A6" s="42" t="s">
        <v>26</v>
      </c>
      <c r="B6" t="s">
        <v>1598</v>
      </c>
      <c r="C6" s="479">
        <v>44482</v>
      </c>
      <c r="D6" s="43" t="s">
        <v>1599</v>
      </c>
      <c r="F6" s="43">
        <v>5</v>
      </c>
      <c r="G6" s="93" t="s">
        <v>22</v>
      </c>
      <c r="H6" s="42" t="s">
        <v>23</v>
      </c>
      <c r="J6" s="43">
        <v>5</v>
      </c>
      <c r="K6" s="193" t="s">
        <v>9</v>
      </c>
      <c r="L6" s="42">
        <v>213</v>
      </c>
      <c r="N6" s="43">
        <v>5</v>
      </c>
      <c r="O6" s="93" t="s">
        <v>10</v>
      </c>
      <c r="P6" s="42">
        <v>44</v>
      </c>
      <c r="R6" s="450">
        <v>5</v>
      </c>
      <c r="S6" s="397" t="str">
        <f>Goles!G5</f>
        <v xml:space="preserve">Rasheed Da'na </v>
      </c>
      <c r="T6" s="397">
        <f>Goles!H5</f>
        <v>63</v>
      </c>
    </row>
    <row r="7" spans="1:21" x14ac:dyDescent="0.25">
      <c r="F7" s="43">
        <v>5</v>
      </c>
      <c r="G7" s="93" t="s">
        <v>8</v>
      </c>
      <c r="H7" s="42" t="s">
        <v>23</v>
      </c>
      <c r="J7" s="43">
        <v>6</v>
      </c>
      <c r="K7" s="193" t="s">
        <v>27</v>
      </c>
      <c r="L7" s="42">
        <v>212</v>
      </c>
      <c r="N7" s="43">
        <v>6</v>
      </c>
      <c r="O7" s="93" t="s">
        <v>5</v>
      </c>
      <c r="P7" s="42">
        <v>42</v>
      </c>
      <c r="R7" s="450">
        <v>5</v>
      </c>
      <c r="S7" s="397" t="str">
        <f>Goles!G6</f>
        <v xml:space="preserve">Adam Moss </v>
      </c>
      <c r="T7" s="397">
        <f>Goles!H6</f>
        <v>63</v>
      </c>
    </row>
    <row r="8" spans="1:21" x14ac:dyDescent="0.25">
      <c r="A8" s="94" t="s">
        <v>1</v>
      </c>
      <c r="B8" s="514" t="s">
        <v>31</v>
      </c>
      <c r="C8" s="514"/>
      <c r="F8" s="43">
        <v>7</v>
      </c>
      <c r="G8" s="93" t="s">
        <v>18</v>
      </c>
      <c r="H8" s="42" t="s">
        <v>28</v>
      </c>
      <c r="J8" s="43">
        <v>7</v>
      </c>
      <c r="K8" s="93" t="s">
        <v>7</v>
      </c>
      <c r="L8" s="42">
        <v>175</v>
      </c>
      <c r="N8" s="43">
        <v>7</v>
      </c>
      <c r="O8" s="93" t="s">
        <v>29</v>
      </c>
      <c r="P8" s="42">
        <v>29</v>
      </c>
      <c r="R8" s="450">
        <v>5</v>
      </c>
      <c r="S8" s="397" t="str">
        <f>Goles!G7</f>
        <v xml:space="preserve">Leonardo Baltico </v>
      </c>
      <c r="T8" s="397">
        <f>Goles!H7</f>
        <v>63</v>
      </c>
    </row>
    <row r="9" spans="1:21" x14ac:dyDescent="0.25">
      <c r="A9" s="43">
        <v>1</v>
      </c>
      <c r="B9" s="193" t="s">
        <v>9</v>
      </c>
      <c r="C9" s="42">
        <v>77</v>
      </c>
      <c r="F9" s="43">
        <v>7</v>
      </c>
      <c r="G9" s="193" t="s">
        <v>761</v>
      </c>
      <c r="H9" s="42" t="s">
        <v>28</v>
      </c>
      <c r="J9" s="43">
        <v>8</v>
      </c>
      <c r="K9" s="193" t="s">
        <v>45</v>
      </c>
      <c r="L9" s="42">
        <v>158</v>
      </c>
      <c r="N9" s="43">
        <v>8</v>
      </c>
      <c r="O9" s="93" t="s">
        <v>16</v>
      </c>
      <c r="P9" s="42">
        <v>27</v>
      </c>
      <c r="R9" s="450">
        <v>8</v>
      </c>
      <c r="S9" s="400" t="str">
        <f>Goles!G10</f>
        <v xml:space="preserve">Juan García Peñuela </v>
      </c>
      <c r="T9" s="400">
        <v>53</v>
      </c>
    </row>
    <row r="10" spans="1:21" x14ac:dyDescent="0.25">
      <c r="A10" s="43">
        <v>2</v>
      </c>
      <c r="B10" s="93" t="s">
        <v>7</v>
      </c>
      <c r="C10" s="42">
        <v>71</v>
      </c>
      <c r="F10" s="43">
        <v>9</v>
      </c>
      <c r="G10" s="93" t="s">
        <v>32</v>
      </c>
      <c r="H10" s="42" t="s">
        <v>33</v>
      </c>
      <c r="J10" s="43">
        <v>9</v>
      </c>
      <c r="K10" s="93" t="s">
        <v>12</v>
      </c>
      <c r="L10" s="42">
        <v>155</v>
      </c>
      <c r="N10" s="43">
        <v>9</v>
      </c>
      <c r="O10" s="93" t="s">
        <v>37</v>
      </c>
      <c r="P10" s="42">
        <v>22</v>
      </c>
      <c r="R10" s="450">
        <v>9</v>
      </c>
      <c r="S10" s="397" t="str">
        <f>Goles!G9</f>
        <v xml:space="preserve">Andrin Bärtsch </v>
      </c>
      <c r="T10" s="397">
        <f>Goles!H9</f>
        <v>51</v>
      </c>
    </row>
    <row r="11" spans="1:21" x14ac:dyDescent="0.25">
      <c r="A11" s="43">
        <v>3</v>
      </c>
      <c r="B11" s="93" t="s">
        <v>38</v>
      </c>
      <c r="C11" s="42">
        <v>29</v>
      </c>
      <c r="F11" s="43">
        <v>9</v>
      </c>
      <c r="G11" s="93" t="s">
        <v>731</v>
      </c>
      <c r="H11" s="42" t="s">
        <v>33</v>
      </c>
      <c r="J11" s="43">
        <v>10</v>
      </c>
      <c r="K11" s="193" t="s">
        <v>25</v>
      </c>
      <c r="L11" s="42">
        <v>147</v>
      </c>
      <c r="N11" s="43">
        <v>10</v>
      </c>
      <c r="O11" s="93" t="s">
        <v>40</v>
      </c>
      <c r="P11" s="42">
        <v>20</v>
      </c>
      <c r="R11" s="450">
        <v>10</v>
      </c>
      <c r="S11" s="397" t="str">
        <f>Goles!G11</f>
        <v xml:space="preserve">Gianfranco Rezza </v>
      </c>
      <c r="T11" s="397">
        <f>Goles!H11</f>
        <v>43</v>
      </c>
    </row>
    <row r="12" spans="1:21" x14ac:dyDescent="0.25">
      <c r="A12" s="43">
        <v>4</v>
      </c>
      <c r="B12" s="93" t="s">
        <v>41</v>
      </c>
      <c r="C12" s="42">
        <v>16</v>
      </c>
      <c r="F12" s="43">
        <v>9</v>
      </c>
      <c r="G12" s="265" t="s">
        <v>14</v>
      </c>
      <c r="H12" s="42" t="s">
        <v>33</v>
      </c>
      <c r="J12" s="43">
        <v>11</v>
      </c>
      <c r="K12" s="193" t="s">
        <v>64</v>
      </c>
      <c r="L12" s="42">
        <v>146</v>
      </c>
      <c r="N12" s="43">
        <v>11</v>
      </c>
      <c r="O12" s="93" t="s">
        <v>44</v>
      </c>
      <c r="P12" s="42">
        <v>13</v>
      </c>
      <c r="R12" s="450">
        <v>11</v>
      </c>
      <c r="S12" s="400" t="str">
        <f>Goles!G12</f>
        <v xml:space="preserve">Francesc Añigas </v>
      </c>
      <c r="T12" s="400">
        <v>42</v>
      </c>
    </row>
    <row r="13" spans="1:21" x14ac:dyDescent="0.25">
      <c r="A13" s="43">
        <v>5</v>
      </c>
      <c r="B13" s="193" t="s">
        <v>61</v>
      </c>
      <c r="C13" s="42">
        <v>15</v>
      </c>
      <c r="F13" s="43">
        <v>9</v>
      </c>
      <c r="G13" s="193" t="s">
        <v>9</v>
      </c>
      <c r="H13" s="42" t="s">
        <v>33</v>
      </c>
      <c r="J13" s="43">
        <v>12</v>
      </c>
      <c r="K13" s="93" t="s">
        <v>18</v>
      </c>
      <c r="L13" s="42">
        <v>145</v>
      </c>
      <c r="N13" s="43">
        <v>12</v>
      </c>
      <c r="O13" s="93" t="s">
        <v>47</v>
      </c>
      <c r="P13" s="42">
        <v>12</v>
      </c>
      <c r="R13" s="450">
        <v>12</v>
      </c>
      <c r="S13" s="400" t="str">
        <f>Goles!G15</f>
        <v xml:space="preserve">Valeri Gomis </v>
      </c>
      <c r="T13" s="400">
        <v>39</v>
      </c>
    </row>
    <row r="14" spans="1:21" x14ac:dyDescent="0.25">
      <c r="A14" s="43">
        <v>6</v>
      </c>
      <c r="B14" s="93" t="s">
        <v>48</v>
      </c>
      <c r="C14" s="42">
        <v>12</v>
      </c>
      <c r="F14" s="43">
        <v>13</v>
      </c>
      <c r="G14" s="93" t="s">
        <v>35</v>
      </c>
      <c r="H14" s="42" t="s">
        <v>36</v>
      </c>
      <c r="J14" s="43">
        <v>13</v>
      </c>
      <c r="K14" s="93" t="s">
        <v>22</v>
      </c>
      <c r="L14" s="42">
        <v>144</v>
      </c>
      <c r="N14" s="43">
        <v>12</v>
      </c>
      <c r="O14" s="93" t="s">
        <v>51</v>
      </c>
      <c r="P14" s="42">
        <v>12</v>
      </c>
      <c r="R14" s="450">
        <v>12</v>
      </c>
      <c r="S14" s="397" t="str">
        <f>Goles!G13</f>
        <v xml:space="preserve">Pere Beltran </v>
      </c>
      <c r="T14" s="397">
        <f>Goles!H13</f>
        <v>38</v>
      </c>
    </row>
    <row r="15" spans="1:21" x14ac:dyDescent="0.25">
      <c r="A15" s="43">
        <v>7</v>
      </c>
      <c r="B15" s="93" t="s">
        <v>52</v>
      </c>
      <c r="C15" s="42">
        <v>11</v>
      </c>
      <c r="F15" s="43">
        <v>13</v>
      </c>
      <c r="G15" s="93" t="s">
        <v>39</v>
      </c>
      <c r="H15" s="42" t="s">
        <v>36</v>
      </c>
      <c r="J15" s="43">
        <v>14</v>
      </c>
      <c r="K15" s="93" t="s">
        <v>5</v>
      </c>
      <c r="L15" s="42">
        <v>141</v>
      </c>
      <c r="N15" s="43">
        <v>14</v>
      </c>
      <c r="O15" s="93" t="s">
        <v>54</v>
      </c>
      <c r="P15" s="42">
        <v>11</v>
      </c>
      <c r="R15" s="450">
        <v>14</v>
      </c>
      <c r="S15" s="397" t="str">
        <f>Goles!G18</f>
        <v xml:space="preserve">Julian Gräbitz </v>
      </c>
      <c r="T15" s="397">
        <v>36</v>
      </c>
    </row>
    <row r="16" spans="1:21" x14ac:dyDescent="0.25">
      <c r="A16" s="43">
        <v>7</v>
      </c>
      <c r="B16" s="93" t="s">
        <v>56</v>
      </c>
      <c r="C16" s="42">
        <v>11</v>
      </c>
      <c r="F16" s="43">
        <v>13</v>
      </c>
      <c r="G16" s="93" t="s">
        <v>42</v>
      </c>
      <c r="H16" s="42" t="s">
        <v>36</v>
      </c>
      <c r="J16" s="43">
        <v>15</v>
      </c>
      <c r="K16" s="93" t="s">
        <v>13</v>
      </c>
      <c r="L16" s="42">
        <v>140</v>
      </c>
      <c r="N16" s="43">
        <v>14</v>
      </c>
      <c r="O16" s="93" t="s">
        <v>52</v>
      </c>
      <c r="P16" s="42">
        <v>11</v>
      </c>
      <c r="R16" s="450">
        <v>15</v>
      </c>
      <c r="S16" s="397" t="str">
        <f>Goles!G14</f>
        <v xml:space="preserve">Brunon Chuda </v>
      </c>
      <c r="T16" s="397">
        <f>Goles!H14</f>
        <v>33</v>
      </c>
    </row>
    <row r="17" spans="1:20" x14ac:dyDescent="0.25">
      <c r="A17" s="43">
        <v>8</v>
      </c>
      <c r="B17" s="93" t="s">
        <v>58</v>
      </c>
      <c r="C17" s="42">
        <v>6</v>
      </c>
      <c r="F17" s="43">
        <v>13</v>
      </c>
      <c r="G17" s="93" t="s">
        <v>46</v>
      </c>
      <c r="H17" s="42" t="s">
        <v>36</v>
      </c>
      <c r="J17" s="43">
        <v>16</v>
      </c>
      <c r="K17" s="93" t="s">
        <v>34</v>
      </c>
      <c r="L17" s="42">
        <v>135</v>
      </c>
      <c r="N17" s="43">
        <v>16</v>
      </c>
      <c r="O17" s="93" t="s">
        <v>63</v>
      </c>
      <c r="P17" s="42">
        <v>8</v>
      </c>
      <c r="R17" s="450">
        <v>16</v>
      </c>
      <c r="S17" s="397" t="str">
        <f>Goles!G16</f>
        <v xml:space="preserve">Kendor Nagiturri </v>
      </c>
      <c r="T17" s="397">
        <f>Goles!H16</f>
        <v>30</v>
      </c>
    </row>
    <row r="18" spans="1:20" x14ac:dyDescent="0.25">
      <c r="A18" s="43">
        <v>10</v>
      </c>
      <c r="B18" s="93" t="s">
        <v>65</v>
      </c>
      <c r="C18" s="42">
        <v>4</v>
      </c>
      <c r="F18" s="43">
        <v>13</v>
      </c>
      <c r="G18" s="93" t="s">
        <v>173</v>
      </c>
      <c r="H18" s="42" t="s">
        <v>36</v>
      </c>
      <c r="J18" s="43">
        <v>17</v>
      </c>
      <c r="K18" s="193" t="s">
        <v>676</v>
      </c>
      <c r="L18" s="42">
        <v>128</v>
      </c>
      <c r="N18" s="43">
        <v>16</v>
      </c>
      <c r="O18" s="93" t="s">
        <v>69</v>
      </c>
      <c r="P18" s="42">
        <v>8</v>
      </c>
      <c r="R18" s="450">
        <v>16</v>
      </c>
      <c r="S18" s="397" t="str">
        <f>Goles!G17</f>
        <v xml:space="preserve">Malte Neulinger </v>
      </c>
      <c r="T18" s="397">
        <f>Goles!H17</f>
        <v>30</v>
      </c>
    </row>
    <row r="19" spans="1:20" x14ac:dyDescent="0.25">
      <c r="A19" s="43">
        <v>11</v>
      </c>
      <c r="B19" s="93" t="s">
        <v>71</v>
      </c>
      <c r="C19" s="42">
        <v>3</v>
      </c>
      <c r="F19" s="43">
        <v>13</v>
      </c>
      <c r="G19" s="265" t="s">
        <v>762</v>
      </c>
      <c r="H19" s="42" t="s">
        <v>36</v>
      </c>
      <c r="J19" s="43">
        <v>18</v>
      </c>
      <c r="K19" s="93" t="s">
        <v>35</v>
      </c>
      <c r="L19" s="42">
        <v>111</v>
      </c>
      <c r="N19" s="43">
        <v>16</v>
      </c>
      <c r="O19" s="93" t="s">
        <v>73</v>
      </c>
      <c r="P19" s="42">
        <v>8</v>
      </c>
      <c r="R19" s="450">
        <v>18</v>
      </c>
      <c r="S19" s="400" t="str">
        <f>Goles!G24</f>
        <v xml:space="preserve">Guillermo Pedrajas </v>
      </c>
      <c r="T19" s="400">
        <v>30</v>
      </c>
    </row>
    <row r="20" spans="1:20" x14ac:dyDescent="0.25">
      <c r="A20" s="43">
        <v>12</v>
      </c>
      <c r="B20" s="93" t="s">
        <v>74</v>
      </c>
      <c r="C20" s="42">
        <v>2</v>
      </c>
      <c r="F20" s="43">
        <v>13</v>
      </c>
      <c r="G20" s="193" t="s">
        <v>24</v>
      </c>
      <c r="H20" s="42" t="s">
        <v>36</v>
      </c>
      <c r="J20" s="43">
        <v>19</v>
      </c>
      <c r="K20" s="93" t="s">
        <v>764</v>
      </c>
      <c r="L20" s="42">
        <v>110</v>
      </c>
      <c r="M20" s="42"/>
      <c r="N20" s="43">
        <v>19</v>
      </c>
      <c r="O20" s="93" t="s">
        <v>76</v>
      </c>
      <c r="P20" s="42">
        <v>7</v>
      </c>
      <c r="R20" s="450">
        <v>19</v>
      </c>
      <c r="S20" s="397" t="str">
        <f>Goles!G32</f>
        <v xml:space="preserve">Meraj Siddiqui </v>
      </c>
      <c r="T20" s="397">
        <v>29</v>
      </c>
    </row>
    <row r="21" spans="1:20" x14ac:dyDescent="0.25">
      <c r="A21" s="43">
        <v>12</v>
      </c>
      <c r="B21" s="93" t="s">
        <v>77</v>
      </c>
      <c r="C21" s="42">
        <v>2</v>
      </c>
      <c r="F21" s="43">
        <v>20</v>
      </c>
      <c r="G21" s="93" t="s">
        <v>49</v>
      </c>
      <c r="H21" s="42" t="s">
        <v>50</v>
      </c>
      <c r="J21" s="43">
        <v>20</v>
      </c>
      <c r="K21" s="93" t="s">
        <v>43</v>
      </c>
      <c r="L21" s="42">
        <v>105</v>
      </c>
      <c r="N21" s="43">
        <v>19</v>
      </c>
      <c r="O21" s="93" t="s">
        <v>80</v>
      </c>
      <c r="P21" s="42">
        <v>7</v>
      </c>
      <c r="R21" s="450">
        <v>20</v>
      </c>
      <c r="S21" s="397" t="str">
        <f>Goles!G19</f>
        <v xml:space="preserve">Joãozinho do Mato </v>
      </c>
      <c r="T21" s="397">
        <f>Goles!H19</f>
        <v>27</v>
      </c>
    </row>
    <row r="22" spans="1:20" x14ac:dyDescent="0.25">
      <c r="A22" s="43">
        <v>14</v>
      </c>
      <c r="B22" s="93" t="s">
        <v>81</v>
      </c>
      <c r="C22" s="42">
        <v>1</v>
      </c>
      <c r="F22" s="43">
        <v>20</v>
      </c>
      <c r="G22" s="93" t="s">
        <v>53</v>
      </c>
      <c r="H22" s="42" t="s">
        <v>50</v>
      </c>
      <c r="J22" s="43">
        <v>21</v>
      </c>
      <c r="K22" s="93" t="s">
        <v>763</v>
      </c>
      <c r="L22" s="42">
        <v>102</v>
      </c>
      <c r="N22" s="43">
        <v>19</v>
      </c>
      <c r="O22" s="93" t="s">
        <v>55</v>
      </c>
      <c r="P22" s="42">
        <v>7</v>
      </c>
      <c r="R22" s="450">
        <v>21</v>
      </c>
      <c r="S22" s="397" t="str">
        <f>Goles!G20</f>
        <v xml:space="preserve">Nikolay Gerasimenko </v>
      </c>
      <c r="T22" s="397">
        <f>Goles!H20</f>
        <v>24</v>
      </c>
    </row>
    <row r="23" spans="1:20" x14ac:dyDescent="0.25">
      <c r="A23" s="43">
        <v>14</v>
      </c>
      <c r="B23" s="93" t="s">
        <v>83</v>
      </c>
      <c r="C23" s="42">
        <v>1</v>
      </c>
      <c r="F23" s="43">
        <v>20</v>
      </c>
      <c r="G23" s="93" t="s">
        <v>57</v>
      </c>
      <c r="H23" s="42" t="s">
        <v>50</v>
      </c>
      <c r="J23" s="43">
        <v>22</v>
      </c>
      <c r="K23" s="93" t="s">
        <v>38</v>
      </c>
      <c r="L23" s="42">
        <v>93</v>
      </c>
      <c r="N23" s="43">
        <v>22</v>
      </c>
      <c r="O23" s="93" t="s">
        <v>85</v>
      </c>
      <c r="P23" s="42">
        <v>6</v>
      </c>
      <c r="R23" s="450">
        <v>21</v>
      </c>
      <c r="S23" s="397" t="str">
        <f>Goles!G21</f>
        <v xml:space="preserve">Aimar Lasalde </v>
      </c>
      <c r="T23" s="397">
        <f>Goles!H21</f>
        <v>24</v>
      </c>
    </row>
    <row r="24" spans="1:20" x14ac:dyDescent="0.25">
      <c r="A24" s="43">
        <v>14</v>
      </c>
      <c r="B24" s="93" t="s">
        <v>86</v>
      </c>
      <c r="C24" s="42">
        <v>1</v>
      </c>
      <c r="F24" s="43">
        <v>20</v>
      </c>
      <c r="G24" s="93" t="s">
        <v>59</v>
      </c>
      <c r="H24" s="42" t="s">
        <v>50</v>
      </c>
      <c r="J24" s="43">
        <v>23</v>
      </c>
      <c r="K24" s="193" t="s">
        <v>60</v>
      </c>
      <c r="L24" s="42">
        <v>92</v>
      </c>
      <c r="N24" s="43">
        <v>22</v>
      </c>
      <c r="O24" s="93" t="s">
        <v>87</v>
      </c>
      <c r="P24" s="42">
        <v>6</v>
      </c>
      <c r="R24" s="450">
        <v>21</v>
      </c>
      <c r="S24" s="397" t="str">
        <f>Goles!G22</f>
        <v xml:space="preserve">Leo Hilpinen </v>
      </c>
      <c r="T24" s="397">
        <f>Goles!H22</f>
        <v>24</v>
      </c>
    </row>
    <row r="25" spans="1:20" x14ac:dyDescent="0.25">
      <c r="A25" s="43">
        <v>14</v>
      </c>
      <c r="B25" s="93" t="s">
        <v>88</v>
      </c>
      <c r="C25" s="42">
        <v>1</v>
      </c>
      <c r="F25" s="43">
        <v>20</v>
      </c>
      <c r="G25" s="93" t="s">
        <v>7</v>
      </c>
      <c r="H25" s="42" t="s">
        <v>50</v>
      </c>
      <c r="J25" s="43">
        <v>24</v>
      </c>
      <c r="K25" s="93" t="s">
        <v>70</v>
      </c>
      <c r="L25" s="42">
        <v>84</v>
      </c>
      <c r="N25" s="43">
        <v>22</v>
      </c>
      <c r="O25" s="93" t="s">
        <v>34</v>
      </c>
      <c r="P25" s="42">
        <v>6</v>
      </c>
      <c r="R25" s="450">
        <v>21</v>
      </c>
      <c r="S25" s="397" t="str">
        <f>Goles!G23</f>
        <v xml:space="preserve">David Garcia-Spiess </v>
      </c>
      <c r="T25" s="397">
        <f>Goles!H23</f>
        <v>24</v>
      </c>
    </row>
    <row r="26" spans="1:20" x14ac:dyDescent="0.25">
      <c r="A26" s="43">
        <v>14</v>
      </c>
      <c r="B26" s="93" t="s">
        <v>89</v>
      </c>
      <c r="C26" s="42">
        <v>1</v>
      </c>
      <c r="F26" s="43">
        <v>20</v>
      </c>
      <c r="G26" s="93" t="s">
        <v>174</v>
      </c>
      <c r="H26" s="42" t="s">
        <v>50</v>
      </c>
      <c r="J26" s="43">
        <v>25</v>
      </c>
      <c r="K26" s="93" t="s">
        <v>62</v>
      </c>
      <c r="L26" s="42">
        <v>83</v>
      </c>
      <c r="R26" s="450">
        <v>25</v>
      </c>
      <c r="S26" s="397" t="str">
        <f>Goles!G25</f>
        <v xml:space="preserve">Nikolas Lakkotripi </v>
      </c>
      <c r="T26" s="397">
        <f>Goles!H25</f>
        <v>22</v>
      </c>
    </row>
    <row r="27" spans="1:20" x14ac:dyDescent="0.25">
      <c r="A27" s="43">
        <v>14</v>
      </c>
      <c r="B27" s="93" t="s">
        <v>91</v>
      </c>
      <c r="C27" s="42">
        <v>1</v>
      </c>
      <c r="F27" s="43">
        <v>20</v>
      </c>
      <c r="G27" s="193" t="s">
        <v>25</v>
      </c>
      <c r="H27" s="42" t="s">
        <v>50</v>
      </c>
      <c r="J27" s="43">
        <v>26</v>
      </c>
      <c r="K27" s="93" t="s">
        <v>68</v>
      </c>
      <c r="L27" s="42">
        <v>78</v>
      </c>
      <c r="R27" s="450">
        <v>25</v>
      </c>
      <c r="S27" s="397" t="str">
        <f>Goles!G26</f>
        <v xml:space="preserve">Tommaso Niscola </v>
      </c>
      <c r="T27" s="397">
        <f>Goles!H26</f>
        <v>22</v>
      </c>
    </row>
    <row r="28" spans="1:20" x14ac:dyDescent="0.25">
      <c r="A28" s="43">
        <v>14</v>
      </c>
      <c r="B28" s="93" t="s">
        <v>94</v>
      </c>
      <c r="C28" s="42">
        <v>1</v>
      </c>
      <c r="F28" s="43">
        <v>20</v>
      </c>
      <c r="G28" s="193" t="s">
        <v>30</v>
      </c>
      <c r="H28" s="42" t="s">
        <v>50</v>
      </c>
      <c r="J28" s="43">
        <v>27</v>
      </c>
      <c r="K28" s="93" t="s">
        <v>57</v>
      </c>
      <c r="L28" s="42">
        <v>67</v>
      </c>
      <c r="R28" s="450">
        <v>25</v>
      </c>
      <c r="S28" s="397" t="str">
        <f>Goles!G27</f>
        <v xml:space="preserve">Roelant Bierman </v>
      </c>
      <c r="T28" s="397">
        <f>Goles!H27</f>
        <v>22</v>
      </c>
    </row>
    <row r="29" spans="1:20" x14ac:dyDescent="0.25">
      <c r="A29" s="43">
        <v>14</v>
      </c>
      <c r="B29" s="93" t="s">
        <v>96</v>
      </c>
      <c r="C29" s="42">
        <v>1</v>
      </c>
      <c r="F29" s="43">
        <v>20</v>
      </c>
      <c r="G29" s="193" t="s">
        <v>20</v>
      </c>
      <c r="H29" s="42" t="s">
        <v>50</v>
      </c>
      <c r="J29" s="43">
        <v>28</v>
      </c>
      <c r="K29" s="93" t="s">
        <v>8</v>
      </c>
      <c r="L29" s="42">
        <v>64</v>
      </c>
      <c r="R29" s="450">
        <v>25</v>
      </c>
      <c r="S29" s="397" t="str">
        <f>Goles!G28</f>
        <v xml:space="preserve">Adamantios Fikias </v>
      </c>
      <c r="T29" s="397">
        <f>Goles!H28</f>
        <v>22</v>
      </c>
    </row>
    <row r="30" spans="1:20" x14ac:dyDescent="0.25">
      <c r="A30" s="43">
        <v>14</v>
      </c>
      <c r="B30" s="93" t="s">
        <v>98</v>
      </c>
      <c r="C30" s="42">
        <v>1</v>
      </c>
      <c r="F30" s="43">
        <v>20</v>
      </c>
      <c r="G30" s="193" t="s">
        <v>45</v>
      </c>
      <c r="H30" s="42" t="s">
        <v>50</v>
      </c>
      <c r="J30" s="43">
        <v>29</v>
      </c>
      <c r="K30" s="93" t="s">
        <v>79</v>
      </c>
      <c r="L30" s="42">
        <v>60</v>
      </c>
      <c r="R30" s="450">
        <v>29</v>
      </c>
      <c r="S30" s="397" t="str">
        <f>Goles!G29</f>
        <v xml:space="preserve">Ludwik Mojescik </v>
      </c>
      <c r="T30" s="397">
        <f>Goles!H29</f>
        <v>21</v>
      </c>
    </row>
    <row r="31" spans="1:20" x14ac:dyDescent="0.25">
      <c r="A31" s="43">
        <v>14</v>
      </c>
      <c r="B31" s="93" t="s">
        <v>101</v>
      </c>
      <c r="C31" s="42">
        <v>1</v>
      </c>
      <c r="F31" s="43">
        <v>20</v>
      </c>
      <c r="G31" s="193" t="s">
        <v>27</v>
      </c>
      <c r="H31" s="42" t="s">
        <v>50</v>
      </c>
      <c r="J31" s="43">
        <v>29</v>
      </c>
      <c r="K31" s="93" t="s">
        <v>59</v>
      </c>
      <c r="L31" s="42">
        <v>60</v>
      </c>
      <c r="R31" s="450">
        <v>30</v>
      </c>
      <c r="S31" s="400" t="str">
        <f>Goles!G34</f>
        <v xml:space="preserve">Berto Abandero </v>
      </c>
      <c r="T31" s="400">
        <v>20</v>
      </c>
    </row>
    <row r="32" spans="1:20" x14ac:dyDescent="0.25">
      <c r="A32" s="43">
        <v>14</v>
      </c>
      <c r="B32" s="93" t="s">
        <v>103</v>
      </c>
      <c r="C32" s="42">
        <v>1</v>
      </c>
      <c r="F32" s="43">
        <v>20</v>
      </c>
      <c r="G32" s="193" t="s">
        <v>1589</v>
      </c>
      <c r="H32" s="42" t="s">
        <v>50</v>
      </c>
      <c r="J32" s="43">
        <v>31</v>
      </c>
      <c r="K32" s="93" t="s">
        <v>731</v>
      </c>
      <c r="L32" s="42">
        <v>59</v>
      </c>
      <c r="R32" s="450">
        <v>31</v>
      </c>
      <c r="S32" s="397" t="str">
        <f>Goles!G30</f>
        <v xml:space="preserve">Renato Galeano </v>
      </c>
      <c r="T32" s="397">
        <f>Goles!H30</f>
        <v>19</v>
      </c>
    </row>
    <row r="33" spans="6:20" x14ac:dyDescent="0.25">
      <c r="F33" s="43">
        <v>32</v>
      </c>
      <c r="G33" s="93" t="s">
        <v>66</v>
      </c>
      <c r="H33" s="42" t="s">
        <v>67</v>
      </c>
      <c r="J33" s="43">
        <v>32</v>
      </c>
      <c r="K33" s="93" t="s">
        <v>84</v>
      </c>
      <c r="L33" s="42">
        <v>58</v>
      </c>
      <c r="R33" s="450">
        <v>31</v>
      </c>
      <c r="S33" s="397" t="str">
        <f>Goles!G31</f>
        <v xml:space="preserve">Cornel Boicea </v>
      </c>
      <c r="T33" s="397">
        <f>Goles!H31</f>
        <v>19</v>
      </c>
    </row>
    <row r="34" spans="6:20" x14ac:dyDescent="0.25">
      <c r="F34" s="43">
        <v>32</v>
      </c>
      <c r="G34" s="93" t="s">
        <v>72</v>
      </c>
      <c r="H34" s="42" t="s">
        <v>67</v>
      </c>
      <c r="J34" s="43">
        <v>33</v>
      </c>
      <c r="K34" s="93" t="s">
        <v>37</v>
      </c>
      <c r="L34" s="42">
        <v>57</v>
      </c>
      <c r="R34" s="450">
        <v>33</v>
      </c>
      <c r="S34" s="397" t="str">
        <f>Goles!G33</f>
        <v xml:space="preserve">Pepijn Zwaan </v>
      </c>
      <c r="T34" s="397">
        <f>Goles!H33</f>
        <v>18</v>
      </c>
    </row>
    <row r="35" spans="6:20" x14ac:dyDescent="0.25">
      <c r="F35" s="43">
        <v>32</v>
      </c>
      <c r="G35" s="93" t="s">
        <v>75</v>
      </c>
      <c r="H35" s="42" t="s">
        <v>67</v>
      </c>
      <c r="J35" s="43">
        <v>33</v>
      </c>
      <c r="K35" s="93" t="s">
        <v>10</v>
      </c>
      <c r="L35" s="42">
        <v>57</v>
      </c>
      <c r="R35" s="450">
        <v>33</v>
      </c>
      <c r="S35" s="397" t="str">
        <f>Goles!G35</f>
        <v xml:space="preserve">Pasqual Vilar </v>
      </c>
      <c r="T35" s="397">
        <f>Goles!H35</f>
        <v>18</v>
      </c>
    </row>
    <row r="36" spans="6:20" x14ac:dyDescent="0.25">
      <c r="F36" s="43">
        <v>32</v>
      </c>
      <c r="G36" s="93" t="s">
        <v>78</v>
      </c>
      <c r="H36" s="42" t="s">
        <v>67</v>
      </c>
      <c r="J36" s="43">
        <v>35</v>
      </c>
      <c r="K36" s="93" t="s">
        <v>93</v>
      </c>
      <c r="L36" s="42">
        <v>56</v>
      </c>
      <c r="R36" s="450">
        <v>35</v>
      </c>
      <c r="S36" s="400" t="str">
        <f>Goles!G60</f>
        <v xml:space="preserve">Nicolás Galaz </v>
      </c>
      <c r="T36" s="400">
        <v>18</v>
      </c>
    </row>
    <row r="37" spans="6:20" x14ac:dyDescent="0.25">
      <c r="F37" s="43">
        <v>32</v>
      </c>
      <c r="G37" s="93" t="s">
        <v>82</v>
      </c>
      <c r="H37" s="42" t="s">
        <v>67</v>
      </c>
      <c r="J37" s="43">
        <v>35</v>
      </c>
      <c r="K37" s="93" t="s">
        <v>72</v>
      </c>
      <c r="L37" s="42">
        <v>56</v>
      </c>
      <c r="R37" s="450">
        <v>35</v>
      </c>
      <c r="S37" s="397" t="str">
        <f>Goles!G36</f>
        <v xml:space="preserve">Jos Pittoors </v>
      </c>
      <c r="T37" s="397">
        <f>Goles!H36</f>
        <v>17</v>
      </c>
    </row>
    <row r="38" spans="6:20" x14ac:dyDescent="0.25">
      <c r="F38" s="43">
        <v>32</v>
      </c>
      <c r="G38" s="93" t="s">
        <v>62</v>
      </c>
      <c r="H38" s="42" t="s">
        <v>67</v>
      </c>
      <c r="J38" s="43">
        <v>35</v>
      </c>
      <c r="K38" s="265" t="s">
        <v>762</v>
      </c>
      <c r="L38" s="42">
        <v>56</v>
      </c>
      <c r="R38" s="450">
        <v>35</v>
      </c>
      <c r="S38" s="397" t="str">
        <f>Goles!G37</f>
        <v xml:space="preserve">Emilio Rojas </v>
      </c>
      <c r="T38" s="397">
        <f>Goles!H37</f>
        <v>17</v>
      </c>
    </row>
    <row r="39" spans="6:20" x14ac:dyDescent="0.25">
      <c r="F39" s="43">
        <v>32</v>
      </c>
      <c r="G39" s="93" t="s">
        <v>68</v>
      </c>
      <c r="H39" s="42" t="s">
        <v>67</v>
      </c>
      <c r="J39" s="43">
        <v>38</v>
      </c>
      <c r="K39" s="93" t="s">
        <v>32</v>
      </c>
      <c r="L39" s="42">
        <v>54</v>
      </c>
      <c r="R39" s="450">
        <v>38</v>
      </c>
      <c r="S39" s="397" t="str">
        <f>Goles!G38</f>
        <v xml:space="preserve">Manolo Negrín </v>
      </c>
      <c r="T39" s="397">
        <f>Goles!H38</f>
        <v>17</v>
      </c>
    </row>
    <row r="40" spans="6:20" x14ac:dyDescent="0.25">
      <c r="F40" s="43">
        <v>32</v>
      </c>
      <c r="G40" s="93" t="s">
        <v>79</v>
      </c>
      <c r="H40" s="42" t="s">
        <v>67</v>
      </c>
      <c r="J40" s="43">
        <v>38</v>
      </c>
      <c r="K40" s="193" t="s">
        <v>61</v>
      </c>
      <c r="L40" s="42">
        <v>54</v>
      </c>
      <c r="R40" s="450">
        <v>38</v>
      </c>
      <c r="S40" s="400" t="str">
        <f>Goles!G45</f>
        <v xml:space="preserve">Venanci Oset </v>
      </c>
      <c r="T40" s="400">
        <v>16</v>
      </c>
    </row>
    <row r="41" spans="6:20" x14ac:dyDescent="0.25">
      <c r="F41" s="43">
        <v>32</v>
      </c>
      <c r="G41" s="93" t="s">
        <v>90</v>
      </c>
      <c r="H41" s="42" t="s">
        <v>67</v>
      </c>
      <c r="J41" s="43">
        <v>40</v>
      </c>
      <c r="K41" s="54" t="s">
        <v>100</v>
      </c>
      <c r="L41" s="42">
        <v>52</v>
      </c>
      <c r="R41" s="450">
        <v>38</v>
      </c>
      <c r="S41" s="397" t="str">
        <f>Goles!G39</f>
        <v xml:space="preserve">Melcior Calmet </v>
      </c>
      <c r="T41" s="397">
        <f>Goles!H39</f>
        <v>16</v>
      </c>
    </row>
    <row r="42" spans="6:20" x14ac:dyDescent="0.25">
      <c r="F42" s="43">
        <v>32</v>
      </c>
      <c r="G42" s="93" t="s">
        <v>92</v>
      </c>
      <c r="H42" s="42" t="s">
        <v>67</v>
      </c>
      <c r="J42" s="43">
        <v>41</v>
      </c>
      <c r="K42" s="93" t="s">
        <v>95</v>
      </c>
      <c r="L42" s="42">
        <v>51</v>
      </c>
      <c r="R42" s="450">
        <v>38</v>
      </c>
      <c r="S42" s="397" t="str">
        <f>Goles!G40</f>
        <v xml:space="preserve">Ragip Övgü </v>
      </c>
      <c r="T42" s="397">
        <f>Goles!H40</f>
        <v>16</v>
      </c>
    </row>
    <row r="43" spans="6:20" x14ac:dyDescent="0.25">
      <c r="F43" s="43">
        <v>32</v>
      </c>
      <c r="G43" s="93" t="s">
        <v>95</v>
      </c>
      <c r="H43" s="42" t="s">
        <v>67</v>
      </c>
      <c r="J43" s="42">
        <v>41</v>
      </c>
      <c r="K43" s="93" t="s">
        <v>73</v>
      </c>
      <c r="L43" s="42">
        <v>51</v>
      </c>
      <c r="R43" s="450">
        <v>42</v>
      </c>
      <c r="S43" s="397" t="str">
        <f>Goles!G41</f>
        <v xml:space="preserve">Co Wolbers </v>
      </c>
      <c r="T43" s="397">
        <f>Goles!H41</f>
        <v>15</v>
      </c>
    </row>
    <row r="44" spans="6:20" x14ac:dyDescent="0.25">
      <c r="F44" s="43">
        <v>32</v>
      </c>
      <c r="G44" s="93" t="s">
        <v>97</v>
      </c>
      <c r="H44" s="42" t="s">
        <v>67</v>
      </c>
      <c r="R44" s="450">
        <v>43</v>
      </c>
      <c r="S44" s="397" t="str">
        <f>Goles!G42</f>
        <v xml:space="preserve">John Chung </v>
      </c>
      <c r="T44" s="397">
        <f>Goles!H42</f>
        <v>14</v>
      </c>
    </row>
    <row r="45" spans="6:20" x14ac:dyDescent="0.25">
      <c r="F45" s="43">
        <v>32</v>
      </c>
      <c r="G45" s="93" t="s">
        <v>99</v>
      </c>
      <c r="H45" s="42" t="s">
        <v>67</v>
      </c>
      <c r="R45" s="450">
        <v>43</v>
      </c>
      <c r="S45" s="397" t="str">
        <f>Goles!G43</f>
        <v xml:space="preserve">Arnold Kalckstein </v>
      </c>
      <c r="T45" s="397">
        <f>Goles!H43</f>
        <v>14</v>
      </c>
    </row>
    <row r="46" spans="6:20" x14ac:dyDescent="0.25">
      <c r="F46" s="43">
        <v>32</v>
      </c>
      <c r="G46" s="93" t="s">
        <v>102</v>
      </c>
      <c r="H46" s="42" t="s">
        <v>67</v>
      </c>
      <c r="R46" s="450">
        <v>45</v>
      </c>
      <c r="S46" s="400" t="str">
        <f>Goles!G44</f>
        <v xml:space="preserve">Iván Real Figueroa </v>
      </c>
      <c r="T46" s="400">
        <f>Goles!H44</f>
        <v>13</v>
      </c>
    </row>
    <row r="47" spans="6:20" x14ac:dyDescent="0.25">
      <c r="F47" s="43">
        <v>32</v>
      </c>
      <c r="G47" s="93" t="s">
        <v>677</v>
      </c>
      <c r="H47" s="42" t="s">
        <v>67</v>
      </c>
      <c r="R47" s="450">
        <v>45</v>
      </c>
      <c r="S47" s="397" t="str">
        <f>Goles!G46</f>
        <v xml:space="preserve">Ibiur Altxakoa </v>
      </c>
      <c r="T47" s="397">
        <f>Goles!H46</f>
        <v>13</v>
      </c>
    </row>
    <row r="48" spans="6:20" x14ac:dyDescent="0.25">
      <c r="F48" s="43">
        <v>32</v>
      </c>
      <c r="G48" s="93" t="s">
        <v>19</v>
      </c>
      <c r="H48" s="42" t="s">
        <v>67</v>
      </c>
      <c r="R48" s="450">
        <v>45</v>
      </c>
      <c r="S48" s="397" t="str">
        <f>Goles!G47</f>
        <v xml:space="preserve">Ellák Deák </v>
      </c>
      <c r="T48" s="397">
        <f>Goles!H47</f>
        <v>13</v>
      </c>
    </row>
    <row r="49" spans="6:20" x14ac:dyDescent="0.25">
      <c r="F49" s="43">
        <v>32</v>
      </c>
      <c r="G49" s="93" t="s">
        <v>763</v>
      </c>
      <c r="H49" s="42" t="s">
        <v>67</v>
      </c>
      <c r="R49" s="450">
        <v>48</v>
      </c>
      <c r="S49" s="397" t="str">
        <f>Goles!G48</f>
        <v xml:space="preserve">Gregor Freischläger </v>
      </c>
      <c r="T49" s="397">
        <f>Goles!H48</f>
        <v>12</v>
      </c>
    </row>
    <row r="50" spans="6:20" x14ac:dyDescent="0.25">
      <c r="R50" s="450">
        <v>48</v>
      </c>
      <c r="S50" s="397" t="str">
        <f>Goles!G49</f>
        <v xml:space="preserve">Roberto Abenoza </v>
      </c>
      <c r="T50" s="397">
        <f>Goles!H49</f>
        <v>12</v>
      </c>
    </row>
    <row r="51" spans="6:20" x14ac:dyDescent="0.25">
      <c r="R51" s="450">
        <v>48</v>
      </c>
      <c r="S51" s="397" t="str">
        <f>Goles!G50</f>
        <v xml:space="preserve">Stanislaw Zdankiewicz </v>
      </c>
      <c r="T51" s="397">
        <f>Goles!H50</f>
        <v>12</v>
      </c>
    </row>
    <row r="52" spans="6:20" x14ac:dyDescent="0.25">
      <c r="R52" s="450">
        <v>48</v>
      </c>
      <c r="S52" s="397" t="str">
        <f>Goles!G51</f>
        <v xml:space="preserve">Miklós Gábriel </v>
      </c>
      <c r="T52" s="397">
        <f>Goles!H51</f>
        <v>12</v>
      </c>
    </row>
    <row r="53" spans="6:20" x14ac:dyDescent="0.25">
      <c r="R53" s="450">
        <v>52</v>
      </c>
      <c r="S53" s="397" t="str">
        <f>Goles!G52</f>
        <v xml:space="preserve">Raffaele Sitter </v>
      </c>
      <c r="T53" s="397">
        <f>Goles!H52</f>
        <v>11</v>
      </c>
    </row>
    <row r="54" spans="6:20" x14ac:dyDescent="0.25">
      <c r="R54" s="450">
        <v>52</v>
      </c>
      <c r="S54" s="397" t="str">
        <f>Goles!G53</f>
        <v xml:space="preserve">Gino van Hoesel </v>
      </c>
      <c r="T54" s="397">
        <f>Goles!H53</f>
        <v>11</v>
      </c>
    </row>
    <row r="55" spans="6:20" x14ac:dyDescent="0.25">
      <c r="R55" s="450">
        <v>52</v>
      </c>
      <c r="S55" s="397" t="str">
        <f>Goles!G54</f>
        <v xml:space="preserve">Ricardo Esquerdo </v>
      </c>
      <c r="T55" s="397">
        <f>Goles!H54</f>
        <v>11</v>
      </c>
    </row>
    <row r="56" spans="6:20" x14ac:dyDescent="0.25">
      <c r="R56" s="450">
        <v>52</v>
      </c>
      <c r="S56" s="397" t="str">
        <f>Goles!G55</f>
        <v xml:space="preserve">Horacy Dzienis </v>
      </c>
      <c r="T56" s="397">
        <f>Goles!H55</f>
        <v>11</v>
      </c>
    </row>
    <row r="57" spans="6:20" x14ac:dyDescent="0.25">
      <c r="R57" s="450">
        <v>52</v>
      </c>
      <c r="S57" s="400" t="str">
        <f>Goles!G74</f>
        <v xml:space="preserve">Leandro Faias </v>
      </c>
      <c r="T57" s="400">
        <v>11</v>
      </c>
    </row>
    <row r="58" spans="6:20" x14ac:dyDescent="0.25">
      <c r="R58" s="450">
        <v>57</v>
      </c>
      <c r="S58" s="397" t="str">
        <f>Goles!G56</f>
        <v xml:space="preserve">Erik Lemming </v>
      </c>
      <c r="T58" s="397">
        <f>Goles!H56</f>
        <v>10</v>
      </c>
    </row>
    <row r="59" spans="6:20" x14ac:dyDescent="0.25">
      <c r="R59" s="450">
        <v>57</v>
      </c>
      <c r="S59" s="397" t="str">
        <f>Goles!G57</f>
        <v xml:space="preserve">Nicolau Caraduxe </v>
      </c>
      <c r="T59" s="397">
        <f>Goles!H57</f>
        <v>10</v>
      </c>
    </row>
    <row r="60" spans="6:20" x14ac:dyDescent="0.25">
      <c r="R60" s="450">
        <v>57</v>
      </c>
      <c r="S60" s="397" t="str">
        <f>Goles!G58</f>
        <v xml:space="preserve">Lars Pouilliers </v>
      </c>
      <c r="T60" s="397">
        <f>Goles!H58</f>
        <v>10</v>
      </c>
    </row>
    <row r="61" spans="6:20" x14ac:dyDescent="0.25">
      <c r="R61" s="450">
        <v>57</v>
      </c>
      <c r="S61" s="397" t="str">
        <f>Goles!G59</f>
        <v xml:space="preserve">Antoine Dupré </v>
      </c>
      <c r="T61" s="397">
        <f>Goles!H59</f>
        <v>10</v>
      </c>
    </row>
    <row r="62" spans="6:20" x14ac:dyDescent="0.25">
      <c r="R62" s="450">
        <v>61</v>
      </c>
      <c r="S62" s="397" t="str">
        <f>Goles!G61</f>
        <v xml:space="preserve">Morgan Thomas </v>
      </c>
      <c r="T62" s="397">
        <f>Goles!H61</f>
        <v>9</v>
      </c>
    </row>
    <row r="63" spans="6:20" x14ac:dyDescent="0.25">
      <c r="R63" s="450">
        <v>61</v>
      </c>
      <c r="S63" s="397" t="str">
        <f>Goles!G62</f>
        <v xml:space="preserve">Michele Giampieri </v>
      </c>
      <c r="T63" s="397">
        <f>Goles!H62</f>
        <v>9</v>
      </c>
    </row>
    <row r="64" spans="6:20" x14ac:dyDescent="0.25">
      <c r="R64" s="450">
        <v>61</v>
      </c>
      <c r="S64" s="397" t="str">
        <f>Goles!G63</f>
        <v xml:space="preserve">Arjo Olthuis </v>
      </c>
      <c r="T64" s="397">
        <f>Goles!H63</f>
        <v>9</v>
      </c>
    </row>
    <row r="65" spans="18:20" x14ac:dyDescent="0.25">
      <c r="R65" s="450">
        <v>61</v>
      </c>
      <c r="S65" s="397" t="str">
        <f>Goles!G64</f>
        <v xml:space="preserve">Giulio Procaccianti </v>
      </c>
      <c r="T65" s="397">
        <f>Goles!H64</f>
        <v>9</v>
      </c>
    </row>
    <row r="66" spans="18:20" x14ac:dyDescent="0.25">
      <c r="R66" s="450">
        <v>65</v>
      </c>
      <c r="S66" s="397" t="str">
        <f>Goles!G65</f>
        <v xml:space="preserve">Patrick Werner </v>
      </c>
      <c r="T66" s="397">
        <f>Goles!H65</f>
        <v>8</v>
      </c>
    </row>
    <row r="67" spans="18:20" x14ac:dyDescent="0.25">
      <c r="R67" s="450">
        <v>65</v>
      </c>
      <c r="S67" s="397" t="str">
        <f>Goles!G66</f>
        <v xml:space="preserve">Augustin Demaison </v>
      </c>
      <c r="T67" s="397">
        <f>Goles!H66</f>
        <v>8</v>
      </c>
    </row>
    <row r="68" spans="18:20" x14ac:dyDescent="0.25">
      <c r="R68" s="450">
        <v>65</v>
      </c>
      <c r="S68" s="397" t="str">
        <f>Goles!G67</f>
        <v xml:space="preserve">Miguel Fernández </v>
      </c>
      <c r="T68" s="397">
        <f>Goles!H67</f>
        <v>8</v>
      </c>
    </row>
    <row r="69" spans="18:20" x14ac:dyDescent="0.25">
      <c r="R69" s="450">
        <v>65</v>
      </c>
      <c r="S69" s="397" t="str">
        <f>Goles!G68</f>
        <v xml:space="preserve">Mario Omarini </v>
      </c>
      <c r="T69" s="397">
        <f>Goles!H68</f>
        <v>8</v>
      </c>
    </row>
    <row r="70" spans="18:20" x14ac:dyDescent="0.25">
      <c r="R70" s="450">
        <v>65</v>
      </c>
      <c r="S70" s="397" t="str">
        <f>Goles!G69</f>
        <v xml:space="preserve">Feliciano Becerril </v>
      </c>
      <c r="T70" s="397">
        <f>Goles!H69</f>
        <v>8</v>
      </c>
    </row>
    <row r="71" spans="18:20" x14ac:dyDescent="0.25">
      <c r="R71" s="450">
        <v>70</v>
      </c>
      <c r="S71" s="397" t="str">
        <f>Goles!G70</f>
        <v xml:space="preserve">Relf Härteis </v>
      </c>
      <c r="T71" s="397">
        <f>Goles!H70</f>
        <v>7</v>
      </c>
    </row>
    <row r="72" spans="18:20" x14ac:dyDescent="0.25">
      <c r="R72" s="450">
        <v>70</v>
      </c>
      <c r="S72" s="397" t="str">
        <f>Goles!G71</f>
        <v xml:space="preserve">Fere Pulido </v>
      </c>
      <c r="T72" s="397">
        <f>Goles!H71</f>
        <v>7</v>
      </c>
    </row>
    <row r="73" spans="18:20" x14ac:dyDescent="0.25">
      <c r="R73" s="450">
        <v>70</v>
      </c>
      <c r="S73" s="397" t="str">
        <f>Goles!G72</f>
        <v xml:space="preserve">Gongotzon Ialdebere </v>
      </c>
      <c r="T73" s="397">
        <f>Goles!H72</f>
        <v>7</v>
      </c>
    </row>
    <row r="74" spans="18:20" x14ac:dyDescent="0.25">
      <c r="R74" s="450">
        <v>70</v>
      </c>
      <c r="S74" s="397" t="str">
        <f>Goles!G73</f>
        <v xml:space="preserve">Markus Currie </v>
      </c>
      <c r="T74" s="397">
        <f>Goles!H73</f>
        <v>7</v>
      </c>
    </row>
    <row r="75" spans="18:20" x14ac:dyDescent="0.25">
      <c r="R75" s="450">
        <v>70</v>
      </c>
      <c r="S75" s="397" t="str">
        <f>Goles!G75</f>
        <v xml:space="preserve">Iuliu Pana </v>
      </c>
      <c r="T75" s="397">
        <f>Goles!H75</f>
        <v>7</v>
      </c>
    </row>
    <row r="76" spans="18:20" x14ac:dyDescent="0.25">
      <c r="R76" s="450">
        <v>70</v>
      </c>
      <c r="S76" s="397" t="str">
        <f>Goles!G76</f>
        <v xml:space="preserve">Károly Serfel </v>
      </c>
      <c r="T76" s="397">
        <f>Goles!H76</f>
        <v>7</v>
      </c>
    </row>
    <row r="77" spans="18:20" x14ac:dyDescent="0.25">
      <c r="R77" s="450">
        <v>70</v>
      </c>
      <c r="S77" s="397" t="str">
        <f>Goles!G77</f>
        <v xml:space="preserve">Martin Kilev </v>
      </c>
      <c r="T77" s="397">
        <f>Goles!H77</f>
        <v>7</v>
      </c>
    </row>
    <row r="78" spans="18:20" x14ac:dyDescent="0.25">
      <c r="R78" s="450">
        <v>77</v>
      </c>
      <c r="S78" s="397" t="str">
        <f>Goles!G78</f>
        <v xml:space="preserve">Alex Txantre </v>
      </c>
      <c r="T78" s="397">
        <f>Goles!H78</f>
        <v>6</v>
      </c>
    </row>
    <row r="79" spans="18:20" x14ac:dyDescent="0.25">
      <c r="R79" s="450">
        <v>77</v>
      </c>
      <c r="S79" s="397" t="str">
        <f>Goles!G79</f>
        <v xml:space="preserve">Iyad Chaabo </v>
      </c>
      <c r="T79" s="397">
        <f>Goles!H79</f>
        <v>6</v>
      </c>
    </row>
    <row r="80" spans="18:20" x14ac:dyDescent="0.25">
      <c r="R80" s="450">
        <v>77</v>
      </c>
      <c r="S80" s="397" t="str">
        <f>Goles!G80</f>
        <v xml:space="preserve">Fernando Gazón </v>
      </c>
      <c r="T80" s="397">
        <f>Goles!H80</f>
        <v>6</v>
      </c>
    </row>
    <row r="81" spans="18:20" x14ac:dyDescent="0.25">
      <c r="R81" s="450">
        <v>77</v>
      </c>
      <c r="S81" s="397" t="str">
        <f>Goles!G81</f>
        <v xml:space="preserve">Jorge Walter Whitaker </v>
      </c>
      <c r="T81" s="397">
        <f>Goles!H81</f>
        <v>6</v>
      </c>
    </row>
    <row r="82" spans="18:20" x14ac:dyDescent="0.25">
      <c r="R82" s="450">
        <v>77</v>
      </c>
      <c r="S82" s="397" t="str">
        <f>Goles!G82</f>
        <v xml:space="preserve">Torsten Kortenhof </v>
      </c>
      <c r="T82" s="397">
        <f>Goles!H82</f>
        <v>6</v>
      </c>
    </row>
    <row r="83" spans="18:20" x14ac:dyDescent="0.25">
      <c r="R83" s="450">
        <v>77</v>
      </c>
      <c r="S83" s="397" t="str">
        <f>Goles!G83</f>
        <v xml:space="preserve">Boleslaw Starzomski </v>
      </c>
      <c r="T83" s="397">
        <f>Goles!H83</f>
        <v>6</v>
      </c>
    </row>
    <row r="84" spans="18:20" x14ac:dyDescent="0.25">
      <c r="R84" s="450">
        <v>77</v>
      </c>
      <c r="S84" s="397" t="str">
        <f>Goles!G84</f>
        <v xml:space="preserve">Raúl Riquelme </v>
      </c>
      <c r="T84" s="397">
        <f>Goles!H84</f>
        <v>6</v>
      </c>
    </row>
    <row r="85" spans="18:20" x14ac:dyDescent="0.25">
      <c r="R85" s="450">
        <v>77</v>
      </c>
      <c r="S85" s="397" t="str">
        <f>Goles!G85</f>
        <v xml:space="preserve">David Knuff </v>
      </c>
      <c r="T85" s="397">
        <f>Goles!H85</f>
        <v>6</v>
      </c>
    </row>
    <row r="86" spans="18:20" x14ac:dyDescent="0.25">
      <c r="R86" s="450">
        <v>77</v>
      </c>
      <c r="S86" s="397" t="str">
        <f>Goles!G86</f>
        <v xml:space="preserve">Nicolai Stentoft </v>
      </c>
      <c r="T86" s="397">
        <f>Goles!H86</f>
        <v>6</v>
      </c>
    </row>
    <row r="87" spans="18:20" x14ac:dyDescent="0.25">
      <c r="R87" s="450">
        <v>77</v>
      </c>
      <c r="S87" s="397" t="str">
        <f>Goles!G87</f>
        <v xml:space="preserve">Fabien Fabre </v>
      </c>
      <c r="T87" s="397">
        <f>Goles!H87</f>
        <v>6</v>
      </c>
    </row>
    <row r="88" spans="18:20" x14ac:dyDescent="0.25">
      <c r="R88" s="450">
        <v>77</v>
      </c>
      <c r="S88" s="397" t="str">
        <f>Goles!G88</f>
        <v xml:space="preserve">Christophe Reinhart </v>
      </c>
      <c r="T88" s="397">
        <f>Goles!H88</f>
        <v>6</v>
      </c>
    </row>
    <row r="89" spans="18:20" x14ac:dyDescent="0.25">
      <c r="R89" s="450">
        <v>77</v>
      </c>
      <c r="S89" s="397" t="str">
        <f>Goles!G89</f>
        <v xml:space="preserve">Honesto Cousa </v>
      </c>
      <c r="T89" s="397">
        <f>Goles!H89</f>
        <v>6</v>
      </c>
    </row>
    <row r="90" spans="18:20" x14ac:dyDescent="0.25">
      <c r="R90" s="450">
        <v>77</v>
      </c>
      <c r="S90" s="397" t="str">
        <f>Goles!G90</f>
        <v xml:space="preserve">Wicher Ossedrijver </v>
      </c>
      <c r="T90" s="397">
        <f>Goles!H90</f>
        <v>6</v>
      </c>
    </row>
    <row r="91" spans="18:20" x14ac:dyDescent="0.25">
      <c r="R91" s="450">
        <v>77</v>
      </c>
      <c r="S91" s="397" t="str">
        <f>Goles!G91</f>
        <v xml:space="preserve">David Erbiti </v>
      </c>
      <c r="T91" s="397">
        <f>Goles!H91</f>
        <v>6</v>
      </c>
    </row>
    <row r="92" spans="18:20" x14ac:dyDescent="0.25">
      <c r="R92" s="450">
        <v>77</v>
      </c>
      <c r="S92" s="397" t="str">
        <f>Goles!G92</f>
        <v xml:space="preserve">Romain Grière </v>
      </c>
      <c r="T92" s="397">
        <f>Goles!H92</f>
        <v>6</v>
      </c>
    </row>
    <row r="93" spans="18:20" x14ac:dyDescent="0.25">
      <c r="R93" s="450">
        <v>77</v>
      </c>
      <c r="S93" s="397" t="str">
        <f>Goles!G93</f>
        <v xml:space="preserve">Pablo Gil Fano </v>
      </c>
      <c r="T93" s="397">
        <f>Goles!H93</f>
        <v>6</v>
      </c>
    </row>
    <row r="94" spans="18:20" x14ac:dyDescent="0.25">
      <c r="R94" s="450">
        <v>77</v>
      </c>
      <c r="S94" s="397" t="str">
        <f>Goles!G94</f>
        <v xml:space="preserve">Tomasz Artymiuk </v>
      </c>
      <c r="T94" s="397">
        <f>Goles!H94</f>
        <v>6</v>
      </c>
    </row>
    <row r="95" spans="18:20" x14ac:dyDescent="0.25">
      <c r="R95" s="450">
        <v>94</v>
      </c>
      <c r="S95" s="397" t="str">
        <f>Goles!G95</f>
        <v xml:space="preserve">Ilari Santasalmi </v>
      </c>
      <c r="T95" s="397">
        <f>Goles!H95</f>
        <v>5</v>
      </c>
    </row>
    <row r="96" spans="18:20" x14ac:dyDescent="0.25">
      <c r="R96" s="450">
        <v>94</v>
      </c>
      <c r="S96" s="397" t="str">
        <f>Goles!G96</f>
        <v xml:space="preserve">Martin Herber </v>
      </c>
      <c r="T96" s="397">
        <f>Goles!H96</f>
        <v>5</v>
      </c>
    </row>
    <row r="97" spans="18:20" x14ac:dyDescent="0.25">
      <c r="R97" s="450">
        <v>94</v>
      </c>
      <c r="S97" s="397" t="str">
        <f>Goles!G97</f>
        <v xml:space="preserve">Aureliusz Staszczuk </v>
      </c>
      <c r="T97" s="397">
        <f>Goles!H97</f>
        <v>5</v>
      </c>
    </row>
    <row r="98" spans="18:20" x14ac:dyDescent="0.25">
      <c r="R98" s="450">
        <v>94</v>
      </c>
      <c r="S98" s="397" t="str">
        <f>Goles!G98</f>
        <v xml:space="preserve">Csaba Mezo </v>
      </c>
      <c r="T98" s="397">
        <f>Goles!H98</f>
        <v>5</v>
      </c>
    </row>
    <row r="99" spans="18:20" x14ac:dyDescent="0.25">
      <c r="R99" s="450">
        <v>94</v>
      </c>
      <c r="S99" s="397" t="str">
        <f>Goles!G99</f>
        <v xml:space="preserve">Jacobo Ferrueros </v>
      </c>
      <c r="T99" s="397">
        <f>Goles!H99</f>
        <v>5</v>
      </c>
    </row>
    <row r="100" spans="18:20" x14ac:dyDescent="0.25">
      <c r="R100" s="450">
        <v>94</v>
      </c>
      <c r="S100" s="397" t="str">
        <f>Goles!G100</f>
        <v xml:space="preserve">Cornel Caraba </v>
      </c>
      <c r="T100" s="397">
        <f>Goles!H100</f>
        <v>5</v>
      </c>
    </row>
    <row r="101" spans="18:20" x14ac:dyDescent="0.25">
      <c r="R101" s="450">
        <v>94</v>
      </c>
      <c r="S101" s="397" t="str">
        <f>Goles!G101</f>
        <v xml:space="preserve">Harald Georg Berchthold </v>
      </c>
      <c r="T101" s="397">
        <f>Goles!H101</f>
        <v>5</v>
      </c>
    </row>
    <row r="102" spans="18:20" x14ac:dyDescent="0.25">
      <c r="R102" s="450">
        <v>94</v>
      </c>
      <c r="S102" s="397" t="str">
        <f>Goles!G102</f>
        <v xml:space="preserve">Aleksi Alarotu </v>
      </c>
      <c r="T102" s="397">
        <f>Goles!H102</f>
        <v>5</v>
      </c>
    </row>
    <row r="103" spans="18:20" x14ac:dyDescent="0.25">
      <c r="R103" s="450">
        <v>94</v>
      </c>
      <c r="S103" s="397" t="str">
        <f>Goles!G103</f>
        <v xml:space="preserve">Ulf Schenkel </v>
      </c>
      <c r="T103" s="397">
        <f>Goles!H103</f>
        <v>5</v>
      </c>
    </row>
    <row r="104" spans="18:20" x14ac:dyDescent="0.25">
      <c r="R104" s="450">
        <v>94</v>
      </c>
      <c r="S104" s="397" t="str">
        <f>Goles!G104</f>
        <v xml:space="preserve">Andrea Califano </v>
      </c>
      <c r="T104" s="397">
        <f>Goles!H104</f>
        <v>5</v>
      </c>
    </row>
    <row r="105" spans="18:20" x14ac:dyDescent="0.25">
      <c r="R105" s="450">
        <v>94</v>
      </c>
      <c r="S105" s="397" t="str">
        <f>Goles!G105</f>
        <v xml:space="preserve">Fernando Juárez Sierra </v>
      </c>
      <c r="T105" s="397">
        <f>Goles!H105</f>
        <v>5</v>
      </c>
    </row>
    <row r="106" spans="18:20" x14ac:dyDescent="0.25">
      <c r="R106" s="450">
        <v>94</v>
      </c>
      <c r="S106" s="397" t="str">
        <f>Goles!G106</f>
        <v xml:space="preserve">Pau Redondo </v>
      </c>
      <c r="T106" s="397">
        <f>Goles!H106</f>
        <v>5</v>
      </c>
    </row>
    <row r="107" spans="18:20" x14ac:dyDescent="0.25">
      <c r="R107" s="450">
        <v>106</v>
      </c>
      <c r="S107" s="397" t="str">
        <f>Goles!G107</f>
        <v xml:space="preserve">Christophe Méjean </v>
      </c>
      <c r="T107" s="397">
        <f>Goles!H107</f>
        <v>4</v>
      </c>
    </row>
    <row r="108" spans="18:20" x14ac:dyDescent="0.25">
      <c r="R108" s="450">
        <v>106</v>
      </c>
      <c r="S108" s="397" t="str">
        <f>Goles!G108</f>
        <v xml:space="preserve">Sejo Sáenz Marín </v>
      </c>
      <c r="T108" s="397">
        <f>Goles!H108</f>
        <v>4</v>
      </c>
    </row>
    <row r="109" spans="18:20" x14ac:dyDescent="0.25">
      <c r="R109" s="450">
        <v>106</v>
      </c>
      <c r="S109" s="397" t="str">
        <f>Goles!G109</f>
        <v xml:space="preserve">Dolf Fohringer </v>
      </c>
      <c r="T109" s="397">
        <f>Goles!H109</f>
        <v>4</v>
      </c>
    </row>
    <row r="110" spans="18:20" x14ac:dyDescent="0.25">
      <c r="R110" s="450">
        <v>106</v>
      </c>
      <c r="S110" s="397" t="str">
        <f>Goles!G110</f>
        <v xml:space="preserve">Mattia Sambri </v>
      </c>
      <c r="T110" s="397">
        <f>Goles!H110</f>
        <v>4</v>
      </c>
    </row>
    <row r="111" spans="18:20" x14ac:dyDescent="0.25">
      <c r="R111" s="450">
        <v>106</v>
      </c>
      <c r="S111" s="397" t="str">
        <f>Goles!G111</f>
        <v xml:space="preserve">Uday Adeeb </v>
      </c>
      <c r="T111" s="397">
        <f>Goles!H111</f>
        <v>4</v>
      </c>
    </row>
    <row r="112" spans="18:20" x14ac:dyDescent="0.25">
      <c r="R112" s="450">
        <v>106</v>
      </c>
      <c r="S112" s="397" t="str">
        <f>Goles!G112</f>
        <v xml:space="preserve">Jörg Londorf </v>
      </c>
      <c r="T112" s="397">
        <f>Goles!H112</f>
        <v>4</v>
      </c>
    </row>
    <row r="113" spans="18:20" x14ac:dyDescent="0.25">
      <c r="R113" s="450">
        <v>106</v>
      </c>
      <c r="S113" s="397" t="str">
        <f>Goles!G113</f>
        <v xml:space="preserve">Eckardt Hägerling </v>
      </c>
      <c r="T113" s="397">
        <f>Goles!H113</f>
        <v>4</v>
      </c>
    </row>
    <row r="114" spans="18:20" x14ac:dyDescent="0.25">
      <c r="R114" s="450">
        <v>106</v>
      </c>
      <c r="S114" s="397" t="str">
        <f>Goles!G114</f>
        <v xml:space="preserve">? (Pan) ?? (Yuandong) </v>
      </c>
      <c r="T114" s="397">
        <f>Goles!H114</f>
        <v>4</v>
      </c>
    </row>
    <row r="115" spans="18:20" x14ac:dyDescent="0.25">
      <c r="R115" s="450">
        <v>106</v>
      </c>
      <c r="S115" s="397" t="str">
        <f>Goles!G115</f>
        <v xml:space="preserve">Dan Veneau </v>
      </c>
      <c r="T115" s="397">
        <f>Goles!H115</f>
        <v>4</v>
      </c>
    </row>
    <row r="116" spans="18:20" x14ac:dyDescent="0.25">
      <c r="R116" s="450">
        <v>106</v>
      </c>
      <c r="S116" s="397" t="str">
        <f>Goles!G116</f>
        <v xml:space="preserve">Krzysztof Buras </v>
      </c>
      <c r="T116" s="397">
        <f>Goles!H116</f>
        <v>4</v>
      </c>
    </row>
    <row r="117" spans="18:20" x14ac:dyDescent="0.25">
      <c r="R117" s="450">
        <v>106</v>
      </c>
      <c r="S117" s="397" t="str">
        <f>Goles!G117</f>
        <v xml:space="preserve">Gastone Cianelli </v>
      </c>
      <c r="T117" s="397">
        <f>Goles!H117</f>
        <v>4</v>
      </c>
    </row>
    <row r="118" spans="18:20" x14ac:dyDescent="0.25">
      <c r="R118" s="450">
        <v>106</v>
      </c>
      <c r="S118" s="397" t="str">
        <f>Goles!G118</f>
        <v xml:space="preserve">Ernst Lammers </v>
      </c>
      <c r="T118" s="397">
        <f>Goles!H118</f>
        <v>4</v>
      </c>
    </row>
    <row r="119" spans="18:20" x14ac:dyDescent="0.25">
      <c r="R119" s="450">
        <v>106</v>
      </c>
      <c r="S119" s="397" t="str">
        <f>Goles!G119</f>
        <v xml:space="preserve">Hansjürg Devier </v>
      </c>
      <c r="T119" s="397">
        <f>Goles!H119</f>
        <v>4</v>
      </c>
    </row>
    <row r="120" spans="18:20" x14ac:dyDescent="0.25">
      <c r="R120" s="450">
        <v>106</v>
      </c>
      <c r="S120" s="397" t="str">
        <f>Goles!G120</f>
        <v xml:space="preserve">Emilio Mochelato </v>
      </c>
      <c r="T120" s="397">
        <f>Goles!H120</f>
        <v>4</v>
      </c>
    </row>
    <row r="121" spans="18:20" x14ac:dyDescent="0.25">
      <c r="R121" s="450">
        <v>106</v>
      </c>
      <c r="S121" s="397" t="str">
        <f>Goles!G121</f>
        <v xml:space="preserve">Carlos Ipinza </v>
      </c>
      <c r="T121" s="397">
        <f>Goles!H121</f>
        <v>4</v>
      </c>
    </row>
    <row r="122" spans="18:20" x14ac:dyDescent="0.25">
      <c r="R122" s="450">
        <v>106</v>
      </c>
      <c r="S122" s="400" t="s">
        <v>1520</v>
      </c>
      <c r="T122" s="400">
        <v>4</v>
      </c>
    </row>
    <row r="123" spans="18:20" x14ac:dyDescent="0.25">
      <c r="R123" s="450">
        <v>122</v>
      </c>
      <c r="S123" s="397" t="str">
        <f>Goles!G122</f>
        <v xml:space="preserve">Richey Cowper </v>
      </c>
      <c r="T123" s="397">
        <f>Goles!H122</f>
        <v>3</v>
      </c>
    </row>
    <row r="124" spans="18:20" x14ac:dyDescent="0.25">
      <c r="R124" s="450">
        <v>123</v>
      </c>
      <c r="S124" s="397" t="str">
        <f>Goles!G123</f>
        <v xml:space="preserve">Aiurdi Azpileta </v>
      </c>
      <c r="T124" s="397">
        <f>Goles!H123</f>
        <v>3</v>
      </c>
    </row>
    <row r="125" spans="18:20" x14ac:dyDescent="0.25">
      <c r="R125" s="450">
        <v>124</v>
      </c>
      <c r="S125" s="397" t="str">
        <f>Goles!G124</f>
        <v xml:space="preserve">Tristan Voet </v>
      </c>
      <c r="T125" s="397">
        <f>Goles!H124</f>
        <v>3</v>
      </c>
    </row>
    <row r="126" spans="18:20" x14ac:dyDescent="0.25">
      <c r="R126" s="450">
        <v>125</v>
      </c>
      <c r="S126" s="397" t="str">
        <f>Goles!G125</f>
        <v xml:space="preserve">Roberto Montero </v>
      </c>
      <c r="T126" s="397">
        <f>Goles!H125</f>
        <v>3</v>
      </c>
    </row>
    <row r="127" spans="18:20" x14ac:dyDescent="0.25">
      <c r="R127" s="450">
        <v>126</v>
      </c>
      <c r="S127" s="397" t="str">
        <f>Goles!G126</f>
        <v xml:space="preserve">Mauro Vaz </v>
      </c>
      <c r="T127" s="397">
        <f>Goles!H126</f>
        <v>3</v>
      </c>
    </row>
    <row r="128" spans="18:20" x14ac:dyDescent="0.25">
      <c r="R128" s="450">
        <v>127</v>
      </c>
      <c r="S128" s="397" t="str">
        <f>Goles!G127</f>
        <v xml:space="preserve">Iacob Sarpe </v>
      </c>
      <c r="T128" s="397">
        <f>Goles!H127</f>
        <v>3</v>
      </c>
    </row>
    <row r="129" spans="18:20" x14ac:dyDescent="0.25">
      <c r="R129" s="450">
        <v>128</v>
      </c>
      <c r="S129" s="397" t="str">
        <f>Goles!G128</f>
        <v xml:space="preserve">? (Ho) ?? (Minwei) </v>
      </c>
      <c r="T129" s="397">
        <f>Goles!H128</f>
        <v>3</v>
      </c>
    </row>
    <row r="130" spans="18:20" x14ac:dyDescent="0.25">
      <c r="R130" s="450">
        <v>129</v>
      </c>
      <c r="S130" s="400" t="str">
        <f>Goles!G129</f>
        <v xml:space="preserve">Cosme Fonteboa </v>
      </c>
      <c r="T130" s="400">
        <f>Goles!H129</f>
        <v>3</v>
      </c>
    </row>
    <row r="131" spans="18:20" x14ac:dyDescent="0.25">
      <c r="R131" s="450">
        <v>130</v>
      </c>
      <c r="S131" s="397" t="str">
        <f>Goles!G130</f>
        <v xml:space="preserve">Zeno Baets </v>
      </c>
      <c r="T131" s="397">
        <f>Goles!H130</f>
        <v>3</v>
      </c>
    </row>
    <row r="132" spans="18:20" x14ac:dyDescent="0.25">
      <c r="R132" s="450">
        <v>131</v>
      </c>
      <c r="S132" s="397" t="str">
        <f>Goles!G131</f>
        <v xml:space="preserve">Clifford Smallwood </v>
      </c>
      <c r="T132" s="397">
        <f>Goles!H131</f>
        <v>3</v>
      </c>
    </row>
    <row r="133" spans="18:20" x14ac:dyDescent="0.25">
      <c r="R133" s="450">
        <v>132</v>
      </c>
      <c r="S133" s="397" t="str">
        <f>Goles!G132</f>
        <v xml:space="preserve">Stefano Spanu </v>
      </c>
      <c r="T133" s="397">
        <f>Goles!H132</f>
        <v>3</v>
      </c>
    </row>
    <row r="134" spans="18:20" x14ac:dyDescent="0.25">
      <c r="R134" s="450">
        <v>133</v>
      </c>
      <c r="S134" s="397" t="str">
        <f>Goles!G133</f>
        <v xml:space="preserve">Matteo Omacini </v>
      </c>
      <c r="T134" s="397">
        <f>Goles!H133</f>
        <v>3</v>
      </c>
    </row>
    <row r="135" spans="18:20" x14ac:dyDescent="0.25">
      <c r="R135" s="450">
        <v>134</v>
      </c>
      <c r="S135" s="397" t="str">
        <f>Goles!G134</f>
        <v xml:space="preserve">Vincent Gautsch </v>
      </c>
      <c r="T135" s="397">
        <f>Goles!H134</f>
        <v>3</v>
      </c>
    </row>
    <row r="136" spans="18:20" x14ac:dyDescent="0.25">
      <c r="R136" s="450">
        <v>135</v>
      </c>
      <c r="S136" s="397" t="str">
        <f>Goles!G135</f>
        <v xml:space="preserve">Enis Kalan </v>
      </c>
      <c r="T136" s="397">
        <f>Goles!H135</f>
        <v>3</v>
      </c>
    </row>
    <row r="137" spans="18:20" x14ac:dyDescent="0.25">
      <c r="R137" s="450">
        <v>136</v>
      </c>
      <c r="S137" s="397" t="str">
        <f>Goles!G136</f>
        <v xml:space="preserve">David Berkenbosch </v>
      </c>
      <c r="T137" s="397">
        <f>Goles!H136</f>
        <v>3</v>
      </c>
    </row>
    <row r="138" spans="18:20" x14ac:dyDescent="0.25">
      <c r="R138" s="450">
        <v>137</v>
      </c>
      <c r="S138" s="397" t="str">
        <f>Goles!G137</f>
        <v xml:space="preserve">Damiano Clementi </v>
      </c>
      <c r="T138" s="397">
        <f>Goles!H137</f>
        <v>3</v>
      </c>
    </row>
    <row r="139" spans="18:20" x14ac:dyDescent="0.25">
      <c r="R139" s="450">
        <v>138</v>
      </c>
      <c r="S139" s="397" t="str">
        <f>Goles!G138</f>
        <v xml:space="preserve">Manuel Parejo </v>
      </c>
      <c r="T139" s="397">
        <f>Goles!H138</f>
        <v>3</v>
      </c>
    </row>
    <row r="140" spans="18:20" x14ac:dyDescent="0.25">
      <c r="R140" s="450">
        <v>139</v>
      </c>
      <c r="S140" s="397" t="str">
        <f>Goles!G139</f>
        <v xml:space="preserve">Xofre Taín </v>
      </c>
      <c r="T140" s="397">
        <f>Goles!H139</f>
        <v>3</v>
      </c>
    </row>
    <row r="141" spans="18:20" x14ac:dyDescent="0.25">
      <c r="R141" s="450">
        <v>140</v>
      </c>
      <c r="S141" s="397" t="str">
        <f>Goles!G140</f>
        <v xml:space="preserve">Lech Sipinski </v>
      </c>
      <c r="T141" s="397">
        <f>Goles!H140</f>
        <v>3</v>
      </c>
    </row>
    <row r="142" spans="18:20" x14ac:dyDescent="0.25">
      <c r="R142" s="450">
        <v>141</v>
      </c>
      <c r="S142" s="397" t="str">
        <f>Goles!G141</f>
        <v xml:space="preserve">Petru Pena </v>
      </c>
      <c r="T142" s="397">
        <f>Goles!H141</f>
        <v>3</v>
      </c>
    </row>
    <row r="143" spans="18:20" x14ac:dyDescent="0.25">
      <c r="R143" s="450">
        <v>142</v>
      </c>
      <c r="S143" s="397" t="str">
        <f>Goles!G142</f>
        <v xml:space="preserve">Domenic Janjic </v>
      </c>
      <c r="T143" s="397">
        <f>Goles!H142</f>
        <v>2</v>
      </c>
    </row>
    <row r="144" spans="18:20" x14ac:dyDescent="0.25">
      <c r="R144" s="450">
        <v>143</v>
      </c>
      <c r="S144" s="397" t="str">
        <f>Goles!G143</f>
        <v xml:space="preserve">Martijn Collinet </v>
      </c>
      <c r="T144" s="397">
        <f>Goles!H143</f>
        <v>2</v>
      </c>
    </row>
    <row r="145" spans="18:20" x14ac:dyDescent="0.25">
      <c r="R145" s="450">
        <v>144</v>
      </c>
      <c r="S145" s="397" t="str">
        <f>Goles!G144</f>
        <v xml:space="preserve">Karl Edwin </v>
      </c>
      <c r="T145" s="397">
        <f>Goles!H144</f>
        <v>2</v>
      </c>
    </row>
    <row r="146" spans="18:20" x14ac:dyDescent="0.25">
      <c r="R146" s="450">
        <v>145</v>
      </c>
      <c r="S146" s="397" t="str">
        <f>Goles!G145</f>
        <v xml:space="preserve">Igli Volpicelli </v>
      </c>
      <c r="T146" s="397">
        <f>Goles!H145</f>
        <v>2</v>
      </c>
    </row>
    <row r="147" spans="18:20" x14ac:dyDescent="0.25">
      <c r="R147" s="450">
        <v>146</v>
      </c>
      <c r="S147" s="397" t="str">
        <f>Goles!G146</f>
        <v xml:space="preserve">Christophe Bodin </v>
      </c>
      <c r="T147" s="397">
        <f>Goles!H146</f>
        <v>2</v>
      </c>
    </row>
    <row r="148" spans="18:20" x14ac:dyDescent="0.25">
      <c r="R148" s="450">
        <v>147</v>
      </c>
      <c r="S148" s="397" t="str">
        <f>Goles!G147</f>
        <v xml:space="preserve">Udo Mier </v>
      </c>
      <c r="T148" s="397">
        <f>Goles!H147</f>
        <v>2</v>
      </c>
    </row>
    <row r="149" spans="18:20" x14ac:dyDescent="0.25">
      <c r="R149" s="450">
        <v>148</v>
      </c>
      <c r="S149" s="397" t="str">
        <f>Goles!G148</f>
        <v xml:space="preserve">Ofek Azuri </v>
      </c>
      <c r="T149" s="397">
        <f>Goles!H148</f>
        <v>2</v>
      </c>
    </row>
    <row r="150" spans="18:20" x14ac:dyDescent="0.25">
      <c r="R150" s="450">
        <v>149</v>
      </c>
      <c r="S150" s="397" t="str">
        <f>Goles!G149</f>
        <v xml:space="preserve">Lauri Piminäinen </v>
      </c>
      <c r="T150" s="397">
        <f>Goles!H149</f>
        <v>2</v>
      </c>
    </row>
    <row r="151" spans="18:20" x14ac:dyDescent="0.25">
      <c r="R151" s="450">
        <v>150</v>
      </c>
      <c r="S151" s="397" t="str">
        <f>Goles!G150</f>
        <v xml:space="preserve">José Rubianes </v>
      </c>
      <c r="T151" s="397">
        <f>Goles!H150</f>
        <v>2</v>
      </c>
    </row>
    <row r="152" spans="18:20" x14ac:dyDescent="0.25">
      <c r="R152" s="450">
        <v>151</v>
      </c>
      <c r="S152" s="397" t="str">
        <f>Goles!G151</f>
        <v xml:space="preserve">Percy Alfredsson </v>
      </c>
      <c r="T152" s="397">
        <f>Goles!H151</f>
        <v>2</v>
      </c>
    </row>
    <row r="153" spans="18:20" x14ac:dyDescent="0.25">
      <c r="R153" s="450">
        <v>152</v>
      </c>
      <c r="S153" s="397" t="str">
        <f>Goles!G152</f>
        <v xml:space="preserve">Mateusz Brzostowski </v>
      </c>
      <c r="T153" s="397">
        <f>Goles!H152</f>
        <v>2</v>
      </c>
    </row>
    <row r="154" spans="18:20" x14ac:dyDescent="0.25">
      <c r="R154" s="450">
        <v>153</v>
      </c>
      <c r="S154" s="397" t="str">
        <f>Goles!G153</f>
        <v xml:space="preserve">Andrija Miškovic </v>
      </c>
      <c r="T154" s="397">
        <f>Goles!H153</f>
        <v>2</v>
      </c>
    </row>
    <row r="155" spans="18:20" x14ac:dyDescent="0.25">
      <c r="R155" s="450">
        <v>154</v>
      </c>
      <c r="S155" s="397" t="str">
        <f>Goles!G154</f>
        <v xml:space="preserve">Zsolt Novák </v>
      </c>
      <c r="T155" s="397">
        <f>Goles!H154</f>
        <v>2</v>
      </c>
    </row>
    <row r="156" spans="18:20" x14ac:dyDescent="0.25">
      <c r="R156" s="450">
        <v>155</v>
      </c>
      <c r="S156" s="397" t="str">
        <f>Goles!G155</f>
        <v xml:space="preserve">Casildo Abraldes </v>
      </c>
      <c r="T156" s="397">
        <f>Goles!H155</f>
        <v>2</v>
      </c>
    </row>
    <row r="157" spans="18:20" x14ac:dyDescent="0.25">
      <c r="R157" s="450">
        <v>156</v>
      </c>
      <c r="S157" s="397" t="str">
        <f>Goles!G156</f>
        <v xml:space="preserve">Juan Gabriel de Minaya </v>
      </c>
      <c r="T157" s="397">
        <f>Goles!H156</f>
        <v>2</v>
      </c>
    </row>
    <row r="158" spans="18:20" x14ac:dyDescent="0.25">
      <c r="R158" s="450">
        <v>157</v>
      </c>
      <c r="S158" s="397" t="str">
        <f>Goles!G157</f>
        <v xml:space="preserve">Sansão Trindade Oliveira </v>
      </c>
      <c r="T158" s="397">
        <f>Goles!H157</f>
        <v>2</v>
      </c>
    </row>
    <row r="159" spans="18:20" x14ac:dyDescent="0.25">
      <c r="R159" s="450">
        <v>158</v>
      </c>
      <c r="S159" s="397" t="str">
        <f>Goles!G158</f>
        <v xml:space="preserve">Jaime Ocón </v>
      </c>
      <c r="T159" s="397">
        <f>Goles!H158</f>
        <v>2</v>
      </c>
    </row>
    <row r="160" spans="18:20" x14ac:dyDescent="0.25">
      <c r="R160" s="450">
        <v>159</v>
      </c>
      <c r="S160" s="397" t="str">
        <f>Goles!G159</f>
        <v xml:space="preserve">Sascha Gilch </v>
      </c>
      <c r="T160" s="397">
        <f>Goles!H159</f>
        <v>2</v>
      </c>
    </row>
    <row r="161" spans="18:20" x14ac:dyDescent="0.25">
      <c r="R161" s="450">
        <v>160</v>
      </c>
      <c r="S161" s="397" t="str">
        <f>Goles!G160</f>
        <v xml:space="preserve">Felipe Andrés Massarelli </v>
      </c>
      <c r="T161" s="397">
        <f>Goles!H160</f>
        <v>2</v>
      </c>
    </row>
    <row r="162" spans="18:20" x14ac:dyDescent="0.25">
      <c r="R162" s="450">
        <v>161</v>
      </c>
      <c r="S162" s="397" t="str">
        <f>Goles!G161</f>
        <v xml:space="preserve">Jurgen Muësen </v>
      </c>
      <c r="T162" s="397">
        <f>Goles!H161</f>
        <v>2</v>
      </c>
    </row>
    <row r="163" spans="18:20" x14ac:dyDescent="0.25">
      <c r="R163" s="450">
        <v>162</v>
      </c>
      <c r="S163" s="397" t="str">
        <f>Goles!G162</f>
        <v xml:space="preserve">Tijl van Hamburg </v>
      </c>
      <c r="T163" s="397">
        <f>Goles!H162</f>
        <v>2</v>
      </c>
    </row>
    <row r="164" spans="18:20" x14ac:dyDescent="0.25">
      <c r="R164" s="450">
        <v>163</v>
      </c>
      <c r="S164" s="397" t="str">
        <f>Goles!G163</f>
        <v xml:space="preserve">Aamos Vara </v>
      </c>
      <c r="T164" s="397">
        <f>Goles!H163</f>
        <v>2</v>
      </c>
    </row>
    <row r="165" spans="18:20" x14ac:dyDescent="0.25">
      <c r="R165" s="450">
        <v>164</v>
      </c>
      <c r="S165" s="397" t="str">
        <f>Goles!G164</f>
        <v xml:space="preserve">Karst van Gils </v>
      </c>
      <c r="T165" s="397">
        <f>Goles!H164</f>
        <v>2</v>
      </c>
    </row>
    <row r="166" spans="18:20" x14ac:dyDescent="0.25">
      <c r="R166" s="450">
        <v>165</v>
      </c>
      <c r="S166" s="397" t="str">
        <f>Goles!G165</f>
        <v xml:space="preserve">Fabien Goncalves </v>
      </c>
      <c r="T166" s="397">
        <f>Goles!H165</f>
        <v>2</v>
      </c>
    </row>
    <row r="167" spans="18:20" x14ac:dyDescent="0.25">
      <c r="R167" s="450">
        <v>166</v>
      </c>
      <c r="S167" s="397" t="str">
        <f>Goles!G166</f>
        <v xml:space="preserve">Cezary Pauch </v>
      </c>
      <c r="T167" s="397">
        <f>Goles!H166</f>
        <v>2</v>
      </c>
    </row>
    <row r="168" spans="18:20" x14ac:dyDescent="0.25">
      <c r="R168" s="450">
        <v>167</v>
      </c>
      <c r="S168" s="397" t="str">
        <f>Goles!G167</f>
        <v xml:space="preserve">Arkadiusz Dembek </v>
      </c>
      <c r="T168" s="397">
        <f>Goles!H167</f>
        <v>2</v>
      </c>
    </row>
    <row r="169" spans="18:20" x14ac:dyDescent="0.25">
      <c r="R169" s="450">
        <v>168</v>
      </c>
      <c r="S169" s="449" t="s">
        <v>1520</v>
      </c>
      <c r="T169" s="449">
        <v>2</v>
      </c>
    </row>
    <row r="170" spans="18:20" x14ac:dyDescent="0.25">
      <c r="R170" s="450">
        <v>169</v>
      </c>
      <c r="S170" s="397" t="str">
        <f>Goles!G168</f>
        <v xml:space="preserve">Marcin Lulewicz </v>
      </c>
      <c r="T170" s="397">
        <f>Goles!H168</f>
        <v>1</v>
      </c>
    </row>
    <row r="171" spans="18:20" x14ac:dyDescent="0.25">
      <c r="R171" s="450">
        <v>170</v>
      </c>
      <c r="S171" s="397" t="str">
        <f>Goles!G169</f>
        <v xml:space="preserve">Gregorio Manrique </v>
      </c>
      <c r="T171" s="397">
        <f>Goles!H169</f>
        <v>1</v>
      </c>
    </row>
    <row r="172" spans="18:20" x14ac:dyDescent="0.25">
      <c r="R172" s="450">
        <v>171</v>
      </c>
      <c r="S172" s="397" t="str">
        <f>Goles!G170</f>
        <v xml:space="preserve">Massimiliano Jula </v>
      </c>
      <c r="T172" s="397">
        <f>Goles!H170</f>
        <v>1</v>
      </c>
    </row>
    <row r="173" spans="18:20" x14ac:dyDescent="0.25">
      <c r="R173" s="450">
        <v>172</v>
      </c>
      <c r="S173" s="397" t="str">
        <f>Goles!G171</f>
        <v xml:space="preserve">Barnabás Borsányi </v>
      </c>
      <c r="T173" s="397">
        <f>Goles!H171</f>
        <v>1</v>
      </c>
    </row>
    <row r="174" spans="18:20" x14ac:dyDescent="0.25">
      <c r="R174" s="450">
        <v>173</v>
      </c>
      <c r="S174" s="397" t="str">
        <f>Goles!G172</f>
        <v xml:space="preserve">Serapio Castrelos </v>
      </c>
      <c r="T174" s="397">
        <f>Goles!H172</f>
        <v>1</v>
      </c>
    </row>
    <row r="175" spans="18:20" x14ac:dyDescent="0.25">
      <c r="R175" s="450">
        <v>174</v>
      </c>
      <c r="S175" s="397" t="str">
        <f>Goles!G173</f>
        <v xml:space="preserve">Dimitris Prokos </v>
      </c>
      <c r="T175" s="397">
        <f>Goles!H173</f>
        <v>1</v>
      </c>
    </row>
    <row r="176" spans="18:20" x14ac:dyDescent="0.25">
      <c r="R176" s="450">
        <v>175</v>
      </c>
      <c r="S176" s="397" t="str">
        <f>Goles!G174</f>
        <v xml:space="preserve">Alfonso Londoño </v>
      </c>
      <c r="T176" s="397">
        <f>Goles!H174</f>
        <v>1</v>
      </c>
    </row>
    <row r="177" spans="18:20" x14ac:dyDescent="0.25">
      <c r="R177" s="450">
        <v>176</v>
      </c>
      <c r="S177" s="397" t="str">
        <f>Goles!G175</f>
        <v xml:space="preserve">José Luis Valdés Saavedra </v>
      </c>
      <c r="T177" s="397">
        <f>Goles!H175</f>
        <v>1</v>
      </c>
    </row>
    <row r="178" spans="18:20" x14ac:dyDescent="0.25">
      <c r="R178" s="450">
        <v>177</v>
      </c>
      <c r="S178" s="397" t="str">
        <f>Goles!G176</f>
        <v xml:space="preserve">Francesc Giró </v>
      </c>
      <c r="T178" s="397">
        <f>Goles!H176</f>
        <v>1</v>
      </c>
    </row>
    <row r="179" spans="18:20" x14ac:dyDescent="0.25">
      <c r="R179" s="450">
        <v>178</v>
      </c>
      <c r="S179" s="397" t="str">
        <f>Goles!G177</f>
        <v xml:space="preserve">Ludovic Gygax </v>
      </c>
      <c r="T179" s="397">
        <f>Goles!H177</f>
        <v>1</v>
      </c>
    </row>
    <row r="180" spans="18:20" x14ac:dyDescent="0.25">
      <c r="R180" s="450">
        <v>179</v>
      </c>
      <c r="S180" s="397" t="str">
        <f>Goles!G178</f>
        <v xml:space="preserve">Hjalte Egede </v>
      </c>
      <c r="T180" s="397">
        <f>Goles!H178</f>
        <v>1</v>
      </c>
    </row>
    <row r="181" spans="18:20" x14ac:dyDescent="0.25">
      <c r="R181" s="450">
        <v>180</v>
      </c>
      <c r="S181" s="397" t="str">
        <f>Goles!G179</f>
        <v xml:space="preserve">Steve Mckinnon </v>
      </c>
      <c r="T181" s="397">
        <f>Goles!H179</f>
        <v>1</v>
      </c>
    </row>
    <row r="182" spans="18:20" x14ac:dyDescent="0.25">
      <c r="R182" s="450">
        <v>181</v>
      </c>
      <c r="S182" s="397" t="str">
        <f>Goles!G180</f>
        <v xml:space="preserve">Olli Rambow </v>
      </c>
      <c r="T182" s="397">
        <f>Goles!H180</f>
        <v>1</v>
      </c>
    </row>
    <row r="183" spans="18:20" x14ac:dyDescent="0.25">
      <c r="R183" s="450">
        <v>182</v>
      </c>
      <c r="S183" s="397" t="str">
        <f>Goles!G181</f>
        <v xml:space="preserve">Jan Jessen </v>
      </c>
      <c r="T183" s="397">
        <f>Goles!H181</f>
        <v>1</v>
      </c>
    </row>
    <row r="184" spans="18:20" x14ac:dyDescent="0.25">
      <c r="R184" s="450">
        <v>183</v>
      </c>
      <c r="S184" s="397" t="str">
        <f>Goles!G182</f>
        <v xml:space="preserve">Alexander Pahl </v>
      </c>
      <c r="T184" s="397">
        <f>Goles!H182</f>
        <v>1</v>
      </c>
    </row>
    <row r="185" spans="18:20" x14ac:dyDescent="0.25">
      <c r="R185" s="450">
        <v>184</v>
      </c>
      <c r="S185" s="397" t="str">
        <f>Goles!G183</f>
        <v xml:space="preserve">Morgan Gomes </v>
      </c>
      <c r="T185" s="397">
        <f>Goles!H183</f>
        <v>1</v>
      </c>
    </row>
    <row r="186" spans="18:20" x14ac:dyDescent="0.25">
      <c r="R186" s="450">
        <v>185</v>
      </c>
      <c r="S186" s="397" t="str">
        <f>Goles!G184</f>
        <v xml:space="preserve">Dan Lindgren </v>
      </c>
      <c r="T186" s="397">
        <f>Goles!H184</f>
        <v>1</v>
      </c>
    </row>
    <row r="187" spans="18:20" x14ac:dyDescent="0.25">
      <c r="R187" s="450">
        <v>186</v>
      </c>
      <c r="S187" s="397" t="str">
        <f>Goles!G185</f>
        <v xml:space="preserve">José Manuel Carneiro </v>
      </c>
      <c r="T187" s="397">
        <f>Goles!H185</f>
        <v>1</v>
      </c>
    </row>
    <row r="188" spans="18:20" x14ac:dyDescent="0.25">
      <c r="R188" s="450">
        <v>187</v>
      </c>
      <c r="S188" s="397" t="str">
        <f>Goles!G186</f>
        <v xml:space="preserve">Adolfo Vitulli </v>
      </c>
      <c r="T188" s="397">
        <f>Goles!H186</f>
        <v>1</v>
      </c>
    </row>
    <row r="189" spans="18:20" x14ac:dyDescent="0.25">
      <c r="R189" s="450">
        <v>188</v>
      </c>
      <c r="S189" s="397" t="str">
        <f>Goles!G187</f>
        <v xml:space="preserve">Zbyšek Hamrozi </v>
      </c>
      <c r="T189" s="397">
        <f>Goles!H187</f>
        <v>1</v>
      </c>
    </row>
    <row r="190" spans="18:20" x14ac:dyDescent="0.25">
      <c r="R190" s="450">
        <v>189</v>
      </c>
      <c r="S190" s="397" t="str">
        <f>Goles!G188</f>
        <v xml:space="preserve">Gawel Nanowski </v>
      </c>
      <c r="T190" s="397">
        <f>Goles!H188</f>
        <v>1</v>
      </c>
    </row>
    <row r="191" spans="18:20" x14ac:dyDescent="0.25">
      <c r="R191" s="450">
        <v>190</v>
      </c>
      <c r="S191" s="397" t="str">
        <f>Goles!G189</f>
        <v xml:space="preserve">Ludvig Andreasson </v>
      </c>
      <c r="T191" s="397">
        <f>Goles!H189</f>
        <v>1</v>
      </c>
    </row>
    <row r="192" spans="18:20" x14ac:dyDescent="0.25">
      <c r="R192" s="450">
        <v>191</v>
      </c>
      <c r="S192" s="397" t="str">
        <f>Goles!G190</f>
        <v xml:space="preserve">Pieter Pelleboer </v>
      </c>
      <c r="T192" s="397">
        <f>Goles!H190</f>
        <v>1</v>
      </c>
    </row>
    <row r="193" spans="18:20" x14ac:dyDescent="0.25">
      <c r="R193" s="450">
        <v>192</v>
      </c>
      <c r="S193" s="397" t="str">
        <f>Goles!G191</f>
        <v xml:space="preserve">Luigi Tripodo </v>
      </c>
      <c r="T193" s="397">
        <f>Goles!H191</f>
        <v>1</v>
      </c>
    </row>
    <row r="194" spans="18:20" x14ac:dyDescent="0.25">
      <c r="R194" s="450">
        <v>193</v>
      </c>
      <c r="S194" s="397" t="str">
        <f>Goles!G192</f>
        <v xml:space="preserve">Seran Aranguren </v>
      </c>
      <c r="T194" s="397">
        <f>Goles!H192</f>
        <v>1</v>
      </c>
    </row>
    <row r="195" spans="18:20" x14ac:dyDescent="0.25">
      <c r="R195" s="450">
        <v>194</v>
      </c>
      <c r="S195" s="397" t="str">
        <f>Goles!G193</f>
        <v xml:space="preserve">Finlay MacGrory </v>
      </c>
      <c r="T195" s="397">
        <f>Goles!H193</f>
        <v>1</v>
      </c>
    </row>
    <row r="196" spans="18:20" x14ac:dyDescent="0.25">
      <c r="R196" s="450">
        <v>195</v>
      </c>
      <c r="S196" s="397" t="str">
        <f>Goles!G194</f>
        <v xml:space="preserve">Gustaw Bugajski </v>
      </c>
      <c r="T196" s="397">
        <f>Goles!H194</f>
        <v>1</v>
      </c>
    </row>
    <row r="197" spans="18:20" x14ac:dyDescent="0.25">
      <c r="R197" s="450">
        <v>196</v>
      </c>
      <c r="S197" s="397" t="str">
        <f>Goles!G195</f>
        <v xml:space="preserve">Ryan Clarke </v>
      </c>
      <c r="T197" s="397">
        <f>Goles!H195</f>
        <v>1</v>
      </c>
    </row>
    <row r="198" spans="18:20" x14ac:dyDescent="0.25">
      <c r="R198" s="450">
        <v>197</v>
      </c>
      <c r="S198" s="397" t="str">
        <f>Goles!G196</f>
        <v xml:space="preserve">Andres Kalvet </v>
      </c>
      <c r="T198" s="397">
        <f>Goles!H196</f>
        <v>1</v>
      </c>
    </row>
    <row r="199" spans="18:20" x14ac:dyDescent="0.25">
      <c r="R199" s="450">
        <v>198</v>
      </c>
      <c r="S199" s="397" t="str">
        <f>Goles!G197</f>
        <v xml:space="preserve">Catalin Corobea </v>
      </c>
      <c r="T199" s="397">
        <f>Goles!H197</f>
        <v>1</v>
      </c>
    </row>
    <row r="200" spans="18:20" x14ac:dyDescent="0.25">
      <c r="R200" s="450">
        <v>199</v>
      </c>
      <c r="S200" s="397" t="str">
        <f>Goles!G198</f>
        <v xml:space="preserve">Andrea Chiu </v>
      </c>
      <c r="T200" s="397">
        <f>Goles!H198</f>
        <v>1</v>
      </c>
    </row>
    <row r="201" spans="18:20" x14ac:dyDescent="0.25">
      <c r="R201" s="450">
        <v>200</v>
      </c>
      <c r="S201" s="400" t="s">
        <v>1585</v>
      </c>
      <c r="T201" s="400">
        <v>1</v>
      </c>
    </row>
    <row r="202" spans="18:20" x14ac:dyDescent="0.25">
      <c r="R202" s="450">
        <v>201</v>
      </c>
      <c r="S202" s="400" t="s">
        <v>1600</v>
      </c>
      <c r="T202" s="400">
        <v>1</v>
      </c>
    </row>
    <row r="203" spans="18:20" x14ac:dyDescent="0.25">
      <c r="R203" s="43"/>
      <c r="S203" s="397"/>
      <c r="T203" s="397"/>
    </row>
    <row r="204" spans="18:20" x14ac:dyDescent="0.25">
      <c r="R204" s="43"/>
      <c r="S204" s="397"/>
      <c r="T204" s="397"/>
    </row>
    <row r="205" spans="18:20" x14ac:dyDescent="0.25">
      <c r="R205" s="43"/>
      <c r="S205" s="397"/>
      <c r="T205" s="397"/>
    </row>
    <row r="206" spans="18:20" x14ac:dyDescent="0.25">
      <c r="R206" s="43"/>
      <c r="S206" s="397"/>
      <c r="T206" s="397"/>
    </row>
    <row r="207" spans="18:20" x14ac:dyDescent="0.25">
      <c r="R207" s="43"/>
      <c r="S207" s="397"/>
      <c r="T207" s="397"/>
    </row>
    <row r="208" spans="18:20" x14ac:dyDescent="0.25">
      <c r="R208" s="43"/>
      <c r="S208" s="397"/>
      <c r="T208" s="397"/>
    </row>
    <row r="209" spans="18:20" x14ac:dyDescent="0.25">
      <c r="R209" s="43"/>
      <c r="S209" s="397"/>
      <c r="T209" s="397"/>
    </row>
    <row r="210" spans="18:20" x14ac:dyDescent="0.25">
      <c r="R210" s="43"/>
      <c r="S210" s="397"/>
      <c r="T210" s="397"/>
    </row>
    <row r="211" spans="18:20" x14ac:dyDescent="0.25">
      <c r="R211" s="43"/>
      <c r="S211" s="397"/>
      <c r="T211" s="397"/>
    </row>
    <row r="212" spans="18:20" x14ac:dyDescent="0.25">
      <c r="R212" s="43"/>
      <c r="S212" s="397"/>
      <c r="T212" s="397"/>
    </row>
    <row r="213" spans="18:20" x14ac:dyDescent="0.25">
      <c r="R213" s="43"/>
      <c r="S213" s="397"/>
      <c r="T213" s="397"/>
    </row>
    <row r="214" spans="18:20" x14ac:dyDescent="0.25">
      <c r="R214" s="43"/>
      <c r="S214" s="397"/>
      <c r="T214" s="397"/>
    </row>
    <row r="215" spans="18:20" x14ac:dyDescent="0.25">
      <c r="R215" s="43"/>
      <c r="S215" s="397"/>
      <c r="T215" s="397"/>
    </row>
    <row r="216" spans="18:20" x14ac:dyDescent="0.25">
      <c r="R216" s="43"/>
      <c r="S216" s="397"/>
      <c r="T216" s="397"/>
    </row>
    <row r="217" spans="18:20" x14ac:dyDescent="0.25">
      <c r="R217" s="43"/>
      <c r="S217" s="397"/>
      <c r="T217" s="397"/>
    </row>
    <row r="218" spans="18:20" x14ac:dyDescent="0.25">
      <c r="R218" s="43"/>
      <c r="S218" s="397"/>
      <c r="T218" s="397"/>
    </row>
    <row r="219" spans="18:20" x14ac:dyDescent="0.25">
      <c r="R219" s="43"/>
      <c r="S219" s="397"/>
      <c r="T219" s="397"/>
    </row>
    <row r="220" spans="18:20" x14ac:dyDescent="0.25">
      <c r="R220" s="43"/>
      <c r="S220" s="397"/>
      <c r="T220" s="397"/>
    </row>
    <row r="221" spans="18:20" x14ac:dyDescent="0.25">
      <c r="R221" s="43"/>
      <c r="S221" s="397"/>
      <c r="T221" s="397"/>
    </row>
    <row r="222" spans="18:20" x14ac:dyDescent="0.25">
      <c r="R222" s="43"/>
      <c r="S222" s="397"/>
      <c r="T222" s="397"/>
    </row>
    <row r="223" spans="18:20" x14ac:dyDescent="0.25">
      <c r="R223" s="43"/>
      <c r="S223" s="397"/>
      <c r="T223" s="397"/>
    </row>
    <row r="224" spans="18:20" x14ac:dyDescent="0.25">
      <c r="R224" s="43"/>
      <c r="S224" s="397"/>
      <c r="T224" s="397"/>
    </row>
    <row r="225" spans="18:20" x14ac:dyDescent="0.25">
      <c r="R225" s="43"/>
      <c r="S225" s="397"/>
      <c r="T225" s="397"/>
    </row>
    <row r="226" spans="18:20" x14ac:dyDescent="0.25">
      <c r="R226" s="43"/>
      <c r="S226" s="397"/>
      <c r="T226" s="397"/>
    </row>
    <row r="227" spans="18:20" x14ac:dyDescent="0.25">
      <c r="R227" s="43"/>
      <c r="S227" s="397"/>
      <c r="T227" s="397"/>
    </row>
  </sheetData>
  <mergeCells count="3">
    <mergeCell ref="B8:C8"/>
    <mergeCell ref="G1:H1"/>
    <mergeCell ref="O1:P1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A377-A013-4F17-9C57-4398D501FAD7}">
  <sheetPr>
    <tabColor rgb="FF7030A0"/>
  </sheetPr>
  <dimension ref="A1:D9"/>
  <sheetViews>
    <sheetView workbookViewId="0">
      <selection activeCell="B16" sqref="B16"/>
    </sheetView>
  </sheetViews>
  <sheetFormatPr baseColWidth="10" defaultRowHeight="15" x14ac:dyDescent="0.25"/>
  <cols>
    <col min="1" max="1" width="21.5703125" bestFit="1" customWidth="1"/>
    <col min="2" max="2" width="112.5703125" bestFit="1" customWidth="1"/>
    <col min="3" max="3" width="6.28515625" bestFit="1" customWidth="1"/>
    <col min="4" max="4" width="6.85546875" bestFit="1" customWidth="1"/>
  </cols>
  <sheetData>
    <row r="1" spans="1:4" x14ac:dyDescent="0.25">
      <c r="A1" t="s">
        <v>1502</v>
      </c>
      <c r="B1" s="401">
        <v>44377</v>
      </c>
      <c r="C1" s="42"/>
    </row>
    <row r="2" spans="1:4" x14ac:dyDescent="0.25">
      <c r="A2" t="s">
        <v>1503</v>
      </c>
      <c r="B2" s="401">
        <v>44392</v>
      </c>
      <c r="C2" s="42"/>
    </row>
    <row r="3" spans="1:4" x14ac:dyDescent="0.25">
      <c r="C3" s="42"/>
    </row>
    <row r="4" spans="1:4" x14ac:dyDescent="0.25">
      <c r="A4" s="41" t="s">
        <v>1504</v>
      </c>
      <c r="B4" s="41" t="s">
        <v>1505</v>
      </c>
      <c r="C4" s="43" t="s">
        <v>1506</v>
      </c>
      <c r="D4" s="43" t="s">
        <v>1507</v>
      </c>
    </row>
    <row r="5" spans="1:4" x14ac:dyDescent="0.25">
      <c r="A5" t="s">
        <v>1508</v>
      </c>
      <c r="B5" t="s">
        <v>1509</v>
      </c>
      <c r="C5" s="42">
        <v>1</v>
      </c>
      <c r="D5" s="42">
        <v>4</v>
      </c>
    </row>
    <row r="6" spans="1:4" x14ac:dyDescent="0.25">
      <c r="A6" t="s">
        <v>1510</v>
      </c>
      <c r="B6" t="s">
        <v>1511</v>
      </c>
      <c r="C6" s="42">
        <v>0</v>
      </c>
      <c r="D6" s="42">
        <v>1</v>
      </c>
    </row>
    <row r="7" spans="1:4" x14ac:dyDescent="0.25">
      <c r="A7" t="s">
        <v>1512</v>
      </c>
      <c r="B7" t="s">
        <v>1513</v>
      </c>
      <c r="C7" s="42">
        <v>0</v>
      </c>
      <c r="D7" s="42">
        <v>2</v>
      </c>
    </row>
    <row r="8" spans="1:4" x14ac:dyDescent="0.25">
      <c r="A8" t="s">
        <v>1514</v>
      </c>
      <c r="B8" t="s">
        <v>1515</v>
      </c>
      <c r="C8" s="42">
        <v>0</v>
      </c>
      <c r="D8" s="42">
        <v>2</v>
      </c>
    </row>
    <row r="9" spans="1:4" x14ac:dyDescent="0.25">
      <c r="A9" t="s">
        <v>1516</v>
      </c>
      <c r="B9" t="s">
        <v>1517</v>
      </c>
      <c r="C9" s="402" t="s">
        <v>1518</v>
      </c>
      <c r="D9" s="402" t="s">
        <v>1519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28"/>
  <sheetViews>
    <sheetView zoomScale="110" zoomScaleNormal="110" workbookViewId="0">
      <pane xSplit="4" ySplit="3" topLeftCell="E4" activePane="bottomRight" state="frozen"/>
      <selection pane="topRight"/>
      <selection pane="bottomLeft"/>
      <selection pane="bottomRight" activeCell="G13" sqref="G13"/>
    </sheetView>
  </sheetViews>
  <sheetFormatPr baseColWidth="10" defaultColWidth="9.140625" defaultRowHeight="15" x14ac:dyDescent="0.25"/>
  <cols>
    <col min="1" max="1" width="3.5703125" style="243" customWidth="1"/>
    <col min="2" max="2" width="8" style="42" customWidth="1"/>
    <col min="3" max="3" width="5.28515625" customWidth="1"/>
    <col min="4" max="4" width="19.85546875" bestFit="1" customWidth="1"/>
    <col min="5" max="5" width="5.5703125" customWidth="1"/>
    <col min="6" max="6" width="5" customWidth="1"/>
    <col min="7" max="7" width="4.5703125" bestFit="1" customWidth="1"/>
    <col min="8" max="8" width="3.7109375" bestFit="1" customWidth="1"/>
    <col min="9" max="9" width="4.42578125" bestFit="1" customWidth="1"/>
    <col min="10" max="12" width="4.85546875" bestFit="1" customWidth="1"/>
    <col min="13" max="13" width="10.5703125" bestFit="1" customWidth="1"/>
    <col min="14" max="14" width="4.5703125" bestFit="1" customWidth="1"/>
    <col min="15" max="15" width="4.28515625" bestFit="1" customWidth="1"/>
    <col min="16" max="16" width="5.140625" bestFit="1" customWidth="1"/>
    <col min="17" max="17" width="4.140625" bestFit="1" customWidth="1"/>
    <col min="18" max="19" width="5.7109375" bestFit="1" customWidth="1"/>
    <col min="20" max="20" width="12.140625" bestFit="1" customWidth="1"/>
    <col min="21" max="22" width="10.5703125" bestFit="1" customWidth="1"/>
    <col min="23" max="23" width="7.5703125" bestFit="1" customWidth="1"/>
    <col min="24" max="30" width="6.42578125" bestFit="1" customWidth="1"/>
    <col min="31" max="31" width="8.5703125" bestFit="1" customWidth="1"/>
    <col min="32" max="32" width="6.5703125" bestFit="1" customWidth="1"/>
    <col min="33" max="38" width="7" bestFit="1" customWidth="1"/>
    <col min="39" max="39" width="7.5703125" bestFit="1" customWidth="1"/>
    <col min="40" max="41" width="3.42578125" bestFit="1" customWidth="1"/>
    <col min="42" max="42" width="3.5703125" bestFit="1" customWidth="1"/>
    <col min="43" max="43" width="5.28515625" bestFit="1" customWidth="1"/>
    <col min="44" max="44" width="7.140625" bestFit="1" customWidth="1"/>
    <col min="45" max="45" width="13.140625" bestFit="1" customWidth="1"/>
    <col min="46" max="46" width="10.7109375" bestFit="1" customWidth="1"/>
    <col min="47" max="51" width="10" customWidth="1"/>
  </cols>
  <sheetData>
    <row r="1" spans="1:46" x14ac:dyDescent="0.25">
      <c r="D1" s="23">
        <v>42268</v>
      </c>
    </row>
    <row r="2" spans="1:46" x14ac:dyDescent="0.25">
      <c r="D2" s="23">
        <f ca="1">TODAY()</f>
        <v>44537</v>
      </c>
      <c r="I2" s="24">
        <f>AVERAGE(I4:I20)</f>
        <v>9.0647058823529427</v>
      </c>
      <c r="J2" s="24"/>
      <c r="N2" s="27">
        <f ca="1">AVERAGE(N4:N20)</f>
        <v>0.95494499330711846</v>
      </c>
      <c r="O2" s="24">
        <f>AVERAGE(O4:O20)</f>
        <v>7.1294117647058828</v>
      </c>
      <c r="Q2" s="24">
        <f>AVERAGE(Q4:Q20)</f>
        <v>5.0588235294117645</v>
      </c>
      <c r="R2" s="2">
        <f>AVERAGE(R4:R20)</f>
        <v>0.8478853129861591</v>
      </c>
      <c r="S2" s="2">
        <f>AVERAGE(S4:S20)</f>
        <v>0.92788518207145765</v>
      </c>
      <c r="T2" s="28">
        <f>SUM(T4:T20)</f>
        <v>2433550</v>
      </c>
      <c r="U2" s="28">
        <f>SUM(U4:U20)</f>
        <v>-25070</v>
      </c>
      <c r="V2" s="28">
        <f>SUM(V4:V20)</f>
        <v>372802</v>
      </c>
      <c r="W2" s="29">
        <f>T2/V2</f>
        <v>6.5277278555372558</v>
      </c>
      <c r="AD2" s="27">
        <f>AVERAGE(AD5:AD20)</f>
        <v>13.958333333333334</v>
      </c>
      <c r="AE2" s="25"/>
      <c r="AF2" s="24"/>
      <c r="AM2" s="24"/>
      <c r="AN2" s="24"/>
      <c r="AO2" s="24"/>
      <c r="AP2" s="24"/>
    </row>
    <row r="3" spans="1:46" x14ac:dyDescent="0.25">
      <c r="A3" s="242" t="s">
        <v>104</v>
      </c>
      <c r="B3" s="13" t="s">
        <v>105</v>
      </c>
      <c r="C3" s="14" t="s">
        <v>106</v>
      </c>
      <c r="D3" s="15" t="s">
        <v>107</v>
      </c>
      <c r="E3" s="13" t="s">
        <v>108</v>
      </c>
      <c r="F3" s="13" t="s">
        <v>109</v>
      </c>
      <c r="G3" s="13" t="s">
        <v>110</v>
      </c>
      <c r="H3" s="13" t="s">
        <v>111</v>
      </c>
      <c r="I3" s="13" t="s">
        <v>112</v>
      </c>
      <c r="J3" s="13" t="s">
        <v>113</v>
      </c>
      <c r="K3" s="16" t="s">
        <v>114</v>
      </c>
      <c r="L3" s="16" t="s">
        <v>115</v>
      </c>
      <c r="M3" s="13" t="s">
        <v>116</v>
      </c>
      <c r="N3" s="13" t="s">
        <v>117</v>
      </c>
      <c r="O3" s="13" t="s">
        <v>118</v>
      </c>
      <c r="P3" s="13" t="s">
        <v>119</v>
      </c>
      <c r="Q3" s="13" t="s">
        <v>120</v>
      </c>
      <c r="R3" s="39" t="s">
        <v>121</v>
      </c>
      <c r="S3" s="39" t="s">
        <v>122</v>
      </c>
      <c r="T3" s="13" t="s">
        <v>123</v>
      </c>
      <c r="U3" s="13" t="s">
        <v>124</v>
      </c>
      <c r="V3" s="13" t="s">
        <v>125</v>
      </c>
      <c r="W3" s="13" t="s">
        <v>126</v>
      </c>
      <c r="X3" s="13" t="s">
        <v>127</v>
      </c>
      <c r="Y3" s="13" t="s">
        <v>128</v>
      </c>
      <c r="Z3" s="13" t="s">
        <v>129</v>
      </c>
      <c r="AA3" s="13" t="s">
        <v>130</v>
      </c>
      <c r="AB3" s="13" t="s">
        <v>131</v>
      </c>
      <c r="AC3" s="13" t="s">
        <v>132</v>
      </c>
      <c r="AD3" s="13" t="s">
        <v>110</v>
      </c>
      <c r="AE3" s="13" t="s">
        <v>134</v>
      </c>
      <c r="AF3" s="17" t="s">
        <v>135</v>
      </c>
      <c r="AG3" s="17" t="s">
        <v>136</v>
      </c>
      <c r="AH3" s="17" t="s">
        <v>137</v>
      </c>
      <c r="AI3" s="17" t="s">
        <v>138</v>
      </c>
      <c r="AJ3" s="17" t="s">
        <v>139</v>
      </c>
      <c r="AK3" s="17" t="s">
        <v>140</v>
      </c>
      <c r="AL3" s="17" t="s">
        <v>141</v>
      </c>
      <c r="AM3" s="17" t="s">
        <v>142</v>
      </c>
      <c r="AN3" s="13" t="s">
        <v>143</v>
      </c>
      <c r="AO3" s="13" t="s">
        <v>144</v>
      </c>
      <c r="AP3" s="13" t="s">
        <v>145</v>
      </c>
      <c r="AQ3" s="13" t="s">
        <v>146</v>
      </c>
      <c r="AR3" s="283" t="s">
        <v>147</v>
      </c>
      <c r="AS3" s="284" t="s">
        <v>490</v>
      </c>
      <c r="AT3" s="284" t="s">
        <v>757</v>
      </c>
    </row>
    <row r="4" spans="1:46" x14ac:dyDescent="0.25">
      <c r="A4" s="244" t="s">
        <v>148</v>
      </c>
      <c r="B4" s="49" t="s">
        <v>149</v>
      </c>
      <c r="C4" s="196">
        <f t="shared" ref="C4:C20" ca="1" si="0">((36*112)-(E4*112)-(F4))/112</f>
        <v>5.5357142857142856</v>
      </c>
      <c r="D4" s="95" t="s">
        <v>9</v>
      </c>
      <c r="E4" s="4">
        <v>30</v>
      </c>
      <c r="F4" s="5">
        <f ca="1">$D$2-$D$1-1097-112-112-112-112-112-112-112-112-112-112</f>
        <v>52</v>
      </c>
      <c r="G4" s="6"/>
      <c r="H4" s="7">
        <v>4</v>
      </c>
      <c r="I4" s="8">
        <v>12</v>
      </c>
      <c r="J4" s="21">
        <f t="shared" ref="J4:J20" si="1">LOG(I4)*4/3</f>
        <v>1.4389083280634998</v>
      </c>
      <c r="K4" s="9">
        <f t="shared" ref="K4:K20" si="2">(H4)*(H4)*(I4)</f>
        <v>192</v>
      </c>
      <c r="L4" s="9">
        <f t="shared" ref="L4:L20" si="3">(H4+1)*(H4+1)*I4</f>
        <v>300</v>
      </c>
      <c r="M4" s="62">
        <v>43415</v>
      </c>
      <c r="N4" s="63">
        <f t="shared" ref="N4:N12" ca="1" si="4">IF((TODAY()-M4)&gt;335,1,((TODAY()-M4)^0.64)/(336^0.64))</f>
        <v>1</v>
      </c>
      <c r="O4" s="19">
        <v>7.4</v>
      </c>
      <c r="P4" s="20">
        <f t="shared" ref="P4:P20" si="5">O4*10+19</f>
        <v>93</v>
      </c>
      <c r="Q4" s="20">
        <v>6</v>
      </c>
      <c r="R4" s="57">
        <f t="shared" ref="R4:R20" si="6">(Q4/7)^0.5</f>
        <v>0.92582009977255142</v>
      </c>
      <c r="S4" s="57">
        <f t="shared" ref="S4:S20" si="7">IF(Q4=7,1,((Q4+0.99)/7)^0.5)</f>
        <v>0.99928545900129484</v>
      </c>
      <c r="T4" s="10">
        <v>72990</v>
      </c>
      <c r="U4" s="10">
        <f t="shared" ref="U4:U20" si="8">T4-AR4</f>
        <v>1370</v>
      </c>
      <c r="V4" s="10">
        <v>27020</v>
      </c>
      <c r="W4" s="11">
        <f t="shared" ref="W4:W20" si="9">T4/V4</f>
        <v>2.7013323464100667</v>
      </c>
      <c r="X4" s="263">
        <v>15</v>
      </c>
      <c r="Y4" s="21">
        <f>13+3/14</f>
        <v>13.214285714285714</v>
      </c>
      <c r="Z4" s="263">
        <v>0</v>
      </c>
      <c r="AA4" s="21">
        <v>2</v>
      </c>
      <c r="AB4" s="263">
        <v>1</v>
      </c>
      <c r="AC4" s="21">
        <v>1</v>
      </c>
      <c r="AD4" s="263">
        <v>18</v>
      </c>
      <c r="AE4" s="12">
        <v>1514</v>
      </c>
      <c r="AF4" s="11">
        <f t="shared" ref="AF4:AF20" ca="1" si="10">(((Y4+LOG(I4)*4/3+N4)+(AB4+LOG(I4)*4/3+N4)*2)/8)*(Q4/7)^0.5</f>
        <v>2.6074578216049589</v>
      </c>
      <c r="AG4" s="22">
        <f t="shared" ref="AG4:AG20" ca="1" si="11">(Y4+J4+N4)*(Q4/7)^0.5</f>
        <v>14.492041670046856</v>
      </c>
      <c r="AH4" s="22">
        <f t="shared" ref="AH4:AH20" ca="1" si="12">(Y4+J4+N4)*(IF(Q4=7,(Q4/7)^0.5,((Q4+1)/7)^0.5))</f>
        <v>15.653194042349213</v>
      </c>
      <c r="AI4" s="22">
        <f t="shared" ref="AI4:AI20" ca="1" si="13">(Z4+N4+(LOG(I4)*4/3))*(Q4/7)^0.5</f>
        <v>2.2579903516238558</v>
      </c>
      <c r="AJ4" s="22">
        <f t="shared" ref="AJ4:AJ20" ca="1" si="14">(Z4+N4+(LOG(I4)*4/3))*(IF(Q4=7,(Q4/7)^0.5,((Q4+1)/7)^0.5))</f>
        <v>2.4389083280634996</v>
      </c>
      <c r="AK4" s="22">
        <f t="shared" ref="AK4:AK20" ca="1" si="15">(AD4+1+(LOG(I4)*4/3)+N4)*(Q4/7)^0.5</f>
        <v>19.848572247302336</v>
      </c>
      <c r="AL4" s="22">
        <f t="shared" ref="AL4:AL20" ca="1" si="16">(AD4+1+N4+(LOG(I4)*4/3))*(IF(Q4=7,(Q4/7)^0.5,((Q4+1)/7)^0.5))</f>
        <v>21.438908328063501</v>
      </c>
      <c r="AM4" s="11">
        <f t="shared" ref="AM4:AM20" ca="1" si="17">(AD4+LOG(I4)*4/3+N4)*0.7+(AC4+LOG(I4)*4/3+N4)*0.3</f>
        <v>15.3389083280635</v>
      </c>
      <c r="AN4" s="20">
        <v>1</v>
      </c>
      <c r="AO4" s="20">
        <v>3</v>
      </c>
      <c r="AP4" s="20">
        <v>2</v>
      </c>
      <c r="AQ4" s="57">
        <f t="shared" ref="AQ4:AQ20" si="18">IF(AO4=4,IF(AP4=0,0.137+0.0697,0.137+0.02),IF(AO4=3,IF(AP4=0,0.0958+0.0697,0.0958+0.02),IF(AO4=2,IF(AP4=0,0.0415+0.0697,0.0415+0.02),IF(AO4=1,IF(AP4=0,0.0294+0.0697,0.0294+0.02),IF(AO4=0,IF(AP4=0,0.0063+0.0697,0.0063+0.02))))))</f>
        <v>0.1158</v>
      </c>
      <c r="AR4" s="10">
        <v>71620</v>
      </c>
      <c r="AS4" s="285">
        <v>7000000</v>
      </c>
      <c r="AT4" s="286" t="s">
        <v>758</v>
      </c>
    </row>
    <row r="5" spans="1:46" x14ac:dyDescent="0.25">
      <c r="A5" s="244" t="s">
        <v>150</v>
      </c>
      <c r="B5" s="49" t="s">
        <v>149</v>
      </c>
      <c r="C5" s="196">
        <f t="shared" ca="1" si="0"/>
        <v>5.3125</v>
      </c>
      <c r="D5" s="308" t="s">
        <v>61</v>
      </c>
      <c r="E5" s="4">
        <v>30</v>
      </c>
      <c r="F5" s="5">
        <f ca="1">$D$2-$D$1-880+32-112-112-112-112-112-112-112-112-112-112-112-112</f>
        <v>77</v>
      </c>
      <c r="G5" s="6"/>
      <c r="H5" s="91">
        <v>5</v>
      </c>
      <c r="I5" s="8">
        <v>2.2999999999999998</v>
      </c>
      <c r="J5" s="21">
        <f t="shared" si="1"/>
        <v>0.48230378135679047</v>
      </c>
      <c r="K5" s="9">
        <f t="shared" si="2"/>
        <v>57.499999999999993</v>
      </c>
      <c r="L5" s="9">
        <f t="shared" si="3"/>
        <v>82.8</v>
      </c>
      <c r="M5" s="62">
        <v>43190</v>
      </c>
      <c r="N5" s="63">
        <f t="shared" ca="1" si="4"/>
        <v>1</v>
      </c>
      <c r="O5" s="19">
        <v>6.7</v>
      </c>
      <c r="P5" s="20">
        <f t="shared" si="5"/>
        <v>86</v>
      </c>
      <c r="Q5" s="20">
        <v>4</v>
      </c>
      <c r="R5" s="57">
        <f t="shared" si="6"/>
        <v>0.7559289460184544</v>
      </c>
      <c r="S5" s="57">
        <f t="shared" si="7"/>
        <v>0.84430867747355465</v>
      </c>
      <c r="T5" s="350">
        <v>280</v>
      </c>
      <c r="U5" s="10">
        <f t="shared" si="8"/>
        <v>0</v>
      </c>
      <c r="V5" s="10">
        <v>1030</v>
      </c>
      <c r="W5" s="11">
        <f t="shared" si="9"/>
        <v>0.27184466019417475</v>
      </c>
      <c r="X5" s="263">
        <v>6</v>
      </c>
      <c r="Y5" s="21">
        <f>6+0/5</f>
        <v>6</v>
      </c>
      <c r="Z5" s="263">
        <v>0</v>
      </c>
      <c r="AA5" s="21">
        <v>3</v>
      </c>
      <c r="AB5" s="263">
        <v>1</v>
      </c>
      <c r="AC5" s="21">
        <v>1</v>
      </c>
      <c r="AD5" s="263">
        <v>6</v>
      </c>
      <c r="AE5" s="12">
        <v>378</v>
      </c>
      <c r="AF5" s="11">
        <f t="shared" ca="1" si="10"/>
        <v>1.1761225716885324</v>
      </c>
      <c r="AG5" s="22">
        <f t="shared" ca="1" si="11"/>
        <v>5.6560900112309342</v>
      </c>
      <c r="AH5" s="22">
        <f t="shared" ca="1" si="12"/>
        <v>6.3237008759849598</v>
      </c>
      <c r="AI5" s="22">
        <f t="shared" ca="1" si="13"/>
        <v>1.1205163351202081</v>
      </c>
      <c r="AJ5" s="22">
        <f t="shared" ca="1" si="14"/>
        <v>1.2527753476138603</v>
      </c>
      <c r="AK5" s="22">
        <f t="shared" ca="1" si="15"/>
        <v>6.4120189572493889</v>
      </c>
      <c r="AL5" s="22">
        <f t="shared" ca="1" si="16"/>
        <v>7.1688551307134762</v>
      </c>
      <c r="AM5" s="11">
        <f t="shared" ca="1" si="17"/>
        <v>5.9823037813567899</v>
      </c>
      <c r="AN5" s="20">
        <v>3</v>
      </c>
      <c r="AO5" s="20">
        <v>0</v>
      </c>
      <c r="AP5" s="20">
        <v>2</v>
      </c>
      <c r="AQ5" s="57">
        <f t="shared" si="18"/>
        <v>2.63E-2</v>
      </c>
      <c r="AR5" s="350">
        <v>280</v>
      </c>
      <c r="AS5" s="287">
        <v>14000</v>
      </c>
      <c r="AT5" s="286" t="s">
        <v>177</v>
      </c>
    </row>
    <row r="6" spans="1:46" x14ac:dyDescent="0.25">
      <c r="A6" s="244" t="s">
        <v>153</v>
      </c>
      <c r="B6" s="49" t="s">
        <v>152</v>
      </c>
      <c r="C6" s="196">
        <f t="shared" ca="1" si="0"/>
        <v>5.7321428571428568</v>
      </c>
      <c r="D6" s="95" t="s">
        <v>25</v>
      </c>
      <c r="E6" s="4">
        <v>30</v>
      </c>
      <c r="F6" s="5">
        <f ca="1">$D$2-$D$1-1102-17-112-112-112-112-112-112-112-112-112-112</f>
        <v>30</v>
      </c>
      <c r="G6" s="6"/>
      <c r="H6" s="7">
        <v>4</v>
      </c>
      <c r="I6" s="8">
        <v>8.4</v>
      </c>
      <c r="J6" s="21">
        <f t="shared" si="1"/>
        <v>1.2323723814158423</v>
      </c>
      <c r="K6" s="9">
        <f t="shared" si="2"/>
        <v>134.4</v>
      </c>
      <c r="L6" s="9">
        <f t="shared" si="3"/>
        <v>210</v>
      </c>
      <c r="M6" s="62">
        <v>43410</v>
      </c>
      <c r="N6" s="63">
        <f t="shared" ca="1" si="4"/>
        <v>1</v>
      </c>
      <c r="O6" s="19">
        <v>7.5</v>
      </c>
      <c r="P6" s="20">
        <f t="shared" si="5"/>
        <v>94</v>
      </c>
      <c r="Q6" s="20">
        <v>5</v>
      </c>
      <c r="R6" s="57">
        <f t="shared" si="6"/>
        <v>0.84515425472851657</v>
      </c>
      <c r="S6" s="57">
        <f t="shared" si="7"/>
        <v>0.92504826128926143</v>
      </c>
      <c r="T6" s="350">
        <v>154210</v>
      </c>
      <c r="U6" s="10">
        <f t="shared" si="8"/>
        <v>7800</v>
      </c>
      <c r="V6" s="10">
        <v>33530</v>
      </c>
      <c r="W6" s="11">
        <f t="shared" si="9"/>
        <v>4.5991649269311061</v>
      </c>
      <c r="X6" s="263">
        <v>0</v>
      </c>
      <c r="Y6" s="21">
        <f>16+1/23</f>
        <v>16.043478260869566</v>
      </c>
      <c r="Z6" s="263">
        <f>5+2/8</f>
        <v>5.25</v>
      </c>
      <c r="AA6" s="21">
        <f>9+0/5</f>
        <v>9</v>
      </c>
      <c r="AB6" s="263">
        <f>9+0/7</f>
        <v>9</v>
      </c>
      <c r="AC6" s="21">
        <v>1</v>
      </c>
      <c r="AD6" s="263">
        <f>16+0/5</f>
        <v>16</v>
      </c>
      <c r="AE6" s="12">
        <v>1858</v>
      </c>
      <c r="AF6" s="11">
        <f t="shared" ca="1" si="10"/>
        <v>4.3040109433509706</v>
      </c>
      <c r="AG6" s="22">
        <f t="shared" ca="1" si="11"/>
        <v>15.445912929110406</v>
      </c>
      <c r="AH6" s="22">
        <f t="shared" ca="1" si="12"/>
        <v>16.920149865068925</v>
      </c>
      <c r="AI6" s="22">
        <f t="shared" ca="1" si="13"/>
        <v>6.3237588536167424</v>
      </c>
      <c r="AJ6" s="22">
        <f t="shared" ca="1" si="14"/>
        <v>6.927330744697799</v>
      </c>
      <c r="AK6" s="22">
        <f t="shared" ca="1" si="15"/>
        <v>16.254321346676811</v>
      </c>
      <c r="AL6" s="22">
        <f t="shared" ca="1" si="16"/>
        <v>17.805716917025279</v>
      </c>
      <c r="AM6" s="11">
        <f t="shared" ca="1" si="17"/>
        <v>13.732372381415841</v>
      </c>
      <c r="AN6" s="20">
        <v>3</v>
      </c>
      <c r="AO6" s="20">
        <v>2</v>
      </c>
      <c r="AP6" s="20">
        <v>2</v>
      </c>
      <c r="AQ6" s="57">
        <f t="shared" si="18"/>
        <v>6.1499999999999999E-2</v>
      </c>
      <c r="AR6" s="350">
        <v>146410</v>
      </c>
      <c r="AS6" s="287">
        <v>3600000</v>
      </c>
      <c r="AT6" s="286" t="s">
        <v>758</v>
      </c>
    </row>
    <row r="7" spans="1:46" x14ac:dyDescent="0.25">
      <c r="A7" s="244" t="s">
        <v>154</v>
      </c>
      <c r="B7" s="49" t="s">
        <v>152</v>
      </c>
      <c r="C7" s="196">
        <f t="shared" ca="1" si="0"/>
        <v>5.2857142857142856</v>
      </c>
      <c r="D7" s="95" t="s">
        <v>64</v>
      </c>
      <c r="E7" s="4">
        <v>30</v>
      </c>
      <c r="F7" s="5">
        <f ca="1">$D$2-$D$1-1069-112-112-112-112-112-112-112-112-112-112</f>
        <v>80</v>
      </c>
      <c r="G7" s="6"/>
      <c r="H7" s="7">
        <v>1</v>
      </c>
      <c r="I7" s="8">
        <v>8.5</v>
      </c>
      <c r="J7" s="21">
        <f t="shared" si="1"/>
        <v>1.2392252342857237</v>
      </c>
      <c r="K7" s="9">
        <f t="shared" si="2"/>
        <v>8.5</v>
      </c>
      <c r="L7" s="9">
        <f t="shared" si="3"/>
        <v>34</v>
      </c>
      <c r="M7" s="62">
        <v>43383</v>
      </c>
      <c r="N7" s="63">
        <f t="shared" ca="1" si="4"/>
        <v>1</v>
      </c>
      <c r="O7" s="19">
        <v>7</v>
      </c>
      <c r="P7" s="20">
        <f t="shared" si="5"/>
        <v>89</v>
      </c>
      <c r="Q7" s="20">
        <v>4</v>
      </c>
      <c r="R7" s="57">
        <f t="shared" si="6"/>
        <v>0.7559289460184544</v>
      </c>
      <c r="S7" s="57">
        <f t="shared" si="7"/>
        <v>0.84430867747355465</v>
      </c>
      <c r="T7" s="350">
        <v>145450</v>
      </c>
      <c r="U7" s="10">
        <f t="shared" si="8"/>
        <v>-2130</v>
      </c>
      <c r="V7" s="10">
        <v>24270</v>
      </c>
      <c r="W7" s="11">
        <f t="shared" si="9"/>
        <v>5.9929954676555415</v>
      </c>
      <c r="X7" s="263">
        <v>0</v>
      </c>
      <c r="Y7" s="21">
        <v>15</v>
      </c>
      <c r="Z7" s="263">
        <f>3+1/4+(30/90)*1/4+1/4*29/90+1/8*31/90</f>
        <v>3.4569444444444448</v>
      </c>
      <c r="AA7" s="21">
        <f>9+2/5</f>
        <v>9.4</v>
      </c>
      <c r="AB7" s="263">
        <f>12+0/9</f>
        <v>12</v>
      </c>
      <c r="AC7" s="21">
        <v>3.95</v>
      </c>
      <c r="AD7" s="263">
        <f>16+1/6</f>
        <v>16.166666666666668</v>
      </c>
      <c r="AE7" s="12">
        <v>1891</v>
      </c>
      <c r="AF7" s="11">
        <f t="shared" ca="1" si="10"/>
        <v>4.3199143010592902</v>
      </c>
      <c r="AG7" s="22">
        <f t="shared" ca="1" si="11"/>
        <v>13.031629361528349</v>
      </c>
      <c r="AH7" s="22">
        <f t="shared" ca="1" si="12"/>
        <v>14.569804554979786</v>
      </c>
      <c r="AI7" s="22">
        <f t="shared" ca="1" si="13"/>
        <v>4.3058995415847745</v>
      </c>
      <c r="AJ7" s="22">
        <f t="shared" ca="1" si="14"/>
        <v>4.814142039634369</v>
      </c>
      <c r="AK7" s="22">
        <f t="shared" ca="1" si="15"/>
        <v>14.669475411235</v>
      </c>
      <c r="AL7" s="22">
        <f t="shared" ca="1" si="16"/>
        <v>16.400972106891572</v>
      </c>
      <c r="AM7" s="11">
        <f t="shared" ca="1" si="17"/>
        <v>14.74089190095239</v>
      </c>
      <c r="AN7" s="20">
        <v>0</v>
      </c>
      <c r="AO7" s="20">
        <v>3</v>
      </c>
      <c r="AP7" s="20">
        <v>2</v>
      </c>
      <c r="AQ7" s="57">
        <f t="shared" si="18"/>
        <v>0.1158</v>
      </c>
      <c r="AR7" s="350">
        <v>147580</v>
      </c>
      <c r="AS7" s="287">
        <v>2500000</v>
      </c>
      <c r="AT7" s="286" t="s">
        <v>758</v>
      </c>
    </row>
    <row r="8" spans="1:46" x14ac:dyDescent="0.25">
      <c r="A8" s="244" t="s">
        <v>151</v>
      </c>
      <c r="B8" s="49" t="s">
        <v>152</v>
      </c>
      <c r="C8" s="196">
        <f t="shared" ca="1" si="0"/>
        <v>5.4196428571428568</v>
      </c>
      <c r="D8" s="95" t="s">
        <v>45</v>
      </c>
      <c r="E8" s="4">
        <v>30</v>
      </c>
      <c r="F8" s="5">
        <f ca="1">$D$2-$D$1-880+55-112-112-14-21-112-112-112-112-112-112-112-112-112-112</f>
        <v>65</v>
      </c>
      <c r="G8" s="6"/>
      <c r="H8" s="7">
        <v>4</v>
      </c>
      <c r="I8" s="8">
        <v>9.3000000000000007</v>
      </c>
      <c r="J8" s="21">
        <f t="shared" si="1"/>
        <v>1.2913105980719135</v>
      </c>
      <c r="K8" s="9">
        <f t="shared" si="2"/>
        <v>148.80000000000001</v>
      </c>
      <c r="L8" s="9">
        <f t="shared" si="3"/>
        <v>232.50000000000003</v>
      </c>
      <c r="M8" s="62">
        <v>43419</v>
      </c>
      <c r="N8" s="63">
        <f t="shared" ca="1" si="4"/>
        <v>1</v>
      </c>
      <c r="O8" s="19">
        <v>7.2</v>
      </c>
      <c r="P8" s="20">
        <f t="shared" si="5"/>
        <v>91</v>
      </c>
      <c r="Q8" s="20">
        <v>5</v>
      </c>
      <c r="R8" s="57">
        <f t="shared" si="6"/>
        <v>0.84515425472851657</v>
      </c>
      <c r="S8" s="57">
        <f t="shared" si="7"/>
        <v>0.92504826128926143</v>
      </c>
      <c r="T8" s="10">
        <v>147550</v>
      </c>
      <c r="U8" s="10">
        <f t="shared" si="8"/>
        <v>1980</v>
      </c>
      <c r="V8" s="10">
        <v>16330</v>
      </c>
      <c r="W8" s="11">
        <f t="shared" si="9"/>
        <v>9.0355174525413346</v>
      </c>
      <c r="X8" s="263">
        <v>0</v>
      </c>
      <c r="Y8" s="21">
        <f>13+3/16</f>
        <v>13.1875</v>
      </c>
      <c r="Z8" s="263">
        <f>11+6/9</f>
        <v>11.666666666666666</v>
      </c>
      <c r="AA8" s="21">
        <f>5+1/4</f>
        <v>5.25</v>
      </c>
      <c r="AB8" s="263">
        <f>11+1/7</f>
        <v>11.142857142857142</v>
      </c>
      <c r="AC8" s="21">
        <v>4</v>
      </c>
      <c r="AD8" s="263">
        <f>16+0/5</f>
        <v>16</v>
      </c>
      <c r="AE8" s="12">
        <v>1832</v>
      </c>
      <c r="AF8" s="11">
        <f t="shared" ca="1" si="10"/>
        <v>4.4737338356328609</v>
      </c>
      <c r="AG8" s="22">
        <f t="shared" ca="1" si="11"/>
        <v>13.081982635097331</v>
      </c>
      <c r="AH8" s="22">
        <f t="shared" ca="1" si="12"/>
        <v>14.330593972267366</v>
      </c>
      <c r="AI8" s="22">
        <f t="shared" ca="1" si="13"/>
        <v>11.796643872697713</v>
      </c>
      <c r="AJ8" s="22">
        <f t="shared" ca="1" si="14"/>
        <v>12.922575903863276</v>
      </c>
      <c r="AK8" s="22">
        <f t="shared" ca="1" si="15"/>
        <v>16.3041332312498</v>
      </c>
      <c r="AL8" s="22">
        <f t="shared" ca="1" si="16"/>
        <v>17.860283102650218</v>
      </c>
      <c r="AM8" s="11">
        <f t="shared" ca="1" si="17"/>
        <v>14.691310598071912</v>
      </c>
      <c r="AN8" s="20">
        <v>0</v>
      </c>
      <c r="AO8" s="20">
        <v>2</v>
      </c>
      <c r="AP8" s="20">
        <v>2</v>
      </c>
      <c r="AQ8" s="57">
        <f t="shared" si="18"/>
        <v>6.1499999999999999E-2</v>
      </c>
      <c r="AR8" s="10">
        <v>145570</v>
      </c>
      <c r="AS8" s="287">
        <v>3869000</v>
      </c>
      <c r="AT8" s="286" t="s">
        <v>758</v>
      </c>
    </row>
    <row r="9" spans="1:46" x14ac:dyDescent="0.25">
      <c r="A9" s="244" t="s">
        <v>156</v>
      </c>
      <c r="B9" s="49" t="s">
        <v>152</v>
      </c>
      <c r="C9" s="196">
        <f t="shared" ca="1" si="0"/>
        <v>5.0357142857142856</v>
      </c>
      <c r="D9" s="95" t="s">
        <v>60</v>
      </c>
      <c r="E9" s="4">
        <v>30</v>
      </c>
      <c r="F9" s="5">
        <f ca="1">$D$2-$D$1-1377-112-112-112-112-112-112-112</f>
        <v>108</v>
      </c>
      <c r="G9" s="6"/>
      <c r="H9" s="7">
        <v>2</v>
      </c>
      <c r="I9" s="8">
        <v>8.4</v>
      </c>
      <c r="J9" s="21">
        <f t="shared" si="1"/>
        <v>1.2323723814158423</v>
      </c>
      <c r="K9" s="9">
        <f t="shared" si="2"/>
        <v>33.6</v>
      </c>
      <c r="L9" s="9">
        <f t="shared" si="3"/>
        <v>75.600000000000009</v>
      </c>
      <c r="M9" s="62">
        <v>43706</v>
      </c>
      <c r="N9" s="63">
        <f t="shared" ca="1" si="4"/>
        <v>1</v>
      </c>
      <c r="O9" s="19">
        <v>7.3</v>
      </c>
      <c r="P9" s="20">
        <f t="shared" si="5"/>
        <v>92</v>
      </c>
      <c r="Q9" s="20">
        <v>6</v>
      </c>
      <c r="R9" s="57">
        <f t="shared" si="6"/>
        <v>0.92582009977255142</v>
      </c>
      <c r="S9" s="57">
        <f t="shared" si="7"/>
        <v>0.99928545900129484</v>
      </c>
      <c r="T9" s="10">
        <v>165900</v>
      </c>
      <c r="U9" s="10">
        <f t="shared" si="8"/>
        <v>1790</v>
      </c>
      <c r="V9" s="10">
        <v>24550</v>
      </c>
      <c r="W9" s="11">
        <f t="shared" si="9"/>
        <v>6.7576374745417516</v>
      </c>
      <c r="X9" s="263">
        <v>0</v>
      </c>
      <c r="Y9" s="21">
        <v>15</v>
      </c>
      <c r="Z9" s="263">
        <f>5+1/4+1/8</f>
        <v>5.375</v>
      </c>
      <c r="AA9" s="21">
        <f>3+1/3</f>
        <v>3.3333333333333335</v>
      </c>
      <c r="AB9" s="263">
        <f>12+2/9</f>
        <v>12.222222222222221</v>
      </c>
      <c r="AC9" s="21">
        <v>6</v>
      </c>
      <c r="AD9" s="263">
        <v>16</v>
      </c>
      <c r="AE9" s="12">
        <v>1891</v>
      </c>
      <c r="AF9" s="11">
        <f t="shared" ca="1" si="10"/>
        <v>5.3398481442130157</v>
      </c>
      <c r="AG9" s="22">
        <f t="shared" ca="1" si="11"/>
        <v>15.954076717480175</v>
      </c>
      <c r="AH9" s="22">
        <f t="shared" ca="1" si="12"/>
        <v>17.232372381415843</v>
      </c>
      <c r="AI9" s="22">
        <f t="shared" ca="1" si="13"/>
        <v>7.0430582571693678</v>
      </c>
      <c r="AJ9" s="22">
        <f t="shared" ca="1" si="14"/>
        <v>7.6073723814158427</v>
      </c>
      <c r="AK9" s="22">
        <f t="shared" ca="1" si="15"/>
        <v>17.805716917025279</v>
      </c>
      <c r="AL9" s="22">
        <f t="shared" ca="1" si="16"/>
        <v>19.232372381415843</v>
      </c>
      <c r="AM9" s="11">
        <f t="shared" ca="1" si="17"/>
        <v>15.232372381415841</v>
      </c>
      <c r="AN9" s="20">
        <v>2</v>
      </c>
      <c r="AO9" s="20">
        <v>2</v>
      </c>
      <c r="AP9" s="20">
        <v>1</v>
      </c>
      <c r="AQ9" s="57">
        <f t="shared" si="18"/>
        <v>6.1499999999999999E-2</v>
      </c>
      <c r="AR9" s="10">
        <v>164110</v>
      </c>
      <c r="AS9" s="287">
        <v>4162000</v>
      </c>
      <c r="AT9" s="286" t="s">
        <v>758</v>
      </c>
    </row>
    <row r="10" spans="1:46" x14ac:dyDescent="0.25">
      <c r="A10" s="244" t="s">
        <v>157</v>
      </c>
      <c r="B10" s="49" t="s">
        <v>158</v>
      </c>
      <c r="C10" s="196">
        <f t="shared" ca="1" si="0"/>
        <v>5.5982142857142856</v>
      </c>
      <c r="D10" s="95" t="s">
        <v>20</v>
      </c>
      <c r="E10" s="4">
        <v>30</v>
      </c>
      <c r="F10" s="5">
        <f ca="1">$D$2-$D$1-885-112-112-112-112-112-112-112-112-107-112-112-112</f>
        <v>45</v>
      </c>
      <c r="G10" s="6" t="s">
        <v>159</v>
      </c>
      <c r="H10" s="91">
        <v>5</v>
      </c>
      <c r="I10" s="8">
        <v>10.3</v>
      </c>
      <c r="J10" s="21">
        <f t="shared" si="1"/>
        <v>1.3504496329402296</v>
      </c>
      <c r="K10" s="9">
        <f t="shared" si="2"/>
        <v>257.5</v>
      </c>
      <c r="L10" s="9">
        <f t="shared" si="3"/>
        <v>370.8</v>
      </c>
      <c r="M10" s="62">
        <v>43137</v>
      </c>
      <c r="N10" s="63">
        <f t="shared" ca="1" si="4"/>
        <v>1</v>
      </c>
      <c r="O10" s="19">
        <v>7.4</v>
      </c>
      <c r="P10" s="20">
        <f t="shared" si="5"/>
        <v>93</v>
      </c>
      <c r="Q10" s="20">
        <v>4</v>
      </c>
      <c r="R10" s="57">
        <f t="shared" si="6"/>
        <v>0.7559289460184544</v>
      </c>
      <c r="S10" s="57">
        <f t="shared" si="7"/>
        <v>0.84430867747355465</v>
      </c>
      <c r="T10" s="10">
        <v>170130</v>
      </c>
      <c r="U10" s="10">
        <f t="shared" si="8"/>
        <v>-8280</v>
      </c>
      <c r="V10" s="10">
        <v>23870</v>
      </c>
      <c r="W10" s="11">
        <f t="shared" si="9"/>
        <v>7.1273565144532887</v>
      </c>
      <c r="X10" s="263">
        <v>0</v>
      </c>
      <c r="Y10" s="21">
        <f>14+6/16</f>
        <v>14.375</v>
      </c>
      <c r="Z10" s="263">
        <f>5+0/5</f>
        <v>5</v>
      </c>
      <c r="AA10" s="21">
        <f>14+0/9</f>
        <v>14</v>
      </c>
      <c r="AB10" s="263">
        <v>9</v>
      </c>
      <c r="AC10" s="21">
        <f>5.25+0.25+0.25+0.25+0.25+0.25+0.25+0.25</f>
        <v>7</v>
      </c>
      <c r="AD10" s="263">
        <v>17</v>
      </c>
      <c r="AE10" s="12">
        <v>2069</v>
      </c>
      <c r="AF10" s="11">
        <f t="shared" ca="1" si="10"/>
        <v>3.7254397960551717</v>
      </c>
      <c r="AG10" s="22">
        <f t="shared" ca="1" si="11"/>
        <v>12.643251512713253</v>
      </c>
      <c r="AH10" s="22">
        <f t="shared" ca="1" si="12"/>
        <v>14.135584919526941</v>
      </c>
      <c r="AI10" s="22">
        <f t="shared" ca="1" si="13"/>
        <v>5.5564176437902422</v>
      </c>
      <c r="AJ10" s="22">
        <f t="shared" ca="1" si="14"/>
        <v>6.2122637814470973</v>
      </c>
      <c r="AK10" s="22">
        <f t="shared" ca="1" si="15"/>
        <v>15.38349394203015</v>
      </c>
      <c r="AL10" s="22">
        <f t="shared" ca="1" si="16"/>
        <v>17.199269092917813</v>
      </c>
      <c r="AM10" s="11">
        <f t="shared" ca="1" si="17"/>
        <v>16.350449632940229</v>
      </c>
      <c r="AN10" s="20">
        <v>1</v>
      </c>
      <c r="AO10" s="20">
        <v>2</v>
      </c>
      <c r="AP10" s="20">
        <v>3</v>
      </c>
      <c r="AQ10" s="57">
        <f t="shared" si="18"/>
        <v>6.1499999999999999E-2</v>
      </c>
      <c r="AR10" s="10">
        <v>178410</v>
      </c>
      <c r="AS10" s="287">
        <v>1530000</v>
      </c>
      <c r="AT10" s="286" t="s">
        <v>758</v>
      </c>
    </row>
    <row r="11" spans="1:46" x14ac:dyDescent="0.25">
      <c r="A11" s="244" t="s">
        <v>160</v>
      </c>
      <c r="B11" s="49" t="s">
        <v>158</v>
      </c>
      <c r="C11" s="196">
        <f t="shared" ca="1" si="0"/>
        <v>5.9464285714285712</v>
      </c>
      <c r="D11" s="95" t="s">
        <v>161</v>
      </c>
      <c r="E11" s="4">
        <v>30</v>
      </c>
      <c r="F11" s="5">
        <f ca="1">$D$2-$D$1-1479-112-112-112-112-112-112-112</f>
        <v>6</v>
      </c>
      <c r="G11" s="6" t="s">
        <v>162</v>
      </c>
      <c r="H11" s="7">
        <v>3</v>
      </c>
      <c r="I11" s="8">
        <v>11</v>
      </c>
      <c r="J11" s="21">
        <f t="shared" si="1"/>
        <v>1.3885235802109668</v>
      </c>
      <c r="K11" s="9">
        <f t="shared" si="2"/>
        <v>99</v>
      </c>
      <c r="L11" s="9">
        <f t="shared" si="3"/>
        <v>176</v>
      </c>
      <c r="M11" s="62">
        <v>43122</v>
      </c>
      <c r="N11" s="63">
        <f t="shared" ca="1" si="4"/>
        <v>1</v>
      </c>
      <c r="O11" s="19">
        <v>7.7</v>
      </c>
      <c r="P11" s="20">
        <f t="shared" si="5"/>
        <v>96</v>
      </c>
      <c r="Q11" s="20">
        <v>6</v>
      </c>
      <c r="R11" s="57">
        <f t="shared" si="6"/>
        <v>0.92582009977255142</v>
      </c>
      <c r="S11" s="57">
        <f t="shared" si="7"/>
        <v>0.99928545900129484</v>
      </c>
      <c r="T11" s="10">
        <v>258590</v>
      </c>
      <c r="U11" s="10">
        <f t="shared" si="8"/>
        <v>-41320</v>
      </c>
      <c r="V11" s="10">
        <v>24350</v>
      </c>
      <c r="W11" s="11">
        <f t="shared" si="9"/>
        <v>10.619712525667351</v>
      </c>
      <c r="X11" s="263">
        <v>0</v>
      </c>
      <c r="Y11" s="21">
        <f>14+0/22</f>
        <v>14</v>
      </c>
      <c r="Z11" s="263">
        <f>5+0/6</f>
        <v>5</v>
      </c>
      <c r="AA11" s="21">
        <f>15+1/9</f>
        <v>15.111111111111111</v>
      </c>
      <c r="AB11" s="263">
        <f>10+0/7</f>
        <v>10</v>
      </c>
      <c r="AC11" s="21">
        <f>4.25+0.25+0.25+0.25+0.25+0.25+0.25+0.25+0.25+0.25+0.25+0.25</f>
        <v>7</v>
      </c>
      <c r="AD11" s="263">
        <f>17+0/5</f>
        <v>17</v>
      </c>
      <c r="AE11" s="12">
        <v>2202</v>
      </c>
      <c r="AF11" s="11">
        <f t="shared" ca="1" si="10"/>
        <v>4.7639891012858468</v>
      </c>
      <c r="AG11" s="22">
        <f t="shared" ca="1" si="11"/>
        <v>15.172824536155726</v>
      </c>
      <c r="AH11" s="22">
        <f t="shared" ca="1" si="12"/>
        <v>16.388523580210965</v>
      </c>
      <c r="AI11" s="22">
        <f t="shared" ca="1" si="13"/>
        <v>6.8404436382027658</v>
      </c>
      <c r="AJ11" s="22">
        <f t="shared" ca="1" si="14"/>
        <v>7.3885235802109666</v>
      </c>
      <c r="AK11" s="22">
        <f t="shared" ca="1" si="15"/>
        <v>18.876104935245937</v>
      </c>
      <c r="AL11" s="22">
        <f t="shared" ca="1" si="16"/>
        <v>20.388523580210968</v>
      </c>
      <c r="AM11" s="11">
        <f t="shared" ca="1" si="17"/>
        <v>16.388523580210965</v>
      </c>
      <c r="AN11" s="20">
        <v>2</v>
      </c>
      <c r="AO11" s="20">
        <v>0</v>
      </c>
      <c r="AP11" s="20">
        <v>2</v>
      </c>
      <c r="AQ11" s="57">
        <f t="shared" si="18"/>
        <v>2.63E-2</v>
      </c>
      <c r="AR11" s="10">
        <v>299910</v>
      </c>
      <c r="AS11" s="287">
        <v>600000</v>
      </c>
      <c r="AT11" s="286" t="s">
        <v>758</v>
      </c>
    </row>
    <row r="12" spans="1:46" x14ac:dyDescent="0.25">
      <c r="A12" s="244" t="s">
        <v>163</v>
      </c>
      <c r="B12" s="49" t="s">
        <v>158</v>
      </c>
      <c r="C12" s="196">
        <f t="shared" ca="1" si="0"/>
        <v>5.5982142857142856</v>
      </c>
      <c r="D12" s="95" t="s">
        <v>27</v>
      </c>
      <c r="E12" s="4">
        <v>30</v>
      </c>
      <c r="F12" s="5">
        <f ca="1">$D$2-$D$1-880-112-112-112-112-112-112-112-112-112-112-112-112</f>
        <v>45</v>
      </c>
      <c r="G12" s="6" t="s">
        <v>159</v>
      </c>
      <c r="H12" s="30">
        <v>6</v>
      </c>
      <c r="I12" s="8">
        <v>10</v>
      </c>
      <c r="J12" s="21">
        <f t="shared" si="1"/>
        <v>1.3333333333333333</v>
      </c>
      <c r="K12" s="9">
        <f t="shared" si="2"/>
        <v>360</v>
      </c>
      <c r="L12" s="9">
        <f t="shared" si="3"/>
        <v>490</v>
      </c>
      <c r="M12" s="62">
        <v>43051</v>
      </c>
      <c r="N12" s="63">
        <f t="shared" ca="1" si="4"/>
        <v>1</v>
      </c>
      <c r="O12" s="19">
        <v>7.1</v>
      </c>
      <c r="P12" s="20">
        <f t="shared" si="5"/>
        <v>90</v>
      </c>
      <c r="Q12" s="20">
        <v>5</v>
      </c>
      <c r="R12" s="57">
        <f t="shared" si="6"/>
        <v>0.84515425472851657</v>
      </c>
      <c r="S12" s="57">
        <f t="shared" si="7"/>
        <v>0.92504826128926143</v>
      </c>
      <c r="T12" s="350">
        <v>158660</v>
      </c>
      <c r="U12" s="10">
        <f t="shared" si="8"/>
        <v>-3300</v>
      </c>
      <c r="V12" s="10">
        <v>17790</v>
      </c>
      <c r="W12" s="11">
        <f t="shared" si="9"/>
        <v>8.9184935356942105</v>
      </c>
      <c r="X12" s="263">
        <v>0</v>
      </c>
      <c r="Y12" s="21">
        <f>13+5/15</f>
        <v>13.333333333333334</v>
      </c>
      <c r="Z12" s="263">
        <f>4+2/4+1/4*60/90+1/8*30/90</f>
        <v>4.7083333333333339</v>
      </c>
      <c r="AA12" s="21">
        <f>14+0/6</f>
        <v>14</v>
      </c>
      <c r="AB12" s="263">
        <v>10</v>
      </c>
      <c r="AC12" s="21">
        <f>3.34+0.34+0.33+0.33+0.33+0.33+0.33+0.33+0.33+0.26+0.25+0.25+0.25+0.25</f>
        <v>7.25</v>
      </c>
      <c r="AD12" s="263">
        <f>17+1/6</f>
        <v>17.166666666666668</v>
      </c>
      <c r="AE12" s="12">
        <v>1975</v>
      </c>
      <c r="AF12" s="11">
        <f t="shared" ca="1" si="10"/>
        <v>4.2609860342562715</v>
      </c>
      <c r="AG12" s="22">
        <f t="shared" ca="1" si="11"/>
        <v>13.24074999074676</v>
      </c>
      <c r="AH12" s="22">
        <f t="shared" ca="1" si="12"/>
        <v>14.504514896436641</v>
      </c>
      <c r="AI12" s="22">
        <f t="shared" ca="1" si="13"/>
        <v>5.9512945437133045</v>
      </c>
      <c r="AJ12" s="22">
        <f t="shared" ca="1" si="14"/>
        <v>6.5193165358983833</v>
      </c>
      <c r="AK12" s="22">
        <f t="shared" ca="1" si="15"/>
        <v>17.325662221934589</v>
      </c>
      <c r="AL12" s="22">
        <f t="shared" ca="1" si="16"/>
        <v>18.979312045337306</v>
      </c>
      <c r="AM12" s="11">
        <f t="shared" ca="1" si="17"/>
        <v>16.524999999999999</v>
      </c>
      <c r="AN12" s="20">
        <v>2</v>
      </c>
      <c r="AO12" s="20">
        <v>2</v>
      </c>
      <c r="AP12" s="20">
        <v>1</v>
      </c>
      <c r="AQ12" s="57">
        <f t="shared" si="18"/>
        <v>6.1499999999999999E-2</v>
      </c>
      <c r="AR12" s="350">
        <v>161960</v>
      </c>
      <c r="AS12" s="287">
        <v>496109</v>
      </c>
      <c r="AT12" s="286" t="s">
        <v>758</v>
      </c>
    </row>
    <row r="13" spans="1:46" x14ac:dyDescent="0.25">
      <c r="A13" s="244" t="s">
        <v>164</v>
      </c>
      <c r="B13" s="49" t="s">
        <v>158</v>
      </c>
      <c r="C13" s="196">
        <f t="shared" ca="1" si="0"/>
        <v>5.6339285714285712</v>
      </c>
      <c r="D13" s="95" t="s">
        <v>14</v>
      </c>
      <c r="E13" s="4">
        <v>30</v>
      </c>
      <c r="F13" s="5">
        <f ca="1">$D$2-$D$1-880-4-112-112-112-112-112-112-112-112-112-112-112-112</f>
        <v>41</v>
      </c>
      <c r="G13" s="6" t="s">
        <v>162</v>
      </c>
      <c r="H13" s="7">
        <v>1</v>
      </c>
      <c r="I13" s="8">
        <v>11</v>
      </c>
      <c r="J13" s="21">
        <f t="shared" si="1"/>
        <v>1.3885235802109668</v>
      </c>
      <c r="K13" s="9">
        <f t="shared" si="2"/>
        <v>11</v>
      </c>
      <c r="L13" s="9">
        <f t="shared" si="3"/>
        <v>44</v>
      </c>
      <c r="M13" s="62">
        <v>43046</v>
      </c>
      <c r="N13" s="63">
        <v>1.5</v>
      </c>
      <c r="O13" s="19">
        <v>6.9</v>
      </c>
      <c r="P13" s="20">
        <f t="shared" si="5"/>
        <v>88</v>
      </c>
      <c r="Q13" s="20">
        <v>5</v>
      </c>
      <c r="R13" s="57">
        <f t="shared" si="6"/>
        <v>0.84515425472851657</v>
      </c>
      <c r="S13" s="57">
        <f t="shared" si="7"/>
        <v>0.92504826128926143</v>
      </c>
      <c r="T13" s="478">
        <v>183400</v>
      </c>
      <c r="U13" s="10">
        <f t="shared" si="8"/>
        <v>9020</v>
      </c>
      <c r="V13" s="10">
        <v>26810</v>
      </c>
      <c r="W13" s="11">
        <f t="shared" si="9"/>
        <v>6.8407310704960835</v>
      </c>
      <c r="X13" s="263">
        <v>0</v>
      </c>
      <c r="Y13" s="21">
        <f>12+8/12</f>
        <v>12.666666666666666</v>
      </c>
      <c r="Z13" s="263">
        <f>6+3/5</f>
        <v>6.6</v>
      </c>
      <c r="AA13" s="21">
        <f>16+0/17</f>
        <v>16</v>
      </c>
      <c r="AB13" s="263">
        <v>10</v>
      </c>
      <c r="AC13" s="21">
        <f>7+4/5</f>
        <v>7.8</v>
      </c>
      <c r="AD13" s="263">
        <v>18</v>
      </c>
      <c r="AE13" s="12">
        <v>2132</v>
      </c>
      <c r="AF13" s="11">
        <f t="shared" si="10"/>
        <v>4.3665145377785475</v>
      </c>
      <c r="AG13" s="22">
        <f t="shared" si="11"/>
        <v>13.146535220260155</v>
      </c>
      <c r="AH13" s="22">
        <f t="shared" si="12"/>
        <v>14.401307786345269</v>
      </c>
      <c r="AI13" s="22">
        <f t="shared" si="13"/>
        <v>8.0192660749071543</v>
      </c>
      <c r="AJ13" s="22">
        <f t="shared" si="14"/>
        <v>8.7846658477251243</v>
      </c>
      <c r="AK13" s="22">
        <f t="shared" si="15"/>
        <v>18.499178833540764</v>
      </c>
      <c r="AL13" s="22">
        <f t="shared" si="16"/>
        <v>20.264835084904764</v>
      </c>
      <c r="AM13" s="11">
        <f t="shared" si="17"/>
        <v>17.828523580210966</v>
      </c>
      <c r="AN13" s="20">
        <v>4</v>
      </c>
      <c r="AO13" s="20">
        <v>3</v>
      </c>
      <c r="AP13" s="20">
        <v>2</v>
      </c>
      <c r="AQ13" s="57">
        <f t="shared" si="18"/>
        <v>0.1158</v>
      </c>
      <c r="AR13" s="478">
        <v>174380</v>
      </c>
      <c r="AS13" s="287">
        <v>0</v>
      </c>
      <c r="AT13" s="286" t="s">
        <v>758</v>
      </c>
    </row>
    <row r="14" spans="1:46" x14ac:dyDescent="0.25">
      <c r="A14" s="244" t="s">
        <v>165</v>
      </c>
      <c r="B14" s="49" t="s">
        <v>158</v>
      </c>
      <c r="C14" s="196">
        <f t="shared" ca="1" si="0"/>
        <v>5.6339285714285712</v>
      </c>
      <c r="D14" s="95" t="s">
        <v>166</v>
      </c>
      <c r="E14" s="4">
        <v>30</v>
      </c>
      <c r="F14" s="5">
        <f ca="1">$D$2-$D$1-880-4-112-112-112-112-112-112-112-112-112-112-112-112</f>
        <v>41</v>
      </c>
      <c r="G14" s="6" t="s">
        <v>159</v>
      </c>
      <c r="H14" s="30">
        <v>6</v>
      </c>
      <c r="I14" s="8">
        <v>9.4</v>
      </c>
      <c r="J14" s="21">
        <f t="shared" si="1"/>
        <v>1.2975038047995981</v>
      </c>
      <c r="K14" s="9">
        <f t="shared" si="2"/>
        <v>338.40000000000003</v>
      </c>
      <c r="L14" s="9">
        <f t="shared" si="3"/>
        <v>460.6</v>
      </c>
      <c r="M14" s="62">
        <v>43054</v>
      </c>
      <c r="N14" s="63">
        <f t="shared" ref="N14:N20" ca="1" si="19">IF((TODAY()-M14)&gt;335,1,((TODAY()-M14)^0.64)/(336^0.64))</f>
        <v>1</v>
      </c>
      <c r="O14" s="19">
        <v>7.4</v>
      </c>
      <c r="P14" s="20">
        <f t="shared" si="5"/>
        <v>93</v>
      </c>
      <c r="Q14" s="20">
        <v>5</v>
      </c>
      <c r="R14" s="57">
        <f t="shared" si="6"/>
        <v>0.84515425472851657</v>
      </c>
      <c r="S14" s="57">
        <f t="shared" si="7"/>
        <v>0.92504826128926143</v>
      </c>
      <c r="T14" s="10">
        <v>198060</v>
      </c>
      <c r="U14" s="10">
        <f t="shared" si="8"/>
        <v>2330</v>
      </c>
      <c r="V14" s="10">
        <v>20740</v>
      </c>
      <c r="W14" s="11">
        <f t="shared" si="9"/>
        <v>9.5496624879459979</v>
      </c>
      <c r="X14" s="263">
        <v>0</v>
      </c>
      <c r="Y14" s="21">
        <f>13+0/18</f>
        <v>13</v>
      </c>
      <c r="Z14" s="263">
        <f>6+2/5</f>
        <v>6.4</v>
      </c>
      <c r="AA14" s="21">
        <f>15+0/9</f>
        <v>15</v>
      </c>
      <c r="AB14" s="263">
        <v>9</v>
      </c>
      <c r="AC14" s="21">
        <v>7.95</v>
      </c>
      <c r="AD14" s="263">
        <v>17</v>
      </c>
      <c r="AE14" s="12">
        <v>2062</v>
      </c>
      <c r="AF14" s="11">
        <f t="shared" ca="1" si="10"/>
        <v>4.0031271555285031</v>
      </c>
      <c r="AG14" s="22">
        <f t="shared" ca="1" si="11"/>
        <v>12.928750427352051</v>
      </c>
      <c r="AH14" s="22">
        <f t="shared" ca="1" si="12"/>
        <v>14.162736498830549</v>
      </c>
      <c r="AI14" s="22">
        <f t="shared" ca="1" si="13"/>
        <v>7.3507323461438423</v>
      </c>
      <c r="AJ14" s="22">
        <f t="shared" ca="1" si="14"/>
        <v>8.0523238403317094</v>
      </c>
      <c r="AK14" s="22">
        <f t="shared" ca="1" si="15"/>
        <v>17.154521700994632</v>
      </c>
      <c r="AL14" s="22">
        <f t="shared" ca="1" si="16"/>
        <v>18.791836997693306</v>
      </c>
      <c r="AM14" s="11">
        <f t="shared" ca="1" si="17"/>
        <v>16.582503804799597</v>
      </c>
      <c r="AN14" s="20">
        <v>2</v>
      </c>
      <c r="AO14" s="20">
        <v>2</v>
      </c>
      <c r="AP14" s="20">
        <v>1</v>
      </c>
      <c r="AQ14" s="57">
        <f t="shared" si="18"/>
        <v>6.1499999999999999E-2</v>
      </c>
      <c r="AR14" s="10">
        <v>195730</v>
      </c>
      <c r="AS14" s="287">
        <v>245000</v>
      </c>
      <c r="AT14" s="286" t="s">
        <v>758</v>
      </c>
    </row>
    <row r="15" spans="1:46" x14ac:dyDescent="0.25">
      <c r="A15" s="244" t="s">
        <v>169</v>
      </c>
      <c r="B15" s="49" t="s">
        <v>168</v>
      </c>
      <c r="C15" s="196">
        <f t="shared" ca="1" si="0"/>
        <v>2.6160714285714284</v>
      </c>
      <c r="D15" s="192" t="s">
        <v>759</v>
      </c>
      <c r="E15" s="4">
        <v>33</v>
      </c>
      <c r="F15" s="5">
        <f ca="1">$D$2-$D$1-1778-112-112-112-112</f>
        <v>43</v>
      </c>
      <c r="G15" s="6" t="s">
        <v>162</v>
      </c>
      <c r="H15" s="7">
        <v>1</v>
      </c>
      <c r="I15" s="8">
        <v>8</v>
      </c>
      <c r="J15" s="21">
        <f t="shared" si="1"/>
        <v>1.2041199826559248</v>
      </c>
      <c r="K15" s="9">
        <f t="shared" si="2"/>
        <v>8</v>
      </c>
      <c r="L15" s="9">
        <f t="shared" si="3"/>
        <v>32</v>
      </c>
      <c r="M15" s="62">
        <v>44094</v>
      </c>
      <c r="N15" s="63">
        <f t="shared" ca="1" si="19"/>
        <v>1</v>
      </c>
      <c r="O15" s="19">
        <v>6.6</v>
      </c>
      <c r="P15" s="20">
        <f t="shared" si="5"/>
        <v>85</v>
      </c>
      <c r="Q15" s="20">
        <v>5</v>
      </c>
      <c r="R15" s="57">
        <f t="shared" si="6"/>
        <v>0.84515425472851657</v>
      </c>
      <c r="S15" s="57">
        <f t="shared" si="7"/>
        <v>0.92504826128926143</v>
      </c>
      <c r="T15" s="350">
        <v>48920</v>
      </c>
      <c r="U15" s="10">
        <f t="shared" si="8"/>
        <v>290</v>
      </c>
      <c r="V15" s="10">
        <v>14880</v>
      </c>
      <c r="W15" s="11">
        <f t="shared" si="9"/>
        <v>3.2876344086021505</v>
      </c>
      <c r="X15" s="263">
        <v>0</v>
      </c>
      <c r="Y15" s="21">
        <v>10</v>
      </c>
      <c r="Z15" s="263">
        <v>13.95</v>
      </c>
      <c r="AA15" s="21">
        <v>2.95</v>
      </c>
      <c r="AB15" s="263">
        <v>10</v>
      </c>
      <c r="AC15" s="21">
        <v>7.95</v>
      </c>
      <c r="AD15" s="263">
        <v>17</v>
      </c>
      <c r="AE15" s="12">
        <v>1734</v>
      </c>
      <c r="AF15" s="11">
        <f t="shared" ca="1" si="10"/>
        <v>3.8678864732096119</v>
      </c>
      <c r="AG15" s="22">
        <f t="shared" ca="1" si="11"/>
        <v>10.314363928558965</v>
      </c>
      <c r="AH15" s="22">
        <f t="shared" ca="1" si="12"/>
        <v>11.298819579978696</v>
      </c>
      <c r="AI15" s="22">
        <f t="shared" ca="1" si="13"/>
        <v>13.652723234736605</v>
      </c>
      <c r="AJ15" s="22">
        <f t="shared" ca="1" si="14"/>
        <v>14.955808974080275</v>
      </c>
      <c r="AK15" s="22">
        <f t="shared" ca="1" si="15"/>
        <v>17.075597966387097</v>
      </c>
      <c r="AL15" s="22">
        <f t="shared" ca="1" si="16"/>
        <v>18.705380378159109</v>
      </c>
      <c r="AM15" s="11">
        <f t="shared" ca="1" si="17"/>
        <v>16.489119982655925</v>
      </c>
      <c r="AN15" s="20">
        <v>2</v>
      </c>
      <c r="AO15" s="20">
        <v>2</v>
      </c>
      <c r="AP15" s="20">
        <v>2</v>
      </c>
      <c r="AQ15" s="57">
        <f t="shared" si="18"/>
        <v>6.1499999999999999E-2</v>
      </c>
      <c r="AR15" s="350">
        <v>48630</v>
      </c>
      <c r="AS15" s="287">
        <f>5280000+27204</f>
        <v>5307204</v>
      </c>
      <c r="AT15" s="286" t="s">
        <v>177</v>
      </c>
    </row>
    <row r="16" spans="1:46" x14ac:dyDescent="0.25">
      <c r="A16" s="403" t="s">
        <v>155</v>
      </c>
      <c r="B16" s="404" t="s">
        <v>168</v>
      </c>
      <c r="C16" s="405">
        <f ca="1">((36*112)-(E16*112)-(F16))/112</f>
        <v>2.3928571428571428</v>
      </c>
      <c r="D16" s="422" t="s">
        <v>1520</v>
      </c>
      <c r="E16" s="406">
        <v>33</v>
      </c>
      <c r="F16" s="407">
        <f ca="1">$D$2-$D$1-2089-112</f>
        <v>68</v>
      </c>
      <c r="G16" s="408" t="s">
        <v>162</v>
      </c>
      <c r="H16" s="409">
        <v>2</v>
      </c>
      <c r="I16" s="410">
        <v>9</v>
      </c>
      <c r="J16" s="411">
        <f>LOG(I16)*4/3</f>
        <v>1.2723233459190999</v>
      </c>
      <c r="K16" s="412">
        <f>(H16)*(H16)*(I16)</f>
        <v>36</v>
      </c>
      <c r="L16" s="412">
        <f>(H16+1)*(H16+1)*I16</f>
        <v>81</v>
      </c>
      <c r="M16" s="413">
        <v>44419</v>
      </c>
      <c r="N16" s="414">
        <f ca="1">IF((TODAY()-M16)&gt;335,1,((TODAY()-M16)^0.64)/(336^0.64))</f>
        <v>0.51185546807051407</v>
      </c>
      <c r="O16" s="415">
        <v>6.3</v>
      </c>
      <c r="P16" s="416">
        <f>O16*10+19</f>
        <v>82</v>
      </c>
      <c r="Q16" s="416">
        <v>5</v>
      </c>
      <c r="R16" s="417">
        <f>(Q16/7)^0.5</f>
        <v>0.84515425472851657</v>
      </c>
      <c r="S16" s="417">
        <f>IF(Q16=7,1,((Q16+0.99)/7)^0.5)</f>
        <v>0.92504826128926143</v>
      </c>
      <c r="T16" s="418">
        <v>68450</v>
      </c>
      <c r="U16" s="418">
        <f t="shared" si="8"/>
        <v>7170</v>
      </c>
      <c r="V16" s="418">
        <v>16716</v>
      </c>
      <c r="W16" s="419">
        <f>T16/V16</f>
        <v>4.094879157693228</v>
      </c>
      <c r="X16" s="420">
        <v>0</v>
      </c>
      <c r="Y16" s="411">
        <v>2</v>
      </c>
      <c r="Z16" s="420">
        <v>13.95</v>
      </c>
      <c r="AA16" s="411">
        <v>10</v>
      </c>
      <c r="AB16" s="420">
        <v>13</v>
      </c>
      <c r="AC16" s="411">
        <v>9</v>
      </c>
      <c r="AD16" s="420">
        <f>12+0/5</f>
        <v>12</v>
      </c>
      <c r="AE16" s="421">
        <v>1789</v>
      </c>
      <c r="AF16" s="419">
        <f t="shared" ca="1" si="10"/>
        <v>3.5235047599897338</v>
      </c>
      <c r="AG16" s="22">
        <f t="shared" ref="AG16" ca="1" si="20">(Y16+J16+N16)*(Q16/7)^0.5</f>
        <v>3.1982148252968337</v>
      </c>
      <c r="AH16" s="22">
        <f t="shared" ref="AH16" ca="1" si="21">(Y16+J16+N16)*(IF(Q16=7,(Q16/7)^0.5,((Q16+1)/7)^0.5))</f>
        <v>3.5034688071250395</v>
      </c>
      <c r="AI16" s="22">
        <f t="shared" ref="AI16" ca="1" si="22">(Z16+N16+(LOG(I16)*4/3))*(Q16/7)^0.5</f>
        <v>13.297808169302607</v>
      </c>
      <c r="AJ16" s="22">
        <f t="shared" ref="AJ16" ca="1" si="23">(Z16+N16+(LOG(I16)*4/3))*(IF(Q16=7,(Q16/7)^0.5,((Q16+1)/7)^0.5))</f>
        <v>14.567018999407029</v>
      </c>
      <c r="AK16" s="22">
        <f t="shared" ref="AK16" ca="1" si="24">(AD16+1+(LOG(I16)*4/3)+N16)*(Q16/7)^0.5</f>
        <v>12.494911627310517</v>
      </c>
      <c r="AL16" s="22">
        <f t="shared" ref="AL16" ca="1" si="25">(AD16+1+N16+(LOG(I16)*4/3))*(IF(Q16=7,(Q16/7)^0.5,((Q16+1)/7)^0.5))</f>
        <v>13.687489904623105</v>
      </c>
      <c r="AM16" s="11">
        <f t="shared" ref="AM16" ca="1" si="26">(AD16+LOG(I16)*4/3+N16)*0.7+(AC16+LOG(I16)*4/3+N16)*0.3</f>
        <v>12.884178813989614</v>
      </c>
      <c r="AN16" s="416">
        <v>2</v>
      </c>
      <c r="AO16" s="416">
        <v>2</v>
      </c>
      <c r="AP16" s="416">
        <v>2</v>
      </c>
      <c r="AQ16" s="417">
        <f>IF(AO16=4,IF(AP16=0,0.137+0.0697,0.137+0.02),IF(AO16=3,IF(AP16=0,0.0958+0.0697,0.0958+0.02),IF(AO16=2,IF(AP16=0,0.0415+0.0697,0.0415+0.02),IF(AO16=1,IF(AP16=0,0.0294+0.0697,0.0294+0.02),IF(AO16=0,IF(AP16=0,0.0063+0.0697,0.0063+0.02))))))</f>
        <v>6.1499999999999999E-2</v>
      </c>
      <c r="AR16" s="418">
        <v>61280</v>
      </c>
      <c r="AS16" s="287">
        <v>2890000</v>
      </c>
      <c r="AT16" s="286" t="s">
        <v>177</v>
      </c>
    </row>
    <row r="17" spans="1:46" x14ac:dyDescent="0.25">
      <c r="A17" s="244" t="s">
        <v>171</v>
      </c>
      <c r="B17" s="49" t="s">
        <v>168</v>
      </c>
      <c r="C17" s="196">
        <f ca="1">((36*112)-(E17*112)-(F17))/112</f>
        <v>4.6339285714285712</v>
      </c>
      <c r="D17" s="308" t="s">
        <v>1585</v>
      </c>
      <c r="E17" s="4">
        <v>31</v>
      </c>
      <c r="F17" s="5">
        <f ca="1">$D$2-$D$1-2116-112</f>
        <v>41</v>
      </c>
      <c r="G17" s="6" t="s">
        <v>159</v>
      </c>
      <c r="H17" s="7">
        <v>1</v>
      </c>
      <c r="I17" s="8">
        <v>9.8000000000000007</v>
      </c>
      <c r="J17" s="21">
        <f>LOG(I17)*4/3</f>
        <v>1.3216347675899931</v>
      </c>
      <c r="K17" s="9">
        <f>(H17)*(H17)*(I17)</f>
        <v>9.8000000000000007</v>
      </c>
      <c r="L17" s="9">
        <f>(H17+1)*(H17+1)*I17</f>
        <v>39.200000000000003</v>
      </c>
      <c r="M17" s="62">
        <v>44069</v>
      </c>
      <c r="N17" s="63">
        <f ca="1">IF((TODAY()-M17)&gt;335,1,((TODAY()-M17)^0.64)/(336^0.64))</f>
        <v>1</v>
      </c>
      <c r="O17" s="19">
        <v>6.7</v>
      </c>
      <c r="P17" s="20">
        <f>O17*10+19</f>
        <v>86</v>
      </c>
      <c r="Q17" s="20">
        <v>5</v>
      </c>
      <c r="R17" s="57">
        <f>(Q17/7)^0.5</f>
        <v>0.84515425472851657</v>
      </c>
      <c r="S17" s="57">
        <f>IF(Q17=7,1,((Q17+0.99)/7)^0.5)</f>
        <v>0.92504826128926143</v>
      </c>
      <c r="T17" s="10">
        <v>148600</v>
      </c>
      <c r="U17" s="10">
        <f>T17-AR17</f>
        <v>3270</v>
      </c>
      <c r="V17" s="10">
        <v>29712</v>
      </c>
      <c r="W17" s="11">
        <f>T17/V17</f>
        <v>5.0013462574044159</v>
      </c>
      <c r="X17" s="263">
        <v>0</v>
      </c>
      <c r="Y17" s="21">
        <v>11</v>
      </c>
      <c r="Z17" s="263">
        <v>14</v>
      </c>
      <c r="AA17" s="21">
        <v>3</v>
      </c>
      <c r="AB17" s="263">
        <v>11</v>
      </c>
      <c r="AC17" s="21">
        <v>8</v>
      </c>
      <c r="AD17" s="263">
        <v>4</v>
      </c>
      <c r="AE17" s="12">
        <v>1848</v>
      </c>
      <c r="AF17" s="11">
        <f ca="1">(((Y17+LOG(I17)*4/3+N17)+(AB17+LOG(I17)*4/3+N17)*2)/8)*(Q17/7)^0.5</f>
        <v>4.2220636139130061</v>
      </c>
      <c r="AG17" s="22">
        <f ca="1">(Y17+J17+N17)*(Q17/7)^0.5</f>
        <v>11.258836303768016</v>
      </c>
      <c r="AH17" s="22">
        <f ca="1">(Y17+J17+N17)*(IF(Q17=7,(Q17/7)^0.5,((Q17+1)/7)^0.5))</f>
        <v>12.333437229663657</v>
      </c>
      <c r="AI17" s="22">
        <f ca="1">(Z17+N17+(LOG(I17)*4/3))*(Q17/7)^0.5</f>
        <v>13.794299067953567</v>
      </c>
      <c r="AJ17" s="22">
        <f ca="1">(Z17+N17+(LOG(I17)*4/3))*(IF(Q17=7,(Q17/7)^0.5,((Q17+1)/7)^0.5))</f>
        <v>15.110897528981313</v>
      </c>
      <c r="AK17" s="22">
        <f ca="1">(AD17+1+(LOG(I17)*4/3)+N17)*(Q17/7)^0.5</f>
        <v>6.187910775396916</v>
      </c>
      <c r="AL17" s="22">
        <f ca="1">(AD17+1+N17+(LOG(I17)*4/3))*(IF(Q17=7,(Q17/7)^0.5,((Q17+1)/7)^0.5))</f>
        <v>6.7785166310283484</v>
      </c>
      <c r="AM17" s="11">
        <f ca="1">(AD17+LOG(I17)*4/3+N17)*0.7+(AC17+LOG(I17)*4/3+N17)*0.3</f>
        <v>7.5216347675899922</v>
      </c>
      <c r="AN17" s="20">
        <v>1</v>
      </c>
      <c r="AO17" s="20">
        <v>3</v>
      </c>
      <c r="AP17" s="20">
        <v>2</v>
      </c>
      <c r="AQ17" s="57">
        <f>IF(AO17=4,IF(AP17=0,0.137+0.0697,0.137+0.02),IF(AO17=3,IF(AP17=0,0.0958+0.0697,0.0958+0.02),IF(AO17=2,IF(AP17=0,0.0415+0.0697,0.0415+0.02),IF(AO17=1,IF(AP17=0,0.0294+0.0697,0.0294+0.02),IF(AO17=0,IF(AP17=0,0.0063+0.0697,0.0063+0.02))))))</f>
        <v>0.1158</v>
      </c>
      <c r="AR17" s="10">
        <v>145330</v>
      </c>
      <c r="AS17" s="287">
        <v>3500000</v>
      </c>
      <c r="AT17" s="286" t="s">
        <v>177</v>
      </c>
    </row>
    <row r="18" spans="1:46" x14ac:dyDescent="0.25">
      <c r="A18" s="403" t="s">
        <v>150</v>
      </c>
      <c r="B18" s="404" t="s">
        <v>172</v>
      </c>
      <c r="C18" s="196">
        <f ca="1">((36*112)-(E18*112)-(F18))/112</f>
        <v>4.9285714285714288</v>
      </c>
      <c r="D18" s="477" t="s">
        <v>1589</v>
      </c>
      <c r="E18" s="406">
        <v>31</v>
      </c>
      <c r="F18" s="407">
        <f ca="1">$D$2-$D$1-2149-112</f>
        <v>8</v>
      </c>
      <c r="G18" s="408" t="s">
        <v>162</v>
      </c>
      <c r="H18" s="409">
        <v>4</v>
      </c>
      <c r="I18" s="410">
        <v>10.8</v>
      </c>
      <c r="J18" s="411">
        <f>LOG(I18)*4/3</f>
        <v>1.3778983406492662</v>
      </c>
      <c r="K18" s="412">
        <f>(H18)*(H18)*(I18)</f>
        <v>172.8</v>
      </c>
      <c r="L18" s="412">
        <f>(H18+1)*(H18+1)*I18</f>
        <v>270</v>
      </c>
      <c r="M18" s="413">
        <v>44474</v>
      </c>
      <c r="N18" s="414">
        <f ca="1">IF((TODAY()-M18)&gt;335,1,((TODAY()-M18)^0.64)/(336^0.64))</f>
        <v>0.34254750934422762</v>
      </c>
      <c r="O18" s="415">
        <v>7.6</v>
      </c>
      <c r="P18" s="416">
        <f>O18*10+19</f>
        <v>95</v>
      </c>
      <c r="Q18" s="416">
        <v>6</v>
      </c>
      <c r="R18" s="417">
        <f>(Q18/7)^0.5</f>
        <v>0.92582009977255142</v>
      </c>
      <c r="S18" s="417">
        <f>IF(Q18=7,1,((Q18+0.99)/7)^0.5)</f>
        <v>0.99928545900129484</v>
      </c>
      <c r="T18" s="418">
        <v>107980</v>
      </c>
      <c r="U18" s="418">
        <f>T18-AR18</f>
        <v>2550</v>
      </c>
      <c r="V18" s="418">
        <v>23688</v>
      </c>
      <c r="W18" s="419">
        <f>T18/V18</f>
        <v>4.5584262073623778</v>
      </c>
      <c r="X18" s="420">
        <v>0</v>
      </c>
      <c r="Y18" s="411">
        <v>4</v>
      </c>
      <c r="Z18" s="420">
        <v>5</v>
      </c>
      <c r="AA18" s="411">
        <v>10</v>
      </c>
      <c r="AB18" s="420">
        <v>10</v>
      </c>
      <c r="AC18" s="411">
        <v>14.5</v>
      </c>
      <c r="AD18" s="420">
        <v>11</v>
      </c>
      <c r="AE18" s="421">
        <v>1561</v>
      </c>
      <c r="AF18" s="419">
        <f ca="1">(((Y18+LOG(I18)*4/3+N18)+(AB18+LOG(I18)*4/3+N18)*2)/8)*(Q18/7)^0.5</f>
        <v>3.3747690550029974</v>
      </c>
      <c r="AG18" s="476">
        <f ca="1">(Y18+J18+N18)*(Q18/7)^0.5</f>
        <v>5.2961037475844543</v>
      </c>
      <c r="AH18" s="476">
        <f ca="1">(Y18+J18+N18)*(IF(Q18=7,(Q18/7)^0.5,((Q18+1)/7)^0.5))</f>
        <v>5.720445849993494</v>
      </c>
      <c r="AI18" s="476">
        <f ca="1">(Z18+N18+(LOG(I18)*4/3))*(Q18/7)^0.5</f>
        <v>6.2219238473570062</v>
      </c>
      <c r="AJ18" s="476">
        <f ca="1">(Z18+N18+(LOG(I18)*4/3))*(IF(Q18=7,(Q18/7)^0.5,((Q18+1)/7)^0.5))</f>
        <v>6.720445849993494</v>
      </c>
      <c r="AK18" s="22">
        <f ca="1">(AD18+1+(LOG(I18)*4/3)+N18)*(Q18/7)^0.5</f>
        <v>12.702664545764867</v>
      </c>
      <c r="AL18" s="22">
        <f ca="1">(AD18+1+N18+(LOG(I18)*4/3))*(IF(Q18=7,(Q18/7)^0.5,((Q18+1)/7)^0.5))</f>
        <v>13.720445849993492</v>
      </c>
      <c r="AM18" s="11">
        <f ca="1">(AD18+LOG(I18)*4/3+N18)*0.7+(AC18+LOG(I18)*4/3+N18)*0.3</f>
        <v>13.770445849993493</v>
      </c>
      <c r="AN18" s="416">
        <v>2</v>
      </c>
      <c r="AO18" s="416">
        <v>4</v>
      </c>
      <c r="AP18" s="416">
        <v>2</v>
      </c>
      <c r="AQ18" s="417">
        <f>IF(AO18=4,IF(AP18=0,0.137+0.0697,0.137+0.02),IF(AO18=3,IF(AP18=0,0.0958+0.0697,0.0958+0.02),IF(AO18=2,IF(AP18=0,0.0415+0.0697,0.0415+0.02),IF(AO18=1,IF(AP18=0,0.0294+0.0697,0.0294+0.02),IF(AO18=0,IF(AP18=0,0.0063+0.0697,0.0063+0.02))))))</f>
        <v>0.157</v>
      </c>
      <c r="AR18" s="418">
        <v>105430</v>
      </c>
      <c r="AS18" s="287">
        <v>5634000</v>
      </c>
      <c r="AT18" s="286" t="s">
        <v>758</v>
      </c>
    </row>
    <row r="19" spans="1:46" x14ac:dyDescent="0.25">
      <c r="A19" s="244" t="s">
        <v>317</v>
      </c>
      <c r="B19" s="49" t="s">
        <v>172</v>
      </c>
      <c r="C19" s="196">
        <f t="shared" ca="1" si="0"/>
        <v>5.3482142857142856</v>
      </c>
      <c r="D19" s="308" t="s">
        <v>761</v>
      </c>
      <c r="E19" s="4">
        <v>30</v>
      </c>
      <c r="F19" s="5">
        <f ca="1">$D$2-$D$1-1972-112-112</f>
        <v>73</v>
      </c>
      <c r="G19" s="6"/>
      <c r="H19" s="7">
        <v>1</v>
      </c>
      <c r="I19" s="8">
        <v>7.6</v>
      </c>
      <c r="J19" s="21">
        <f t="shared" si="1"/>
        <v>1.1744181230410551</v>
      </c>
      <c r="K19" s="9">
        <f t="shared" si="2"/>
        <v>7.6</v>
      </c>
      <c r="L19" s="9">
        <f t="shared" si="3"/>
        <v>30.4</v>
      </c>
      <c r="M19" s="62">
        <v>44262</v>
      </c>
      <c r="N19" s="63">
        <f t="shared" ca="1" si="19"/>
        <v>0.87966190880626971</v>
      </c>
      <c r="O19" s="19">
        <v>7</v>
      </c>
      <c r="P19" s="20">
        <f t="shared" si="5"/>
        <v>89</v>
      </c>
      <c r="Q19" s="20">
        <v>4</v>
      </c>
      <c r="R19" s="57">
        <f t="shared" si="6"/>
        <v>0.7559289460184544</v>
      </c>
      <c r="S19" s="57">
        <f t="shared" si="7"/>
        <v>0.84430867747355465</v>
      </c>
      <c r="T19" s="10">
        <v>173730</v>
      </c>
      <c r="U19" s="10">
        <f t="shared" si="8"/>
        <v>-2610</v>
      </c>
      <c r="V19" s="10">
        <v>21860</v>
      </c>
      <c r="W19" s="11">
        <f t="shared" si="9"/>
        <v>7.9473924977127171</v>
      </c>
      <c r="X19" s="263">
        <v>0</v>
      </c>
      <c r="Y19" s="21">
        <v>4</v>
      </c>
      <c r="Z19" s="263">
        <f>3+0/4</f>
        <v>3</v>
      </c>
      <c r="AA19" s="21">
        <f>9+1/8</f>
        <v>9.125</v>
      </c>
      <c r="AB19" s="263">
        <v>14</v>
      </c>
      <c r="AC19" s="21">
        <v>13.95</v>
      </c>
      <c r="AD19" s="263">
        <v>8</v>
      </c>
      <c r="AE19" s="12">
        <v>1639</v>
      </c>
      <c r="AF19" s="11">
        <f t="shared" ca="1" si="10"/>
        <v>3.6059927416407809</v>
      </c>
      <c r="AG19" s="22">
        <f t="shared" ca="1" si="11"/>
        <v>4.5764543375857194</v>
      </c>
      <c r="AH19" s="22">
        <f t="shared" ca="1" si="12"/>
        <v>5.1166314973827198</v>
      </c>
      <c r="AI19" s="22">
        <f t="shared" ca="1" si="13"/>
        <v>3.8205253915672648</v>
      </c>
      <c r="AJ19" s="22">
        <f t="shared" ca="1" si="14"/>
        <v>4.2714772426542034</v>
      </c>
      <c r="AK19" s="22">
        <f t="shared" ca="1" si="15"/>
        <v>8.3560990676779916</v>
      </c>
      <c r="AL19" s="22">
        <f t="shared" ca="1" si="16"/>
        <v>9.3424027710253039</v>
      </c>
      <c r="AM19" s="11">
        <f t="shared" ca="1" si="17"/>
        <v>11.839080031847324</v>
      </c>
      <c r="AN19" s="20">
        <v>1</v>
      </c>
      <c r="AO19" s="20">
        <v>2</v>
      </c>
      <c r="AP19" s="20">
        <v>2</v>
      </c>
      <c r="AQ19" s="57">
        <f t="shared" si="18"/>
        <v>6.1499999999999999E-2</v>
      </c>
      <c r="AR19" s="10">
        <v>176340</v>
      </c>
      <c r="AS19" s="287">
        <v>7500000</v>
      </c>
      <c r="AT19" s="286" t="s">
        <v>177</v>
      </c>
    </row>
    <row r="20" spans="1:46" x14ac:dyDescent="0.25">
      <c r="A20" s="244" t="s">
        <v>175</v>
      </c>
      <c r="B20" s="49" t="s">
        <v>172</v>
      </c>
      <c r="C20" s="196">
        <f t="shared" ca="1" si="0"/>
        <v>5.4285714285714288</v>
      </c>
      <c r="D20" s="308" t="s">
        <v>676</v>
      </c>
      <c r="E20" s="4">
        <v>30</v>
      </c>
      <c r="F20" s="5">
        <f ca="1">$D$2-$D$1-1600-45-112-112-112-112-112</f>
        <v>64</v>
      </c>
      <c r="G20" s="6" t="s">
        <v>162</v>
      </c>
      <c r="H20" s="7">
        <v>1</v>
      </c>
      <c r="I20" s="8">
        <v>8.3000000000000007</v>
      </c>
      <c r="J20" s="21">
        <f t="shared" si="1"/>
        <v>1.2254374565014319</v>
      </c>
      <c r="K20" s="9">
        <f t="shared" si="2"/>
        <v>8.3000000000000007</v>
      </c>
      <c r="L20" s="9">
        <f t="shared" si="3"/>
        <v>33.200000000000003</v>
      </c>
      <c r="M20" s="62">
        <v>43590</v>
      </c>
      <c r="N20" s="63">
        <f t="shared" ca="1" si="19"/>
        <v>1</v>
      </c>
      <c r="O20" s="19">
        <v>7.4</v>
      </c>
      <c r="P20" s="20">
        <f t="shared" si="5"/>
        <v>93</v>
      </c>
      <c r="Q20" s="20">
        <v>6</v>
      </c>
      <c r="R20" s="57">
        <f t="shared" si="6"/>
        <v>0.92582009977255142</v>
      </c>
      <c r="S20" s="57">
        <f t="shared" si="7"/>
        <v>0.99928545900129484</v>
      </c>
      <c r="T20" s="10">
        <v>230650</v>
      </c>
      <c r="U20" s="10">
        <f t="shared" si="8"/>
        <v>-5000</v>
      </c>
      <c r="V20" s="10">
        <v>25656</v>
      </c>
      <c r="W20" s="11">
        <f t="shared" si="9"/>
        <v>8.990099781727471</v>
      </c>
      <c r="X20" s="263">
        <v>0</v>
      </c>
      <c r="Y20" s="21">
        <v>4</v>
      </c>
      <c r="Z20" s="263">
        <f>8+1/6*(29/90)+0.5/6*(61/90)+1/6</f>
        <v>8.2768518518518519</v>
      </c>
      <c r="AA20" s="21">
        <f>11+4/6</f>
        <v>11.666666666666666</v>
      </c>
      <c r="AB20" s="263">
        <v>13</v>
      </c>
      <c r="AC20" s="21">
        <v>13.95</v>
      </c>
      <c r="AD20" s="263">
        <v>15</v>
      </c>
      <c r="AE20" s="12">
        <v>1928</v>
      </c>
      <c r="AF20" s="11">
        <f t="shared" ca="1" si="10"/>
        <v>4.2444583971529664</v>
      </c>
      <c r="AG20" s="22">
        <f t="shared" ca="1" si="11"/>
        <v>5.7636351271059345</v>
      </c>
      <c r="AH20" s="22">
        <f t="shared" ca="1" si="12"/>
        <v>6.2254374565014317</v>
      </c>
      <c r="AI20" s="22">
        <f t="shared" ca="1" si="13"/>
        <v>9.7232305352998374</v>
      </c>
      <c r="AJ20" s="22">
        <f t="shared" ca="1" si="14"/>
        <v>10.502289308353284</v>
      </c>
      <c r="AK20" s="22">
        <f t="shared" ca="1" si="15"/>
        <v>16.873476324376551</v>
      </c>
      <c r="AL20" s="22">
        <f t="shared" ca="1" si="16"/>
        <v>18.225437456501432</v>
      </c>
      <c r="AM20" s="11">
        <f t="shared" ca="1" si="17"/>
        <v>16.91043745650143</v>
      </c>
      <c r="AN20" s="20">
        <v>1</v>
      </c>
      <c r="AO20" s="20">
        <v>0</v>
      </c>
      <c r="AP20" s="20">
        <v>1</v>
      </c>
      <c r="AQ20" s="57">
        <f t="shared" si="18"/>
        <v>2.63E-2</v>
      </c>
      <c r="AR20" s="10">
        <v>235650</v>
      </c>
      <c r="AS20" s="287">
        <v>12306000</v>
      </c>
      <c r="AT20" s="286" t="s">
        <v>758</v>
      </c>
    </row>
    <row r="21" spans="1:46" x14ac:dyDescent="0.25">
      <c r="V21" s="44"/>
    </row>
    <row r="23" spans="1:46" x14ac:dyDescent="0.25">
      <c r="D23" s="23"/>
      <c r="T23" s="44"/>
      <c r="V23" s="44"/>
    </row>
    <row r="24" spans="1:46" x14ac:dyDescent="0.25">
      <c r="D24" s="23"/>
    </row>
    <row r="25" spans="1:46" x14ac:dyDescent="0.25">
      <c r="D25" s="61"/>
      <c r="AS25" s="291"/>
    </row>
    <row r="26" spans="1:46" x14ac:dyDescent="0.25">
      <c r="D26" s="1"/>
    </row>
    <row r="27" spans="1:46" x14ac:dyDescent="0.25">
      <c r="M27" s="23"/>
      <c r="T27" s="44"/>
      <c r="V27" s="44"/>
    </row>
    <row r="28" spans="1:46" x14ac:dyDescent="0.25">
      <c r="M28" s="23"/>
    </row>
  </sheetData>
  <conditionalFormatting sqref="U2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{20E65445-B502-CC35-5785-1B5F6E38F240}</x14:id>
        </ext>
      </extLst>
    </cfRule>
  </conditionalFormatting>
  <conditionalFormatting sqref="W17:W20 W4:W15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{54A1CDFE-05EA-C8A0-DE6E-3F4D0171AC31}</x14:id>
        </ext>
      </extLst>
    </cfRule>
  </conditionalFormatting>
  <conditionalFormatting sqref="W16">
    <cfRule type="dataBar" priority="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{455B1121-88DB-485C-CE90-B055FA47AC26}</x14:id>
        </ext>
      </extLst>
    </cfRule>
  </conditionalFormatting>
  <conditionalFormatting sqref="C4:C20">
    <cfRule type="colorScale" priority="466">
      <colorScale>
        <cfvo type="min"/>
        <cfvo type="max"/>
        <color rgb="FFFFEF9C"/>
        <color rgb="FF63BE7B"/>
      </colorScale>
    </cfRule>
  </conditionalFormatting>
  <conditionalFormatting sqref="T4:T20">
    <cfRule type="dataBar" priority="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{34CE30BA-CC8B-9E63-00D4-DB0741866E36}</x14:id>
        </ext>
      </extLst>
    </cfRule>
  </conditionalFormatting>
  <conditionalFormatting sqref="V4:V20">
    <cfRule type="dataBar" priority="4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{5366CBA3-B950-E749-380E-A928C555A138}</x14:id>
        </ext>
      </extLst>
    </cfRule>
  </conditionalFormatting>
  <conditionalFormatting sqref="AK4:AL17 AK19:AL20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:AF20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17 AM19:AM20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0">
    <cfRule type="colorScale" priority="478">
      <colorScale>
        <cfvo type="min"/>
        <cfvo type="max"/>
        <color rgb="FFFFEF9C"/>
        <color rgb="FF63BE7B"/>
      </colorScale>
    </cfRule>
  </conditionalFormatting>
  <conditionalFormatting sqref="I4:I20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0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{567ED915-6BB1-30DF-6F8C-2416738B610B}</x14:id>
        </ext>
      </extLst>
    </cfRule>
  </conditionalFormatting>
  <conditionalFormatting sqref="P4:P21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J20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0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:AQ20">
    <cfRule type="colorScale" priority="490">
      <colorScale>
        <cfvo type="min"/>
        <cfvo type="max"/>
        <color rgb="FFFCFCFF"/>
        <color rgb="FFF8696B"/>
      </colorScale>
    </cfRule>
  </conditionalFormatting>
  <conditionalFormatting sqref="R4:S20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4:AS20">
    <cfRule type="dataBar" priority="4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{4DAFD0AF-A744-43BB-A8A0-097B76CD3F56}</x14:id>
        </ext>
      </extLst>
    </cfRule>
  </conditionalFormatting>
  <conditionalFormatting sqref="AE4:AE20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{7676AE00-9D90-144E-5CF6-F5615F2E3031}</x14:id>
        </ext>
      </extLst>
    </cfRule>
  </conditionalFormatting>
  <conditionalFormatting sqref="K4:L20">
    <cfRule type="colorScale" priority="498">
      <colorScale>
        <cfvo type="min"/>
        <cfvo type="max"/>
        <color rgb="FFFCFCFF"/>
        <color rgb="FFF8696B"/>
      </colorScale>
    </cfRule>
  </conditionalFormatting>
  <conditionalFormatting sqref="X4:AD20">
    <cfRule type="cellIs" dxfId="58" priority="500" operator="greaterThan">
      <formula>11</formula>
    </cfRule>
    <cfRule type="colorScale" priority="501">
      <colorScale>
        <cfvo type="min"/>
        <cfvo type="max"/>
        <color rgb="FFFCFCFF"/>
        <color rgb="FFF8696B"/>
      </colorScale>
    </cfRule>
  </conditionalFormatting>
  <conditionalFormatting sqref="AK18:AL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R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{29DB4732-E321-4180-AF91-E64928955638}</x14:id>
        </ext>
      </extLst>
    </cfRule>
  </conditionalFormatting>
  <pageMargins left="0.7" right="0.7" top="0.75" bottom="0.75" header="0.3" footer="0.3"/>
  <pageSetup paperSize="9" fitToWidth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E65445-B502-CC35-5785-1B5F6E38F2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54A1CDFE-05EA-C8A0-DE6E-3F4D0171AC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W17:W20 W4:W15</xm:sqref>
        </x14:conditionalFormatting>
        <x14:conditionalFormatting xmlns:xm="http://schemas.microsoft.com/office/excel/2006/main">
          <x14:cfRule type="dataBar" id="{455B1121-88DB-485C-CE90-B055FA47AC2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34CE30BA-CC8B-9E63-00D4-DB0741866E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5366CBA3-B950-E749-380E-A928C555A1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567ED915-6BB1-30DF-6F8C-2416738B61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4DAFD0AF-A744-43BB-A8A0-097B76CD3F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AS4:AS20</xm:sqref>
        </x14:conditionalFormatting>
        <x14:conditionalFormatting xmlns:xm="http://schemas.microsoft.com/office/excel/2006/main">
          <x14:cfRule type="dataBar" id="{7676AE00-9D90-144E-5CF6-F5615F2E30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AE4:AE20</xm:sqref>
        </x14:conditionalFormatting>
        <x14:conditionalFormatting xmlns:xm="http://schemas.microsoft.com/office/excel/2006/main">
          <x14:cfRule type="dataBar" id="{29DB4732-E321-4180-AF91-E649289556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AR4:AR20</xm:sqref>
        </x14:conditionalFormatting>
      </x14:conditionalFormattings>
    </ex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K120"/>
  <sheetViews>
    <sheetView zoomScale="110" zoomScaleNormal="110" workbookViewId="0">
      <selection activeCell="B16" sqref="B16"/>
    </sheetView>
  </sheetViews>
  <sheetFormatPr baseColWidth="10" defaultColWidth="10.7109375" defaultRowHeight="15" x14ac:dyDescent="0.25"/>
  <cols>
    <col min="1" max="1" width="24.7109375" customWidth="1"/>
    <col min="2" max="2" width="6.140625" customWidth="1"/>
    <col min="3" max="3" width="5.42578125" customWidth="1"/>
    <col min="4" max="4" width="5.5703125" customWidth="1"/>
    <col min="5" max="5" width="8" bestFit="1" customWidth="1"/>
    <col min="6" max="6" width="11.85546875" customWidth="1"/>
    <col min="7" max="8" width="6.140625" customWidth="1"/>
    <col min="9" max="9" width="6.7109375" customWidth="1"/>
    <col min="10" max="10" width="5" customWidth="1"/>
    <col min="11" max="11" width="5.28515625" customWidth="1"/>
    <col min="12" max="12" width="5.5703125" customWidth="1"/>
    <col min="13" max="13" width="5.42578125" customWidth="1"/>
    <col min="14" max="14" width="5.5703125" customWidth="1"/>
    <col min="15" max="15" width="5" customWidth="1"/>
    <col min="16" max="16" width="5.5703125" customWidth="1"/>
    <col min="17" max="17" width="5.140625" customWidth="1"/>
    <col min="18" max="20" width="5.5703125" customWidth="1"/>
    <col min="21" max="21" width="5.140625" bestFit="1" customWidth="1"/>
    <col min="22" max="22" width="5" customWidth="1"/>
    <col min="23" max="23" width="5.42578125" customWidth="1"/>
    <col min="24" max="24" width="5.5703125" customWidth="1"/>
    <col min="25" max="25" width="5" customWidth="1"/>
    <col min="26" max="26" width="4" customWidth="1"/>
    <col min="27" max="32" width="5.140625" customWidth="1"/>
    <col min="33" max="33" width="18.42578125" customWidth="1"/>
  </cols>
  <sheetData>
    <row r="1" spans="1:35" x14ac:dyDescent="0.25">
      <c r="A1" s="114" t="s">
        <v>176</v>
      </c>
      <c r="B1" s="114"/>
      <c r="C1" s="114"/>
      <c r="D1" s="115"/>
      <c r="E1" s="114"/>
      <c r="F1" s="115"/>
      <c r="G1" s="116"/>
      <c r="H1" s="115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5"/>
      <c r="X1" s="115"/>
      <c r="Y1" s="115"/>
      <c r="Z1" s="115"/>
      <c r="AA1" s="117"/>
      <c r="AB1" s="117"/>
      <c r="AC1" s="117"/>
      <c r="AD1" s="117"/>
      <c r="AE1" s="117"/>
      <c r="AF1" s="117"/>
      <c r="AG1" s="116"/>
    </row>
    <row r="2" spans="1:35" x14ac:dyDescent="0.25">
      <c r="A2" s="118" t="s">
        <v>177</v>
      </c>
      <c r="B2" s="118" t="s">
        <v>178</v>
      </c>
      <c r="C2" s="118" t="s">
        <v>109</v>
      </c>
      <c r="D2" s="119" t="s">
        <v>179</v>
      </c>
      <c r="E2" s="118" t="s">
        <v>180</v>
      </c>
      <c r="F2" s="119" t="s">
        <v>181</v>
      </c>
      <c r="G2" s="120" t="s">
        <v>833</v>
      </c>
      <c r="H2" s="119" t="s">
        <v>111</v>
      </c>
      <c r="I2" s="353" t="s">
        <v>149</v>
      </c>
      <c r="J2" s="353" t="s">
        <v>182</v>
      </c>
      <c r="K2" s="354" t="s">
        <v>183</v>
      </c>
      <c r="L2" s="354" t="s">
        <v>182</v>
      </c>
      <c r="M2" s="353" t="s">
        <v>184</v>
      </c>
      <c r="N2" s="353" t="s">
        <v>182</v>
      </c>
      <c r="O2" s="354" t="s">
        <v>185</v>
      </c>
      <c r="P2" s="354" t="s">
        <v>182</v>
      </c>
      <c r="Q2" s="353" t="s">
        <v>186</v>
      </c>
      <c r="R2" s="353" t="s">
        <v>182</v>
      </c>
      <c r="S2" s="354" t="s">
        <v>187</v>
      </c>
      <c r="T2" s="354" t="s">
        <v>182</v>
      </c>
      <c r="U2" s="353" t="s">
        <v>188</v>
      </c>
      <c r="V2" s="353" t="s">
        <v>182</v>
      </c>
      <c r="W2" s="121" t="s">
        <v>189</v>
      </c>
      <c r="X2" s="121" t="s">
        <v>190</v>
      </c>
      <c r="Y2" s="119" t="s">
        <v>191</v>
      </c>
      <c r="Z2" s="119" t="s">
        <v>188</v>
      </c>
      <c r="AA2" s="122" t="s">
        <v>149</v>
      </c>
      <c r="AB2" s="122" t="s">
        <v>183</v>
      </c>
      <c r="AC2" s="122" t="s">
        <v>192</v>
      </c>
      <c r="AD2" s="122" t="s">
        <v>312</v>
      </c>
      <c r="AE2" s="122" t="s">
        <v>315</v>
      </c>
      <c r="AF2" s="122" t="s">
        <v>172</v>
      </c>
      <c r="AG2" s="120" t="s">
        <v>193</v>
      </c>
    </row>
    <row r="3" spans="1:35" x14ac:dyDescent="0.25">
      <c r="A3" s="148" t="s">
        <v>851</v>
      </c>
      <c r="B3" s="123">
        <v>16</v>
      </c>
      <c r="C3" s="124">
        <f ca="1">+A33-3277-112</f>
        <v>150</v>
      </c>
      <c r="D3" s="125"/>
      <c r="E3" s="126">
        <f ca="1">F3-TODAY()</f>
        <v>-38</v>
      </c>
      <c r="F3" s="361">
        <v>44499</v>
      </c>
      <c r="G3" s="378" t="s">
        <v>838</v>
      </c>
      <c r="H3" s="128" t="s">
        <v>834</v>
      </c>
      <c r="I3" s="367"/>
      <c r="J3" s="362">
        <v>1.99</v>
      </c>
      <c r="K3" s="367">
        <v>2</v>
      </c>
      <c r="L3" s="362">
        <v>2.99</v>
      </c>
      <c r="M3" s="427">
        <v>6</v>
      </c>
      <c r="N3" s="428">
        <v>6.99</v>
      </c>
      <c r="O3" s="425">
        <v>5</v>
      </c>
      <c r="P3" s="426">
        <v>5.99</v>
      </c>
      <c r="Q3" s="430">
        <v>3</v>
      </c>
      <c r="R3" s="426">
        <v>3.99</v>
      </c>
      <c r="S3" s="368">
        <v>2</v>
      </c>
      <c r="T3" s="363">
        <v>2.99</v>
      </c>
      <c r="U3" s="367"/>
      <c r="V3" s="364">
        <v>4.99</v>
      </c>
      <c r="W3" s="129">
        <f>7-(COUNTBLANK(I3)+COUNTBLANK(K3)+COUNTBLANK(M3)+COUNTBLANK(O3)+COUNTBLANK(Q3)+COUNTBLANK(S3)+COUNTBLANK(U3))</f>
        <v>5</v>
      </c>
      <c r="X3" s="128">
        <f>COUNT(V3,R3,T3,P3,N3,L3,J3)</f>
        <v>7</v>
      </c>
      <c r="Y3" s="128"/>
      <c r="Z3" s="128"/>
      <c r="AA3" s="130"/>
      <c r="AB3" s="130">
        <v>3</v>
      </c>
      <c r="AC3" s="130">
        <v>4</v>
      </c>
      <c r="AD3" s="130">
        <v>6.5</v>
      </c>
      <c r="AE3" s="130">
        <v>6</v>
      </c>
      <c r="AF3" s="130">
        <v>4.5</v>
      </c>
      <c r="AG3" s="130"/>
      <c r="AI3" s="3"/>
    </row>
    <row r="4" spans="1:35" x14ac:dyDescent="0.25">
      <c r="A4" s="131" t="s">
        <v>195</v>
      </c>
      <c r="B4" s="131"/>
      <c r="C4" s="131"/>
      <c r="D4" s="132"/>
      <c r="E4" s="131"/>
      <c r="F4" s="132"/>
      <c r="G4" s="133"/>
      <c r="H4" s="132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2"/>
      <c r="X4" s="132"/>
      <c r="Y4" s="132"/>
      <c r="Z4" s="132"/>
      <c r="AA4" s="134"/>
      <c r="AB4" s="134"/>
      <c r="AC4" s="134"/>
      <c r="AD4" s="134"/>
      <c r="AE4" s="134"/>
      <c r="AF4" s="134"/>
      <c r="AG4" s="133"/>
      <c r="AI4" s="3"/>
    </row>
    <row r="5" spans="1:35" x14ac:dyDescent="0.25">
      <c r="A5" s="135" t="s">
        <v>196</v>
      </c>
      <c r="B5" s="135"/>
      <c r="C5" s="135"/>
      <c r="D5" s="136"/>
      <c r="E5" s="135"/>
      <c r="F5" s="137"/>
      <c r="G5" s="138"/>
      <c r="H5" s="137"/>
      <c r="I5" s="139" t="s">
        <v>197</v>
      </c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7"/>
      <c r="X5" s="137"/>
      <c r="Y5" s="137"/>
      <c r="Z5" s="137"/>
      <c r="AA5" s="140" t="s">
        <v>198</v>
      </c>
      <c r="AB5" s="140"/>
      <c r="AC5" s="140"/>
      <c r="AD5" s="140"/>
      <c r="AE5" s="140"/>
      <c r="AF5" s="140"/>
      <c r="AG5" s="141"/>
      <c r="AI5" s="3"/>
    </row>
    <row r="6" spans="1:35" x14ac:dyDescent="0.25">
      <c r="A6" s="142" t="s">
        <v>177</v>
      </c>
      <c r="B6" s="142" t="s">
        <v>178</v>
      </c>
      <c r="C6" s="142" t="s">
        <v>109</v>
      </c>
      <c r="D6" s="143" t="s">
        <v>179</v>
      </c>
      <c r="E6" s="142" t="s">
        <v>180</v>
      </c>
      <c r="F6" s="143" t="str">
        <f>F2</f>
        <v>Promoción</v>
      </c>
      <c r="G6" s="144" t="str">
        <f>G2</f>
        <v>Nivel</v>
      </c>
      <c r="H6" s="143" t="str">
        <f>H2</f>
        <v>Lid</v>
      </c>
      <c r="I6" s="355" t="s">
        <v>149</v>
      </c>
      <c r="J6" s="355" t="str">
        <f t="shared" ref="J6:Y6" si="0">J2</f>
        <v>Pot</v>
      </c>
      <c r="K6" s="356" t="str">
        <f t="shared" si="0"/>
        <v>DEF</v>
      </c>
      <c r="L6" s="356" t="str">
        <f t="shared" si="0"/>
        <v>Pot</v>
      </c>
      <c r="M6" s="355" t="str">
        <f t="shared" si="0"/>
        <v>JUG</v>
      </c>
      <c r="N6" s="355" t="str">
        <f t="shared" si="0"/>
        <v>Pot</v>
      </c>
      <c r="O6" s="356" t="str">
        <f t="shared" si="0"/>
        <v>LAT</v>
      </c>
      <c r="P6" s="356" t="str">
        <f t="shared" si="0"/>
        <v>Pot</v>
      </c>
      <c r="Q6" s="355" t="str">
        <f t="shared" si="0"/>
        <v>PAS</v>
      </c>
      <c r="R6" s="355" t="str">
        <f t="shared" si="0"/>
        <v>Pot</v>
      </c>
      <c r="S6" s="356" t="str">
        <f t="shared" si="0"/>
        <v>ANO</v>
      </c>
      <c r="T6" s="356" t="str">
        <f t="shared" si="0"/>
        <v>Pot</v>
      </c>
      <c r="U6" s="355" t="str">
        <f t="shared" si="0"/>
        <v>BP</v>
      </c>
      <c r="V6" s="355" t="str">
        <f t="shared" si="0"/>
        <v>Pot</v>
      </c>
      <c r="W6" s="145" t="str">
        <f t="shared" si="0"/>
        <v>HAB</v>
      </c>
      <c r="X6" s="145" t="str">
        <f t="shared" si="0"/>
        <v>POT</v>
      </c>
      <c r="Y6" s="143" t="str">
        <f t="shared" si="0"/>
        <v>Cap</v>
      </c>
      <c r="Z6" s="143" t="s">
        <v>188</v>
      </c>
      <c r="AA6" s="146" t="str">
        <f t="shared" ref="AA6:AG6" si="1">AA2</f>
        <v>POR</v>
      </c>
      <c r="AB6" s="146" t="str">
        <f t="shared" si="1"/>
        <v>DEF</v>
      </c>
      <c r="AC6" s="146" t="str">
        <f t="shared" si="1"/>
        <v>DL</v>
      </c>
      <c r="AD6" s="146" t="str">
        <f t="shared" si="1"/>
        <v>INN</v>
      </c>
      <c r="AE6" s="146" t="str">
        <f t="shared" si="1"/>
        <v>EXT</v>
      </c>
      <c r="AF6" s="146" t="str">
        <f t="shared" si="1"/>
        <v>DAV</v>
      </c>
      <c r="AG6" s="144" t="str">
        <f t="shared" si="1"/>
        <v>Atributs</v>
      </c>
      <c r="AI6" s="3"/>
    </row>
    <row r="7" spans="1:35" x14ac:dyDescent="0.25">
      <c r="A7" s="423" t="s">
        <v>1521</v>
      </c>
      <c r="B7" s="123">
        <v>16</v>
      </c>
      <c r="C7" s="124">
        <f ca="1">+A33-3383</f>
        <v>156</v>
      </c>
      <c r="D7" s="125" t="s">
        <v>170</v>
      </c>
      <c r="E7" s="126">
        <f ca="1">F7-TODAY()</f>
        <v>-31</v>
      </c>
      <c r="F7" s="361">
        <v>44506</v>
      </c>
      <c r="G7" s="366" t="s">
        <v>836</v>
      </c>
      <c r="H7" s="128" t="s">
        <v>834</v>
      </c>
      <c r="I7" s="367"/>
      <c r="J7" s="362">
        <v>1.99</v>
      </c>
      <c r="K7" s="425">
        <v>4</v>
      </c>
      <c r="L7" s="426">
        <v>5.99</v>
      </c>
      <c r="M7" s="368">
        <v>2</v>
      </c>
      <c r="N7" s="363">
        <v>2.99</v>
      </c>
      <c r="O7" s="427">
        <v>4</v>
      </c>
      <c r="P7" s="428">
        <v>5.99</v>
      </c>
      <c r="Q7" s="368"/>
      <c r="R7" s="363">
        <v>0.19900000000000001</v>
      </c>
      <c r="S7" s="427">
        <v>2</v>
      </c>
      <c r="T7" s="428">
        <v>2.99</v>
      </c>
      <c r="U7" s="367"/>
      <c r="V7" s="369">
        <v>2.99</v>
      </c>
      <c r="W7" s="129">
        <f>7-(COUNTBLANK(I7)+COUNTBLANK(K7)+COUNTBLANK(M7)+COUNTBLANK(O7)+COUNTBLANK(Q7)+COUNTBLANK(S7)+COUNTBLANK(U7))</f>
        <v>4</v>
      </c>
      <c r="X7" s="128">
        <f>COUNT(V7,R7,T7,P7,N7,L7,J7)</f>
        <v>7</v>
      </c>
      <c r="Y7" s="128"/>
      <c r="Z7" s="128"/>
      <c r="AA7" s="130"/>
      <c r="AB7" s="130"/>
      <c r="AC7" s="130">
        <v>5</v>
      </c>
      <c r="AD7" s="130">
        <v>3.5</v>
      </c>
      <c r="AE7" s="130">
        <v>4.5</v>
      </c>
      <c r="AF7" s="130"/>
      <c r="AG7" s="130"/>
    </row>
    <row r="8" spans="1:35" x14ac:dyDescent="0.25">
      <c r="A8" s="424" t="s">
        <v>1522</v>
      </c>
      <c r="B8" s="123">
        <v>16</v>
      </c>
      <c r="C8" s="124">
        <f ca="1">+A33-3443</f>
        <v>96</v>
      </c>
      <c r="D8" s="125" t="s">
        <v>159</v>
      </c>
      <c r="E8" s="126">
        <f ca="1">F8-TODAY()</f>
        <v>18</v>
      </c>
      <c r="F8" s="361">
        <v>44555</v>
      </c>
      <c r="G8" s="372" t="s">
        <v>836</v>
      </c>
      <c r="H8" s="128" t="s">
        <v>834</v>
      </c>
      <c r="I8" s="367"/>
      <c r="J8" s="362">
        <v>0.99</v>
      </c>
      <c r="K8" s="367">
        <v>1</v>
      </c>
      <c r="L8" s="362">
        <v>1.99</v>
      </c>
      <c r="M8" s="430">
        <v>4</v>
      </c>
      <c r="N8" s="429">
        <v>6.99</v>
      </c>
      <c r="O8" s="425">
        <v>3</v>
      </c>
      <c r="P8" s="426">
        <v>5.99</v>
      </c>
      <c r="Q8" s="371">
        <v>3</v>
      </c>
      <c r="R8" s="362">
        <v>4.9000000000000004</v>
      </c>
      <c r="S8" s="367">
        <v>3</v>
      </c>
      <c r="T8" s="362">
        <v>4.99</v>
      </c>
      <c r="U8" s="367"/>
      <c r="V8" s="362"/>
      <c r="W8" s="129">
        <f>7-(COUNTBLANK(I8)+COUNTBLANK(K8)+COUNTBLANK(M8)+COUNTBLANK(O8)+COUNTBLANK(Q8)+COUNTBLANK(S8)+COUNTBLANK(U8))</f>
        <v>5</v>
      </c>
      <c r="X8" s="128">
        <f>COUNT(V8,R8,T8,P8,N8,L8,J8)</f>
        <v>6</v>
      </c>
      <c r="Y8" s="128"/>
      <c r="Z8" s="128"/>
      <c r="AA8" s="130"/>
      <c r="AB8" s="130"/>
      <c r="AC8" s="130">
        <v>3</v>
      </c>
      <c r="AD8" s="130">
        <v>5</v>
      </c>
      <c r="AE8" s="130"/>
      <c r="AF8" s="130">
        <v>5.5</v>
      </c>
      <c r="AG8" s="130"/>
      <c r="AI8" s="3"/>
    </row>
    <row r="9" spans="1:35" x14ac:dyDescent="0.25">
      <c r="A9" s="424" t="s">
        <v>1523</v>
      </c>
      <c r="B9" s="123">
        <v>15</v>
      </c>
      <c r="C9" s="124">
        <f ca="1">+A33-3366</f>
        <v>173</v>
      </c>
      <c r="D9" s="125"/>
      <c r="E9" s="126">
        <f ca="1">F9-TODAY()</f>
        <v>51</v>
      </c>
      <c r="F9" s="361">
        <v>44588</v>
      </c>
      <c r="G9" s="366" t="s">
        <v>836</v>
      </c>
      <c r="H9" s="128" t="s">
        <v>834</v>
      </c>
      <c r="I9" s="370"/>
      <c r="J9" s="362">
        <v>0.99</v>
      </c>
      <c r="K9" s="431">
        <v>4</v>
      </c>
      <c r="L9" s="426">
        <v>5.99</v>
      </c>
      <c r="M9" s="371">
        <v>3</v>
      </c>
      <c r="N9" s="364">
        <v>5.99</v>
      </c>
      <c r="O9" s="368">
        <v>1</v>
      </c>
      <c r="P9" s="363">
        <v>2.99</v>
      </c>
      <c r="Q9" s="427">
        <v>3</v>
      </c>
      <c r="R9" s="428">
        <v>3.99</v>
      </c>
      <c r="S9" s="368"/>
      <c r="T9" s="363">
        <v>1.99</v>
      </c>
      <c r="U9" s="370"/>
      <c r="V9" s="364"/>
      <c r="W9" s="129">
        <f>7-(COUNTBLANK(I9)+COUNTBLANK(K9)+COUNTBLANK(M9)+COUNTBLANK(O9)+COUNTBLANK(Q9)+COUNTBLANK(S9)+COUNTBLANK(U9))</f>
        <v>4</v>
      </c>
      <c r="X9" s="128">
        <f>COUNT(V9,R9,T9,P9,N9,L9,J9)</f>
        <v>6</v>
      </c>
      <c r="Y9" s="128"/>
      <c r="Z9" s="128"/>
      <c r="AA9" s="130"/>
      <c r="AB9" s="130">
        <v>4.5</v>
      </c>
      <c r="AC9" s="130">
        <v>4.5</v>
      </c>
      <c r="AD9" s="130">
        <v>5.5</v>
      </c>
      <c r="AE9" s="130">
        <v>4</v>
      </c>
      <c r="AF9" s="130"/>
      <c r="AG9" s="130"/>
      <c r="AI9" s="3"/>
    </row>
    <row r="10" spans="1:35" x14ac:dyDescent="0.25">
      <c r="A10" s="150" t="s">
        <v>199</v>
      </c>
      <c r="B10" s="150"/>
      <c r="C10" s="150"/>
      <c r="D10" s="151"/>
      <c r="E10" s="150"/>
      <c r="F10" s="151"/>
      <c r="G10" s="152"/>
      <c r="H10" s="151"/>
      <c r="I10" s="365"/>
      <c r="J10" s="365"/>
      <c r="K10" s="365"/>
      <c r="L10" s="365"/>
      <c r="M10" s="365"/>
      <c r="N10" s="365"/>
      <c r="O10" s="365"/>
      <c r="P10" s="365"/>
      <c r="Q10" s="365"/>
      <c r="R10" s="365"/>
      <c r="S10" s="365"/>
      <c r="T10" s="365"/>
      <c r="U10" s="365"/>
      <c r="V10" s="365"/>
      <c r="W10" s="151"/>
      <c r="X10" s="151"/>
      <c r="Y10" s="151"/>
      <c r="Z10" s="151"/>
      <c r="AA10" s="153"/>
      <c r="AB10" s="153"/>
      <c r="AC10" s="153"/>
      <c r="AD10" s="153"/>
      <c r="AE10" s="153"/>
      <c r="AF10" s="153"/>
      <c r="AG10" s="152"/>
      <c r="AI10" s="3"/>
    </row>
    <row r="11" spans="1:35" x14ac:dyDescent="0.25">
      <c r="A11" s="154" t="s">
        <v>196</v>
      </c>
      <c r="B11" s="154"/>
      <c r="C11" s="154"/>
      <c r="D11" s="155"/>
      <c r="E11" s="154"/>
      <c r="F11" s="156"/>
      <c r="G11" s="157"/>
      <c r="H11" s="156"/>
      <c r="I11" s="158" t="s">
        <v>197</v>
      </c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6"/>
      <c r="X11" s="156"/>
      <c r="Y11" s="156"/>
      <c r="Z11" s="156"/>
      <c r="AA11" s="159" t="s">
        <v>198</v>
      </c>
      <c r="AB11" s="159"/>
      <c r="AC11" s="159"/>
      <c r="AD11" s="159"/>
      <c r="AE11" s="159"/>
      <c r="AF11" s="159"/>
      <c r="AG11" s="160"/>
      <c r="AI11" s="3"/>
    </row>
    <row r="12" spans="1:35" x14ac:dyDescent="0.25">
      <c r="A12" s="161" t="s">
        <v>177</v>
      </c>
      <c r="B12" s="161" t="s">
        <v>178</v>
      </c>
      <c r="C12" s="161" t="s">
        <v>109</v>
      </c>
      <c r="D12" s="162" t="s">
        <v>179</v>
      </c>
      <c r="E12" s="161" t="s">
        <v>180</v>
      </c>
      <c r="F12" s="162" t="str">
        <f>F6</f>
        <v>Promoción</v>
      </c>
      <c r="G12" s="163" t="str">
        <f>G6</f>
        <v>Nivel</v>
      </c>
      <c r="H12" s="162" t="str">
        <f>H6</f>
        <v>Lid</v>
      </c>
      <c r="I12" s="357" t="s">
        <v>149</v>
      </c>
      <c r="J12" s="357" t="str">
        <f t="shared" ref="J12:Y12" si="2">J6</f>
        <v>Pot</v>
      </c>
      <c r="K12" s="358" t="str">
        <f t="shared" si="2"/>
        <v>DEF</v>
      </c>
      <c r="L12" s="358" t="str">
        <f t="shared" si="2"/>
        <v>Pot</v>
      </c>
      <c r="M12" s="357" t="str">
        <f t="shared" si="2"/>
        <v>JUG</v>
      </c>
      <c r="N12" s="357" t="str">
        <f t="shared" si="2"/>
        <v>Pot</v>
      </c>
      <c r="O12" s="358" t="str">
        <f t="shared" si="2"/>
        <v>LAT</v>
      </c>
      <c r="P12" s="358" t="str">
        <f t="shared" si="2"/>
        <v>Pot</v>
      </c>
      <c r="Q12" s="357" t="str">
        <f t="shared" si="2"/>
        <v>PAS</v>
      </c>
      <c r="R12" s="357" t="str">
        <f t="shared" si="2"/>
        <v>Pot</v>
      </c>
      <c r="S12" s="358" t="str">
        <f t="shared" si="2"/>
        <v>ANO</v>
      </c>
      <c r="T12" s="358" t="str">
        <f t="shared" si="2"/>
        <v>Pot</v>
      </c>
      <c r="U12" s="357" t="str">
        <f t="shared" si="2"/>
        <v>BP</v>
      </c>
      <c r="V12" s="357" t="str">
        <f t="shared" si="2"/>
        <v>Pot</v>
      </c>
      <c r="W12" s="164" t="str">
        <f t="shared" si="2"/>
        <v>HAB</v>
      </c>
      <c r="X12" s="164" t="str">
        <f t="shared" si="2"/>
        <v>POT</v>
      </c>
      <c r="Y12" s="162" t="str">
        <f t="shared" si="2"/>
        <v>Cap</v>
      </c>
      <c r="Z12" s="162" t="s">
        <v>188</v>
      </c>
      <c r="AA12" s="165" t="str">
        <f t="shared" ref="AA12:AG12" si="3">AA6</f>
        <v>POR</v>
      </c>
      <c r="AB12" s="165" t="str">
        <f t="shared" si="3"/>
        <v>DEF</v>
      </c>
      <c r="AC12" s="165" t="str">
        <f t="shared" si="3"/>
        <v>DL</v>
      </c>
      <c r="AD12" s="165" t="str">
        <f t="shared" si="3"/>
        <v>INN</v>
      </c>
      <c r="AE12" s="165" t="str">
        <f t="shared" si="3"/>
        <v>EXT</v>
      </c>
      <c r="AF12" s="165" t="str">
        <f t="shared" si="3"/>
        <v>DAV</v>
      </c>
      <c r="AG12" s="163" t="str">
        <f t="shared" si="3"/>
        <v>Atributs</v>
      </c>
      <c r="AI12" s="3"/>
    </row>
    <row r="13" spans="1:35" x14ac:dyDescent="0.25">
      <c r="A13" s="148" t="s">
        <v>837</v>
      </c>
      <c r="B13" s="123">
        <v>17</v>
      </c>
      <c r="C13" s="124">
        <f ca="1">+A33-3314-112</f>
        <v>113</v>
      </c>
      <c r="D13" s="125"/>
      <c r="E13" s="126" t="s">
        <v>1527</v>
      </c>
      <c r="F13" s="361"/>
      <c r="G13" s="366">
        <v>4</v>
      </c>
      <c r="H13" s="128" t="s">
        <v>834</v>
      </c>
      <c r="I13" s="367"/>
      <c r="J13" s="367">
        <v>1.99</v>
      </c>
      <c r="K13" s="427">
        <v>3</v>
      </c>
      <c r="L13" s="428">
        <v>3.99</v>
      </c>
      <c r="M13" s="368">
        <v>2</v>
      </c>
      <c r="N13" s="363">
        <v>2.99</v>
      </c>
      <c r="O13" s="425">
        <v>5</v>
      </c>
      <c r="P13" s="426">
        <v>6.99</v>
      </c>
      <c r="Q13" s="367">
        <v>2</v>
      </c>
      <c r="R13" s="362">
        <v>2.99</v>
      </c>
      <c r="S13" s="367">
        <v>1</v>
      </c>
      <c r="T13" s="362">
        <v>1.99</v>
      </c>
      <c r="U13" s="367"/>
      <c r="V13" s="367"/>
      <c r="W13" s="129">
        <f>7-(COUNTBLANK(I13)+COUNTBLANK(K13)+COUNTBLANK(M13)+COUNTBLANK(O13)+COUNTBLANK(Q13)+COUNTBLANK(S13)+COUNTBLANK(U13))</f>
        <v>5</v>
      </c>
      <c r="X13" s="128">
        <f>COUNT(V13,R13,T13,P13,N13,L13,J13)</f>
        <v>6</v>
      </c>
      <c r="Y13" s="128"/>
      <c r="Z13" s="128"/>
      <c r="AA13" s="130"/>
      <c r="AB13" s="130">
        <v>3.5</v>
      </c>
      <c r="AC13" s="130">
        <v>4.5</v>
      </c>
      <c r="AD13" s="130"/>
      <c r="AE13" s="130">
        <v>5.5</v>
      </c>
      <c r="AF13" s="130">
        <v>3.5</v>
      </c>
      <c r="AG13" s="130"/>
      <c r="AI13" s="3"/>
    </row>
    <row r="14" spans="1:35" x14ac:dyDescent="0.25">
      <c r="A14" s="148" t="s">
        <v>847</v>
      </c>
      <c r="B14" s="123">
        <v>16</v>
      </c>
      <c r="C14" s="124">
        <f ca="1">+A33-3246-112</f>
        <v>181</v>
      </c>
      <c r="D14" s="125"/>
      <c r="E14" s="126">
        <f ca="1">F14-TODAY()</f>
        <v>-69</v>
      </c>
      <c r="F14" s="361">
        <v>44468</v>
      </c>
      <c r="G14" s="366" t="s">
        <v>834</v>
      </c>
      <c r="H14" s="128" t="s">
        <v>834</v>
      </c>
      <c r="I14" s="367"/>
      <c r="J14" s="362">
        <v>0.99</v>
      </c>
      <c r="K14" s="368"/>
      <c r="L14" s="363">
        <v>2.99</v>
      </c>
      <c r="M14" s="368">
        <v>3</v>
      </c>
      <c r="N14" s="363">
        <v>3.99</v>
      </c>
      <c r="O14" s="427">
        <v>4</v>
      </c>
      <c r="P14" s="428">
        <v>6.99</v>
      </c>
      <c r="Q14" s="425"/>
      <c r="R14" s="429">
        <v>3.99</v>
      </c>
      <c r="S14" s="368"/>
      <c r="T14" s="363"/>
      <c r="U14" s="367"/>
      <c r="V14" s="367"/>
      <c r="W14" s="129">
        <f>7-(COUNTBLANK(I14)+COUNTBLANK(K14)+COUNTBLANK(M14)+COUNTBLANK(O14)+COUNTBLANK(Q14)+COUNTBLANK(S14)+COUNTBLANK(U14))</f>
        <v>2</v>
      </c>
      <c r="X14" s="128">
        <f>COUNT(V14,R14,T14,P14,N14,L14,J14)</f>
        <v>5</v>
      </c>
      <c r="Y14" s="128"/>
      <c r="Z14" s="128">
        <v>1</v>
      </c>
      <c r="AA14" s="130">
        <v>1.5</v>
      </c>
      <c r="AB14" s="130">
        <v>2.5</v>
      </c>
      <c r="AC14" s="130">
        <v>3.5</v>
      </c>
      <c r="AD14" s="130">
        <v>3.5</v>
      </c>
      <c r="AE14" s="130">
        <v>4.5</v>
      </c>
      <c r="AF14" s="130">
        <v>6</v>
      </c>
      <c r="AG14" s="130"/>
      <c r="AI14" s="3"/>
    </row>
    <row r="15" spans="1:35" x14ac:dyDescent="0.25">
      <c r="A15" s="424" t="s">
        <v>1524</v>
      </c>
      <c r="B15" s="123">
        <v>17</v>
      </c>
      <c r="C15" s="124">
        <f ca="1">+A33-3356-112</f>
        <v>71</v>
      </c>
      <c r="D15" s="125" t="s">
        <v>159</v>
      </c>
      <c r="E15" s="126">
        <f t="shared" ref="E15" ca="1" si="4">F15-TODAY()</f>
        <v>-10</v>
      </c>
      <c r="F15" s="361">
        <v>44527</v>
      </c>
      <c r="G15" s="366" t="s">
        <v>834</v>
      </c>
      <c r="H15" s="128" t="s">
        <v>834</v>
      </c>
      <c r="I15" s="367"/>
      <c r="J15" s="367">
        <v>0.99</v>
      </c>
      <c r="K15" s="368"/>
      <c r="L15" s="363">
        <v>1.99</v>
      </c>
      <c r="M15" s="427">
        <v>3</v>
      </c>
      <c r="N15" s="428">
        <v>4.99</v>
      </c>
      <c r="O15" s="367"/>
      <c r="P15" s="362">
        <v>3.99</v>
      </c>
      <c r="Q15" s="427">
        <v>4</v>
      </c>
      <c r="R15" s="428">
        <v>6.99</v>
      </c>
      <c r="S15" s="367"/>
      <c r="T15" s="362">
        <v>5.99</v>
      </c>
      <c r="U15" s="367"/>
      <c r="V15" s="362"/>
      <c r="W15" s="129">
        <f t="shared" ref="W15" si="5">7-(COUNTBLANK(I15)+COUNTBLANK(K15)+COUNTBLANK(M15)+COUNTBLANK(O15)+COUNTBLANK(Q15)+COUNTBLANK(S15)+COUNTBLANK(U15))</f>
        <v>2</v>
      </c>
      <c r="X15" s="128">
        <f t="shared" ref="X15" si="6">COUNT(V15,R15,T15,P15,N15,L15,J15)</f>
        <v>6</v>
      </c>
      <c r="Y15" s="128"/>
      <c r="Z15" s="128"/>
      <c r="AA15" s="130"/>
      <c r="AB15" s="130">
        <v>2</v>
      </c>
      <c r="AC15" s="130"/>
      <c r="AD15" s="130">
        <v>4.5</v>
      </c>
      <c r="AE15" s="130">
        <v>4.5</v>
      </c>
      <c r="AF15" s="130"/>
      <c r="AG15" s="130"/>
      <c r="AI15" s="3"/>
    </row>
    <row r="16" spans="1:35" x14ac:dyDescent="0.25">
      <c r="A16" s="148" t="s">
        <v>840</v>
      </c>
      <c r="B16" s="123">
        <v>16</v>
      </c>
      <c r="C16" s="124">
        <f ca="1">+A33-3313-112</f>
        <v>114</v>
      </c>
      <c r="D16" s="125"/>
      <c r="E16" s="126">
        <f ca="1">F16-TODAY()</f>
        <v>-2</v>
      </c>
      <c r="F16" s="361">
        <v>44535</v>
      </c>
      <c r="G16" s="366" t="s">
        <v>836</v>
      </c>
      <c r="H16" s="128" t="s">
        <v>834</v>
      </c>
      <c r="I16" s="371"/>
      <c r="J16" s="362">
        <v>1.99</v>
      </c>
      <c r="K16" s="371">
        <v>1</v>
      </c>
      <c r="L16" s="362">
        <v>1.99</v>
      </c>
      <c r="M16" s="367">
        <v>2</v>
      </c>
      <c r="N16" s="362">
        <v>2.99</v>
      </c>
      <c r="O16" s="425">
        <v>4</v>
      </c>
      <c r="P16" s="426">
        <v>4.99</v>
      </c>
      <c r="Q16" s="367"/>
      <c r="R16" s="362">
        <v>3.99</v>
      </c>
      <c r="S16" s="427"/>
      <c r="T16" s="428">
        <v>5.99</v>
      </c>
      <c r="U16" s="367"/>
      <c r="V16" s="362"/>
      <c r="W16" s="129">
        <f>7-(COUNTBLANK(I16)+COUNTBLANK(K16)+COUNTBLANK(M16)+COUNTBLANK(O16)+COUNTBLANK(Q16)+COUNTBLANK(S16)+COUNTBLANK(U16))</f>
        <v>3</v>
      </c>
      <c r="X16" s="128">
        <f>COUNT(V16,R16,T16,P16,N16,L16,J16)</f>
        <v>6</v>
      </c>
      <c r="Y16" s="128"/>
      <c r="Z16" s="128"/>
      <c r="AA16" s="130">
        <v>1</v>
      </c>
      <c r="AB16" s="130">
        <v>2</v>
      </c>
      <c r="AC16" s="130">
        <v>2.5</v>
      </c>
      <c r="AD16" s="130">
        <v>2.5</v>
      </c>
      <c r="AE16" s="130">
        <v>4</v>
      </c>
      <c r="AF16" s="130">
        <v>6</v>
      </c>
      <c r="AG16" s="130"/>
      <c r="AI16" s="3"/>
    </row>
    <row r="17" spans="1:35" x14ac:dyDescent="0.25">
      <c r="A17" s="166" t="s">
        <v>196</v>
      </c>
      <c r="B17" s="166"/>
      <c r="C17" s="166"/>
      <c r="D17" s="167"/>
      <c r="E17" s="166"/>
      <c r="F17" s="168"/>
      <c r="G17" s="169"/>
      <c r="H17" s="168"/>
      <c r="I17" s="170" t="s">
        <v>197</v>
      </c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68"/>
      <c r="X17" s="168"/>
      <c r="Y17" s="168"/>
      <c r="Z17" s="168"/>
      <c r="AA17" s="171" t="s">
        <v>198</v>
      </c>
      <c r="AB17" s="171"/>
      <c r="AC17" s="171"/>
      <c r="AD17" s="171"/>
      <c r="AE17" s="171"/>
      <c r="AF17" s="171"/>
      <c r="AG17" s="172"/>
      <c r="AI17" s="3"/>
    </row>
    <row r="18" spans="1:35" x14ac:dyDescent="0.25">
      <c r="A18" s="173" t="s">
        <v>177</v>
      </c>
      <c r="B18" s="173" t="s">
        <v>178</v>
      </c>
      <c r="C18" s="173" t="s">
        <v>109</v>
      </c>
      <c r="D18" s="174" t="s">
        <v>179</v>
      </c>
      <c r="E18" s="173" t="s">
        <v>180</v>
      </c>
      <c r="F18" s="174" t="str">
        <f>F12</f>
        <v>Promoción</v>
      </c>
      <c r="G18" s="175" t="str">
        <f>G12</f>
        <v>Nivel</v>
      </c>
      <c r="H18" s="174" t="str">
        <f>H12</f>
        <v>Lid</v>
      </c>
      <c r="I18" s="359" t="s">
        <v>149</v>
      </c>
      <c r="J18" s="359" t="str">
        <f t="shared" ref="J18:Y18" si="7">J12</f>
        <v>Pot</v>
      </c>
      <c r="K18" s="360" t="str">
        <f t="shared" si="7"/>
        <v>DEF</v>
      </c>
      <c r="L18" s="360" t="str">
        <f t="shared" si="7"/>
        <v>Pot</v>
      </c>
      <c r="M18" s="359" t="str">
        <f t="shared" si="7"/>
        <v>JUG</v>
      </c>
      <c r="N18" s="359" t="str">
        <f t="shared" si="7"/>
        <v>Pot</v>
      </c>
      <c r="O18" s="360" t="str">
        <f t="shared" si="7"/>
        <v>LAT</v>
      </c>
      <c r="P18" s="360" t="str">
        <f t="shared" si="7"/>
        <v>Pot</v>
      </c>
      <c r="Q18" s="359" t="str">
        <f t="shared" si="7"/>
        <v>PAS</v>
      </c>
      <c r="R18" s="359" t="str">
        <f t="shared" si="7"/>
        <v>Pot</v>
      </c>
      <c r="S18" s="360" t="str">
        <f t="shared" si="7"/>
        <v>ANO</v>
      </c>
      <c r="T18" s="360" t="str">
        <f t="shared" si="7"/>
        <v>Pot</v>
      </c>
      <c r="U18" s="359" t="str">
        <f t="shared" si="7"/>
        <v>BP</v>
      </c>
      <c r="V18" s="359" t="str">
        <f t="shared" si="7"/>
        <v>Pot</v>
      </c>
      <c r="W18" s="176" t="str">
        <f t="shared" si="7"/>
        <v>HAB</v>
      </c>
      <c r="X18" s="176" t="str">
        <f t="shared" si="7"/>
        <v>POT</v>
      </c>
      <c r="Y18" s="174" t="str">
        <f t="shared" si="7"/>
        <v>Cap</v>
      </c>
      <c r="Z18" s="174" t="s">
        <v>188</v>
      </c>
      <c r="AA18" s="177" t="str">
        <f t="shared" ref="AA18:AG18" si="8">AA12</f>
        <v>POR</v>
      </c>
      <c r="AB18" s="177" t="str">
        <f t="shared" si="8"/>
        <v>DEF</v>
      </c>
      <c r="AC18" s="177" t="str">
        <f t="shared" si="8"/>
        <v>DL</v>
      </c>
      <c r="AD18" s="177" t="str">
        <f t="shared" si="8"/>
        <v>INN</v>
      </c>
      <c r="AE18" s="177" t="str">
        <f t="shared" si="8"/>
        <v>EXT</v>
      </c>
      <c r="AF18" s="177" t="str">
        <f t="shared" si="8"/>
        <v>DAV</v>
      </c>
      <c r="AG18" s="175" t="str">
        <f t="shared" si="8"/>
        <v>Atributs</v>
      </c>
      <c r="AI18" s="3"/>
    </row>
    <row r="19" spans="1:35" x14ac:dyDescent="0.25">
      <c r="A19" s="424"/>
      <c r="B19" s="123">
        <v>17</v>
      </c>
      <c r="C19" s="124">
        <f ca="1">+A33-3433</f>
        <v>106</v>
      </c>
      <c r="D19" s="125"/>
      <c r="E19" s="126">
        <f ca="1">F19-TODAY()</f>
        <v>-80</v>
      </c>
      <c r="F19" s="361">
        <v>44457</v>
      </c>
      <c r="G19" s="366" t="s">
        <v>1525</v>
      </c>
      <c r="H19" s="128" t="s">
        <v>834</v>
      </c>
      <c r="I19" s="367"/>
      <c r="J19" s="367"/>
      <c r="K19" s="367"/>
      <c r="L19" s="362"/>
      <c r="M19" s="425"/>
      <c r="N19" s="426"/>
      <c r="O19" s="371"/>
      <c r="P19" s="364"/>
      <c r="Q19" s="368"/>
      <c r="R19" s="363"/>
      <c r="S19" s="430"/>
      <c r="T19" s="426"/>
      <c r="U19" s="367"/>
      <c r="V19" s="367"/>
      <c r="W19" s="129">
        <f>7-(COUNTBLANK(I19)+COUNTBLANK(K19)+COUNTBLANK(M19)+COUNTBLANK(O19)+COUNTBLANK(Q19)+COUNTBLANK(S19)+COUNTBLANK(U19))</f>
        <v>0</v>
      </c>
      <c r="X19" s="128">
        <f>COUNT(V19,R19,T19,P19,N19,L19,J19)</f>
        <v>0</v>
      </c>
      <c r="Y19" s="128"/>
      <c r="Z19" s="128"/>
      <c r="AA19" s="130"/>
      <c r="AB19" s="130"/>
      <c r="AC19" s="130"/>
      <c r="AD19" s="130"/>
      <c r="AE19" s="130"/>
      <c r="AF19" s="130"/>
      <c r="AG19" s="130"/>
      <c r="AI19" s="3"/>
    </row>
    <row r="20" spans="1:35" x14ac:dyDescent="0.25">
      <c r="A20" s="424" t="s">
        <v>1581</v>
      </c>
      <c r="B20" s="123">
        <v>16</v>
      </c>
      <c r="C20" s="147">
        <f ca="1">+A33-3397-65</f>
        <v>77</v>
      </c>
      <c r="D20" s="125"/>
      <c r="E20" s="126">
        <f t="shared" ref="E20" ca="1" si="9">F20-TODAY()</f>
        <v>39</v>
      </c>
      <c r="F20" s="361">
        <v>44576</v>
      </c>
      <c r="G20" s="373" t="s">
        <v>834</v>
      </c>
      <c r="H20" s="128" t="s">
        <v>834</v>
      </c>
      <c r="I20" s="367"/>
      <c r="J20" s="367"/>
      <c r="K20" s="425">
        <v>3</v>
      </c>
      <c r="L20" s="425">
        <v>4.99</v>
      </c>
      <c r="M20" s="367"/>
      <c r="N20" s="367"/>
      <c r="O20" s="371"/>
      <c r="P20" s="367"/>
      <c r="Q20" s="367">
        <v>2</v>
      </c>
      <c r="R20" s="367">
        <v>2.99</v>
      </c>
      <c r="S20" s="367"/>
      <c r="T20" s="362"/>
      <c r="U20" s="367"/>
      <c r="V20" s="367"/>
      <c r="W20" s="129">
        <f t="shared" ref="W20" si="10">7-(COUNTBLANK(I20)+COUNTBLANK(K20)+COUNTBLANK(M20)+COUNTBLANK(O20)+COUNTBLANK(Q20)+COUNTBLANK(S20)+COUNTBLANK(U20))</f>
        <v>2</v>
      </c>
      <c r="X20" s="128">
        <f t="shared" ref="X20" si="11">COUNT(V20,R20,T20,P20,N20,L20,J20)</f>
        <v>2</v>
      </c>
      <c r="Y20" s="128"/>
      <c r="Z20" s="128"/>
      <c r="AA20" s="130"/>
      <c r="AB20" s="130"/>
      <c r="AC20" s="130"/>
      <c r="AD20" s="130"/>
      <c r="AE20" s="130"/>
      <c r="AF20" s="130">
        <v>5.5</v>
      </c>
      <c r="AG20" s="130"/>
      <c r="AI20" s="3"/>
    </row>
    <row r="21" spans="1:35" x14ac:dyDescent="0.25">
      <c r="A21" s="424" t="s">
        <v>1530</v>
      </c>
      <c r="B21" s="123">
        <v>16</v>
      </c>
      <c r="C21" s="147">
        <f ca="1">+A33-3445</f>
        <v>94</v>
      </c>
      <c r="D21" s="125"/>
      <c r="E21" s="126">
        <f t="shared" ref="E21:E28" ca="1" si="12">F21-TODAY()</f>
        <v>18</v>
      </c>
      <c r="F21" s="361">
        <v>44555</v>
      </c>
      <c r="G21" s="373" t="s">
        <v>834</v>
      </c>
      <c r="H21" s="128" t="s">
        <v>834</v>
      </c>
      <c r="I21" s="367"/>
      <c r="J21" s="367">
        <v>1.99</v>
      </c>
      <c r="K21" s="367"/>
      <c r="L21" s="367"/>
      <c r="M21" s="367">
        <v>2</v>
      </c>
      <c r="N21" s="367"/>
      <c r="O21" s="425"/>
      <c r="P21" s="425">
        <v>3.99</v>
      </c>
      <c r="Q21" s="425">
        <v>2</v>
      </c>
      <c r="R21" s="425">
        <v>3.99</v>
      </c>
      <c r="S21" s="367"/>
      <c r="T21" s="367"/>
      <c r="U21" s="367"/>
      <c r="V21" s="367"/>
      <c r="W21" s="129">
        <f t="shared" ref="W21:W28" si="13">7-(COUNTBLANK(I21)+COUNTBLANK(K21)+COUNTBLANK(M21)+COUNTBLANK(O21)+COUNTBLANK(Q21)+COUNTBLANK(S21)+COUNTBLANK(U21))</f>
        <v>2</v>
      </c>
      <c r="X21" s="128">
        <f t="shared" ref="X21:X28" si="14">COUNT(V21,R21,T21,P21,N21,L21,J21)</f>
        <v>3</v>
      </c>
      <c r="Y21" s="128"/>
      <c r="Z21" s="128"/>
      <c r="AA21" s="130"/>
      <c r="AB21" s="130"/>
      <c r="AC21" s="130"/>
      <c r="AD21" s="130">
        <v>3</v>
      </c>
      <c r="AE21" s="130"/>
      <c r="AF21" s="130">
        <v>3</v>
      </c>
      <c r="AG21" s="130"/>
      <c r="AI21" s="3"/>
    </row>
    <row r="22" spans="1:35" x14ac:dyDescent="0.25">
      <c r="A22" s="424" t="s">
        <v>1528</v>
      </c>
      <c r="B22" s="123">
        <v>16</v>
      </c>
      <c r="C22" s="124">
        <f ca="1">+A33-3408</f>
        <v>131</v>
      </c>
      <c r="D22" s="125"/>
      <c r="E22" s="126">
        <f t="shared" ca="1" si="12"/>
        <v>-3</v>
      </c>
      <c r="F22" s="361">
        <v>44534</v>
      </c>
      <c r="G22" s="366" t="s">
        <v>1525</v>
      </c>
      <c r="H22" s="128" t="s">
        <v>834</v>
      </c>
      <c r="I22" s="367"/>
      <c r="J22" s="362"/>
      <c r="K22" s="425"/>
      <c r="L22" s="426">
        <v>3.99</v>
      </c>
      <c r="M22" s="368"/>
      <c r="N22" s="363"/>
      <c r="O22" s="430">
        <v>2</v>
      </c>
      <c r="P22" s="429"/>
      <c r="Q22" s="368"/>
      <c r="R22" s="363"/>
      <c r="S22" s="367"/>
      <c r="T22" s="362"/>
      <c r="U22" s="367"/>
      <c r="V22" s="362"/>
      <c r="W22" s="129">
        <f t="shared" si="13"/>
        <v>1</v>
      </c>
      <c r="X22" s="128">
        <f t="shared" si="14"/>
        <v>1</v>
      </c>
      <c r="Y22" s="128"/>
      <c r="Z22" s="128"/>
      <c r="AA22" s="130"/>
      <c r="AB22" s="130"/>
      <c r="AC22" s="130"/>
      <c r="AD22" s="130"/>
      <c r="AE22" s="130"/>
      <c r="AF22" s="130">
        <v>4.5</v>
      </c>
      <c r="AG22" s="130"/>
      <c r="AI22" s="3"/>
    </row>
    <row r="23" spans="1:35" x14ac:dyDescent="0.25">
      <c r="A23" s="374" t="s">
        <v>1531</v>
      </c>
      <c r="B23" s="123">
        <v>16</v>
      </c>
      <c r="C23" s="124">
        <f ca="1">+A33-3360</f>
        <v>179</v>
      </c>
      <c r="D23" s="125"/>
      <c r="E23" s="126">
        <f t="shared" ca="1" si="12"/>
        <v>-24</v>
      </c>
      <c r="F23" s="361">
        <v>44513</v>
      </c>
      <c r="G23" s="435" t="s">
        <v>834</v>
      </c>
      <c r="H23" s="128" t="s">
        <v>834</v>
      </c>
      <c r="I23" s="367"/>
      <c r="J23" s="376"/>
      <c r="K23" s="367"/>
      <c r="L23" s="376"/>
      <c r="M23" s="375"/>
      <c r="N23" s="376"/>
      <c r="O23" s="367"/>
      <c r="P23" s="376"/>
      <c r="Q23" s="433">
        <v>1</v>
      </c>
      <c r="R23" s="432">
        <v>2.99</v>
      </c>
      <c r="S23" s="375"/>
      <c r="T23" s="376"/>
      <c r="U23" s="367"/>
      <c r="V23" s="376"/>
      <c r="W23" s="129">
        <f t="shared" si="13"/>
        <v>1</v>
      </c>
      <c r="X23" s="128">
        <f t="shared" si="14"/>
        <v>1</v>
      </c>
      <c r="Y23" s="128"/>
      <c r="Z23" s="128"/>
      <c r="AA23" s="377"/>
      <c r="AB23" s="377"/>
      <c r="AC23" s="377"/>
      <c r="AD23" s="377"/>
      <c r="AE23" s="377"/>
      <c r="AF23" s="377"/>
      <c r="AG23" s="377"/>
      <c r="AI23" s="3"/>
    </row>
    <row r="24" spans="1:35" x14ac:dyDescent="0.25">
      <c r="A24" s="434" t="s">
        <v>1526</v>
      </c>
      <c r="B24" s="123">
        <v>16</v>
      </c>
      <c r="C24" s="124">
        <f ca="1">+A33-3359</f>
        <v>180</v>
      </c>
      <c r="D24" s="125"/>
      <c r="E24" s="126">
        <f t="shared" ca="1" si="12"/>
        <v>-68</v>
      </c>
      <c r="F24" s="361">
        <v>44469</v>
      </c>
      <c r="G24" s="366">
        <v>4</v>
      </c>
      <c r="H24" s="128" t="s">
        <v>834</v>
      </c>
      <c r="I24" s="367"/>
      <c r="J24" s="376">
        <v>1.99</v>
      </c>
      <c r="K24" s="425"/>
      <c r="L24" s="432">
        <v>4.99</v>
      </c>
      <c r="M24" s="375">
        <v>2</v>
      </c>
      <c r="N24" s="376">
        <v>2.99</v>
      </c>
      <c r="O24" s="367">
        <v>3</v>
      </c>
      <c r="P24" s="376">
        <v>3.99</v>
      </c>
      <c r="Q24" s="433">
        <v>5</v>
      </c>
      <c r="R24" s="432">
        <v>6.99</v>
      </c>
      <c r="S24" s="375">
        <v>3</v>
      </c>
      <c r="T24" s="376">
        <v>3.99</v>
      </c>
      <c r="U24" s="367"/>
      <c r="V24" s="376"/>
      <c r="W24" s="129">
        <f t="shared" si="13"/>
        <v>4</v>
      </c>
      <c r="X24" s="128">
        <f t="shared" si="14"/>
        <v>6</v>
      </c>
      <c r="Y24" s="128"/>
      <c r="Z24" s="128"/>
      <c r="AA24" s="377">
        <v>1.5</v>
      </c>
      <c r="AB24" s="377">
        <v>3.5</v>
      </c>
      <c r="AC24" s="377">
        <v>4</v>
      </c>
      <c r="AD24" s="377">
        <v>3.5</v>
      </c>
      <c r="AE24" s="377">
        <v>4.5</v>
      </c>
      <c r="AF24" s="377">
        <v>5.5</v>
      </c>
      <c r="AG24" s="377"/>
      <c r="AI24" s="3"/>
    </row>
    <row r="25" spans="1:35" x14ac:dyDescent="0.25">
      <c r="A25" s="424" t="s">
        <v>1569</v>
      </c>
      <c r="B25" s="123">
        <v>16</v>
      </c>
      <c r="C25" s="124">
        <f ca="1">+A33-3357</f>
        <v>182</v>
      </c>
      <c r="D25" s="125"/>
      <c r="E25" s="126">
        <f t="shared" ca="1" si="12"/>
        <v>-52</v>
      </c>
      <c r="F25" s="361">
        <v>44485</v>
      </c>
      <c r="G25" s="366">
        <v>4</v>
      </c>
      <c r="H25" s="128" t="s">
        <v>834</v>
      </c>
      <c r="I25" s="367"/>
      <c r="J25" s="367"/>
      <c r="K25" s="425"/>
      <c r="L25" s="425">
        <v>4.99</v>
      </c>
      <c r="M25" s="367"/>
      <c r="N25" s="367"/>
      <c r="O25" s="425">
        <v>2</v>
      </c>
      <c r="P25" s="425"/>
      <c r="Q25" s="367"/>
      <c r="R25" s="367"/>
      <c r="S25" s="368"/>
      <c r="T25" s="363"/>
      <c r="U25" s="367"/>
      <c r="V25" s="364"/>
      <c r="W25" s="129">
        <f t="shared" si="13"/>
        <v>1</v>
      </c>
      <c r="X25" s="128">
        <f t="shared" si="14"/>
        <v>1</v>
      </c>
      <c r="Y25" s="128"/>
      <c r="Z25" s="128"/>
      <c r="AA25" s="130"/>
      <c r="AB25" s="130"/>
      <c r="AC25" s="130"/>
      <c r="AD25" s="130"/>
      <c r="AE25" s="130"/>
      <c r="AF25" s="130"/>
      <c r="AG25" s="130"/>
      <c r="AI25" s="3"/>
    </row>
    <row r="26" spans="1:35" x14ac:dyDescent="0.25">
      <c r="A26" s="148" t="s">
        <v>1532</v>
      </c>
      <c r="B26" s="123">
        <v>17</v>
      </c>
      <c r="C26" s="124">
        <f ca="1">+A33-3443</f>
        <v>96</v>
      </c>
      <c r="D26" s="125"/>
      <c r="E26" s="126">
        <f t="shared" ca="1" si="12"/>
        <v>-17</v>
      </c>
      <c r="F26" s="361">
        <v>44520</v>
      </c>
      <c r="G26" s="373" t="s">
        <v>834</v>
      </c>
      <c r="H26" s="128" t="s">
        <v>834</v>
      </c>
      <c r="I26" s="367"/>
      <c r="J26" s="367"/>
      <c r="K26" s="371"/>
      <c r="L26" s="367"/>
      <c r="M26" s="425">
        <v>3</v>
      </c>
      <c r="N26" s="426"/>
      <c r="O26" s="367"/>
      <c r="P26" s="362"/>
      <c r="Q26" s="367"/>
      <c r="R26" s="362"/>
      <c r="S26" s="427"/>
      <c r="T26" s="428">
        <v>3.99</v>
      </c>
      <c r="U26" s="367"/>
      <c r="V26" s="367"/>
      <c r="W26" s="129">
        <f t="shared" si="13"/>
        <v>1</v>
      </c>
      <c r="X26" s="128">
        <f t="shared" si="14"/>
        <v>1</v>
      </c>
      <c r="Y26" s="128"/>
      <c r="Z26" s="128"/>
      <c r="AA26" s="130"/>
      <c r="AB26" s="130"/>
      <c r="AC26" s="130"/>
      <c r="AD26" s="130"/>
      <c r="AE26" s="130"/>
      <c r="AF26" s="130"/>
      <c r="AG26" s="130"/>
      <c r="AI26" s="3"/>
    </row>
    <row r="27" spans="1:35" x14ac:dyDescent="0.25">
      <c r="A27" s="424" t="s">
        <v>1529</v>
      </c>
      <c r="B27" s="123">
        <v>17</v>
      </c>
      <c r="C27" s="124">
        <f ca="1">+A33-3417</f>
        <v>122</v>
      </c>
      <c r="D27" s="125"/>
      <c r="E27" s="126">
        <f t="shared" ca="1" si="12"/>
        <v>-87</v>
      </c>
      <c r="F27" s="361">
        <v>44450</v>
      </c>
      <c r="G27" s="372" t="s">
        <v>834</v>
      </c>
      <c r="H27" s="128" t="s">
        <v>834</v>
      </c>
      <c r="I27" s="367"/>
      <c r="J27" s="367">
        <v>1.99</v>
      </c>
      <c r="K27" s="371">
        <v>2</v>
      </c>
      <c r="L27" s="367">
        <v>2.99</v>
      </c>
      <c r="M27" s="367">
        <v>3</v>
      </c>
      <c r="N27" s="367">
        <v>3.99</v>
      </c>
      <c r="O27" s="367"/>
      <c r="P27" s="367">
        <v>2.99</v>
      </c>
      <c r="Q27" s="425">
        <v>3</v>
      </c>
      <c r="R27" s="426">
        <v>6.99</v>
      </c>
      <c r="S27" s="367"/>
      <c r="T27" s="367">
        <v>3.99</v>
      </c>
      <c r="U27" s="367"/>
      <c r="V27" s="367"/>
      <c r="W27" s="129">
        <f t="shared" si="13"/>
        <v>3</v>
      </c>
      <c r="X27" s="128">
        <f t="shared" si="14"/>
        <v>6</v>
      </c>
      <c r="Y27" s="128"/>
      <c r="Z27" s="128">
        <v>1</v>
      </c>
      <c r="AA27" s="130">
        <v>1</v>
      </c>
      <c r="AB27" s="130"/>
      <c r="AC27" s="130">
        <v>2.5</v>
      </c>
      <c r="AD27" s="130">
        <v>4</v>
      </c>
      <c r="AE27" s="130">
        <v>3.5</v>
      </c>
      <c r="AF27" s="130">
        <v>4.5</v>
      </c>
      <c r="AG27" s="130"/>
      <c r="AI27" s="3"/>
    </row>
    <row r="28" spans="1:35" x14ac:dyDescent="0.25">
      <c r="A28" s="148" t="s">
        <v>835</v>
      </c>
      <c r="B28" s="123">
        <v>17</v>
      </c>
      <c r="C28" s="124">
        <f ca="1">+A33-3282-112</f>
        <v>145</v>
      </c>
      <c r="D28" s="125" t="s">
        <v>190</v>
      </c>
      <c r="E28" s="126">
        <f t="shared" ca="1" si="12"/>
        <v>-33</v>
      </c>
      <c r="F28" s="361">
        <v>44504</v>
      </c>
      <c r="G28" s="366" t="s">
        <v>834</v>
      </c>
      <c r="H28" s="128" t="s">
        <v>834</v>
      </c>
      <c r="I28" s="367"/>
      <c r="J28" s="362">
        <v>0.99</v>
      </c>
      <c r="K28" s="367"/>
      <c r="L28" s="362">
        <v>2.99</v>
      </c>
      <c r="M28" s="427">
        <v>3</v>
      </c>
      <c r="N28" s="428">
        <v>3.99</v>
      </c>
      <c r="O28" s="430">
        <v>4</v>
      </c>
      <c r="P28" s="426">
        <v>4.99</v>
      </c>
      <c r="Q28" s="368"/>
      <c r="R28" s="363">
        <v>2.99</v>
      </c>
      <c r="S28" s="425">
        <v>4</v>
      </c>
      <c r="T28" s="426">
        <v>4.99</v>
      </c>
      <c r="U28" s="367"/>
      <c r="V28" s="367">
        <v>2.99</v>
      </c>
      <c r="W28" s="129">
        <f t="shared" si="13"/>
        <v>3</v>
      </c>
      <c r="X28" s="128">
        <f t="shared" si="14"/>
        <v>7</v>
      </c>
      <c r="Y28" s="128"/>
      <c r="Z28" s="128"/>
      <c r="AA28" s="130">
        <v>1.5</v>
      </c>
      <c r="AB28" s="130">
        <v>3</v>
      </c>
      <c r="AC28" s="130">
        <v>3.5</v>
      </c>
      <c r="AD28" s="130">
        <v>3.5</v>
      </c>
      <c r="AE28" s="130">
        <v>4.5</v>
      </c>
      <c r="AF28" s="130">
        <v>6</v>
      </c>
      <c r="AG28" s="130"/>
      <c r="AI28" s="3"/>
    </row>
    <row r="29" spans="1:35" x14ac:dyDescent="0.25">
      <c r="A29" s="123"/>
      <c r="B29" s="123"/>
      <c r="C29" s="123"/>
      <c r="D29" s="128"/>
      <c r="E29" s="123"/>
      <c r="F29" s="128"/>
      <c r="G29" s="149"/>
      <c r="H29" s="128"/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352"/>
      <c r="T29" s="352"/>
      <c r="U29" s="352"/>
      <c r="V29" s="352"/>
      <c r="W29" s="128"/>
      <c r="X29" s="128"/>
      <c r="Y29" s="128"/>
      <c r="Z29" s="128"/>
      <c r="AA29" s="178"/>
      <c r="AB29" s="178"/>
      <c r="AC29" s="178"/>
      <c r="AD29" s="178"/>
      <c r="AE29" s="178"/>
      <c r="AF29" s="178"/>
      <c r="AG29" s="149"/>
      <c r="AI29" s="3"/>
    </row>
    <row r="30" spans="1:35" x14ac:dyDescent="0.25">
      <c r="A30" s="123"/>
      <c r="B30" s="123"/>
      <c r="C30" s="147"/>
      <c r="D30" s="128"/>
      <c r="E30" s="123"/>
      <c r="F30" s="128"/>
      <c r="G30" s="149"/>
      <c r="H30" s="128"/>
      <c r="I30" s="3"/>
      <c r="J30" s="3"/>
      <c r="K30" s="3"/>
      <c r="L30" s="3"/>
      <c r="M30" s="3"/>
      <c r="N30" s="3"/>
      <c r="O30" s="123"/>
      <c r="P30" s="123"/>
      <c r="Q30" s="123"/>
      <c r="R30" s="123"/>
      <c r="S30" s="123"/>
      <c r="T30" s="123"/>
      <c r="U30" s="123"/>
      <c r="V30" s="123"/>
      <c r="W30" s="128"/>
      <c r="X30" s="128"/>
      <c r="Y30" s="128"/>
      <c r="Z30" s="128"/>
      <c r="AA30" s="178"/>
      <c r="AB30" s="178"/>
      <c r="AC30" s="178"/>
      <c r="AD30" s="178"/>
      <c r="AE30" s="179"/>
      <c r="AF30" s="179"/>
      <c r="AG30" s="180"/>
      <c r="AI30" s="3"/>
    </row>
    <row r="31" spans="1:35" x14ac:dyDescent="0.25">
      <c r="A31" s="181" t="s">
        <v>201</v>
      </c>
      <c r="B31" s="123"/>
      <c r="C31" s="123"/>
      <c r="D31" s="128"/>
      <c r="E31" s="123"/>
      <c r="F31" s="128"/>
      <c r="G31" s="515"/>
      <c r="H31" s="515"/>
      <c r="I31" s="515"/>
      <c r="J31" s="515"/>
      <c r="K31" s="515"/>
      <c r="L31" s="515"/>
      <c r="M31" s="515"/>
      <c r="N31" s="3"/>
      <c r="O31" s="123"/>
      <c r="P31" s="123"/>
      <c r="Q31" s="123"/>
      <c r="R31" s="123"/>
      <c r="S31" s="123"/>
      <c r="T31" s="123"/>
      <c r="U31" s="123"/>
      <c r="V31" s="123"/>
      <c r="W31" s="128"/>
      <c r="X31" s="128"/>
      <c r="Y31" s="128"/>
      <c r="Z31" s="128"/>
      <c r="AA31" s="178"/>
      <c r="AB31" s="178"/>
      <c r="AC31" s="178"/>
      <c r="AD31" s="178"/>
      <c r="AE31" s="178"/>
      <c r="AF31" s="178"/>
      <c r="AG31" s="149"/>
    </row>
    <row r="32" spans="1:35" x14ac:dyDescent="0.25">
      <c r="A32" s="182">
        <f ca="1">TODAY()</f>
        <v>44537</v>
      </c>
      <c r="B32" s="123"/>
      <c r="C32" s="123"/>
      <c r="D32" s="129"/>
      <c r="E32" s="123"/>
      <c r="F32" s="183"/>
      <c r="G32" s="184"/>
      <c r="H32" s="18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83"/>
      <c r="V32" s="183"/>
      <c r="W32" s="183"/>
      <c r="X32" s="183"/>
      <c r="Y32" s="183"/>
      <c r="Z32" s="183"/>
      <c r="AA32" s="178"/>
      <c r="AB32" s="178"/>
      <c r="AC32" s="178"/>
      <c r="AD32" s="178"/>
      <c r="AE32" s="178"/>
      <c r="AF32" s="178"/>
      <c r="AG32" s="149"/>
    </row>
    <row r="33" spans="1:33" x14ac:dyDescent="0.25">
      <c r="A33" s="147">
        <f ca="1">411+A36</f>
        <v>3539</v>
      </c>
      <c r="B33" s="123"/>
      <c r="C33" s="123"/>
      <c r="D33" s="128"/>
      <c r="E33" s="123"/>
      <c r="F33" s="183"/>
      <c r="G33" s="184"/>
      <c r="H33" s="18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83"/>
      <c r="W33" s="183"/>
      <c r="X33" s="183"/>
      <c r="Y33" s="183"/>
      <c r="Z33" s="183"/>
      <c r="AA33" s="185"/>
      <c r="AB33" s="185"/>
      <c r="AC33" s="178"/>
      <c r="AD33" s="178"/>
      <c r="AE33" s="178"/>
      <c r="AF33" s="178"/>
      <c r="AG33" s="149"/>
    </row>
    <row r="34" spans="1:33" x14ac:dyDescent="0.25">
      <c r="A34" s="123"/>
      <c r="B34" s="123"/>
      <c r="C34" s="123"/>
      <c r="D34" s="128"/>
      <c r="E34" s="123"/>
      <c r="F34" s="128"/>
      <c r="G34" s="149"/>
      <c r="H34" s="128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8"/>
      <c r="X34" s="128"/>
      <c r="Y34" s="128"/>
      <c r="Z34" s="128"/>
      <c r="AA34" s="178"/>
      <c r="AB34" s="178"/>
      <c r="AC34" s="178"/>
      <c r="AD34" s="178"/>
      <c r="AE34" s="178"/>
      <c r="AF34" s="178"/>
      <c r="AG34" s="149"/>
    </row>
    <row r="35" spans="1:33" x14ac:dyDescent="0.25">
      <c r="A35" s="186">
        <v>41409</v>
      </c>
      <c r="B35" s="123"/>
      <c r="C35" s="123"/>
      <c r="D35" s="128"/>
      <c r="E35" s="123"/>
      <c r="F35" s="128"/>
      <c r="G35" s="149"/>
      <c r="H35" s="128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8"/>
      <c r="X35" s="128"/>
      <c r="Y35" s="128"/>
      <c r="Z35" s="128"/>
      <c r="AA35" s="178"/>
      <c r="AB35" s="178"/>
      <c r="AC35" s="178"/>
      <c r="AD35" s="178"/>
      <c r="AE35" s="178"/>
      <c r="AF35" s="178"/>
      <c r="AG35" s="149"/>
    </row>
    <row r="36" spans="1:33" x14ac:dyDescent="0.25">
      <c r="A36" s="186">
        <f ca="1">A32-A35</f>
        <v>3128</v>
      </c>
      <c r="B36" s="123"/>
      <c r="C36" s="147"/>
      <c r="D36" s="128"/>
      <c r="E36" s="123"/>
      <c r="F36" s="127"/>
      <c r="G36" s="149"/>
      <c r="H36" s="128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8"/>
      <c r="X36" s="128"/>
      <c r="Y36" s="128"/>
      <c r="Z36" s="128"/>
      <c r="AA36" s="178"/>
      <c r="AB36" s="178"/>
      <c r="AC36" s="178"/>
      <c r="AD36" s="178"/>
      <c r="AE36" s="178"/>
      <c r="AF36" s="178"/>
      <c r="AG36" s="149"/>
    </row>
    <row r="37" spans="1:33" x14ac:dyDescent="0.25">
      <c r="A37" s="123"/>
      <c r="B37" s="123"/>
      <c r="C37" s="123"/>
      <c r="D37" s="128"/>
      <c r="E37" s="123"/>
      <c r="F37" s="128"/>
      <c r="G37" s="149"/>
      <c r="H37" s="128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8"/>
      <c r="X37" s="128"/>
      <c r="Y37" s="128"/>
      <c r="Z37" s="128"/>
      <c r="AA37" s="178"/>
      <c r="AB37" s="178"/>
      <c r="AC37" s="178"/>
      <c r="AD37" s="178"/>
      <c r="AE37" s="178"/>
      <c r="AF37" s="178"/>
      <c r="AG37" s="149"/>
    </row>
    <row r="38" spans="1:33" x14ac:dyDescent="0.25">
      <c r="A38" s="123"/>
      <c r="B38" s="123"/>
      <c r="C38" s="123"/>
      <c r="D38" s="128"/>
      <c r="E38" s="123"/>
      <c r="F38" s="128"/>
      <c r="G38" s="149"/>
      <c r="H38" s="128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8"/>
      <c r="X38" s="128"/>
      <c r="Y38" s="128"/>
      <c r="Z38" s="128"/>
      <c r="AA38" s="178"/>
      <c r="AB38" s="178"/>
      <c r="AC38" s="178"/>
      <c r="AD38" s="178"/>
      <c r="AE38" s="178"/>
      <c r="AF38" s="178"/>
      <c r="AG38" s="149"/>
    </row>
    <row r="39" spans="1:33" x14ac:dyDescent="0.25">
      <c r="A39" s="123"/>
      <c r="B39" s="123"/>
      <c r="C39" s="123"/>
      <c r="D39" s="128"/>
      <c r="E39" s="123"/>
      <c r="F39" s="128"/>
      <c r="G39" s="149"/>
      <c r="H39" s="128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8"/>
      <c r="X39" s="128"/>
      <c r="Y39" s="128"/>
      <c r="Z39" s="128"/>
      <c r="AA39" s="178"/>
      <c r="AB39" s="178"/>
      <c r="AC39" s="178"/>
      <c r="AD39" s="178"/>
      <c r="AE39" s="178"/>
      <c r="AF39" s="178"/>
      <c r="AG39" s="149"/>
    </row>
    <row r="79" spans="35:37" x14ac:dyDescent="0.25">
      <c r="AI79" s="3"/>
      <c r="AJ79" s="3"/>
      <c r="AK79" s="3"/>
    </row>
    <row r="80" spans="35:37" x14ac:dyDescent="0.25">
      <c r="AI80" s="3"/>
      <c r="AJ80" s="3"/>
      <c r="AK80" s="3"/>
    </row>
    <row r="81" spans="35:37" x14ac:dyDescent="0.25">
      <c r="AI81" s="3"/>
      <c r="AJ81" s="3"/>
      <c r="AK81" s="3"/>
    </row>
    <row r="82" spans="35:37" x14ac:dyDescent="0.25">
      <c r="AI82" s="3"/>
      <c r="AJ82" s="3"/>
      <c r="AK82" s="3"/>
    </row>
    <row r="83" spans="35:37" x14ac:dyDescent="0.25">
      <c r="AI83" s="3"/>
      <c r="AJ83" s="3"/>
      <c r="AK83" s="3"/>
    </row>
    <row r="84" spans="35:37" x14ac:dyDescent="0.25">
      <c r="AI84" s="3"/>
      <c r="AJ84" s="3"/>
      <c r="AK84" s="3"/>
    </row>
    <row r="85" spans="35:37" x14ac:dyDescent="0.25">
      <c r="AI85" s="3"/>
      <c r="AJ85" s="3"/>
      <c r="AK85" s="3"/>
    </row>
    <row r="86" spans="35:37" x14ac:dyDescent="0.25">
      <c r="AI86" s="3"/>
      <c r="AJ86" s="3"/>
      <c r="AK86" s="3"/>
    </row>
    <row r="87" spans="35:37" x14ac:dyDescent="0.25">
      <c r="AI87" s="3"/>
      <c r="AJ87" s="3"/>
      <c r="AK87" s="3"/>
    </row>
    <row r="88" spans="35:37" x14ac:dyDescent="0.25">
      <c r="AI88" s="3"/>
      <c r="AJ88" s="3"/>
      <c r="AK88" s="3"/>
    </row>
    <row r="89" spans="35:37" x14ac:dyDescent="0.25">
      <c r="AI89" s="3"/>
      <c r="AJ89" s="3"/>
      <c r="AK89" s="3"/>
    </row>
    <row r="90" spans="35:37" x14ac:dyDescent="0.25">
      <c r="AI90" s="3"/>
      <c r="AJ90" s="3"/>
      <c r="AK90" s="3"/>
    </row>
    <row r="91" spans="35:37" x14ac:dyDescent="0.25">
      <c r="AI91" s="3"/>
      <c r="AJ91" s="3"/>
      <c r="AK91" s="3"/>
    </row>
    <row r="92" spans="35:37" x14ac:dyDescent="0.25">
      <c r="AI92" s="3"/>
      <c r="AJ92" s="3"/>
      <c r="AK92" s="3"/>
    </row>
    <row r="93" spans="35:37" x14ac:dyDescent="0.25">
      <c r="AI93" s="3"/>
      <c r="AJ93" s="3"/>
      <c r="AK93" s="3"/>
    </row>
    <row r="94" spans="35:37" x14ac:dyDescent="0.25">
      <c r="AI94" s="3"/>
      <c r="AJ94" s="3"/>
      <c r="AK94" s="3"/>
    </row>
    <row r="95" spans="35:37" x14ac:dyDescent="0.25">
      <c r="AI95" s="3"/>
      <c r="AJ95" s="3"/>
      <c r="AK95" s="3"/>
    </row>
    <row r="96" spans="35:37" x14ac:dyDescent="0.25">
      <c r="AI96" s="3"/>
      <c r="AJ96" s="3"/>
      <c r="AK96" s="3"/>
    </row>
    <row r="97" spans="35:37" x14ac:dyDescent="0.25">
      <c r="AI97" s="3"/>
      <c r="AJ97" s="3"/>
      <c r="AK97" s="3"/>
    </row>
    <row r="98" spans="35:37" x14ac:dyDescent="0.25">
      <c r="AI98" s="3"/>
      <c r="AJ98" s="3"/>
      <c r="AK98" s="3"/>
    </row>
    <row r="99" spans="35:37" x14ac:dyDescent="0.25">
      <c r="AI99" s="3"/>
      <c r="AJ99" s="3"/>
      <c r="AK99" s="3"/>
    </row>
    <row r="100" spans="35:37" x14ac:dyDescent="0.25">
      <c r="AI100" s="3"/>
      <c r="AJ100" s="3"/>
      <c r="AK100" s="3"/>
    </row>
    <row r="101" spans="35:37" x14ac:dyDescent="0.25">
      <c r="AI101" s="3"/>
      <c r="AJ101" s="3"/>
      <c r="AK101" s="3"/>
    </row>
    <row r="102" spans="35:37" x14ac:dyDescent="0.25">
      <c r="AI102" s="3"/>
      <c r="AJ102" s="3"/>
      <c r="AK102" s="3"/>
    </row>
    <row r="103" spans="35:37" x14ac:dyDescent="0.25">
      <c r="AI103" s="3"/>
      <c r="AJ103" s="3"/>
      <c r="AK103" s="3"/>
    </row>
    <row r="104" spans="35:37" x14ac:dyDescent="0.25">
      <c r="AI104" s="3"/>
      <c r="AJ104" s="3"/>
      <c r="AK104" s="3"/>
    </row>
    <row r="105" spans="35:37" x14ac:dyDescent="0.25">
      <c r="AI105" s="3"/>
      <c r="AJ105" s="3"/>
      <c r="AK105" s="3"/>
    </row>
    <row r="106" spans="35:37" x14ac:dyDescent="0.25">
      <c r="AI106" s="3"/>
      <c r="AJ106" s="3"/>
      <c r="AK106" s="3"/>
    </row>
    <row r="107" spans="35:37" x14ac:dyDescent="0.25">
      <c r="AI107" s="3"/>
      <c r="AJ107" s="3"/>
      <c r="AK107" s="3"/>
    </row>
    <row r="108" spans="35:37" x14ac:dyDescent="0.25">
      <c r="AI108" s="3"/>
      <c r="AJ108" s="3"/>
      <c r="AK108" s="3"/>
    </row>
    <row r="109" spans="35:37" x14ac:dyDescent="0.25">
      <c r="AI109" s="3"/>
      <c r="AJ109" s="3"/>
      <c r="AK109" s="3"/>
    </row>
    <row r="110" spans="35:37" x14ac:dyDescent="0.25">
      <c r="AI110" s="3"/>
      <c r="AJ110" s="3"/>
      <c r="AK110" s="3"/>
    </row>
    <row r="111" spans="35:37" x14ac:dyDescent="0.25">
      <c r="AI111" s="3"/>
      <c r="AJ111" s="3"/>
      <c r="AK111" s="3"/>
    </row>
    <row r="112" spans="35:37" x14ac:dyDescent="0.25">
      <c r="AI112" s="3"/>
      <c r="AJ112" s="3"/>
      <c r="AK112" s="3"/>
    </row>
    <row r="113" spans="35:37" x14ac:dyDescent="0.25">
      <c r="AI113" s="3"/>
      <c r="AJ113" s="3"/>
      <c r="AK113" s="3"/>
    </row>
    <row r="114" spans="35:37" x14ac:dyDescent="0.25">
      <c r="AI114" s="3"/>
      <c r="AJ114" s="3"/>
      <c r="AK114" s="3"/>
    </row>
    <row r="115" spans="35:37" x14ac:dyDescent="0.25">
      <c r="AI115" s="3"/>
      <c r="AJ115" s="3"/>
      <c r="AK115" s="3"/>
    </row>
    <row r="116" spans="35:37" x14ac:dyDescent="0.25">
      <c r="AI116" s="3"/>
      <c r="AJ116" s="3"/>
      <c r="AK116" s="3"/>
    </row>
    <row r="117" spans="35:37" x14ac:dyDescent="0.25">
      <c r="AI117" s="3"/>
      <c r="AJ117" s="3"/>
      <c r="AK117" s="3"/>
    </row>
    <row r="118" spans="35:37" x14ac:dyDescent="0.25">
      <c r="AI118" s="3"/>
      <c r="AJ118" s="3"/>
      <c r="AK118" s="3"/>
    </row>
    <row r="119" spans="35:37" x14ac:dyDescent="0.25">
      <c r="AI119" s="3"/>
      <c r="AJ119" s="3"/>
      <c r="AK119" s="3"/>
    </row>
    <row r="120" spans="35:37" x14ac:dyDescent="0.25">
      <c r="AI120" s="3"/>
      <c r="AJ120" s="3"/>
      <c r="AK120" s="3"/>
    </row>
  </sheetData>
  <mergeCells count="1">
    <mergeCell ref="G31:M31"/>
  </mergeCells>
  <conditionalFormatting sqref="E3 E8:E9 E13:E16 E19:E28">
    <cfRule type="cellIs" dxfId="57" priority="2" stopIfTrue="1" operator="lessThan">
      <formula>1</formula>
    </cfRule>
  </conditionalFormatting>
  <conditionalFormatting sqref="E3 E8:E9 E13:E16 E19:E28">
    <cfRule type="cellIs" dxfId="56" priority="3" stopIfTrue="1" operator="between">
      <formula>1</formula>
      <formula>50</formula>
    </cfRule>
  </conditionalFormatting>
  <conditionalFormatting sqref="E3 E8:E9 E13:E16 E19:E28">
    <cfRule type="cellIs" dxfId="55" priority="4" stopIfTrue="1" operator="greaterThan">
      <formula>50</formula>
    </cfRule>
  </conditionalFormatting>
  <conditionalFormatting sqref="AA3:AF3 AA8:AF9 AA13:AF16 AA19:AF28">
    <cfRule type="cellIs" dxfId="54" priority="5" stopIfTrue="1" operator="between">
      <formula>4</formula>
      <formula>5</formula>
    </cfRule>
  </conditionalFormatting>
  <conditionalFormatting sqref="AA3:AF3 AA8:AF9 AA13:AF16 AA19:AF28">
    <cfRule type="cellIs" dxfId="53" priority="6" stopIfTrue="1" operator="lessThan">
      <formula>4</formula>
    </cfRule>
  </conditionalFormatting>
  <conditionalFormatting sqref="AA3:AF3 AA8:AF9 AA13:AF16 AA19:AF28">
    <cfRule type="cellIs" dxfId="52" priority="7" stopIfTrue="1" operator="greaterThan">
      <formula>5</formula>
    </cfRule>
  </conditionalFormatting>
  <conditionalFormatting sqref="AA15:AF16">
    <cfRule type="cellIs" dxfId="51" priority="22" stopIfTrue="1" operator="between">
      <formula>4</formula>
      <formula>5</formula>
    </cfRule>
  </conditionalFormatting>
  <conditionalFormatting sqref="AA15:AF16">
    <cfRule type="cellIs" dxfId="50" priority="23" stopIfTrue="1" operator="lessThan">
      <formula>4</formula>
    </cfRule>
  </conditionalFormatting>
  <conditionalFormatting sqref="AA15:AF16">
    <cfRule type="cellIs" dxfId="49" priority="24" stopIfTrue="1" operator="greaterThan">
      <formula>5</formula>
    </cfRule>
  </conditionalFormatting>
  <conditionalFormatting sqref="AA9:AF9">
    <cfRule type="cellIs" dxfId="48" priority="25" stopIfTrue="1" operator="between">
      <formula>4</formula>
      <formula>5</formula>
    </cfRule>
  </conditionalFormatting>
  <conditionalFormatting sqref="AA9:AF9">
    <cfRule type="cellIs" dxfId="47" priority="26" stopIfTrue="1" operator="lessThan">
      <formula>4</formula>
    </cfRule>
  </conditionalFormatting>
  <conditionalFormatting sqref="AA9:AF9">
    <cfRule type="cellIs" dxfId="46" priority="27" stopIfTrue="1" operator="greaterThan">
      <formula>5</formula>
    </cfRule>
  </conditionalFormatting>
  <conditionalFormatting sqref="E7:E8">
    <cfRule type="cellIs" dxfId="45" priority="28" stopIfTrue="1" operator="lessThan">
      <formula>1</formula>
    </cfRule>
  </conditionalFormatting>
  <conditionalFormatting sqref="E7:E8">
    <cfRule type="cellIs" dxfId="44" priority="29" stopIfTrue="1" operator="between">
      <formula>1</formula>
      <formula>50</formula>
    </cfRule>
  </conditionalFormatting>
  <conditionalFormatting sqref="E7:E8">
    <cfRule type="cellIs" dxfId="43" priority="30" stopIfTrue="1" operator="greaterThan">
      <formula>50</formula>
    </cfRule>
  </conditionalFormatting>
  <conditionalFormatting sqref="AA7:AF8">
    <cfRule type="cellIs" dxfId="42" priority="31" stopIfTrue="1" operator="between">
      <formula>4</formula>
      <formula>5</formula>
    </cfRule>
  </conditionalFormatting>
  <conditionalFormatting sqref="AA7:AF8">
    <cfRule type="cellIs" dxfId="41" priority="32" stopIfTrue="1" operator="lessThan">
      <formula>4</formula>
    </cfRule>
  </conditionalFormatting>
  <conditionalFormatting sqref="AA7:AF8">
    <cfRule type="cellIs" dxfId="40" priority="33" stopIfTrue="1" operator="greaterThan">
      <formula>5</formula>
    </cfRule>
  </conditionalFormatting>
  <conditionalFormatting sqref="W13:X16 W19:X28 W7:X9 W3:X3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V16 I19:V28 I7:V9 I3:V3">
    <cfRule type="colorScale" priority="36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fitToWidth="0" orientation="portrait" r:id="rId1"/>
  <extLst>
    <ext uri="smNativeData">
      <pm:sheetPrefs xmlns:pm="smNativeData" day="159560447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0B5-5C01-40EE-B490-7F75B04C6567}">
  <sheetPr>
    <tabColor rgb="FFFABF8F"/>
  </sheetPr>
  <dimension ref="A1:AH53"/>
  <sheetViews>
    <sheetView tabSelected="1" zoomScale="80" zoomScaleNormal="80" workbookViewId="0">
      <pane xSplit="12" topLeftCell="M1" activePane="topRight" state="frozen"/>
      <selection pane="topRight" activeCell="M9" sqref="M9"/>
    </sheetView>
  </sheetViews>
  <sheetFormatPr baseColWidth="10" defaultRowHeight="15" x14ac:dyDescent="0.25"/>
  <cols>
    <col min="1" max="1" width="0.85546875" style="279" customWidth="1"/>
    <col min="2" max="2" width="24.42578125" bestFit="1" customWidth="1"/>
    <col min="3" max="3" width="20.5703125" bestFit="1" customWidth="1"/>
    <col min="4" max="4" width="10.85546875" bestFit="1" customWidth="1"/>
    <col min="5" max="5" width="2.7109375" customWidth="1"/>
    <col min="6" max="6" width="22.5703125" bestFit="1" customWidth="1"/>
    <col min="7" max="7" width="20.5703125" bestFit="1" customWidth="1"/>
    <col min="8" max="8" width="10.85546875" bestFit="1" customWidth="1"/>
    <col min="9" max="9" width="3.140625" customWidth="1"/>
    <col min="10" max="10" width="23" style="279" bestFit="1" customWidth="1"/>
    <col min="11" max="11" width="15.5703125" style="279" bestFit="1" customWidth="1"/>
    <col min="12" max="12" width="18" style="314" bestFit="1" customWidth="1"/>
    <col min="13" max="14" width="15.5703125" style="279" bestFit="1" customWidth="1"/>
    <col min="15" max="15" width="14.28515625" style="279" bestFit="1" customWidth="1"/>
    <col min="16" max="16" width="19" style="279" bestFit="1" customWidth="1"/>
    <col min="17" max="28" width="14.28515625" style="279" bestFit="1" customWidth="1"/>
    <col min="29" max="29" width="18.7109375" customWidth="1"/>
    <col min="31" max="31" width="14.28515625" bestFit="1" customWidth="1"/>
    <col min="32" max="32" width="99.7109375" customWidth="1"/>
    <col min="33" max="33" width="13.85546875" customWidth="1"/>
    <col min="34" max="34" width="11.28515625" bestFit="1" customWidth="1"/>
  </cols>
  <sheetData>
    <row r="1" spans="1:34" x14ac:dyDescent="0.25">
      <c r="J1" s="309"/>
      <c r="K1" s="309"/>
      <c r="L1" s="312"/>
      <c r="M1" s="310">
        <v>44543</v>
      </c>
      <c r="N1" s="310">
        <f t="shared" ref="N1:AB1" si="0">M1+7</f>
        <v>44550</v>
      </c>
      <c r="O1" s="310">
        <f t="shared" si="0"/>
        <v>44557</v>
      </c>
      <c r="P1" s="310">
        <f t="shared" si="0"/>
        <v>44564</v>
      </c>
      <c r="Q1" s="310">
        <f t="shared" si="0"/>
        <v>44571</v>
      </c>
      <c r="R1" s="310">
        <f t="shared" si="0"/>
        <v>44578</v>
      </c>
      <c r="S1" s="310">
        <f t="shared" si="0"/>
        <v>44585</v>
      </c>
      <c r="T1" s="310">
        <f t="shared" si="0"/>
        <v>44592</v>
      </c>
      <c r="U1" s="310">
        <f t="shared" si="0"/>
        <v>44599</v>
      </c>
      <c r="V1" s="310">
        <f t="shared" si="0"/>
        <v>44606</v>
      </c>
      <c r="W1" s="310">
        <f t="shared" si="0"/>
        <v>44613</v>
      </c>
      <c r="X1" s="310">
        <f t="shared" si="0"/>
        <v>44620</v>
      </c>
      <c r="Y1" s="310">
        <f t="shared" si="0"/>
        <v>44627</v>
      </c>
      <c r="Z1" s="310">
        <f t="shared" si="0"/>
        <v>44634</v>
      </c>
      <c r="AA1" s="310">
        <f t="shared" si="0"/>
        <v>44641</v>
      </c>
      <c r="AB1" s="310">
        <f t="shared" si="0"/>
        <v>44648</v>
      </c>
    </row>
    <row r="2" spans="1:34" ht="31.5" x14ac:dyDescent="0.35">
      <c r="B2" s="341" t="s">
        <v>339</v>
      </c>
      <c r="C2" s="342">
        <f>C3+C7+C10+C14+C24</f>
        <v>47967004.10113921</v>
      </c>
      <c r="D2" s="343">
        <f t="shared" ref="D2:D6" si="1">C2/$C$2</f>
        <v>1</v>
      </c>
      <c r="E2" s="344"/>
      <c r="F2" s="345" t="s">
        <v>340</v>
      </c>
      <c r="G2" s="346">
        <f>G3+G7+G14</f>
        <v>48044753</v>
      </c>
      <c r="H2" s="347">
        <f>G2/$G$2</f>
        <v>1</v>
      </c>
      <c r="J2" s="386">
        <f>G2-C2</f>
        <v>77748.898860789835</v>
      </c>
      <c r="K2" s="288"/>
      <c r="L2" s="288" t="s">
        <v>797</v>
      </c>
      <c r="M2" s="480" t="s">
        <v>323</v>
      </c>
      <c r="N2" s="480" t="s">
        <v>324</v>
      </c>
      <c r="O2" s="480" t="s">
        <v>325</v>
      </c>
      <c r="P2" s="480" t="s">
        <v>326</v>
      </c>
      <c r="Q2" s="480" t="s">
        <v>327</v>
      </c>
      <c r="R2" s="480" t="s">
        <v>328</v>
      </c>
      <c r="S2" s="480" t="s">
        <v>329</v>
      </c>
      <c r="T2" s="480" t="s">
        <v>330</v>
      </c>
      <c r="U2" s="480" t="s">
        <v>331</v>
      </c>
      <c r="V2" s="480" t="s">
        <v>332</v>
      </c>
      <c r="W2" s="480" t="s">
        <v>333</v>
      </c>
      <c r="X2" s="480" t="s">
        <v>334</v>
      </c>
      <c r="Y2" s="480" t="s">
        <v>335</v>
      </c>
      <c r="Z2" s="480" t="s">
        <v>336</v>
      </c>
      <c r="AA2" s="480" t="s">
        <v>337</v>
      </c>
      <c r="AB2" s="480" t="s">
        <v>338</v>
      </c>
      <c r="AC2" s="291"/>
      <c r="AE2" s="509" t="s">
        <v>348</v>
      </c>
    </row>
    <row r="3" spans="1:34" ht="21" x14ac:dyDescent="0.35">
      <c r="B3" s="324" t="s">
        <v>342</v>
      </c>
      <c r="C3" s="325">
        <f>C4+C5+C6</f>
        <v>7344870</v>
      </c>
      <c r="D3" s="326">
        <f t="shared" si="1"/>
        <v>0.15312338424374433</v>
      </c>
      <c r="E3" s="282"/>
      <c r="F3" s="338" t="s">
        <v>343</v>
      </c>
      <c r="G3" s="325">
        <f>G4+G5</f>
        <v>55653253</v>
      </c>
      <c r="H3" s="326">
        <f>G3/$G$2</f>
        <v>1.1583627664814928</v>
      </c>
      <c r="J3" s="280"/>
      <c r="K3" s="289"/>
      <c r="L3" s="288" t="s">
        <v>341</v>
      </c>
      <c r="M3" s="481">
        <v>3092</v>
      </c>
      <c r="N3" s="481">
        <f t="shared" ref="N3:AB3" si="2">M3+M11/30</f>
        <v>3092</v>
      </c>
      <c r="O3" s="481">
        <f t="shared" si="2"/>
        <v>3092</v>
      </c>
      <c r="P3" s="481">
        <f t="shared" si="2"/>
        <v>3092</v>
      </c>
      <c r="Q3" s="481">
        <f t="shared" si="2"/>
        <v>3092</v>
      </c>
      <c r="R3" s="481">
        <f t="shared" si="2"/>
        <v>3092</v>
      </c>
      <c r="S3" s="481">
        <f t="shared" si="2"/>
        <v>3092</v>
      </c>
      <c r="T3" s="481">
        <f t="shared" si="2"/>
        <v>3092</v>
      </c>
      <c r="U3" s="481">
        <f t="shared" si="2"/>
        <v>3092</v>
      </c>
      <c r="V3" s="481">
        <f t="shared" si="2"/>
        <v>3092</v>
      </c>
      <c r="W3" s="481">
        <f t="shared" si="2"/>
        <v>3092</v>
      </c>
      <c r="X3" s="481">
        <f t="shared" si="2"/>
        <v>3092</v>
      </c>
      <c r="Y3" s="481">
        <f t="shared" si="2"/>
        <v>3092</v>
      </c>
      <c r="Z3" s="481">
        <f t="shared" si="2"/>
        <v>3092</v>
      </c>
      <c r="AA3" s="481">
        <f t="shared" si="2"/>
        <v>3092</v>
      </c>
      <c r="AB3" s="481">
        <f t="shared" si="2"/>
        <v>3092</v>
      </c>
      <c r="AE3" t="s">
        <v>1606</v>
      </c>
      <c r="AF3" t="s">
        <v>1607</v>
      </c>
      <c r="AG3" s="510">
        <f>14*63500</f>
        <v>889000</v>
      </c>
      <c r="AH3" s="510"/>
    </row>
    <row r="4" spans="1:34" s="316" customFormat="1" ht="18.75" customHeight="1" x14ac:dyDescent="0.3">
      <c r="A4" s="315"/>
      <c r="B4" s="503" t="s">
        <v>345</v>
      </c>
      <c r="C4" s="328">
        <f>(45*40775)+(75*15839)+(90*13663)+(300*1723)+L17</f>
        <v>4769370</v>
      </c>
      <c r="D4" s="329">
        <f t="shared" si="1"/>
        <v>9.9430224784180926E-2</v>
      </c>
      <c r="E4" s="334"/>
      <c r="F4" s="506" t="s">
        <v>346</v>
      </c>
      <c r="G4" s="328">
        <v>300000</v>
      </c>
      <c r="H4" s="329">
        <f>G4/$G$2</f>
        <v>6.2441782144243719E-3</v>
      </c>
      <c r="J4" s="482" t="s">
        <v>765</v>
      </c>
      <c r="K4" s="482"/>
      <c r="L4" s="483">
        <v>0</v>
      </c>
      <c r="M4" s="484">
        <f>L4</f>
        <v>0</v>
      </c>
      <c r="N4" s="484">
        <f>M26</f>
        <v>0</v>
      </c>
      <c r="O4" s="484">
        <f t="shared" ref="O4:AB4" si="3">N26</f>
        <v>0</v>
      </c>
      <c r="P4" s="484">
        <f t="shared" si="3"/>
        <v>0</v>
      </c>
      <c r="Q4" s="484">
        <f t="shared" si="3"/>
        <v>0</v>
      </c>
      <c r="R4" s="484">
        <f t="shared" si="3"/>
        <v>0</v>
      </c>
      <c r="S4" s="484">
        <f t="shared" si="3"/>
        <v>0</v>
      </c>
      <c r="T4" s="484">
        <f t="shared" si="3"/>
        <v>0</v>
      </c>
      <c r="U4" s="484">
        <f t="shared" si="3"/>
        <v>0</v>
      </c>
      <c r="V4" s="484">
        <f t="shared" si="3"/>
        <v>0</v>
      </c>
      <c r="W4" s="484">
        <f t="shared" si="3"/>
        <v>0</v>
      </c>
      <c r="X4" s="484">
        <f t="shared" si="3"/>
        <v>0</v>
      </c>
      <c r="Y4" s="484">
        <f t="shared" si="3"/>
        <v>0</v>
      </c>
      <c r="Z4" s="484">
        <f t="shared" si="3"/>
        <v>0</v>
      </c>
      <c r="AA4" s="484">
        <f t="shared" si="3"/>
        <v>0</v>
      </c>
      <c r="AB4" s="484">
        <f t="shared" si="3"/>
        <v>0</v>
      </c>
      <c r="AE4" s="316" t="s">
        <v>1608</v>
      </c>
      <c r="AF4" s="316" t="s">
        <v>1609</v>
      </c>
      <c r="AG4" s="510">
        <v>0</v>
      </c>
      <c r="AH4" s="510"/>
    </row>
    <row r="5" spans="1:34" s="316" customFormat="1" ht="18.75" customHeight="1" x14ac:dyDescent="0.3">
      <c r="A5" s="315"/>
      <c r="B5" s="503" t="s">
        <v>217</v>
      </c>
      <c r="C5" s="328">
        <f>1475000+500+1100000+L21</f>
        <v>2575500</v>
      </c>
      <c r="D5" s="329">
        <f t="shared" si="1"/>
        <v>5.3693159459563419E-2</v>
      </c>
      <c r="E5" s="334"/>
      <c r="F5" s="506" t="s">
        <v>794</v>
      </c>
      <c r="G5" s="328">
        <v>55353253</v>
      </c>
      <c r="H5" s="329">
        <f>G5/$G$2</f>
        <v>1.1521185882670684</v>
      </c>
      <c r="J5" s="485" t="s">
        <v>344</v>
      </c>
      <c r="K5" s="485"/>
      <c r="L5" s="486">
        <v>2645476</v>
      </c>
      <c r="M5" s="487">
        <f>L5</f>
        <v>2645476</v>
      </c>
      <c r="N5" s="487">
        <f t="shared" ref="N5:AB5" si="4">M27</f>
        <v>2387950</v>
      </c>
      <c r="O5" s="487">
        <f t="shared" si="4"/>
        <v>2167813.8908000002</v>
      </c>
      <c r="P5" s="487">
        <f t="shared" si="4"/>
        <v>2672600.3700982803</v>
      </c>
      <c r="Q5" s="487">
        <f t="shared" si="4"/>
        <v>2434170.1358651919</v>
      </c>
      <c r="R5" s="487">
        <f t="shared" si="4"/>
        <v>2769074.8863429134</v>
      </c>
      <c r="S5" s="487">
        <f t="shared" si="4"/>
        <v>3104314.3200452048</v>
      </c>
      <c r="T5" s="487">
        <f t="shared" si="4"/>
        <v>2814888.1357571641</v>
      </c>
      <c r="U5" s="487">
        <f t="shared" si="4"/>
        <v>3150796.0325349825</v>
      </c>
      <c r="V5" s="487">
        <f t="shared" si="4"/>
        <v>2862037.7097057011</v>
      </c>
      <c r="W5" s="487">
        <f t="shared" si="4"/>
        <v>3198612.8668669658</v>
      </c>
      <c r="X5" s="487">
        <f t="shared" si="4"/>
        <v>2910521.2038867855</v>
      </c>
      <c r="Y5" s="487">
        <f t="shared" si="4"/>
        <v>3247762.4209032874</v>
      </c>
      <c r="Z5" s="487">
        <f t="shared" si="4"/>
        <v>2960336.2183244745</v>
      </c>
      <c r="AA5" s="487">
        <f t="shared" si="4"/>
        <v>3298242.2968279826</v>
      </c>
      <c r="AB5" s="487">
        <f t="shared" si="4"/>
        <v>3026480.3573608375</v>
      </c>
      <c r="AE5" s="316" t="s">
        <v>1610</v>
      </c>
      <c r="AF5" s="511" t="s">
        <v>1611</v>
      </c>
      <c r="AG5" s="45">
        <f>9*37000</f>
        <v>333000</v>
      </c>
      <c r="AH5" s="45">
        <f>37000*10</f>
        <v>370000</v>
      </c>
    </row>
    <row r="6" spans="1:34" ht="18.75" customHeight="1" x14ac:dyDescent="0.35">
      <c r="B6" s="503" t="s">
        <v>785</v>
      </c>
      <c r="C6" s="328">
        <v>0</v>
      </c>
      <c r="D6" s="329">
        <f t="shared" si="1"/>
        <v>0</v>
      </c>
      <c r="E6" s="282"/>
      <c r="F6" s="338"/>
      <c r="G6" s="325"/>
      <c r="H6" s="326"/>
      <c r="J6" s="348" t="s">
        <v>347</v>
      </c>
      <c r="K6" s="512" t="s">
        <v>347</v>
      </c>
      <c r="L6" s="488">
        <f t="shared" ref="L6:L25" si="5">SUM(M6:AB6)</f>
        <v>4970428</v>
      </c>
      <c r="M6" s="382">
        <f>22254+26657</f>
        <v>48911</v>
      </c>
      <c r="N6" s="382">
        <v>85965</v>
      </c>
      <c r="O6" s="382">
        <f>636696+173856</f>
        <v>810552</v>
      </c>
      <c r="P6" s="379">
        <v>65000</v>
      </c>
      <c r="Q6" s="379">
        <v>640000</v>
      </c>
      <c r="R6" s="379">
        <f>65000+575000</f>
        <v>640000</v>
      </c>
      <c r="S6" s="379">
        <v>15000</v>
      </c>
      <c r="T6" s="379">
        <f>65000+575000</f>
        <v>640000</v>
      </c>
      <c r="U6" s="379">
        <v>15000</v>
      </c>
      <c r="V6" s="379">
        <f>65000+575000</f>
        <v>640000</v>
      </c>
      <c r="W6" s="379">
        <v>15000</v>
      </c>
      <c r="X6" s="379">
        <f>65000+575000</f>
        <v>640000</v>
      </c>
      <c r="Y6" s="379">
        <v>15000</v>
      </c>
      <c r="Z6" s="379">
        <f>65000+575000</f>
        <v>640000</v>
      </c>
      <c r="AA6" s="379">
        <v>30000</v>
      </c>
      <c r="AB6" s="379">
        <v>30000</v>
      </c>
      <c r="AF6" t="s">
        <v>1612</v>
      </c>
      <c r="AG6" s="45">
        <v>95500</v>
      </c>
      <c r="AH6" s="45">
        <f>95500*2</f>
        <v>191000</v>
      </c>
    </row>
    <row r="7" spans="1:34" ht="18.75" customHeight="1" x14ac:dyDescent="0.35">
      <c r="B7" s="324" t="s">
        <v>786</v>
      </c>
      <c r="C7" s="325">
        <f>C9</f>
        <v>0</v>
      </c>
      <c r="D7" s="326">
        <f>C7/C2</f>
        <v>0</v>
      </c>
      <c r="E7" s="282"/>
      <c r="F7" s="338" t="s">
        <v>848</v>
      </c>
      <c r="G7" s="325">
        <f>G8+G9+G10</f>
        <v>-15757353.898860788</v>
      </c>
      <c r="H7" s="326">
        <f>G7/$G$2</f>
        <v>-0.32797241977413827</v>
      </c>
      <c r="J7" s="348" t="s">
        <v>348</v>
      </c>
      <c r="K7" s="512" t="s">
        <v>348</v>
      </c>
      <c r="L7" s="488">
        <f t="shared" si="5"/>
        <v>3096000</v>
      </c>
      <c r="M7" s="383">
        <f>130000+63500</f>
        <v>193500</v>
      </c>
      <c r="N7" s="383">
        <f t="shared" ref="N7:AB7" si="6">130000+63500</f>
        <v>193500</v>
      </c>
      <c r="O7" s="383">
        <f t="shared" si="6"/>
        <v>193500</v>
      </c>
      <c r="P7" s="383">
        <f t="shared" si="6"/>
        <v>193500</v>
      </c>
      <c r="Q7" s="383">
        <f t="shared" si="6"/>
        <v>193500</v>
      </c>
      <c r="R7" s="383">
        <f t="shared" si="6"/>
        <v>193500</v>
      </c>
      <c r="S7" s="383">
        <f t="shared" si="6"/>
        <v>193500</v>
      </c>
      <c r="T7" s="383">
        <f t="shared" si="6"/>
        <v>193500</v>
      </c>
      <c r="U7" s="383">
        <f t="shared" si="6"/>
        <v>193500</v>
      </c>
      <c r="V7" s="383">
        <f t="shared" si="6"/>
        <v>193500</v>
      </c>
      <c r="W7" s="383">
        <f t="shared" si="6"/>
        <v>193500</v>
      </c>
      <c r="X7" s="383">
        <f t="shared" si="6"/>
        <v>193500</v>
      </c>
      <c r="Y7" s="383">
        <f t="shared" si="6"/>
        <v>193500</v>
      </c>
      <c r="Z7" s="383">
        <f t="shared" si="6"/>
        <v>193500</v>
      </c>
      <c r="AA7" s="383">
        <f t="shared" si="6"/>
        <v>193500</v>
      </c>
      <c r="AB7" s="383">
        <f t="shared" si="6"/>
        <v>193500</v>
      </c>
      <c r="AE7" t="s">
        <v>1613</v>
      </c>
      <c r="AF7" t="s">
        <v>1614</v>
      </c>
      <c r="AG7" s="45">
        <f>4*83000</f>
        <v>332000</v>
      </c>
      <c r="AH7" s="45">
        <f>5*83000</f>
        <v>415000</v>
      </c>
    </row>
    <row r="8" spans="1:34" ht="18.75" customHeight="1" x14ac:dyDescent="0.3">
      <c r="B8" s="503" t="s">
        <v>787</v>
      </c>
      <c r="C8" s="328">
        <f>L4</f>
        <v>0</v>
      </c>
      <c r="D8" s="282"/>
      <c r="E8" s="282"/>
      <c r="F8" s="506" t="s">
        <v>839</v>
      </c>
      <c r="G8" s="328">
        <f>C6+C13+C15+C16+C17+C18+C19-G15-G16-G17-G18-G19</f>
        <v>-15757353.898860788</v>
      </c>
      <c r="H8" s="329">
        <f>G8/$G$2</f>
        <v>-0.32797241977413827</v>
      </c>
      <c r="J8" s="348" t="s">
        <v>349</v>
      </c>
      <c r="K8" s="512" t="s">
        <v>350</v>
      </c>
      <c r="L8" s="488">
        <f t="shared" si="5"/>
        <v>0</v>
      </c>
      <c r="M8" s="382">
        <v>0</v>
      </c>
      <c r="N8" s="382">
        <v>0</v>
      </c>
      <c r="O8" s="382">
        <v>0</v>
      </c>
      <c r="P8" s="379">
        <v>0</v>
      </c>
      <c r="Q8" s="379">
        <v>0</v>
      </c>
      <c r="R8" s="379">
        <v>0</v>
      </c>
      <c r="S8" s="379">
        <v>0</v>
      </c>
      <c r="T8" s="379">
        <v>0</v>
      </c>
      <c r="U8" s="379">
        <v>0</v>
      </c>
      <c r="V8" s="379">
        <v>0</v>
      </c>
      <c r="W8" s="379">
        <v>0</v>
      </c>
      <c r="X8" s="379">
        <v>0</v>
      </c>
      <c r="Y8" s="379">
        <v>0</v>
      </c>
      <c r="Z8" s="379">
        <v>0</v>
      </c>
      <c r="AA8" s="379">
        <v>0</v>
      </c>
      <c r="AB8" s="379">
        <v>0</v>
      </c>
      <c r="AF8" t="s">
        <v>1615</v>
      </c>
      <c r="AG8" s="45">
        <f>4*63500</f>
        <v>254000</v>
      </c>
      <c r="AH8" s="45">
        <f>5*63500</f>
        <v>317500</v>
      </c>
    </row>
    <row r="9" spans="1:34" ht="18.75" customHeight="1" x14ac:dyDescent="0.3">
      <c r="B9" s="503" t="s">
        <v>788</v>
      </c>
      <c r="C9" s="330">
        <f>L26</f>
        <v>0</v>
      </c>
      <c r="D9" s="329">
        <f>C9/C2</f>
        <v>0</v>
      </c>
      <c r="E9" s="282"/>
      <c r="F9" s="506" t="s">
        <v>845</v>
      </c>
      <c r="G9" s="330">
        <f>C23</f>
        <v>0</v>
      </c>
      <c r="H9" s="329">
        <f>G9/$G$2</f>
        <v>0</v>
      </c>
      <c r="J9" s="348"/>
      <c r="K9" s="512" t="s">
        <v>351</v>
      </c>
      <c r="L9" s="488">
        <f t="shared" si="5"/>
        <v>0</v>
      </c>
      <c r="M9" s="382">
        <v>0</v>
      </c>
      <c r="N9" s="382">
        <v>0</v>
      </c>
      <c r="O9" s="382">
        <v>0</v>
      </c>
      <c r="P9" s="379">
        <v>0</v>
      </c>
      <c r="Q9" s="379">
        <v>0</v>
      </c>
      <c r="R9" s="379">
        <v>0</v>
      </c>
      <c r="S9" s="379">
        <v>0</v>
      </c>
      <c r="T9" s="379">
        <v>0</v>
      </c>
      <c r="U9" s="379">
        <v>0</v>
      </c>
      <c r="V9" s="379">
        <v>0</v>
      </c>
      <c r="W9" s="379">
        <v>0</v>
      </c>
      <c r="X9" s="379">
        <v>0</v>
      </c>
      <c r="Y9" s="379">
        <v>0</v>
      </c>
      <c r="Z9" s="379">
        <v>0</v>
      </c>
      <c r="AA9" s="379">
        <v>0</v>
      </c>
      <c r="AB9" s="379">
        <v>0</v>
      </c>
      <c r="AE9" t="s">
        <v>1616</v>
      </c>
      <c r="AF9" t="s">
        <v>1617</v>
      </c>
      <c r="AG9" s="45">
        <f>20*16500</f>
        <v>330000</v>
      </c>
      <c r="AH9" s="45">
        <f>25*16500</f>
        <v>412500</v>
      </c>
    </row>
    <row r="10" spans="1:34" ht="18.75" customHeight="1" x14ac:dyDescent="0.35">
      <c r="B10" s="331" t="s">
        <v>357</v>
      </c>
      <c r="C10" s="325">
        <f>C12+C13</f>
        <v>29423136</v>
      </c>
      <c r="D10" s="326">
        <f>C10/$C$2</f>
        <v>0.61340366260858903</v>
      </c>
      <c r="E10" s="282"/>
      <c r="F10" s="506" t="s">
        <v>846</v>
      </c>
      <c r="G10" s="325">
        <v>0</v>
      </c>
      <c r="H10" s="329">
        <f>G10/$G$2</f>
        <v>0</v>
      </c>
      <c r="J10" s="348" t="s">
        <v>352</v>
      </c>
      <c r="K10" s="512" t="s">
        <v>352</v>
      </c>
      <c r="L10" s="488">
        <f t="shared" si="5"/>
        <v>192000</v>
      </c>
      <c r="M10" s="383">
        <v>12000</v>
      </c>
      <c r="N10" s="383">
        <f>M10</f>
        <v>12000</v>
      </c>
      <c r="O10" s="383">
        <f t="shared" ref="O10:AB10" si="7">N10</f>
        <v>12000</v>
      </c>
      <c r="P10" s="383">
        <f t="shared" si="7"/>
        <v>12000</v>
      </c>
      <c r="Q10" s="383">
        <f t="shared" si="7"/>
        <v>12000</v>
      </c>
      <c r="R10" s="383">
        <f t="shared" si="7"/>
        <v>12000</v>
      </c>
      <c r="S10" s="383">
        <f t="shared" si="7"/>
        <v>12000</v>
      </c>
      <c r="T10" s="383">
        <f t="shared" si="7"/>
        <v>12000</v>
      </c>
      <c r="U10" s="383">
        <f t="shared" si="7"/>
        <v>12000</v>
      </c>
      <c r="V10" s="383">
        <f t="shared" si="7"/>
        <v>12000</v>
      </c>
      <c r="W10" s="383">
        <f t="shared" si="7"/>
        <v>12000</v>
      </c>
      <c r="X10" s="383">
        <f t="shared" si="7"/>
        <v>12000</v>
      </c>
      <c r="Y10" s="383">
        <f t="shared" si="7"/>
        <v>12000</v>
      </c>
      <c r="Z10" s="383">
        <f t="shared" si="7"/>
        <v>12000</v>
      </c>
      <c r="AA10" s="383">
        <f t="shared" si="7"/>
        <v>12000</v>
      </c>
      <c r="AB10" s="383">
        <f t="shared" si="7"/>
        <v>12000</v>
      </c>
      <c r="AF10" t="s">
        <v>1618</v>
      </c>
      <c r="AG10" s="45">
        <f>35*8500</f>
        <v>297500</v>
      </c>
      <c r="AH10" s="45">
        <f>45*8500</f>
        <v>382500</v>
      </c>
    </row>
    <row r="11" spans="1:34" ht="18.75" customHeight="1" x14ac:dyDescent="0.3">
      <c r="B11" s="503" t="s">
        <v>789</v>
      </c>
      <c r="C11" s="332">
        <f>K31</f>
        <v>61342512</v>
      </c>
      <c r="D11" s="329"/>
      <c r="E11" s="282"/>
      <c r="F11" s="339"/>
      <c r="G11" s="332"/>
      <c r="H11" s="282"/>
      <c r="J11" s="516" t="s">
        <v>353</v>
      </c>
      <c r="K11" s="512" t="s">
        <v>354</v>
      </c>
      <c r="L11" s="488">
        <f t="shared" si="5"/>
        <v>92760</v>
      </c>
      <c r="M11" s="383">
        <v>0</v>
      </c>
      <c r="N11" s="383">
        <v>0</v>
      </c>
      <c r="O11" s="383">
        <v>0</v>
      </c>
      <c r="P11" s="380">
        <v>0</v>
      </c>
      <c r="Q11" s="380">
        <v>0</v>
      </c>
      <c r="R11" s="380">
        <v>0</v>
      </c>
      <c r="S11" s="380">
        <v>0</v>
      </c>
      <c r="T11" s="380">
        <v>0</v>
      </c>
      <c r="U11" s="380">
        <v>0</v>
      </c>
      <c r="V11" s="380">
        <v>0</v>
      </c>
      <c r="W11" s="380">
        <v>0</v>
      </c>
      <c r="X11" s="380">
        <v>0</v>
      </c>
      <c r="Y11" s="380">
        <v>0</v>
      </c>
      <c r="Z11" s="380">
        <v>0</v>
      </c>
      <c r="AA11" s="380">
        <v>0</v>
      </c>
      <c r="AB11" s="380">
        <f>30*AB3</f>
        <v>92760</v>
      </c>
      <c r="AG11" s="510"/>
      <c r="AH11" s="510"/>
    </row>
    <row r="12" spans="1:34" ht="18.75" customHeight="1" x14ac:dyDescent="0.3">
      <c r="B12" s="503" t="s">
        <v>1605</v>
      </c>
      <c r="C12" s="328">
        <f>N31</f>
        <v>45382824</v>
      </c>
      <c r="D12" s="329">
        <f>C12/C2</f>
        <v>0.94612588070561121</v>
      </c>
      <c r="E12" s="282"/>
      <c r="F12" s="339"/>
      <c r="G12" s="332"/>
      <c r="H12" s="282"/>
      <c r="J12" s="516"/>
      <c r="K12" s="512" t="s">
        <v>355</v>
      </c>
      <c r="L12" s="488">
        <f t="shared" si="5"/>
        <v>0</v>
      </c>
      <c r="M12" s="383">
        <v>0</v>
      </c>
      <c r="N12" s="383">
        <v>0</v>
      </c>
      <c r="O12" s="383">
        <v>0</v>
      </c>
      <c r="P12" s="380">
        <v>0</v>
      </c>
      <c r="Q12" s="380">
        <v>0</v>
      </c>
      <c r="R12" s="380">
        <v>0</v>
      </c>
      <c r="S12" s="380">
        <v>0</v>
      </c>
      <c r="T12" s="380">
        <v>0</v>
      </c>
      <c r="U12" s="380">
        <v>0</v>
      </c>
      <c r="V12" s="380">
        <v>0</v>
      </c>
      <c r="W12" s="380">
        <v>0</v>
      </c>
      <c r="X12" s="380">
        <v>0</v>
      </c>
      <c r="Y12" s="380">
        <v>0</v>
      </c>
      <c r="Z12" s="380">
        <v>0</v>
      </c>
      <c r="AA12" s="380">
        <v>0</v>
      </c>
      <c r="AB12" s="380">
        <v>0</v>
      </c>
      <c r="AG12" s="510"/>
      <c r="AH12" s="510"/>
    </row>
    <row r="13" spans="1:34" ht="18.75" customHeight="1" x14ac:dyDescent="0.35">
      <c r="B13" s="503" t="s">
        <v>768</v>
      </c>
      <c r="C13" s="332">
        <f>M31*-1</f>
        <v>-15959688</v>
      </c>
      <c r="D13" s="329">
        <f t="shared" ref="D13:D26" si="8">C13/$C$2</f>
        <v>-0.33272221809702224</v>
      </c>
      <c r="E13" s="282"/>
      <c r="F13" s="340"/>
      <c r="G13" s="325"/>
      <c r="H13" s="326"/>
      <c r="J13" s="516"/>
      <c r="K13" s="512" t="s">
        <v>756</v>
      </c>
      <c r="L13" s="488">
        <v>0</v>
      </c>
      <c r="M13" s="383">
        <v>0</v>
      </c>
      <c r="N13" s="383">
        <v>0</v>
      </c>
      <c r="O13" s="383">
        <f t="shared" ref="O13:AB13" si="9">N13</f>
        <v>0</v>
      </c>
      <c r="P13" s="380">
        <f t="shared" si="9"/>
        <v>0</v>
      </c>
      <c r="Q13" s="380">
        <f t="shared" si="9"/>
        <v>0</v>
      </c>
      <c r="R13" s="380">
        <f t="shared" si="9"/>
        <v>0</v>
      </c>
      <c r="S13" s="380">
        <f t="shared" si="9"/>
        <v>0</v>
      </c>
      <c r="T13" s="380">
        <f t="shared" si="9"/>
        <v>0</v>
      </c>
      <c r="U13" s="380">
        <f t="shared" si="9"/>
        <v>0</v>
      </c>
      <c r="V13" s="380">
        <f t="shared" si="9"/>
        <v>0</v>
      </c>
      <c r="W13" s="380">
        <f t="shared" si="9"/>
        <v>0</v>
      </c>
      <c r="X13" s="380">
        <f t="shared" si="9"/>
        <v>0</v>
      </c>
      <c r="Y13" s="380">
        <f t="shared" si="9"/>
        <v>0</v>
      </c>
      <c r="Z13" s="380">
        <f t="shared" si="9"/>
        <v>0</v>
      </c>
      <c r="AA13" s="380">
        <f t="shared" si="9"/>
        <v>0</v>
      </c>
      <c r="AB13" s="380">
        <f t="shared" si="9"/>
        <v>0</v>
      </c>
      <c r="AG13" s="510"/>
      <c r="AH13" s="510"/>
    </row>
    <row r="14" spans="1:34" s="316" customFormat="1" ht="18.75" customHeight="1" x14ac:dyDescent="0.35">
      <c r="A14" s="315"/>
      <c r="B14" s="331" t="s">
        <v>849</v>
      </c>
      <c r="C14" s="325">
        <f>C15+C16+C17+C18+C19+C20+C21+C22+C23</f>
        <v>8351188</v>
      </c>
      <c r="D14" s="326">
        <f t="shared" si="8"/>
        <v>0.1741027641082479</v>
      </c>
      <c r="E14" s="282"/>
      <c r="F14" s="331" t="s">
        <v>850</v>
      </c>
      <c r="G14" s="325">
        <f>G15+G16+G17+G18+G19+G20+G21+G22</f>
        <v>8148853.898860788</v>
      </c>
      <c r="H14" s="326">
        <f t="shared" ref="H14:H21" si="10">G14/$G$2</f>
        <v>0.16960965329264546</v>
      </c>
      <c r="J14" s="489" t="s">
        <v>356</v>
      </c>
      <c r="K14" s="490"/>
      <c r="L14" s="491">
        <f t="shared" si="5"/>
        <v>8351188</v>
      </c>
      <c r="M14" s="492">
        <f t="shared" ref="M14:AB14" si="11">SUM(M6:M13)</f>
        <v>254411</v>
      </c>
      <c r="N14" s="492">
        <f t="shared" si="11"/>
        <v>291465</v>
      </c>
      <c r="O14" s="492">
        <f t="shared" si="11"/>
        <v>1016052</v>
      </c>
      <c r="P14" s="493">
        <f t="shared" si="11"/>
        <v>270500</v>
      </c>
      <c r="Q14" s="493">
        <f t="shared" si="11"/>
        <v>845500</v>
      </c>
      <c r="R14" s="493">
        <f t="shared" si="11"/>
        <v>845500</v>
      </c>
      <c r="S14" s="493">
        <f t="shared" si="11"/>
        <v>220500</v>
      </c>
      <c r="T14" s="493">
        <f t="shared" si="11"/>
        <v>845500</v>
      </c>
      <c r="U14" s="493">
        <f t="shared" si="11"/>
        <v>220500</v>
      </c>
      <c r="V14" s="493">
        <f t="shared" si="11"/>
        <v>845500</v>
      </c>
      <c r="W14" s="493">
        <f t="shared" si="11"/>
        <v>220500</v>
      </c>
      <c r="X14" s="493">
        <f t="shared" si="11"/>
        <v>845500</v>
      </c>
      <c r="Y14" s="493">
        <f t="shared" si="11"/>
        <v>220500</v>
      </c>
      <c r="Z14" s="493">
        <f t="shared" si="11"/>
        <v>845500</v>
      </c>
      <c r="AA14" s="493">
        <f t="shared" si="11"/>
        <v>235500</v>
      </c>
      <c r="AB14" s="493">
        <f t="shared" si="11"/>
        <v>328260</v>
      </c>
      <c r="AG14" s="510"/>
      <c r="AH14" s="510"/>
    </row>
    <row r="15" spans="1:34" ht="18.75" customHeight="1" x14ac:dyDescent="0.3">
      <c r="B15" s="503" t="s">
        <v>341</v>
      </c>
      <c r="C15" s="328">
        <f>L11</f>
        <v>92760</v>
      </c>
      <c r="D15" s="329">
        <f t="shared" si="8"/>
        <v>1.9338293424457785E-3</v>
      </c>
      <c r="E15" s="282"/>
      <c r="F15" s="506" t="s">
        <v>795</v>
      </c>
      <c r="G15" s="330">
        <f>L16</f>
        <v>791120</v>
      </c>
      <c r="H15" s="329">
        <f t="shared" si="10"/>
        <v>1.6466314229984697E-2</v>
      </c>
      <c r="J15" s="494" t="s">
        <v>209</v>
      </c>
      <c r="K15" s="513" t="str">
        <f>J15</f>
        <v>Sueldos</v>
      </c>
      <c r="L15" s="495">
        <f t="shared" si="5"/>
        <v>5931253.898860788</v>
      </c>
      <c r="M15" s="384">
        <v>373212</v>
      </c>
      <c r="N15" s="384">
        <f>M15*0.9991</f>
        <v>372876.10920000001</v>
      </c>
      <c r="O15" s="384">
        <f t="shared" ref="O15:AB15" si="12">N15*0.9991</f>
        <v>372540.52070172003</v>
      </c>
      <c r="P15" s="384">
        <f t="shared" si="12"/>
        <v>372205.2342330885</v>
      </c>
      <c r="Q15" s="384">
        <f t="shared" si="12"/>
        <v>371870.24952227873</v>
      </c>
      <c r="R15" s="384">
        <f t="shared" si="12"/>
        <v>371535.56629770866</v>
      </c>
      <c r="S15" s="384">
        <f t="shared" si="12"/>
        <v>371201.18428804073</v>
      </c>
      <c r="T15" s="384">
        <f t="shared" si="12"/>
        <v>370867.1032221815</v>
      </c>
      <c r="U15" s="384">
        <f t="shared" si="12"/>
        <v>370533.3228292815</v>
      </c>
      <c r="V15" s="384">
        <f t="shared" si="12"/>
        <v>370199.84283873515</v>
      </c>
      <c r="W15" s="384">
        <f t="shared" si="12"/>
        <v>369866.66298018029</v>
      </c>
      <c r="X15" s="384">
        <f t="shared" si="12"/>
        <v>369533.78298349812</v>
      </c>
      <c r="Y15" s="384">
        <f t="shared" si="12"/>
        <v>369201.20257881295</v>
      </c>
      <c r="Z15" s="384">
        <f t="shared" si="12"/>
        <v>368868.921496492</v>
      </c>
      <c r="AA15" s="384">
        <f t="shared" si="12"/>
        <v>368536.93946714513</v>
      </c>
      <c r="AB15" s="384">
        <f t="shared" si="12"/>
        <v>368205.25622162467</v>
      </c>
      <c r="AG15" s="510"/>
      <c r="AH15" s="510"/>
    </row>
    <row r="16" spans="1:34" ht="18.75" customHeight="1" x14ac:dyDescent="0.3">
      <c r="B16" s="503" t="s">
        <v>355</v>
      </c>
      <c r="C16" s="328">
        <f>L12</f>
        <v>0</v>
      </c>
      <c r="D16" s="329">
        <f t="shared" si="8"/>
        <v>0</v>
      </c>
      <c r="E16" s="282"/>
      <c r="F16" s="506" t="s">
        <v>368</v>
      </c>
      <c r="G16" s="330">
        <f>L15</f>
        <v>5931253.898860788</v>
      </c>
      <c r="H16" s="329">
        <f t="shared" si="10"/>
        <v>0.12345268793162051</v>
      </c>
      <c r="J16" s="494" t="s">
        <v>358</v>
      </c>
      <c r="K16" s="513" t="str">
        <f>J16</f>
        <v xml:space="preserve">Mantenimiento </v>
      </c>
      <c r="L16" s="495">
        <f t="shared" si="5"/>
        <v>791120</v>
      </c>
      <c r="M16" s="384">
        <v>49445</v>
      </c>
      <c r="N16" s="384">
        <f>M16</f>
        <v>49445</v>
      </c>
      <c r="O16" s="384">
        <f t="shared" ref="O16" si="13">N16</f>
        <v>49445</v>
      </c>
      <c r="P16" s="384">
        <f t="shared" ref="P16" si="14">O16</f>
        <v>49445</v>
      </c>
      <c r="Q16" s="384">
        <f t="shared" ref="Q16" si="15">P16</f>
        <v>49445</v>
      </c>
      <c r="R16" s="384">
        <f t="shared" ref="R16" si="16">Q16</f>
        <v>49445</v>
      </c>
      <c r="S16" s="384">
        <f t="shared" ref="S16" si="17">R16</f>
        <v>49445</v>
      </c>
      <c r="T16" s="384">
        <f t="shared" ref="T16" si="18">S16</f>
        <v>49445</v>
      </c>
      <c r="U16" s="384">
        <f t="shared" ref="U16" si="19">T16</f>
        <v>49445</v>
      </c>
      <c r="V16" s="384">
        <f t="shared" ref="V16" si="20">U16</f>
        <v>49445</v>
      </c>
      <c r="W16" s="384">
        <f t="shared" ref="W16" si="21">V16</f>
        <v>49445</v>
      </c>
      <c r="X16" s="384">
        <f t="shared" ref="X16" si="22">W16</f>
        <v>49445</v>
      </c>
      <c r="Y16" s="384">
        <f t="shared" ref="Y16" si="23">X16</f>
        <v>49445</v>
      </c>
      <c r="Z16" s="384">
        <f t="shared" ref="Z16" si="24">Y16</f>
        <v>49445</v>
      </c>
      <c r="AA16" s="384">
        <f t="shared" ref="AA16" si="25">Z16</f>
        <v>49445</v>
      </c>
      <c r="AB16" s="384">
        <f t="shared" ref="AB16" si="26">AA16</f>
        <v>49445</v>
      </c>
      <c r="AG16" s="510"/>
      <c r="AH16" s="510"/>
    </row>
    <row r="17" spans="1:34" ht="18.75" customHeight="1" x14ac:dyDescent="0.3">
      <c r="B17" s="503" t="s">
        <v>347</v>
      </c>
      <c r="C17" s="328">
        <f>L6</f>
        <v>4970428</v>
      </c>
      <c r="D17" s="329">
        <f t="shared" si="8"/>
        <v>0.10362181447729718</v>
      </c>
      <c r="E17" s="282"/>
      <c r="F17" s="506" t="s">
        <v>360</v>
      </c>
      <c r="G17" s="330">
        <f>L18</f>
        <v>1044480</v>
      </c>
      <c r="H17" s="329">
        <f t="shared" si="10"/>
        <v>2.1739730871339895E-2</v>
      </c>
      <c r="J17" s="494" t="s">
        <v>359</v>
      </c>
      <c r="K17" s="513" t="s">
        <v>345</v>
      </c>
      <c r="L17" s="495">
        <f t="shared" si="5"/>
        <v>0</v>
      </c>
      <c r="M17" s="384">
        <v>0</v>
      </c>
      <c r="N17" s="384">
        <v>0</v>
      </c>
      <c r="O17" s="384">
        <v>0</v>
      </c>
      <c r="P17" s="381">
        <v>0</v>
      </c>
      <c r="Q17" s="381">
        <v>0</v>
      </c>
      <c r="R17" s="381">
        <v>0</v>
      </c>
      <c r="S17" s="381">
        <v>0</v>
      </c>
      <c r="T17" s="381">
        <v>0</v>
      </c>
      <c r="U17" s="381">
        <v>0</v>
      </c>
      <c r="V17" s="381">
        <v>0</v>
      </c>
      <c r="W17" s="381">
        <v>0</v>
      </c>
      <c r="X17" s="381">
        <v>0</v>
      </c>
      <c r="Y17" s="381">
        <v>0</v>
      </c>
      <c r="Z17" s="381">
        <v>0</v>
      </c>
      <c r="AA17" s="381">
        <v>0</v>
      </c>
      <c r="AB17" s="381">
        <v>0</v>
      </c>
      <c r="AG17" s="510"/>
      <c r="AH17" s="510"/>
    </row>
    <row r="18" spans="1:34" ht="18.75" customHeight="1" x14ac:dyDescent="0.3">
      <c r="B18" s="503" t="s">
        <v>348</v>
      </c>
      <c r="C18" s="328">
        <f>L7</f>
        <v>3096000</v>
      </c>
      <c r="D18" s="329">
        <f t="shared" si="8"/>
        <v>6.4544368738811239E-2</v>
      </c>
      <c r="E18" s="334"/>
      <c r="F18" s="506" t="s">
        <v>362</v>
      </c>
      <c r="G18" s="333">
        <f>L19</f>
        <v>320000</v>
      </c>
      <c r="H18" s="329">
        <f t="shared" si="10"/>
        <v>6.6604567620526635E-3</v>
      </c>
      <c r="J18" s="494" t="s">
        <v>360</v>
      </c>
      <c r="K18" s="513" t="str">
        <f>J18</f>
        <v>Empleados</v>
      </c>
      <c r="L18" s="495">
        <f t="shared" si="5"/>
        <v>1044480</v>
      </c>
      <c r="M18" s="384">
        <v>65280</v>
      </c>
      <c r="N18" s="384">
        <f t="shared" ref="N18:AB24" si="27">M18</f>
        <v>65280</v>
      </c>
      <c r="O18" s="384">
        <f t="shared" si="27"/>
        <v>65280</v>
      </c>
      <c r="P18" s="381">
        <f t="shared" si="27"/>
        <v>65280</v>
      </c>
      <c r="Q18" s="381">
        <f t="shared" si="27"/>
        <v>65280</v>
      </c>
      <c r="R18" s="381">
        <f t="shared" si="27"/>
        <v>65280</v>
      </c>
      <c r="S18" s="381">
        <f t="shared" si="27"/>
        <v>65280</v>
      </c>
      <c r="T18" s="381">
        <f t="shared" si="27"/>
        <v>65280</v>
      </c>
      <c r="U18" s="381">
        <f t="shared" si="27"/>
        <v>65280</v>
      </c>
      <c r="V18" s="381">
        <f t="shared" si="27"/>
        <v>65280</v>
      </c>
      <c r="W18" s="381">
        <f t="shared" si="27"/>
        <v>65280</v>
      </c>
      <c r="X18" s="381">
        <f t="shared" si="27"/>
        <v>65280</v>
      </c>
      <c r="Y18" s="381">
        <f t="shared" si="27"/>
        <v>65280</v>
      </c>
      <c r="Z18" s="381">
        <f t="shared" si="27"/>
        <v>65280</v>
      </c>
      <c r="AA18" s="381">
        <f t="shared" si="27"/>
        <v>65280</v>
      </c>
      <c r="AB18" s="381">
        <f t="shared" si="27"/>
        <v>65280</v>
      </c>
      <c r="AG18" s="510"/>
      <c r="AH18" s="510"/>
    </row>
    <row r="19" spans="1:34" ht="18.75" customHeight="1" x14ac:dyDescent="0.3">
      <c r="B19" s="503" t="s">
        <v>352</v>
      </c>
      <c r="C19" s="328">
        <f>L10</f>
        <v>192000</v>
      </c>
      <c r="D19" s="329">
        <f t="shared" si="8"/>
        <v>4.0027515496937199E-3</v>
      </c>
      <c r="E19" s="334"/>
      <c r="F19" s="507" t="s">
        <v>364</v>
      </c>
      <c r="G19" s="333">
        <f>L22</f>
        <v>62000</v>
      </c>
      <c r="H19" s="329">
        <f t="shared" si="10"/>
        <v>1.2904634976477036E-3</v>
      </c>
      <c r="J19" s="494" t="s">
        <v>362</v>
      </c>
      <c r="K19" s="513" t="str">
        <f>J19</f>
        <v>Juveniles</v>
      </c>
      <c r="L19" s="495">
        <f t="shared" si="5"/>
        <v>320000</v>
      </c>
      <c r="M19" s="384">
        <v>20000</v>
      </c>
      <c r="N19" s="384">
        <f t="shared" si="27"/>
        <v>20000</v>
      </c>
      <c r="O19" s="384">
        <f t="shared" si="27"/>
        <v>20000</v>
      </c>
      <c r="P19" s="381">
        <f t="shared" si="27"/>
        <v>20000</v>
      </c>
      <c r="Q19" s="381">
        <f t="shared" si="27"/>
        <v>20000</v>
      </c>
      <c r="R19" s="381">
        <f t="shared" si="27"/>
        <v>20000</v>
      </c>
      <c r="S19" s="381">
        <f t="shared" si="27"/>
        <v>20000</v>
      </c>
      <c r="T19" s="381">
        <f t="shared" si="27"/>
        <v>20000</v>
      </c>
      <c r="U19" s="381">
        <f t="shared" si="27"/>
        <v>20000</v>
      </c>
      <c r="V19" s="381">
        <f t="shared" si="27"/>
        <v>20000</v>
      </c>
      <c r="W19" s="381">
        <f t="shared" si="27"/>
        <v>20000</v>
      </c>
      <c r="X19" s="381">
        <f t="shared" si="27"/>
        <v>20000</v>
      </c>
      <c r="Y19" s="381">
        <f t="shared" si="27"/>
        <v>20000</v>
      </c>
      <c r="Z19" s="381">
        <f t="shared" si="27"/>
        <v>20000</v>
      </c>
      <c r="AA19" s="381">
        <f t="shared" si="27"/>
        <v>20000</v>
      </c>
      <c r="AB19" s="381">
        <f t="shared" si="27"/>
        <v>20000</v>
      </c>
      <c r="AG19" s="510"/>
      <c r="AH19" s="510"/>
    </row>
    <row r="20" spans="1:34" ht="18.75" customHeight="1" x14ac:dyDescent="0.3">
      <c r="B20" s="503" t="s">
        <v>792</v>
      </c>
      <c r="C20" s="328">
        <f>L13</f>
        <v>0</v>
      </c>
      <c r="D20" s="329">
        <f t="shared" si="8"/>
        <v>0</v>
      </c>
      <c r="E20" s="334"/>
      <c r="F20" s="506" t="s">
        <v>365</v>
      </c>
      <c r="G20" s="325">
        <f>L24</f>
        <v>0</v>
      </c>
      <c r="H20" s="329">
        <f t="shared" si="10"/>
        <v>0</v>
      </c>
      <c r="J20" s="494" t="s">
        <v>363</v>
      </c>
      <c r="K20" s="513" t="s">
        <v>361</v>
      </c>
      <c r="L20" s="495">
        <f t="shared" si="5"/>
        <v>0</v>
      </c>
      <c r="M20" s="384">
        <v>0</v>
      </c>
      <c r="N20" s="384">
        <v>0</v>
      </c>
      <c r="O20" s="384">
        <f t="shared" si="27"/>
        <v>0</v>
      </c>
      <c r="P20" s="381">
        <f t="shared" si="27"/>
        <v>0</v>
      </c>
      <c r="Q20" s="381">
        <f t="shared" si="27"/>
        <v>0</v>
      </c>
      <c r="R20" s="381">
        <f t="shared" si="27"/>
        <v>0</v>
      </c>
      <c r="S20" s="381">
        <f t="shared" si="27"/>
        <v>0</v>
      </c>
      <c r="T20" s="381">
        <v>0</v>
      </c>
      <c r="U20" s="381">
        <v>0</v>
      </c>
      <c r="V20" s="381">
        <v>0</v>
      </c>
      <c r="W20" s="381">
        <v>0</v>
      </c>
      <c r="X20" s="381">
        <f t="shared" si="27"/>
        <v>0</v>
      </c>
      <c r="Y20" s="381">
        <f t="shared" si="27"/>
        <v>0</v>
      </c>
      <c r="Z20" s="381">
        <v>0</v>
      </c>
      <c r="AA20" s="381">
        <v>0</v>
      </c>
      <c r="AB20" s="381">
        <v>0</v>
      </c>
    </row>
    <row r="21" spans="1:34" ht="18.75" customHeight="1" x14ac:dyDescent="0.3">
      <c r="B21" s="503" t="s">
        <v>793</v>
      </c>
      <c r="C21" s="328">
        <f>L23*-1</f>
        <v>0</v>
      </c>
      <c r="D21" s="329">
        <f t="shared" si="8"/>
        <v>0</v>
      </c>
      <c r="E21" s="282"/>
      <c r="F21" s="503" t="s">
        <v>791</v>
      </c>
      <c r="G21" s="332">
        <f>L20</f>
        <v>0</v>
      </c>
      <c r="H21" s="329">
        <f t="shared" si="10"/>
        <v>0</v>
      </c>
      <c r="J21" s="517" t="s">
        <v>353</v>
      </c>
      <c r="K21" s="513" t="s">
        <v>217</v>
      </c>
      <c r="L21" s="495">
        <f t="shared" si="5"/>
        <v>0</v>
      </c>
      <c r="M21" s="384">
        <v>0</v>
      </c>
      <c r="N21" s="384">
        <f>M21</f>
        <v>0</v>
      </c>
      <c r="O21" s="384">
        <v>0</v>
      </c>
      <c r="P21" s="381">
        <v>0</v>
      </c>
      <c r="Q21" s="381">
        <f t="shared" si="27"/>
        <v>0</v>
      </c>
      <c r="R21" s="381">
        <f t="shared" si="27"/>
        <v>0</v>
      </c>
      <c r="S21" s="381">
        <f t="shared" si="27"/>
        <v>0</v>
      </c>
      <c r="T21" s="381">
        <f t="shared" si="27"/>
        <v>0</v>
      </c>
      <c r="U21" s="381">
        <f t="shared" si="27"/>
        <v>0</v>
      </c>
      <c r="V21" s="381">
        <f t="shared" si="27"/>
        <v>0</v>
      </c>
      <c r="W21" s="381">
        <f t="shared" si="27"/>
        <v>0</v>
      </c>
      <c r="X21" s="381">
        <f t="shared" si="27"/>
        <v>0</v>
      </c>
      <c r="Y21" s="381">
        <f t="shared" si="27"/>
        <v>0</v>
      </c>
      <c r="Z21" s="381">
        <v>0</v>
      </c>
      <c r="AA21" s="381">
        <f t="shared" ref="AA21:AB24" si="28">Z21</f>
        <v>0</v>
      </c>
      <c r="AB21" s="381">
        <f t="shared" si="28"/>
        <v>0</v>
      </c>
    </row>
    <row r="22" spans="1:34" ht="18.75" customHeight="1" x14ac:dyDescent="0.3">
      <c r="B22" s="503" t="s">
        <v>790</v>
      </c>
      <c r="C22" s="328">
        <f>L8</f>
        <v>0</v>
      </c>
      <c r="D22" s="329">
        <f t="shared" si="8"/>
        <v>0</v>
      </c>
      <c r="E22" s="282"/>
      <c r="F22" s="339"/>
      <c r="G22" s="330"/>
      <c r="H22" s="329"/>
      <c r="J22" s="517"/>
      <c r="K22" s="513" t="s">
        <v>364</v>
      </c>
      <c r="L22" s="495">
        <f t="shared" si="5"/>
        <v>62000</v>
      </c>
      <c r="M22" s="384">
        <v>4000</v>
      </c>
      <c r="N22" s="384">
        <v>4000</v>
      </c>
      <c r="O22" s="384">
        <v>4000</v>
      </c>
      <c r="P22" s="381">
        <v>2000</v>
      </c>
      <c r="Q22" s="381">
        <v>4000</v>
      </c>
      <c r="R22" s="381">
        <f t="shared" si="27"/>
        <v>4000</v>
      </c>
      <c r="S22" s="381">
        <f t="shared" si="27"/>
        <v>4000</v>
      </c>
      <c r="T22" s="381">
        <f t="shared" si="27"/>
        <v>4000</v>
      </c>
      <c r="U22" s="381">
        <f t="shared" si="27"/>
        <v>4000</v>
      </c>
      <c r="V22" s="381">
        <f t="shared" si="27"/>
        <v>4000</v>
      </c>
      <c r="W22" s="381">
        <f t="shared" si="27"/>
        <v>4000</v>
      </c>
      <c r="X22" s="381">
        <f t="shared" si="27"/>
        <v>4000</v>
      </c>
      <c r="Y22" s="381">
        <f t="shared" si="27"/>
        <v>4000</v>
      </c>
      <c r="Z22" s="381">
        <f>Y22</f>
        <v>4000</v>
      </c>
      <c r="AA22" s="381">
        <f t="shared" si="28"/>
        <v>4000</v>
      </c>
      <c r="AB22" s="381">
        <f t="shared" si="28"/>
        <v>4000</v>
      </c>
    </row>
    <row r="23" spans="1:34" ht="18.75" customHeight="1" x14ac:dyDescent="0.3">
      <c r="B23" s="503" t="s">
        <v>844</v>
      </c>
      <c r="C23" s="328">
        <f>L9</f>
        <v>0</v>
      </c>
      <c r="D23" s="329">
        <f t="shared" si="8"/>
        <v>0</v>
      </c>
      <c r="E23" s="282"/>
      <c r="F23" s="327"/>
      <c r="G23" s="330"/>
      <c r="H23" s="329"/>
      <c r="J23" s="517"/>
      <c r="K23" s="513" t="s">
        <v>756</v>
      </c>
      <c r="L23" s="495">
        <f t="shared" si="5"/>
        <v>0</v>
      </c>
      <c r="M23" s="384">
        <v>0</v>
      </c>
      <c r="N23" s="384">
        <f>M23</f>
        <v>0</v>
      </c>
      <c r="O23" s="384">
        <f t="shared" si="27"/>
        <v>0</v>
      </c>
      <c r="P23" s="381">
        <f t="shared" si="27"/>
        <v>0</v>
      </c>
      <c r="Q23" s="381">
        <f t="shared" si="27"/>
        <v>0</v>
      </c>
      <c r="R23" s="381">
        <f t="shared" si="27"/>
        <v>0</v>
      </c>
      <c r="S23" s="381">
        <f t="shared" si="27"/>
        <v>0</v>
      </c>
      <c r="T23" s="381">
        <f t="shared" si="27"/>
        <v>0</v>
      </c>
      <c r="U23" s="381">
        <f t="shared" si="27"/>
        <v>0</v>
      </c>
      <c r="V23" s="381">
        <f t="shared" si="27"/>
        <v>0</v>
      </c>
      <c r="W23" s="381">
        <f t="shared" si="27"/>
        <v>0</v>
      </c>
      <c r="X23" s="381">
        <f t="shared" si="27"/>
        <v>0</v>
      </c>
      <c r="Y23" s="381">
        <f t="shared" si="27"/>
        <v>0</v>
      </c>
      <c r="Z23" s="381">
        <v>0</v>
      </c>
      <c r="AA23" s="381">
        <f t="shared" si="28"/>
        <v>0</v>
      </c>
      <c r="AB23" s="381">
        <f t="shared" si="28"/>
        <v>0</v>
      </c>
    </row>
    <row r="24" spans="1:34" ht="18.75" customHeight="1" x14ac:dyDescent="0.35">
      <c r="B24" s="331" t="s">
        <v>842</v>
      </c>
      <c r="C24" s="325">
        <f>C26</f>
        <v>2847810.101139213</v>
      </c>
      <c r="D24" s="326">
        <f t="shared" si="8"/>
        <v>5.9370189039418826E-2</v>
      </c>
      <c r="E24" s="282"/>
      <c r="F24" s="339"/>
      <c r="G24" s="330"/>
      <c r="H24" s="282"/>
      <c r="J24" s="494" t="s">
        <v>365</v>
      </c>
      <c r="K24" s="513" t="str">
        <f>J24</f>
        <v>Intereses</v>
      </c>
      <c r="L24" s="495">
        <f t="shared" si="5"/>
        <v>0</v>
      </c>
      <c r="M24" s="384">
        <v>0</v>
      </c>
      <c r="N24" s="384">
        <f>M24</f>
        <v>0</v>
      </c>
      <c r="O24" s="384">
        <f t="shared" si="27"/>
        <v>0</v>
      </c>
      <c r="P24" s="381">
        <f t="shared" si="27"/>
        <v>0</v>
      </c>
      <c r="Q24" s="381">
        <f t="shared" si="27"/>
        <v>0</v>
      </c>
      <c r="R24" s="381">
        <f t="shared" si="27"/>
        <v>0</v>
      </c>
      <c r="S24" s="381">
        <f t="shared" si="27"/>
        <v>0</v>
      </c>
      <c r="T24" s="381">
        <f t="shared" si="27"/>
        <v>0</v>
      </c>
      <c r="U24" s="381">
        <f t="shared" si="27"/>
        <v>0</v>
      </c>
      <c r="V24" s="381">
        <f t="shared" si="27"/>
        <v>0</v>
      </c>
      <c r="W24" s="381">
        <f t="shared" si="27"/>
        <v>0</v>
      </c>
      <c r="X24" s="381">
        <f t="shared" si="27"/>
        <v>0</v>
      </c>
      <c r="Y24" s="381">
        <f t="shared" si="27"/>
        <v>0</v>
      </c>
      <c r="Z24" s="381">
        <v>0</v>
      </c>
      <c r="AA24" s="381">
        <f t="shared" si="28"/>
        <v>0</v>
      </c>
      <c r="AB24" s="381">
        <f t="shared" si="28"/>
        <v>0</v>
      </c>
    </row>
    <row r="25" spans="1:34" s="316" customFormat="1" ht="18.75" customHeight="1" x14ac:dyDescent="0.3">
      <c r="A25" s="315"/>
      <c r="B25" s="503" t="s">
        <v>841</v>
      </c>
      <c r="C25" s="332">
        <f>L5</f>
        <v>2645476</v>
      </c>
      <c r="D25" s="329"/>
      <c r="E25" s="282"/>
      <c r="F25" s="339"/>
      <c r="G25" s="330"/>
      <c r="H25" s="282"/>
      <c r="J25" s="496" t="s">
        <v>366</v>
      </c>
      <c r="K25" s="497"/>
      <c r="L25" s="498">
        <f t="shared" si="5"/>
        <v>8148853.898860788</v>
      </c>
      <c r="M25" s="499">
        <f t="shared" ref="M25:AB25" si="29">SUM(M15:M24)</f>
        <v>511937</v>
      </c>
      <c r="N25" s="499">
        <f t="shared" si="29"/>
        <v>511601.10920000001</v>
      </c>
      <c r="O25" s="499">
        <f t="shared" si="29"/>
        <v>511265.52070172003</v>
      </c>
      <c r="P25" s="500">
        <f t="shared" si="29"/>
        <v>508930.2342330885</v>
      </c>
      <c r="Q25" s="500">
        <f t="shared" si="29"/>
        <v>510595.24952227873</v>
      </c>
      <c r="R25" s="500">
        <f t="shared" si="29"/>
        <v>510260.56629770866</v>
      </c>
      <c r="S25" s="500">
        <f t="shared" si="29"/>
        <v>509926.18428804073</v>
      </c>
      <c r="T25" s="500">
        <f t="shared" si="29"/>
        <v>509592.1032221815</v>
      </c>
      <c r="U25" s="500">
        <f t="shared" si="29"/>
        <v>509258.3228292815</v>
      </c>
      <c r="V25" s="500">
        <f t="shared" si="29"/>
        <v>508924.84283873515</v>
      </c>
      <c r="W25" s="500">
        <f t="shared" si="29"/>
        <v>508591.66298018029</v>
      </c>
      <c r="X25" s="500">
        <f t="shared" si="29"/>
        <v>508258.78298349812</v>
      </c>
      <c r="Y25" s="500">
        <f t="shared" si="29"/>
        <v>507926.20257881295</v>
      </c>
      <c r="Z25" s="500">
        <f t="shared" si="29"/>
        <v>507593.921496492</v>
      </c>
      <c r="AA25" s="500">
        <f t="shared" si="29"/>
        <v>507261.93946714513</v>
      </c>
      <c r="AB25" s="500">
        <f t="shared" si="29"/>
        <v>506930.25622162467</v>
      </c>
    </row>
    <row r="26" spans="1:34" s="316" customFormat="1" ht="18.75" customHeight="1" x14ac:dyDescent="0.3">
      <c r="A26" s="315"/>
      <c r="B26" s="503" t="s">
        <v>843</v>
      </c>
      <c r="C26" s="328">
        <f>L27</f>
        <v>2847810.101139213</v>
      </c>
      <c r="D26" s="329">
        <f t="shared" si="8"/>
        <v>5.9370189039418826E-2</v>
      </c>
      <c r="E26" s="307"/>
      <c r="F26" s="385"/>
      <c r="G26" s="336"/>
      <c r="H26" s="307"/>
      <c r="J26" s="482" t="s">
        <v>766</v>
      </c>
      <c r="K26" s="482"/>
      <c r="L26" s="483">
        <f>L4-L13+L23</f>
        <v>0</v>
      </c>
      <c r="M26" s="484">
        <f>M4-M13+M23</f>
        <v>0</v>
      </c>
      <c r="N26" s="484">
        <f t="shared" ref="N26:AB26" si="30">N4-N13+N23</f>
        <v>0</v>
      </c>
      <c r="O26" s="484">
        <f t="shared" si="30"/>
        <v>0</v>
      </c>
      <c r="P26" s="484">
        <f t="shared" si="30"/>
        <v>0</v>
      </c>
      <c r="Q26" s="484">
        <f t="shared" si="30"/>
        <v>0</v>
      </c>
      <c r="R26" s="484">
        <f t="shared" si="30"/>
        <v>0</v>
      </c>
      <c r="S26" s="484">
        <f t="shared" si="30"/>
        <v>0</v>
      </c>
      <c r="T26" s="484">
        <f t="shared" si="30"/>
        <v>0</v>
      </c>
      <c r="U26" s="484">
        <f t="shared" si="30"/>
        <v>0</v>
      </c>
      <c r="V26" s="484">
        <f t="shared" si="30"/>
        <v>0</v>
      </c>
      <c r="W26" s="484">
        <f t="shared" si="30"/>
        <v>0</v>
      </c>
      <c r="X26" s="484">
        <f t="shared" si="30"/>
        <v>0</v>
      </c>
      <c r="Y26" s="484">
        <f t="shared" si="30"/>
        <v>0</v>
      </c>
      <c r="Z26" s="484">
        <f t="shared" si="30"/>
        <v>0</v>
      </c>
      <c r="AA26" s="484">
        <f t="shared" si="30"/>
        <v>0</v>
      </c>
      <c r="AB26" s="484">
        <f t="shared" si="30"/>
        <v>0</v>
      </c>
    </row>
    <row r="27" spans="1:34" s="316" customFormat="1" ht="18.75" customHeight="1" x14ac:dyDescent="0.3">
      <c r="A27" s="315"/>
      <c r="B27" s="327"/>
      <c r="C27" s="330"/>
      <c r="D27" s="329"/>
      <c r="J27" s="501" t="s">
        <v>367</v>
      </c>
      <c r="K27" s="501"/>
      <c r="L27" s="502">
        <f>AB27</f>
        <v>2847810.101139213</v>
      </c>
      <c r="M27" s="487">
        <f t="shared" ref="M27:AB27" si="31">M5+M14-M25</f>
        <v>2387950</v>
      </c>
      <c r="N27" s="487">
        <f t="shared" si="31"/>
        <v>2167813.8908000002</v>
      </c>
      <c r="O27" s="487">
        <f t="shared" si="31"/>
        <v>2672600.3700982803</v>
      </c>
      <c r="P27" s="487">
        <f t="shared" si="31"/>
        <v>2434170.1358651919</v>
      </c>
      <c r="Q27" s="487">
        <f t="shared" si="31"/>
        <v>2769074.8863429134</v>
      </c>
      <c r="R27" s="487">
        <f t="shared" si="31"/>
        <v>3104314.3200452048</v>
      </c>
      <c r="S27" s="487">
        <f t="shared" si="31"/>
        <v>2814888.1357571641</v>
      </c>
      <c r="T27" s="487">
        <f t="shared" si="31"/>
        <v>3150796.0325349825</v>
      </c>
      <c r="U27" s="487">
        <f t="shared" si="31"/>
        <v>2862037.7097057011</v>
      </c>
      <c r="V27" s="487">
        <f t="shared" si="31"/>
        <v>3198612.8668669658</v>
      </c>
      <c r="W27" s="487">
        <f t="shared" si="31"/>
        <v>2910521.2038867855</v>
      </c>
      <c r="X27" s="487">
        <f t="shared" si="31"/>
        <v>3247762.4209032874</v>
      </c>
      <c r="Y27" s="487">
        <f t="shared" si="31"/>
        <v>2960336.2183244745</v>
      </c>
      <c r="Z27" s="487">
        <f t="shared" si="31"/>
        <v>3298242.2968279826</v>
      </c>
      <c r="AA27" s="487">
        <f t="shared" si="31"/>
        <v>3026480.3573608375</v>
      </c>
      <c r="AB27" s="487">
        <f t="shared" si="31"/>
        <v>2847810.101139213</v>
      </c>
    </row>
    <row r="28" spans="1:34" ht="18.75" customHeight="1" x14ac:dyDescent="0.25">
      <c r="B28" s="327"/>
      <c r="C28" s="330"/>
      <c r="D28" s="329"/>
      <c r="J28" s="290"/>
      <c r="K28" s="290"/>
      <c r="L28" s="313"/>
      <c r="M28" s="311">
        <f>M1+7</f>
        <v>44550</v>
      </c>
      <c r="N28" s="311">
        <f t="shared" ref="N28:AB28" si="32">M28+7</f>
        <v>44557</v>
      </c>
      <c r="O28" s="311">
        <f t="shared" si="32"/>
        <v>44564</v>
      </c>
      <c r="P28" s="311">
        <f t="shared" si="32"/>
        <v>44571</v>
      </c>
      <c r="Q28" s="311">
        <f t="shared" si="32"/>
        <v>44578</v>
      </c>
      <c r="R28" s="311">
        <f t="shared" si="32"/>
        <v>44585</v>
      </c>
      <c r="S28" s="311">
        <f t="shared" si="32"/>
        <v>44592</v>
      </c>
      <c r="T28" s="311">
        <f t="shared" si="32"/>
        <v>44599</v>
      </c>
      <c r="U28" s="311">
        <f t="shared" si="32"/>
        <v>44606</v>
      </c>
      <c r="V28" s="311">
        <f t="shared" si="32"/>
        <v>44613</v>
      </c>
      <c r="W28" s="311">
        <f t="shared" si="32"/>
        <v>44620</v>
      </c>
      <c r="X28" s="311">
        <f t="shared" si="32"/>
        <v>44627</v>
      </c>
      <c r="Y28" s="311">
        <f t="shared" si="32"/>
        <v>44634</v>
      </c>
      <c r="Z28" s="311">
        <f t="shared" si="32"/>
        <v>44641</v>
      </c>
      <c r="AA28" s="311">
        <f t="shared" si="32"/>
        <v>44648</v>
      </c>
      <c r="AB28" s="311">
        <f t="shared" si="32"/>
        <v>44655</v>
      </c>
    </row>
    <row r="29" spans="1:34" ht="15.75" x14ac:dyDescent="0.25">
      <c r="B29" s="327"/>
      <c r="C29" s="330"/>
      <c r="D29" s="329"/>
      <c r="G29" s="291"/>
      <c r="M29" s="330"/>
      <c r="N29" s="330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0"/>
      <c r="Z29" s="330"/>
      <c r="AA29" s="330"/>
      <c r="AB29" s="330"/>
    </row>
    <row r="30" spans="1:34" ht="15.75" x14ac:dyDescent="0.25">
      <c r="B30" s="335"/>
      <c r="C30" s="336"/>
      <c r="D30" s="337"/>
      <c r="G30" s="291"/>
      <c r="L30" s="505">
        <v>44537</v>
      </c>
      <c r="M30" s="314" t="s">
        <v>796</v>
      </c>
    </row>
    <row r="31" spans="1:34" s="321" customFormat="1" ht="15.75" x14ac:dyDescent="0.25">
      <c r="A31" s="319"/>
      <c r="B31" s="316"/>
      <c r="C31" s="316"/>
      <c r="D31" s="316"/>
      <c r="E31" s="316"/>
      <c r="F31" s="316"/>
      <c r="G31" s="508"/>
      <c r="H31" s="316"/>
      <c r="J31" s="319"/>
      <c r="K31" s="320">
        <f>SUM(K33:K55)</f>
        <v>61342512</v>
      </c>
      <c r="L31" s="320">
        <f t="shared" ref="L31:N31" si="33">SUM(L33:L55)</f>
        <v>75037263</v>
      </c>
      <c r="M31" s="320">
        <f t="shared" si="33"/>
        <v>15959688</v>
      </c>
      <c r="N31" s="320">
        <f t="shared" si="33"/>
        <v>45382824</v>
      </c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19"/>
      <c r="Z31" s="319"/>
    </row>
    <row r="32" spans="1:34" s="43" customFormat="1" ht="15.75" x14ac:dyDescent="0.25">
      <c r="A32" s="288"/>
      <c r="B32" s="322"/>
      <c r="C32"/>
      <c r="D32"/>
      <c r="E32"/>
      <c r="F32"/>
      <c r="G32" s="387"/>
      <c r="H32"/>
      <c r="J32" s="323" t="s">
        <v>177</v>
      </c>
      <c r="K32" s="323" t="s">
        <v>767</v>
      </c>
      <c r="L32" s="323" t="s">
        <v>784</v>
      </c>
      <c r="M32" s="323" t="s">
        <v>768</v>
      </c>
      <c r="N32" s="323" t="s">
        <v>770</v>
      </c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</row>
    <row r="33" spans="2:28" x14ac:dyDescent="0.25">
      <c r="C33" s="291"/>
      <c r="D33" s="291"/>
      <c r="J33" s="504" t="s">
        <v>769</v>
      </c>
      <c r="K33" s="318">
        <v>7000000</v>
      </c>
      <c r="L33" s="318">
        <v>8000000</v>
      </c>
      <c r="M33" s="318">
        <f t="shared" ref="M33:M50" si="34">IF((K33-L33)&lt;0,0,K33-L33)</f>
        <v>0</v>
      </c>
      <c r="N33" s="317">
        <f t="shared" ref="N33:N50" si="35">K33-M33</f>
        <v>7000000</v>
      </c>
      <c r="AA33"/>
      <c r="AB33"/>
    </row>
    <row r="34" spans="2:28" x14ac:dyDescent="0.25">
      <c r="C34" s="291"/>
      <c r="D34" s="291"/>
      <c r="J34" s="504" t="s">
        <v>771</v>
      </c>
      <c r="K34" s="318">
        <v>3869000</v>
      </c>
      <c r="L34" s="318">
        <v>3750000</v>
      </c>
      <c r="M34" s="318">
        <f t="shared" si="34"/>
        <v>119000</v>
      </c>
      <c r="N34" s="317">
        <f t="shared" si="35"/>
        <v>3750000</v>
      </c>
      <c r="AA34"/>
      <c r="AB34"/>
    </row>
    <row r="35" spans="2:28" ht="15.75" x14ac:dyDescent="0.25">
      <c r="B35" s="321"/>
      <c r="C35" s="321"/>
      <c r="D35" s="321"/>
      <c r="E35" s="321"/>
      <c r="F35" s="321"/>
      <c r="G35" s="321"/>
      <c r="H35" s="321"/>
      <c r="J35" s="504" t="s">
        <v>772</v>
      </c>
      <c r="K35" s="318">
        <v>600000</v>
      </c>
      <c r="L35" s="318">
        <v>6500000</v>
      </c>
      <c r="M35" s="318">
        <f t="shared" si="34"/>
        <v>0</v>
      </c>
      <c r="N35" s="317">
        <f t="shared" si="35"/>
        <v>600000</v>
      </c>
      <c r="AA35"/>
      <c r="AB35"/>
    </row>
    <row r="36" spans="2:28" x14ac:dyDescent="0.25">
      <c r="B36" s="43"/>
      <c r="C36" s="43"/>
      <c r="D36" s="43"/>
      <c r="E36" s="43"/>
      <c r="F36" s="43"/>
      <c r="G36" s="43"/>
      <c r="H36" s="43"/>
      <c r="J36" s="504" t="s">
        <v>773</v>
      </c>
      <c r="K36" s="318">
        <v>2500000</v>
      </c>
      <c r="L36" s="318">
        <v>4000000</v>
      </c>
      <c r="M36" s="318">
        <f t="shared" si="34"/>
        <v>0</v>
      </c>
      <c r="N36" s="317">
        <f t="shared" si="35"/>
        <v>2500000</v>
      </c>
      <c r="AA36"/>
      <c r="AB36"/>
    </row>
    <row r="37" spans="2:28" x14ac:dyDescent="0.25">
      <c r="J37" s="504" t="s">
        <v>774</v>
      </c>
      <c r="K37" s="318">
        <v>496109</v>
      </c>
      <c r="L37" s="318">
        <v>5000000</v>
      </c>
      <c r="M37" s="318">
        <f t="shared" si="34"/>
        <v>0</v>
      </c>
      <c r="N37" s="317">
        <f t="shared" si="35"/>
        <v>496109</v>
      </c>
      <c r="AA37"/>
      <c r="AB37"/>
    </row>
    <row r="38" spans="2:28" x14ac:dyDescent="0.25">
      <c r="J38" s="504" t="s">
        <v>1604</v>
      </c>
      <c r="K38" s="318">
        <v>218000</v>
      </c>
      <c r="L38" s="318">
        <v>218000</v>
      </c>
      <c r="M38" s="318">
        <f t="shared" si="34"/>
        <v>0</v>
      </c>
      <c r="N38" s="317">
        <f t="shared" si="35"/>
        <v>218000</v>
      </c>
      <c r="AA38"/>
      <c r="AB38"/>
    </row>
    <row r="39" spans="2:28" x14ac:dyDescent="0.25">
      <c r="J39" s="504" t="s">
        <v>775</v>
      </c>
      <c r="K39" s="318">
        <v>4162000</v>
      </c>
      <c r="L39" s="318">
        <v>2750000</v>
      </c>
      <c r="M39" s="318">
        <f t="shared" si="34"/>
        <v>1412000</v>
      </c>
      <c r="N39" s="317">
        <f t="shared" si="35"/>
        <v>2750000</v>
      </c>
      <c r="AA39"/>
      <c r="AB39"/>
    </row>
    <row r="40" spans="2:28" x14ac:dyDescent="0.25">
      <c r="J40" s="504" t="s">
        <v>776</v>
      </c>
      <c r="K40" s="318">
        <v>0</v>
      </c>
      <c r="L40" s="318">
        <v>6341000</v>
      </c>
      <c r="M40" s="318">
        <f t="shared" si="34"/>
        <v>0</v>
      </c>
      <c r="N40" s="317">
        <f t="shared" si="35"/>
        <v>0</v>
      </c>
      <c r="AA40"/>
      <c r="AB40"/>
    </row>
    <row r="41" spans="2:28" x14ac:dyDescent="0.25">
      <c r="J41" s="504" t="s">
        <v>777</v>
      </c>
      <c r="K41" s="318">
        <v>1530000</v>
      </c>
      <c r="L41" s="318">
        <v>5183263</v>
      </c>
      <c r="M41" s="318">
        <f t="shared" si="34"/>
        <v>0</v>
      </c>
      <c r="N41" s="317">
        <f t="shared" si="35"/>
        <v>1530000</v>
      </c>
      <c r="AA41"/>
      <c r="AB41"/>
    </row>
    <row r="42" spans="2:28" x14ac:dyDescent="0.25">
      <c r="J42" s="504" t="s">
        <v>778</v>
      </c>
      <c r="K42" s="318">
        <v>12306000</v>
      </c>
      <c r="L42" s="318">
        <v>6000000</v>
      </c>
      <c r="M42" s="318">
        <f t="shared" si="34"/>
        <v>6306000</v>
      </c>
      <c r="N42" s="317">
        <f t="shared" si="35"/>
        <v>6000000</v>
      </c>
      <c r="AA42"/>
      <c r="AB42"/>
    </row>
    <row r="43" spans="2:28" x14ac:dyDescent="0.25">
      <c r="J43" s="504" t="s">
        <v>779</v>
      </c>
      <c r="K43" s="318">
        <v>245000</v>
      </c>
      <c r="L43" s="318">
        <v>5300000</v>
      </c>
      <c r="M43" s="318">
        <f t="shared" si="34"/>
        <v>0</v>
      </c>
      <c r="N43" s="317">
        <f t="shared" si="35"/>
        <v>245000</v>
      </c>
      <c r="AA43"/>
      <c r="AB43"/>
    </row>
    <row r="44" spans="2:28" x14ac:dyDescent="0.25">
      <c r="J44" s="504" t="s">
        <v>780</v>
      </c>
      <c r="K44" s="318">
        <v>7500000</v>
      </c>
      <c r="L44" s="318">
        <v>3650000</v>
      </c>
      <c r="M44" s="318">
        <f t="shared" si="34"/>
        <v>3850000</v>
      </c>
      <c r="N44" s="317">
        <f t="shared" si="35"/>
        <v>3650000</v>
      </c>
      <c r="AA44"/>
      <c r="AB44"/>
    </row>
    <row r="45" spans="2:28" x14ac:dyDescent="0.25">
      <c r="J45" s="504" t="s">
        <v>781</v>
      </c>
      <c r="K45" s="318">
        <v>3600000</v>
      </c>
      <c r="L45" s="318">
        <v>5100000</v>
      </c>
      <c r="M45" s="318">
        <f t="shared" si="34"/>
        <v>0</v>
      </c>
      <c r="N45" s="317">
        <f t="shared" si="35"/>
        <v>3600000</v>
      </c>
      <c r="AA45"/>
      <c r="AB45"/>
    </row>
    <row r="46" spans="2:28" x14ac:dyDescent="0.25">
      <c r="J46" s="504" t="s">
        <v>1602</v>
      </c>
      <c r="K46" s="318">
        <f>3529712</f>
        <v>3529712</v>
      </c>
      <c r="L46" s="318">
        <v>3650000</v>
      </c>
      <c r="M46" s="318">
        <f t="shared" si="34"/>
        <v>0</v>
      </c>
      <c r="N46" s="317">
        <f t="shared" si="35"/>
        <v>3529712</v>
      </c>
      <c r="AA46"/>
      <c r="AB46"/>
    </row>
    <row r="47" spans="2:28" x14ac:dyDescent="0.25">
      <c r="J47" s="504" t="s">
        <v>1603</v>
      </c>
      <c r="K47" s="318">
        <f>23688+5634000</f>
        <v>5657688</v>
      </c>
      <c r="L47" s="318">
        <v>5300000</v>
      </c>
      <c r="M47" s="318">
        <f t="shared" si="34"/>
        <v>357688</v>
      </c>
      <c r="N47" s="317">
        <f t="shared" si="35"/>
        <v>5300000</v>
      </c>
      <c r="AA47"/>
      <c r="AB47"/>
    </row>
    <row r="48" spans="2:28" x14ac:dyDescent="0.25">
      <c r="J48" s="504" t="s">
        <v>782</v>
      </c>
      <c r="K48" s="318">
        <v>5280000</v>
      </c>
      <c r="L48" s="318">
        <v>1500000</v>
      </c>
      <c r="M48" s="318">
        <f t="shared" si="34"/>
        <v>3780000</v>
      </c>
      <c r="N48" s="317">
        <f t="shared" si="35"/>
        <v>1500000</v>
      </c>
      <c r="AA48"/>
      <c r="AB48"/>
    </row>
    <row r="49" spans="10:28" x14ac:dyDescent="0.25">
      <c r="J49" s="504" t="s">
        <v>783</v>
      </c>
      <c r="K49" s="318">
        <v>14003</v>
      </c>
      <c r="L49" s="318">
        <v>95000</v>
      </c>
      <c r="M49" s="318">
        <f t="shared" si="34"/>
        <v>0</v>
      </c>
      <c r="N49" s="317">
        <f t="shared" si="35"/>
        <v>14003</v>
      </c>
      <c r="AA49"/>
      <c r="AB49"/>
    </row>
    <row r="50" spans="10:28" x14ac:dyDescent="0.25">
      <c r="J50" s="504" t="s">
        <v>1601</v>
      </c>
      <c r="K50" s="318">
        <f>2805000+30000</f>
        <v>2835000</v>
      </c>
      <c r="L50" s="318">
        <v>2700000</v>
      </c>
      <c r="M50" s="318">
        <f t="shared" si="34"/>
        <v>135000</v>
      </c>
      <c r="N50" s="317">
        <f t="shared" si="35"/>
        <v>2700000</v>
      </c>
      <c r="AA50"/>
      <c r="AB50"/>
    </row>
    <row r="51" spans="10:28" x14ac:dyDescent="0.25">
      <c r="J51" s="314"/>
      <c r="K51" s="318"/>
      <c r="L51" s="318"/>
      <c r="M51" s="318"/>
      <c r="N51" s="317"/>
    </row>
    <row r="52" spans="10:28" x14ac:dyDescent="0.25">
      <c r="J52" s="314"/>
      <c r="K52" s="318"/>
      <c r="L52" s="318"/>
      <c r="M52" s="318"/>
      <c r="N52" s="317"/>
    </row>
    <row r="53" spans="10:28" x14ac:dyDescent="0.25">
      <c r="J53" s="314"/>
    </row>
  </sheetData>
  <mergeCells count="2">
    <mergeCell ref="J11:J13"/>
    <mergeCell ref="J21:J23"/>
  </mergeCells>
  <conditionalFormatting sqref="C4:C6 G4:G5">
    <cfRule type="cellIs" dxfId="39" priority="27" operator="greaterThan">
      <formula>0</formula>
    </cfRule>
    <cfRule type="cellIs" dxfId="38" priority="28" operator="lessThan">
      <formula>0</formula>
    </cfRule>
  </conditionalFormatting>
  <conditionalFormatting sqref="G15:G26 C27:C30">
    <cfRule type="cellIs" dxfId="37" priority="17" operator="greaterThan">
      <formula>0</formula>
    </cfRule>
    <cfRule type="cellIs" dxfId="36" priority="18" operator="lessThan">
      <formula>0</formula>
    </cfRule>
  </conditionalFormatting>
  <conditionalFormatting sqref="C9">
    <cfRule type="cellIs" dxfId="35" priority="15" operator="greaterThan">
      <formula>0</formula>
    </cfRule>
    <cfRule type="cellIs" dxfId="34" priority="16" operator="lessThan">
      <formula>0</formula>
    </cfRule>
  </conditionalFormatting>
  <conditionalFormatting sqref="C13">
    <cfRule type="cellIs" dxfId="33" priority="13" operator="greaterThan">
      <formula>0</formula>
    </cfRule>
    <cfRule type="cellIs" dxfId="32" priority="14" operator="lessThan">
      <formula>0</formula>
    </cfRule>
  </conditionalFormatting>
  <conditionalFormatting sqref="C12">
    <cfRule type="cellIs" dxfId="31" priority="11" operator="greaterThan">
      <formula>0</formula>
    </cfRule>
    <cfRule type="cellIs" dxfId="30" priority="12" operator="lessThan">
      <formula>0</formula>
    </cfRule>
  </conditionalFormatting>
  <conditionalFormatting sqref="C15:C23">
    <cfRule type="cellIs" dxfId="29" priority="9" operator="greaterThan">
      <formula>0</formula>
    </cfRule>
    <cfRule type="cellIs" dxfId="28" priority="10" operator="lessThan">
      <formula>0</formula>
    </cfRule>
  </conditionalFormatting>
  <conditionalFormatting sqref="G8">
    <cfRule type="cellIs" dxfId="27" priority="7" operator="greaterThan">
      <formula>0</formula>
    </cfRule>
    <cfRule type="cellIs" dxfId="26" priority="8" operator="lessThan">
      <formula>0</formula>
    </cfRule>
  </conditionalFormatting>
  <conditionalFormatting sqref="G9">
    <cfRule type="cellIs" dxfId="25" priority="5" operator="greaterThan">
      <formula>0</formula>
    </cfRule>
    <cfRule type="cellIs" dxfId="24" priority="6" operator="lessThan">
      <formula>0</formula>
    </cfRule>
  </conditionalFormatting>
  <conditionalFormatting sqref="C26">
    <cfRule type="cellIs" dxfId="23" priority="1" operator="greaterThan">
      <formula>0</formula>
    </cfRule>
    <cfRule type="cellIs" dxfId="22" priority="2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Banderas</vt:lpstr>
      <vt:lpstr>Planning_Entrenamiento</vt:lpstr>
      <vt:lpstr>Liga</vt:lpstr>
      <vt:lpstr>Goles</vt:lpstr>
      <vt:lpstr>Hall_of_Fame</vt:lpstr>
      <vt:lpstr>Fites</vt:lpstr>
      <vt:lpstr>PLANTILLA</vt:lpstr>
      <vt:lpstr>JUVENILES</vt:lpstr>
      <vt:lpstr>ECONOMIA</vt:lpstr>
      <vt:lpstr>Capitán</vt:lpstr>
      <vt:lpstr>CA_Calcutator</vt:lpstr>
      <vt:lpstr>EstudioConversion</vt:lpstr>
      <vt:lpstr>ESTADIO</vt:lpstr>
      <vt:lpstr>Evaluacion Jugadores</vt:lpstr>
      <vt:lpstr>LAT</vt:lpstr>
      <vt:lpstr>Entrenador</vt:lpstr>
      <vt:lpstr>Inner</vt:lpstr>
      <vt:lpstr>Delantero</vt:lpstr>
      <vt:lpstr>PorteroTitular</vt:lpstr>
      <vt:lpstr>PorteroSuplente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2021-12-07T08:53:43Z</dcterms:modified>
</cp:coreProperties>
</file>