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8AE7EE26-8C62-480F-94C1-E21F9DEFCA6F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" sheetId="6" r:id="rId6"/>
    <sheet name="Capitán" sheetId="7" r:id="rId7"/>
    <sheet name="CA_Calcutator" sheetId="8" r:id="rId8"/>
    <sheet name="EstudioConversion" sheetId="9" r:id="rId9"/>
    <sheet name="El Tártaro" sheetId="10" r:id="rId10"/>
    <sheet name="Entrenador" sheetId="11" r:id="rId11"/>
    <sheet name="Banderas" sheetId="12" r:id="rId12"/>
    <sheet name="Evaluacion Jugadores" sheetId="13" r:id="rId13"/>
    <sheet name="LAT" sheetId="14" r:id="rId14"/>
    <sheet name="Delantero" sheetId="15" r:id="rId15"/>
    <sheet name="PorteroTitular" sheetId="16" r:id="rId16"/>
    <sheet name="PorteroSuplente" sheetId="17" r:id="rId17"/>
  </sheets>
  <externalReferences>
    <externalReference r:id="rId18"/>
  </externalReferences>
  <definedNames>
    <definedName name="_xlnm._FilterDatabase" localSheetId="8" hidden="1">EstudioConversion!$A$1:$H$159</definedName>
  </definedNames>
  <calcPr calcId="191029"/>
  <pivotCaches>
    <pivotCache cacheId="30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F23" i="15" l="1"/>
  <c r="AI23" i="15" s="1"/>
  <c r="AG23" i="15"/>
  <c r="AJ23" i="15" s="1"/>
  <c r="AH23" i="15"/>
  <c r="AK23" i="15" s="1"/>
  <c r="P23" i="15"/>
  <c r="Q23" i="15"/>
  <c r="R23" i="15"/>
  <c r="T23" i="15"/>
  <c r="V23" i="15" s="1"/>
  <c r="U23" i="15"/>
  <c r="X23" i="15"/>
  <c r="Z23" i="15" s="1"/>
  <c r="Y23" i="15"/>
  <c r="O23" i="15"/>
  <c r="S23" i="15"/>
  <c r="W23" i="15"/>
  <c r="AF9" i="15"/>
  <c r="AI9" i="15" s="1"/>
  <c r="AG9" i="15"/>
  <c r="AJ9" i="15" s="1"/>
  <c r="AH9" i="15"/>
  <c r="AK9" i="15" s="1"/>
  <c r="P9" i="15"/>
  <c r="Q9" i="15"/>
  <c r="R9" i="15"/>
  <c r="T9" i="15"/>
  <c r="V9" i="15" s="1"/>
  <c r="U9" i="15"/>
  <c r="X9" i="15"/>
  <c r="Z9" i="15" s="1"/>
  <c r="Y9" i="15"/>
  <c r="O9" i="15"/>
  <c r="S9" i="15"/>
  <c r="W9" i="15"/>
  <c r="AF4" i="15"/>
  <c r="AI4" i="15" s="1"/>
  <c r="AG4" i="15"/>
  <c r="AJ4" i="15" s="1"/>
  <c r="AH4" i="15"/>
  <c r="AK4" i="15" s="1"/>
  <c r="P4" i="15"/>
  <c r="Q4" i="15"/>
  <c r="R4" i="15"/>
  <c r="T4" i="15"/>
  <c r="V4" i="15" s="1"/>
  <c r="U4" i="15"/>
  <c r="X4" i="15"/>
  <c r="Z4" i="15" s="1"/>
  <c r="Y4" i="15"/>
  <c r="O4" i="15"/>
  <c r="S4" i="15"/>
  <c r="W4" i="15"/>
  <c r="AF7" i="15"/>
  <c r="AI7" i="15" s="1"/>
  <c r="AG7" i="15"/>
  <c r="AJ7" i="15" s="1"/>
  <c r="AH7" i="15"/>
  <c r="AK7" i="15" s="1"/>
  <c r="P7" i="15"/>
  <c r="Q7" i="15"/>
  <c r="R7" i="15"/>
  <c r="T7" i="15"/>
  <c r="V7" i="15" s="1"/>
  <c r="U7" i="15"/>
  <c r="X7" i="15"/>
  <c r="Z7" i="15" s="1"/>
  <c r="Y7" i="15"/>
  <c r="O7" i="15"/>
  <c r="S7" i="15"/>
  <c r="W7" i="15"/>
  <c r="AF11" i="15"/>
  <c r="AI11" i="15" s="1"/>
  <c r="AG11" i="15"/>
  <c r="AJ11" i="15" s="1"/>
  <c r="AH11" i="15"/>
  <c r="AK11" i="15" s="1"/>
  <c r="P11" i="15"/>
  <c r="Q11" i="15"/>
  <c r="R11" i="15"/>
  <c r="T11" i="15"/>
  <c r="V11" i="15" s="1"/>
  <c r="U11" i="15"/>
  <c r="X11" i="15"/>
  <c r="Z11" i="15" s="1"/>
  <c r="Y11" i="15"/>
  <c r="O11" i="15"/>
  <c r="S11" i="15"/>
  <c r="W11" i="15"/>
  <c r="AF10" i="15"/>
  <c r="AI10" i="15" s="1"/>
  <c r="AG10" i="15"/>
  <c r="AJ10" i="15" s="1"/>
  <c r="AH10" i="15"/>
  <c r="AK10" i="15" s="1"/>
  <c r="P10" i="15"/>
  <c r="Q10" i="15"/>
  <c r="R10" i="15"/>
  <c r="T10" i="15"/>
  <c r="V10" i="15" s="1"/>
  <c r="U10" i="15"/>
  <c r="X10" i="15"/>
  <c r="Z10" i="15" s="1"/>
  <c r="Y10" i="15"/>
  <c r="O10" i="15"/>
  <c r="S10" i="15"/>
  <c r="W10" i="15"/>
  <c r="AF14" i="15"/>
  <c r="AI14" i="15" s="1"/>
  <c r="AG14" i="15"/>
  <c r="AJ14" i="15" s="1"/>
  <c r="AH14" i="15"/>
  <c r="AK14" i="15" s="1"/>
  <c r="P14" i="15"/>
  <c r="Q14" i="15"/>
  <c r="R14" i="15"/>
  <c r="T14" i="15"/>
  <c r="V14" i="15" s="1"/>
  <c r="U14" i="15"/>
  <c r="X14" i="15"/>
  <c r="Z14" i="15" s="1"/>
  <c r="Y14" i="15"/>
  <c r="O14" i="15"/>
  <c r="S14" i="15"/>
  <c r="W14" i="15"/>
  <c r="AF5" i="15"/>
  <c r="AI5" i="15" s="1"/>
  <c r="AG5" i="15"/>
  <c r="AJ5" i="15" s="1"/>
  <c r="AH5" i="15"/>
  <c r="AK5" i="15" s="1"/>
  <c r="O5" i="15"/>
  <c r="P5" i="15"/>
  <c r="Q5" i="15"/>
  <c r="R5" i="15"/>
  <c r="S5" i="15"/>
  <c r="T5" i="15"/>
  <c r="V5" i="15" s="1"/>
  <c r="U5" i="15"/>
  <c r="W5" i="15"/>
  <c r="X5" i="15"/>
  <c r="Z5" i="15" s="1"/>
  <c r="Y5" i="15"/>
  <c r="A4" i="13" l="1"/>
  <c r="B4" i="13"/>
  <c r="D4" i="13"/>
  <c r="E4" i="13"/>
  <c r="F4" i="13"/>
  <c r="G4" i="13" s="1"/>
  <c r="J4" i="13"/>
  <c r="K4" i="13"/>
  <c r="L4" i="13"/>
  <c r="M4" i="13"/>
  <c r="N4" i="13"/>
  <c r="O4" i="13"/>
  <c r="R4" i="13" s="1"/>
  <c r="P4" i="13"/>
  <c r="Q4" i="13"/>
  <c r="T4" i="13" s="1"/>
  <c r="S4" i="13"/>
  <c r="A5" i="13"/>
  <c r="B5" i="13"/>
  <c r="D5" i="13"/>
  <c r="E5" i="13"/>
  <c r="F5" i="13"/>
  <c r="G5" i="13"/>
  <c r="H5" i="13"/>
  <c r="J5" i="13"/>
  <c r="K5" i="13"/>
  <c r="L5" i="13"/>
  <c r="M5" i="13"/>
  <c r="N5" i="13"/>
  <c r="O5" i="13"/>
  <c r="P5" i="13"/>
  <c r="Q5" i="13"/>
  <c r="A6" i="13"/>
  <c r="B6" i="13"/>
  <c r="D6" i="13"/>
  <c r="E6" i="13"/>
  <c r="F6" i="13"/>
  <c r="G6" i="13" s="1"/>
  <c r="H6" i="13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H7" i="13"/>
  <c r="J7" i="13"/>
  <c r="K7" i="13"/>
  <c r="L7" i="13"/>
  <c r="M7" i="13"/>
  <c r="N7" i="13"/>
  <c r="O7" i="13"/>
  <c r="P7" i="13"/>
  <c r="Q7" i="13"/>
  <c r="R7" i="13"/>
  <c r="A8" i="13"/>
  <c r="B8" i="13"/>
  <c r="D8" i="13"/>
  <c r="E8" i="13"/>
  <c r="F8" i="13"/>
  <c r="G8" i="13"/>
  <c r="H8" i="13"/>
  <c r="J8" i="13"/>
  <c r="K8" i="13"/>
  <c r="L8" i="13"/>
  <c r="M8" i="13"/>
  <c r="N8" i="13"/>
  <c r="O8" i="13"/>
  <c r="P8" i="13"/>
  <c r="Q8" i="13"/>
  <c r="R8" i="13"/>
  <c r="A9" i="13"/>
  <c r="B9" i="13"/>
  <c r="D9" i="13"/>
  <c r="E9" i="13"/>
  <c r="F9" i="13"/>
  <c r="J9" i="13"/>
  <c r="K9" i="13"/>
  <c r="L9" i="13"/>
  <c r="M9" i="13"/>
  <c r="N9" i="13"/>
  <c r="O9" i="13"/>
  <c r="P9" i="13"/>
  <c r="Q9" i="13"/>
  <c r="R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P10" i="13"/>
  <c r="Q10" i="13"/>
  <c r="S10" i="13"/>
  <c r="A11" i="13"/>
  <c r="B11" i="13"/>
  <c r="D11" i="13"/>
  <c r="E11" i="13"/>
  <c r="F11" i="13"/>
  <c r="H11" i="13"/>
  <c r="J11" i="13"/>
  <c r="K11" i="13"/>
  <c r="L11" i="13"/>
  <c r="M11" i="13"/>
  <c r="N11" i="13"/>
  <c r="O11" i="13"/>
  <c r="P11" i="13"/>
  <c r="S11" i="13" s="1"/>
  <c r="Q11" i="13"/>
  <c r="A12" i="13"/>
  <c r="B12" i="13"/>
  <c r="D12" i="13"/>
  <c r="E12" i="13"/>
  <c r="F12" i="13"/>
  <c r="H12" i="13"/>
  <c r="J12" i="13"/>
  <c r="K12" i="13"/>
  <c r="L12" i="13"/>
  <c r="M12" i="13"/>
  <c r="N12" i="13"/>
  <c r="O12" i="13"/>
  <c r="P12" i="13"/>
  <c r="Q12" i="13"/>
  <c r="T12" i="13" s="1"/>
  <c r="R12" i="13"/>
  <c r="S12" i="13"/>
  <c r="A13" i="13"/>
  <c r="B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CB13" i="13" s="1"/>
  <c r="CD13" i="13" s="1"/>
  <c r="P13" i="13"/>
  <c r="Q13" i="13"/>
  <c r="T13" i="13" s="1"/>
  <c r="U13" i="13"/>
  <c r="V13" i="13"/>
  <c r="X13" i="13"/>
  <c r="AA13" i="13"/>
  <c r="AD13" i="13"/>
  <c r="AF13" i="13" s="1"/>
  <c r="AE13" i="13"/>
  <c r="AH13" i="13"/>
  <c r="AK13" i="13"/>
  <c r="AM13" i="13"/>
  <c r="AN13" i="13"/>
  <c r="AP13" i="13"/>
  <c r="AR13" i="13" s="1"/>
  <c r="AQ13" i="13"/>
  <c r="AW13" i="13"/>
  <c r="AY13" i="13"/>
  <c r="BE13" i="13"/>
  <c r="BI13" i="13"/>
  <c r="BJ13" i="13"/>
  <c r="BN13" i="13"/>
  <c r="BO13" i="13"/>
  <c r="BT13" i="13"/>
  <c r="CE13" i="13"/>
  <c r="A14" i="13"/>
  <c r="B14" i="13"/>
  <c r="D14" i="13"/>
  <c r="E14" i="13"/>
  <c r="F14" i="13"/>
  <c r="G14" i="13"/>
  <c r="H14" i="13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G15" i="13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/>
  <c r="H16" i="13"/>
  <c r="J16" i="13"/>
  <c r="K16" i="13"/>
  <c r="L16" i="13"/>
  <c r="M16" i="13"/>
  <c r="N16" i="13"/>
  <c r="O16" i="13"/>
  <c r="P16" i="13"/>
  <c r="Q16" i="13"/>
  <c r="S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Q17" i="13"/>
  <c r="S17" i="13"/>
  <c r="T17" i="13"/>
  <c r="A18" i="13"/>
  <c r="B18" i="13"/>
  <c r="D18" i="13"/>
  <c r="E18" i="13"/>
  <c r="F18" i="13"/>
  <c r="G18" i="13"/>
  <c r="H18" i="13"/>
  <c r="J18" i="13"/>
  <c r="K18" i="13"/>
  <c r="L18" i="13"/>
  <c r="M18" i="13"/>
  <c r="N18" i="13"/>
  <c r="O18" i="13"/>
  <c r="P18" i="13"/>
  <c r="Q18" i="13"/>
  <c r="R18" i="13"/>
  <c r="S18" i="13"/>
  <c r="A19" i="13"/>
  <c r="B19" i="13"/>
  <c r="D19" i="13"/>
  <c r="E19" i="13"/>
  <c r="F19" i="13"/>
  <c r="G19" i="13"/>
  <c r="H19" i="13"/>
  <c r="J19" i="13"/>
  <c r="K19" i="13"/>
  <c r="L19" i="13"/>
  <c r="M19" i="13"/>
  <c r="N19" i="13"/>
  <c r="O19" i="13"/>
  <c r="P19" i="13"/>
  <c r="S19" i="13" s="1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S14" i="13" l="1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BH13" i="13"/>
  <c r="BM13" i="13"/>
  <c r="AT13" i="13"/>
  <c r="AV13" i="13" s="1"/>
  <c r="BV13" i="13"/>
  <c r="R13" i="13"/>
  <c r="AO13" i="13" s="1"/>
  <c r="BW13" i="13"/>
  <c r="BL13" i="13"/>
  <c r="BY13" i="13"/>
  <c r="CA13" i="13" s="1"/>
  <c r="T15" i="13"/>
  <c r="R19" i="13"/>
  <c r="R16" i="13"/>
  <c r="BZ13" i="13"/>
  <c r="BF13" i="13"/>
  <c r="G17" i="13"/>
  <c r="H17" i="13"/>
  <c r="T10" i="13"/>
  <c r="T5" i="13"/>
  <c r="S15" i="13"/>
  <c r="BR13" i="13"/>
  <c r="R6" i="13"/>
  <c r="T6" i="13"/>
  <c r="T16" i="13"/>
  <c r="T19" i="13"/>
  <c r="R15" i="13"/>
  <c r="BQ13" i="13"/>
  <c r="BA13" i="13"/>
  <c r="BC13" i="13" s="1"/>
  <c r="T11" i="13"/>
  <c r="T14" i="13"/>
  <c r="S9" i="13"/>
  <c r="T9" i="13"/>
  <c r="R17" i="13"/>
  <c r="BB13" i="13"/>
  <c r="S13" i="13"/>
  <c r="AU13" i="13"/>
  <c r="CC13" i="13"/>
  <c r="S5" i="13"/>
  <c r="T7" i="13"/>
  <c r="S7" i="13"/>
  <c r="G12" i="13"/>
  <c r="S8" i="13"/>
  <c r="Z13" i="13"/>
  <c r="AB13" i="13" s="1"/>
  <c r="AI13" i="13"/>
  <c r="BS13" i="13"/>
  <c r="AL13" i="13"/>
  <c r="BD13" i="13"/>
  <c r="W13" i="13"/>
  <c r="Y13" i="13" s="1"/>
  <c r="AX13" i="13"/>
  <c r="BG13" i="13"/>
  <c r="H10" i="13"/>
  <c r="R10" i="13"/>
  <c r="T8" i="13"/>
  <c r="R11" i="13"/>
  <c r="G11" i="13"/>
  <c r="S6" i="13"/>
  <c r="R5" i="13"/>
  <c r="H4" i="13"/>
  <c r="N12" i="9" l="1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4" i="8"/>
  <c r="A3" i="8"/>
  <c r="A4" i="8"/>
  <c r="A5" i="8"/>
  <c r="A6" i="8"/>
  <c r="A7" i="8"/>
  <c r="A8" i="8"/>
  <c r="A9" i="8"/>
  <c r="A10" i="8"/>
  <c r="A11" i="8"/>
  <c r="A12" i="8"/>
  <c r="B12" i="8"/>
  <c r="C12" i="8"/>
  <c r="D12" i="8"/>
  <c r="E12" i="8" s="1"/>
  <c r="A13" i="8"/>
  <c r="A14" i="8"/>
  <c r="A15" i="8"/>
  <c r="A16" i="8"/>
  <c r="A17" i="8"/>
  <c r="A18" i="8"/>
  <c r="Q13" i="7"/>
  <c r="R13" i="7"/>
  <c r="S13" i="7"/>
  <c r="P13" i="7"/>
  <c r="O13" i="7"/>
  <c r="Q12" i="7"/>
  <c r="R12" i="7"/>
  <c r="S12" i="7"/>
  <c r="P12" i="7"/>
  <c r="O12" i="7"/>
  <c r="Q11" i="7"/>
  <c r="R11" i="7"/>
  <c r="S11" i="7"/>
  <c r="P11" i="7"/>
  <c r="O11" i="7"/>
  <c r="Q10" i="7"/>
  <c r="R10" i="7"/>
  <c r="S10" i="7"/>
  <c r="P10" i="7"/>
  <c r="O10" i="7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P9" i="7"/>
  <c r="O9" i="7"/>
  <c r="P8" i="7"/>
  <c r="O8" i="7"/>
  <c r="P7" i="7"/>
  <c r="O7" i="7"/>
  <c r="P6" i="7"/>
  <c r="O6" i="7"/>
  <c r="P4" i="7"/>
  <c r="O4" i="7"/>
  <c r="P3" i="7"/>
  <c r="O3" i="7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D6" i="7"/>
  <c r="E6" i="7"/>
  <c r="F6" i="7" s="1"/>
  <c r="G6" i="7"/>
  <c r="H6" i="7"/>
  <c r="J6" i="7" s="1"/>
  <c r="I6" i="7"/>
  <c r="A7" i="7"/>
  <c r="B7" i="7"/>
  <c r="C7" i="7"/>
  <c r="D7" i="7"/>
  <c r="E7" i="7"/>
  <c r="F7" i="7"/>
  <c r="G7" i="7"/>
  <c r="H7" i="7" s="1"/>
  <c r="J7" i="7" s="1"/>
  <c r="A8" i="7"/>
  <c r="B8" i="7"/>
  <c r="C8" i="7"/>
  <c r="D8" i="7"/>
  <c r="E8" i="7"/>
  <c r="F8" i="7" s="1"/>
  <c r="G8" i="7"/>
  <c r="H8" i="7" s="1"/>
  <c r="J8" i="7" s="1"/>
  <c r="I8" i="7"/>
  <c r="A9" i="7"/>
  <c r="B9" i="7"/>
  <c r="C9" i="7"/>
  <c r="D9" i="7"/>
  <c r="E9" i="7"/>
  <c r="F9" i="7" s="1"/>
  <c r="G9" i="7"/>
  <c r="H9" i="7" s="1"/>
  <c r="I9" i="7"/>
  <c r="A10" i="7"/>
  <c r="B10" i="7"/>
  <c r="C10" i="7"/>
  <c r="D10" i="7"/>
  <c r="E10" i="7"/>
  <c r="F10" i="7" s="1"/>
  <c r="G10" i="7"/>
  <c r="H10" i="7" s="1"/>
  <c r="J10" i="7" s="1"/>
  <c r="A11" i="7"/>
  <c r="B11" i="7"/>
  <c r="C11" i="7"/>
  <c r="D11" i="7"/>
  <c r="E11" i="7"/>
  <c r="F11" i="7" s="1"/>
  <c r="G11" i="7"/>
  <c r="H11" i="7" s="1"/>
  <c r="J11" i="7" s="1"/>
  <c r="I11" i="7"/>
  <c r="A12" i="7"/>
  <c r="B12" i="7"/>
  <c r="C12" i="7"/>
  <c r="D12" i="7"/>
  <c r="E12" i="7"/>
  <c r="F12" i="7" s="1"/>
  <c r="G12" i="7"/>
  <c r="H12" i="7" s="1"/>
  <c r="A13" i="7"/>
  <c r="B13" i="7"/>
  <c r="C13" i="7"/>
  <c r="G13" i="7" s="1"/>
  <c r="D13" i="7"/>
  <c r="E13" i="7"/>
  <c r="F13" i="7" s="1"/>
  <c r="A14" i="7"/>
  <c r="B14" i="7"/>
  <c r="C14" i="7"/>
  <c r="G14" i="7" s="1"/>
  <c r="D14" i="7"/>
  <c r="E14" i="7"/>
  <c r="F14" i="7" s="1"/>
  <c r="A15" i="7"/>
  <c r="B15" i="7"/>
  <c r="C15" i="7"/>
  <c r="D15" i="7"/>
  <c r="E15" i="7"/>
  <c r="F15" i="7" s="1"/>
  <c r="G15" i="7"/>
  <c r="H15" i="7" s="1"/>
  <c r="I15" i="7"/>
  <c r="A16" i="7"/>
  <c r="B16" i="7"/>
  <c r="C16" i="7"/>
  <c r="D16" i="7"/>
  <c r="E16" i="7"/>
  <c r="F16" i="7" s="1"/>
  <c r="G16" i="7"/>
  <c r="H16" i="7" s="1"/>
  <c r="J16" i="7" s="1"/>
  <c r="A17" i="7"/>
  <c r="B17" i="7"/>
  <c r="C17" i="7"/>
  <c r="G17" i="7" s="1"/>
  <c r="D17" i="7"/>
  <c r="E17" i="7"/>
  <c r="F17" i="7" s="1"/>
  <c r="A18" i="7"/>
  <c r="B18" i="7"/>
  <c r="C18" i="7"/>
  <c r="G18" i="7" s="1"/>
  <c r="D18" i="7"/>
  <c r="E18" i="7"/>
  <c r="F18" i="7" s="1"/>
  <c r="A19" i="7"/>
  <c r="B19" i="7"/>
  <c r="C19" i="7"/>
  <c r="D19" i="7"/>
  <c r="E19" i="7"/>
  <c r="F19" i="7" s="1"/>
  <c r="G19" i="7"/>
  <c r="H19" i="7" s="1"/>
  <c r="J19" i="7" s="1"/>
  <c r="I19" i="7"/>
  <c r="F12" i="8" l="1"/>
  <c r="I17" i="7"/>
  <c r="H17" i="7"/>
  <c r="J17" i="7" s="1"/>
  <c r="J15" i="7"/>
  <c r="H14" i="7"/>
  <c r="J14" i="7" s="1"/>
  <c r="I14" i="7"/>
  <c r="J12" i="7"/>
  <c r="I13" i="7"/>
  <c r="H13" i="7"/>
  <c r="J13" i="7" s="1"/>
  <c r="H4" i="7"/>
  <c r="J4" i="7" s="1"/>
  <c r="I4" i="7"/>
  <c r="H18" i="7"/>
  <c r="J18" i="7" s="1"/>
  <c r="I18" i="7"/>
  <c r="H5" i="7"/>
  <c r="J5" i="7" s="1"/>
  <c r="I5" i="7"/>
  <c r="J9" i="7"/>
  <c r="I16" i="7"/>
  <c r="I12" i="7"/>
  <c r="I7" i="7"/>
  <c r="I10" i="7"/>
  <c r="AE20" i="2"/>
  <c r="AA15" i="2"/>
  <c r="AA14" i="2"/>
  <c r="AA6" i="2" l="1"/>
  <c r="AA13" i="2"/>
  <c r="AA12" i="2"/>
  <c r="AA11" i="2"/>
  <c r="U10" i="17" l="1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29" i="15"/>
  <c r="AK29" i="15" s="1"/>
  <c r="AG29" i="15"/>
  <c r="AJ29" i="15" s="1"/>
  <c r="AF29" i="15"/>
  <c r="AI29" i="15" s="1"/>
  <c r="Y29" i="15"/>
  <c r="X29" i="15"/>
  <c r="Z29" i="15" s="1"/>
  <c r="W29" i="15"/>
  <c r="U29" i="15"/>
  <c r="T29" i="15"/>
  <c r="V29" i="15" s="1"/>
  <c r="S29" i="15"/>
  <c r="R29" i="15"/>
  <c r="Q29" i="15"/>
  <c r="P29" i="15"/>
  <c r="O29" i="15"/>
  <c r="AH18" i="15"/>
  <c r="AK18" i="15" s="1"/>
  <c r="AG18" i="15"/>
  <c r="AJ18" i="15" s="1"/>
  <c r="AF18" i="15"/>
  <c r="AI18" i="15" s="1"/>
  <c r="Y18" i="15"/>
  <c r="X18" i="15"/>
  <c r="Z18" i="15" s="1"/>
  <c r="W18" i="15"/>
  <c r="U18" i="15"/>
  <c r="T18" i="15"/>
  <c r="V18" i="15" s="1"/>
  <c r="S18" i="15"/>
  <c r="R18" i="15"/>
  <c r="Q18" i="15"/>
  <c r="P18" i="15"/>
  <c r="O18" i="15"/>
  <c r="AH19" i="15"/>
  <c r="AK19" i="15" s="1"/>
  <c r="AG19" i="15"/>
  <c r="AJ19" i="15" s="1"/>
  <c r="AF19" i="15"/>
  <c r="AI19" i="15" s="1"/>
  <c r="Y19" i="15"/>
  <c r="X19" i="15"/>
  <c r="Z19" i="15" s="1"/>
  <c r="W19" i="15"/>
  <c r="U19" i="15"/>
  <c r="T19" i="15"/>
  <c r="V19" i="15" s="1"/>
  <c r="S19" i="15"/>
  <c r="R19" i="15"/>
  <c r="Q19" i="15"/>
  <c r="P19" i="15"/>
  <c r="O19" i="15"/>
  <c r="AH25" i="15"/>
  <c r="AK25" i="15" s="1"/>
  <c r="AG25" i="15"/>
  <c r="AJ25" i="15" s="1"/>
  <c r="AB25" i="15"/>
  <c r="AF25" i="15" s="1"/>
  <c r="AI25" i="15" s="1"/>
  <c r="Y25" i="15"/>
  <c r="X25" i="15"/>
  <c r="Z25" i="15" s="1"/>
  <c r="W25" i="15"/>
  <c r="U25" i="15"/>
  <c r="T25" i="15"/>
  <c r="V25" i="15" s="1"/>
  <c r="S25" i="15"/>
  <c r="R25" i="15"/>
  <c r="Q25" i="15"/>
  <c r="P25" i="15"/>
  <c r="O25" i="15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B27" i="15"/>
  <c r="AH27" i="15" s="1"/>
  <c r="AK27" i="15" s="1"/>
  <c r="Y27" i="15"/>
  <c r="X27" i="15"/>
  <c r="Z27" i="15" s="1"/>
  <c r="W27" i="15"/>
  <c r="U27" i="15"/>
  <c r="T27" i="15"/>
  <c r="V27" i="15" s="1"/>
  <c r="S27" i="15"/>
  <c r="R27" i="15"/>
  <c r="Q27" i="15"/>
  <c r="P27" i="15"/>
  <c r="O27" i="15"/>
  <c r="AH20" i="15"/>
  <c r="AK20" i="15" s="1"/>
  <c r="AG20" i="15"/>
  <c r="AJ20" i="15" s="1"/>
  <c r="AF20" i="15"/>
  <c r="AI20" i="15" s="1"/>
  <c r="Y20" i="15"/>
  <c r="X20" i="15"/>
  <c r="Z20" i="15" s="1"/>
  <c r="W20" i="15"/>
  <c r="U20" i="15"/>
  <c r="T20" i="15"/>
  <c r="V20" i="15" s="1"/>
  <c r="S20" i="15"/>
  <c r="R20" i="15"/>
  <c r="Q20" i="15"/>
  <c r="P20" i="15"/>
  <c r="O20" i="15"/>
  <c r="AH22" i="15"/>
  <c r="AK22" i="15" s="1"/>
  <c r="AG22" i="15"/>
  <c r="AJ22" i="15" s="1"/>
  <c r="AF22" i="15"/>
  <c r="AI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B16" i="15"/>
  <c r="AH16" i="15" s="1"/>
  <c r="AK16" i="15" s="1"/>
  <c r="Y16" i="15"/>
  <c r="X16" i="15"/>
  <c r="Z16" i="15" s="1"/>
  <c r="W16" i="15"/>
  <c r="U16" i="15"/>
  <c r="T16" i="15"/>
  <c r="V16" i="15" s="1"/>
  <c r="S16" i="15"/>
  <c r="R16" i="15"/>
  <c r="Q16" i="15"/>
  <c r="P16" i="15"/>
  <c r="O16" i="15"/>
  <c r="AH28" i="15"/>
  <c r="AK28" i="15" s="1"/>
  <c r="AG28" i="15"/>
  <c r="AJ28" i="15" s="1"/>
  <c r="AF28" i="15"/>
  <c r="AI28" i="15" s="1"/>
  <c r="Y28" i="15"/>
  <c r="X28" i="15"/>
  <c r="Z28" i="15" s="1"/>
  <c r="W28" i="15"/>
  <c r="U28" i="15"/>
  <c r="T28" i="15"/>
  <c r="V28" i="15" s="1"/>
  <c r="S28" i="15"/>
  <c r="R28" i="15"/>
  <c r="Q28" i="15"/>
  <c r="P28" i="15"/>
  <c r="O28" i="15"/>
  <c r="AH26" i="15"/>
  <c r="AK26" i="15" s="1"/>
  <c r="AG26" i="15"/>
  <c r="AJ26" i="15" s="1"/>
  <c r="AF26" i="15"/>
  <c r="AI26" i="15" s="1"/>
  <c r="Y26" i="15"/>
  <c r="X26" i="15"/>
  <c r="Z26" i="15" s="1"/>
  <c r="W26" i="15"/>
  <c r="U26" i="15"/>
  <c r="T26" i="15"/>
  <c r="V26" i="15" s="1"/>
  <c r="S26" i="15"/>
  <c r="R26" i="15"/>
  <c r="Q26" i="15"/>
  <c r="P26" i="15"/>
  <c r="O26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15" i="15"/>
  <c r="AK15" i="15" s="1"/>
  <c r="AG15" i="15"/>
  <c r="AJ15" i="15" s="1"/>
  <c r="AF15" i="15"/>
  <c r="AI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12" i="15"/>
  <c r="AK12" i="15" s="1"/>
  <c r="AG12" i="15"/>
  <c r="AJ12" i="15" s="1"/>
  <c r="AF12" i="15"/>
  <c r="AI12" i="15" s="1"/>
  <c r="Y12" i="15"/>
  <c r="X12" i="15"/>
  <c r="Z12" i="15" s="1"/>
  <c r="W12" i="15"/>
  <c r="U12" i="15"/>
  <c r="T12" i="15"/>
  <c r="V12" i="15" s="1"/>
  <c r="S12" i="15"/>
  <c r="R12" i="15"/>
  <c r="Q12" i="15"/>
  <c r="P12" i="15"/>
  <c r="O12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B8" i="15"/>
  <c r="Y8" i="15"/>
  <c r="X8" i="15"/>
  <c r="Z8" i="15" s="1"/>
  <c r="W8" i="15"/>
  <c r="U8" i="15"/>
  <c r="T8" i="15"/>
  <c r="V8" i="15" s="1"/>
  <c r="S8" i="15"/>
  <c r="R8" i="15"/>
  <c r="Q8" i="15"/>
  <c r="P8" i="15"/>
  <c r="O8" i="15"/>
  <c r="AH3" i="15"/>
  <c r="AK3" i="15" s="1"/>
  <c r="AG3" i="15"/>
  <c r="AJ3" i="15" s="1"/>
  <c r="AF3" i="15"/>
  <c r="AI3" i="15" s="1"/>
  <c r="AB3" i="15"/>
  <c r="Y3" i="15"/>
  <c r="X3" i="15"/>
  <c r="Z3" i="15" s="1"/>
  <c r="W3" i="15"/>
  <c r="U3" i="15"/>
  <c r="T3" i="15"/>
  <c r="V3" i="15" s="1"/>
  <c r="S3" i="15"/>
  <c r="R3" i="15"/>
  <c r="Q3" i="15"/>
  <c r="P3" i="15"/>
  <c r="O3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S15" i="14"/>
  <c r="R15" i="14"/>
  <c r="Q15" i="14"/>
  <c r="P15" i="14"/>
  <c r="O15" i="14"/>
  <c r="N15" i="14"/>
  <c r="M15" i="14"/>
  <c r="L15" i="14"/>
  <c r="T15" i="14" s="1"/>
  <c r="K15" i="14"/>
  <c r="J15" i="14"/>
  <c r="I15" i="14"/>
  <c r="G15" i="14"/>
  <c r="E15" i="14"/>
  <c r="C15" i="14"/>
  <c r="B15" i="14"/>
  <c r="A15" i="14"/>
  <c r="R14" i="14"/>
  <c r="P14" i="14"/>
  <c r="L14" i="14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R12" i="14"/>
  <c r="P12" i="14"/>
  <c r="O12" i="14"/>
  <c r="N12" i="14"/>
  <c r="L12" i="14"/>
  <c r="S12" i="14" s="1"/>
  <c r="G12" i="14"/>
  <c r="E12" i="14"/>
  <c r="C12" i="14"/>
  <c r="B12" i="14"/>
  <c r="A12" i="14"/>
  <c r="T11" i="14"/>
  <c r="S11" i="14"/>
  <c r="R11" i="14"/>
  <c r="O11" i="14"/>
  <c r="N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N9" i="14"/>
  <c r="M9" i="14"/>
  <c r="L9" i="14"/>
  <c r="J9" i="14"/>
  <c r="H9" i="14"/>
  <c r="G9" i="14"/>
  <c r="E9" i="14"/>
  <c r="C9" i="14"/>
  <c r="B9" i="14"/>
  <c r="A9" i="14"/>
  <c r="O8" i="14"/>
  <c r="U8" i="14" s="1"/>
  <c r="N8" i="14"/>
  <c r="M8" i="14"/>
  <c r="L8" i="14"/>
  <c r="K8" i="14"/>
  <c r="J8" i="14"/>
  <c r="G8" i="14"/>
  <c r="E8" i="14"/>
  <c r="C8" i="14"/>
  <c r="B8" i="14"/>
  <c r="A8" i="14"/>
  <c r="O7" i="14"/>
  <c r="U7" i="14" s="1"/>
  <c r="N7" i="14"/>
  <c r="M7" i="14"/>
  <c r="L7" i="14"/>
  <c r="K7" i="14"/>
  <c r="J7" i="14"/>
  <c r="G7" i="14"/>
  <c r="E7" i="14"/>
  <c r="C7" i="14"/>
  <c r="B7" i="14"/>
  <c r="A7" i="14"/>
  <c r="O6" i="14"/>
  <c r="U6" i="14" s="1"/>
  <c r="N6" i="14"/>
  <c r="M6" i="14"/>
  <c r="L6" i="14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H3" i="13"/>
  <c r="G3" i="13"/>
  <c r="F3" i="13"/>
  <c r="E3" i="13"/>
  <c r="D3" i="13"/>
  <c r="B3" i="13"/>
  <c r="A3" i="13"/>
  <c r="T76" i="11"/>
  <c r="U76" i="11" s="1"/>
  <c r="S76" i="11"/>
  <c r="Q76" i="11"/>
  <c r="O76" i="11"/>
  <c r="T75" i="11"/>
  <c r="S75" i="11"/>
  <c r="O75" i="11"/>
  <c r="Q75" i="11" s="1"/>
  <c r="U74" i="11"/>
  <c r="T74" i="11"/>
  <c r="S74" i="11"/>
  <c r="O74" i="11"/>
  <c r="Q74" i="11" s="1"/>
  <c r="T73" i="11"/>
  <c r="S73" i="11"/>
  <c r="Q73" i="11"/>
  <c r="O73" i="11"/>
  <c r="T72" i="11"/>
  <c r="S72" i="11"/>
  <c r="U72" i="11" s="1"/>
  <c r="O72" i="11"/>
  <c r="Q72" i="11" s="1"/>
  <c r="U71" i="11"/>
  <c r="T71" i="11"/>
  <c r="S71" i="11"/>
  <c r="O71" i="11"/>
  <c r="Q71" i="11" s="1"/>
  <c r="T70" i="11"/>
  <c r="S70" i="11"/>
  <c r="U70" i="11" s="1"/>
  <c r="Q70" i="11"/>
  <c r="O70" i="11"/>
  <c r="T69" i="11"/>
  <c r="S69" i="11"/>
  <c r="U69" i="11" s="1"/>
  <c r="Q69" i="11"/>
  <c r="O69" i="11"/>
  <c r="T68" i="11"/>
  <c r="U68" i="11" s="1"/>
  <c r="S68" i="11"/>
  <c r="Q68" i="11"/>
  <c r="O68" i="11"/>
  <c r="T67" i="11"/>
  <c r="S67" i="11"/>
  <c r="O67" i="11"/>
  <c r="Q67" i="11" s="1"/>
  <c r="U66" i="11"/>
  <c r="T66" i="1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U63" i="11"/>
  <c r="T63" i="11"/>
  <c r="S63" i="11"/>
  <c r="O63" i="11"/>
  <c r="Q63" i="11" s="1"/>
  <c r="T62" i="11"/>
  <c r="S62" i="11"/>
  <c r="U62" i="11" s="1"/>
  <c r="Q62" i="11"/>
  <c r="O62" i="11"/>
  <c r="T61" i="11"/>
  <c r="S61" i="11"/>
  <c r="U61" i="11" s="1"/>
  <c r="Q61" i="11"/>
  <c r="O61" i="11"/>
  <c r="T60" i="11"/>
  <c r="U60" i="11" s="1"/>
  <c r="S60" i="11"/>
  <c r="Q60" i="11"/>
  <c r="O60" i="11"/>
  <c r="T59" i="11"/>
  <c r="S59" i="11"/>
  <c r="U59" i="11" s="1"/>
  <c r="O59" i="11"/>
  <c r="Q59" i="11" s="1"/>
  <c r="U58" i="11"/>
  <c r="T58" i="11"/>
  <c r="S58" i="11"/>
  <c r="O58" i="11"/>
  <c r="Q58" i="11" s="1"/>
  <c r="T57" i="11"/>
  <c r="S57" i="11"/>
  <c r="U57" i="11" s="1"/>
  <c r="Q57" i="11"/>
  <c r="O57" i="11"/>
  <c r="T56" i="11"/>
  <c r="S56" i="11"/>
  <c r="U56" i="11" s="1"/>
  <c r="O56" i="11"/>
  <c r="Q56" i="11" s="1"/>
  <c r="U55" i="11"/>
  <c r="T55" i="11"/>
  <c r="S55" i="11"/>
  <c r="O55" i="11"/>
  <c r="Q55" i="11" s="1"/>
  <c r="U54" i="11"/>
  <c r="T54" i="11"/>
  <c r="S54" i="11"/>
  <c r="Q54" i="11"/>
  <c r="O54" i="11"/>
  <c r="T53" i="11"/>
  <c r="S53" i="11"/>
  <c r="U53" i="11" s="1"/>
  <c r="Q53" i="11"/>
  <c r="O53" i="11"/>
  <c r="U52" i="11"/>
  <c r="T52" i="11"/>
  <c r="S52" i="11"/>
  <c r="Q52" i="11"/>
  <c r="O52" i="11"/>
  <c r="T51" i="11"/>
  <c r="S51" i="11"/>
  <c r="U51" i="11" s="1"/>
  <c r="O51" i="11"/>
  <c r="Q51" i="11" s="1"/>
  <c r="U50" i="11"/>
  <c r="T50" i="11"/>
  <c r="S50" i="11"/>
  <c r="O50" i="11"/>
  <c r="Q50" i="11" s="1"/>
  <c r="T49" i="11"/>
  <c r="S49" i="11"/>
  <c r="U49" i="11" s="1"/>
  <c r="Q49" i="11"/>
  <c r="O49" i="11"/>
  <c r="T48" i="11"/>
  <c r="S48" i="11"/>
  <c r="U48" i="11" s="1"/>
  <c r="O48" i="11"/>
  <c r="Q48" i="11" s="1"/>
  <c r="U47" i="11"/>
  <c r="T47" i="11"/>
  <c r="S47" i="11"/>
  <c r="O47" i="11"/>
  <c r="Q47" i="11" s="1"/>
  <c r="U46" i="11"/>
  <c r="T46" i="11"/>
  <c r="S46" i="11"/>
  <c r="Q46" i="11"/>
  <c r="O46" i="11"/>
  <c r="T45" i="11"/>
  <c r="S45" i="11"/>
  <c r="U45" i="11" s="1"/>
  <c r="Q45" i="11"/>
  <c r="O45" i="11"/>
  <c r="T44" i="11"/>
  <c r="U44" i="11" s="1"/>
  <c r="S44" i="11"/>
  <c r="Q44" i="11"/>
  <c r="O44" i="11"/>
  <c r="T43" i="11"/>
  <c r="S43" i="11"/>
  <c r="U43" i="11" s="1"/>
  <c r="Q43" i="11"/>
  <c r="O43" i="11"/>
  <c r="U42" i="11"/>
  <c r="T42" i="11"/>
  <c r="S42" i="11"/>
  <c r="O42" i="11"/>
  <c r="Q42" i="11" s="1"/>
  <c r="T41" i="11"/>
  <c r="S41" i="11"/>
  <c r="U41" i="11" s="1"/>
  <c r="Q41" i="11"/>
  <c r="O41" i="11"/>
  <c r="T40" i="11"/>
  <c r="S40" i="11"/>
  <c r="U40" i="11" s="1"/>
  <c r="O40" i="11"/>
  <c r="Q40" i="11" s="1"/>
  <c r="U39" i="11"/>
  <c r="T39" i="11"/>
  <c r="S39" i="11"/>
  <c r="O39" i="11"/>
  <c r="Q39" i="11" s="1"/>
  <c r="T38" i="11"/>
  <c r="S38" i="11"/>
  <c r="U38" i="11" s="1"/>
  <c r="Q38" i="11"/>
  <c r="O38" i="11"/>
  <c r="T37" i="11"/>
  <c r="S37" i="11"/>
  <c r="U37" i="11" s="1"/>
  <c r="Q37" i="11"/>
  <c r="O37" i="11"/>
  <c r="U36" i="11"/>
  <c r="T36" i="11"/>
  <c r="S36" i="11"/>
  <c r="Q36" i="11"/>
  <c r="O36" i="11"/>
  <c r="T35" i="11"/>
  <c r="S35" i="11"/>
  <c r="U35" i="11" s="1"/>
  <c r="O35" i="11"/>
  <c r="Q35" i="11" s="1"/>
  <c r="U34" i="11"/>
  <c r="T34" i="11"/>
  <c r="S34" i="11"/>
  <c r="O34" i="11"/>
  <c r="Q34" i="11" s="1"/>
  <c r="T33" i="11"/>
  <c r="S33" i="11"/>
  <c r="Q33" i="11"/>
  <c r="O33" i="11"/>
  <c r="B33" i="11"/>
  <c r="T32" i="11"/>
  <c r="S32" i="11"/>
  <c r="U32" i="11" s="1"/>
  <c r="Q32" i="11"/>
  <c r="O32" i="11"/>
  <c r="T31" i="11"/>
  <c r="S31" i="11"/>
  <c r="U31" i="11" s="1"/>
  <c r="Q31" i="11"/>
  <c r="O31" i="11"/>
  <c r="B31" i="11"/>
  <c r="B32" i="11" s="1"/>
  <c r="U30" i="11"/>
  <c r="T30" i="11"/>
  <c r="S30" i="11"/>
  <c r="O30" i="11"/>
  <c r="Q30" i="11" s="1"/>
  <c r="T29" i="11"/>
  <c r="S29" i="11"/>
  <c r="U29" i="11" s="1"/>
  <c r="Q29" i="11"/>
  <c r="O29" i="11"/>
  <c r="T28" i="11"/>
  <c r="S28" i="11"/>
  <c r="U28" i="11" s="1"/>
  <c r="Q28" i="11"/>
  <c r="O28" i="11"/>
  <c r="U27" i="11"/>
  <c r="T27" i="11"/>
  <c r="S27" i="11"/>
  <c r="Q27" i="11"/>
  <c r="O27" i="11"/>
  <c r="T26" i="11"/>
  <c r="S26" i="11"/>
  <c r="O26" i="11"/>
  <c r="Q26" i="11" s="1"/>
  <c r="U25" i="11"/>
  <c r="T25" i="1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U22" i="11"/>
  <c r="T22" i="11"/>
  <c r="S22" i="11"/>
  <c r="O22" i="11"/>
  <c r="Q22" i="11" s="1"/>
  <c r="U21" i="11"/>
  <c r="T21" i="11"/>
  <c r="S21" i="11"/>
  <c r="Q21" i="11"/>
  <c r="O21" i="11"/>
  <c r="U20" i="11"/>
  <c r="T20" i="11"/>
  <c r="S20" i="1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U17" i="11"/>
  <c r="T17" i="11"/>
  <c r="S17" i="1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U14" i="11"/>
  <c r="T14" i="11"/>
  <c r="S14" i="11"/>
  <c r="O14" i="11"/>
  <c r="Q14" i="11" s="1"/>
  <c r="T13" i="11"/>
  <c r="S13" i="11"/>
  <c r="U13" i="11" s="1"/>
  <c r="Q13" i="11"/>
  <c r="O13" i="11"/>
  <c r="U12" i="11"/>
  <c r="T12" i="11"/>
  <c r="S12" i="11"/>
  <c r="Q12" i="11"/>
  <c r="O12" i="11"/>
  <c r="T11" i="11"/>
  <c r="U11" i="11" s="1"/>
  <c r="S11" i="11"/>
  <c r="Q11" i="11"/>
  <c r="O11" i="11"/>
  <c r="T10" i="11"/>
  <c r="S10" i="11"/>
  <c r="U10" i="11" s="1"/>
  <c r="O10" i="11"/>
  <c r="Q10" i="11" s="1"/>
  <c r="U9" i="11"/>
  <c r="T9" i="11"/>
  <c r="S9" i="11"/>
  <c r="O9" i="11"/>
  <c r="Q9" i="11" s="1"/>
  <c r="K9" i="11"/>
  <c r="T8" i="11"/>
  <c r="U8" i="11" s="1"/>
  <c r="S8" i="11"/>
  <c r="Q8" i="11"/>
  <c r="O8" i="11"/>
  <c r="T7" i="11"/>
  <c r="S7" i="11"/>
  <c r="U7" i="11" s="1"/>
  <c r="O7" i="11"/>
  <c r="Q7" i="11" s="1"/>
  <c r="U6" i="11"/>
  <c r="T6" i="11"/>
  <c r="S6" i="11"/>
  <c r="O6" i="11"/>
  <c r="Q6" i="11" s="1"/>
  <c r="T5" i="11"/>
  <c r="S5" i="11"/>
  <c r="U5" i="11" s="1"/>
  <c r="Q5" i="11"/>
  <c r="O5" i="11"/>
  <c r="T4" i="11"/>
  <c r="S4" i="11"/>
  <c r="U4" i="11" s="1"/>
  <c r="O4" i="11"/>
  <c r="Q4" i="11" s="1"/>
  <c r="U3" i="11"/>
  <c r="T3" i="11"/>
  <c r="S3" i="11"/>
  <c r="O3" i="11"/>
  <c r="Q3" i="11" s="1"/>
  <c r="T2" i="11"/>
  <c r="S2" i="11"/>
  <c r="U2" i="11" s="1"/>
  <c r="Q2" i="11"/>
  <c r="O2" i="1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C23" i="10"/>
  <c r="AK21" i="10"/>
  <c r="E21" i="10"/>
  <c r="E25" i="10" s="1"/>
  <c r="D21" i="10"/>
  <c r="D25" i="10" s="1"/>
  <c r="D29" i="10" s="1"/>
  <c r="C21" i="10"/>
  <c r="C25" i="10" s="1"/>
  <c r="B21" i="10"/>
  <c r="B25" i="10" s="1"/>
  <c r="B29" i="10" s="1"/>
  <c r="AK19" i="10"/>
  <c r="E19" i="10"/>
  <c r="E23" i="10" s="1"/>
  <c r="D19" i="10"/>
  <c r="D23" i="10" s="1"/>
  <c r="D27" i="10" s="1"/>
  <c r="C19" i="10"/>
  <c r="B19" i="10"/>
  <c r="B23" i="10" s="1"/>
  <c r="B27" i="10" s="1"/>
  <c r="AK18" i="10"/>
  <c r="F18" i="10"/>
  <c r="B18" i="10"/>
  <c r="F16" i="10"/>
  <c r="D16" i="10"/>
  <c r="E16" i="10" s="1"/>
  <c r="C16" i="10"/>
  <c r="Q13" i="10"/>
  <c r="L7" i="10" s="1"/>
  <c r="O13" i="10"/>
  <c r="N13" i="10"/>
  <c r="I13" i="10"/>
  <c r="P12" i="10"/>
  <c r="E12" i="10"/>
  <c r="P11" i="10"/>
  <c r="E11" i="10"/>
  <c r="P10" i="10"/>
  <c r="E10" i="10"/>
  <c r="C10" i="10"/>
  <c r="P9" i="10"/>
  <c r="H9" i="10"/>
  <c r="I11" i="10" s="1"/>
  <c r="E9" i="10"/>
  <c r="P8" i="10"/>
  <c r="J8" i="10"/>
  <c r="C8" i="10"/>
  <c r="P7" i="10"/>
  <c r="K7" i="10"/>
  <c r="J7" i="10"/>
  <c r="I7" i="10"/>
  <c r="G7" i="10"/>
  <c r="E7" i="10"/>
  <c r="B12" i="10" s="1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K8" i="10" s="1"/>
  <c r="J4" i="10"/>
  <c r="I4" i="10"/>
  <c r="G4" i="10"/>
  <c r="B30" i="10" s="1"/>
  <c r="C30" i="10" s="1"/>
  <c r="E4" i="10"/>
  <c r="P3" i="10"/>
  <c r="C3" i="10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O2" i="8"/>
  <c r="H2" i="8"/>
  <c r="H13" i="8" s="1"/>
  <c r="O13" i="8" s="1"/>
  <c r="A2" i="8"/>
  <c r="K1" i="8"/>
  <c r="R1" i="8" s="1"/>
  <c r="P18" i="7"/>
  <c r="E3" i="7"/>
  <c r="D3" i="7"/>
  <c r="C3" i="7"/>
  <c r="G3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R66" i="6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Q66" i="6"/>
  <c r="P66" i="6"/>
  <c r="N66" i="6"/>
  <c r="O66" i="6" s="1"/>
  <c r="D65" i="6"/>
  <c r="A65" i="6"/>
  <c r="N64" i="6"/>
  <c r="O63" i="6"/>
  <c r="L63" i="6"/>
  <c r="A71" i="6" s="1"/>
  <c r="A63" i="6"/>
  <c r="Q62" i="6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P62" i="6"/>
  <c r="O62" i="6"/>
  <c r="Z61" i="6"/>
  <c r="M61" i="6" s="1"/>
  <c r="H70" i="6" s="1"/>
  <c r="P60" i="6"/>
  <c r="O60" i="6"/>
  <c r="E60" i="6"/>
  <c r="Y59" i="6"/>
  <c r="Z59" i="6" s="1"/>
  <c r="AA59" i="6" s="1"/>
  <c r="AB59" i="6" s="1"/>
  <c r="P59" i="6"/>
  <c r="Q59" i="6" s="1"/>
  <c r="P58" i="6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O58" i="6"/>
  <c r="L58" i="6"/>
  <c r="A67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O57" i="6"/>
  <c r="L57" i="6"/>
  <c r="A66" i="6" s="1"/>
  <c r="E57" i="6"/>
  <c r="M56" i="6"/>
  <c r="E56" i="6"/>
  <c r="O55" i="6"/>
  <c r="O64" i="6" s="1"/>
  <c r="L55" i="6"/>
  <c r="A64" i="6" s="1"/>
  <c r="T54" i="6"/>
  <c r="Q54" i="6"/>
  <c r="M54" i="6"/>
  <c r="H66" i="6" s="1"/>
  <c r="L54" i="6"/>
  <c r="E54" i="6"/>
  <c r="P53" i="6"/>
  <c r="O53" i="6"/>
  <c r="P52" i="6"/>
  <c r="Q52" i="6" s="1"/>
  <c r="O52" i="6"/>
  <c r="H52" i="6"/>
  <c r="D52" i="6"/>
  <c r="D66" i="6" s="1"/>
  <c r="A52" i="6"/>
  <c r="AD51" i="6"/>
  <c r="M51" i="6"/>
  <c r="E70" i="6" s="1"/>
  <c r="D51" i="6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E46" i="6"/>
  <c r="A46" i="6"/>
  <c r="V45" i="6"/>
  <c r="T45" i="6"/>
  <c r="S45" i="6"/>
  <c r="O45" i="6"/>
  <c r="E45" i="6"/>
  <c r="A45" i="6"/>
  <c r="M44" i="6"/>
  <c r="H44" i="6"/>
  <c r="M43" i="6"/>
  <c r="N43" i="6" s="1"/>
  <c r="S42" i="6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R42" i="6"/>
  <c r="Q42" i="6"/>
  <c r="P42" i="6"/>
  <c r="Q40" i="6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P40" i="6"/>
  <c r="O40" i="6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P24" i="6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O24" i="6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O22" i="6"/>
  <c r="AB21" i="6"/>
  <c r="AC21" i="6" s="1"/>
  <c r="P21" i="6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O21" i="6"/>
  <c r="E21" i="6"/>
  <c r="Z20" i="6"/>
  <c r="Y20" i="6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Q18" i="6"/>
  <c r="P18" i="6"/>
  <c r="O18" i="6"/>
  <c r="L18" i="6"/>
  <c r="E18" i="6"/>
  <c r="M17" i="6"/>
  <c r="H23" i="6" s="1"/>
  <c r="E17" i="6"/>
  <c r="R16" i="6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Q16" i="6"/>
  <c r="P16" i="6"/>
  <c r="O16" i="6"/>
  <c r="L16" i="6"/>
  <c r="E16" i="6"/>
  <c r="O15" i="6"/>
  <c r="N15" i="6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Y11" i="6"/>
  <c r="M11" i="6" s="1"/>
  <c r="X11" i="6"/>
  <c r="A11" i="6"/>
  <c r="O10" i="6"/>
  <c r="O14" i="6" s="1"/>
  <c r="A10" i="6"/>
  <c r="M9" i="6"/>
  <c r="E22" i="6" s="1"/>
  <c r="A9" i="6"/>
  <c r="M8" i="6"/>
  <c r="A8" i="6"/>
  <c r="AC7" i="6"/>
  <c r="M7" i="6"/>
  <c r="E33" i="6" s="1"/>
  <c r="H7" i="6"/>
  <c r="H5" i="6" s="1"/>
  <c r="E7" i="6"/>
  <c r="A7" i="6"/>
  <c r="U6" i="6"/>
  <c r="S6" i="6"/>
  <c r="R6" i="6"/>
  <c r="M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X1" i="6"/>
  <c r="Y1" i="6" s="1"/>
  <c r="Z1" i="6" s="1"/>
  <c r="AA1" i="6" s="1"/>
  <c r="AB1" i="6" s="1"/>
  <c r="AC1" i="6" s="1"/>
  <c r="Q1" i="6"/>
  <c r="R1" i="6" s="1"/>
  <c r="S1" i="6" s="1"/>
  <c r="T1" i="6" s="1"/>
  <c r="U1" i="6" s="1"/>
  <c r="V1" i="6" s="1"/>
  <c r="W1" i="6" s="1"/>
  <c r="P1" i="6"/>
  <c r="O1" i="6"/>
  <c r="AH30" i="5"/>
  <c r="AF30" i="5"/>
  <c r="AE30" i="5"/>
  <c r="Q30" i="5"/>
  <c r="AK30" i="5" s="1"/>
  <c r="N30" i="5"/>
  <c r="J30" i="5"/>
  <c r="AD30" i="5" s="1"/>
  <c r="I30" i="5"/>
  <c r="AC30" i="5" s="1"/>
  <c r="AH29" i="5"/>
  <c r="AE29" i="5"/>
  <c r="AD29" i="5"/>
  <c r="AA29" i="5"/>
  <c r="U29" i="5"/>
  <c r="AO29" i="5" s="1"/>
  <c r="AM28" i="5"/>
  <c r="AH28" i="5"/>
  <c r="AE28" i="5"/>
  <c r="AD28" i="5"/>
  <c r="Y28" i="5"/>
  <c r="T28" i="5"/>
  <c r="AN28" i="5" s="1"/>
  <c r="P28" i="5"/>
  <c r="AJ28" i="5" s="1"/>
  <c r="O28" i="5"/>
  <c r="J28" i="5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Y26" i="5"/>
  <c r="T26" i="5"/>
  <c r="AN26" i="5" s="1"/>
  <c r="P26" i="5"/>
  <c r="AJ26" i="5" s="1"/>
  <c r="O26" i="5"/>
  <c r="D26" i="5"/>
  <c r="AM25" i="5"/>
  <c r="AH25" i="5"/>
  <c r="AE25" i="5"/>
  <c r="AD25" i="5"/>
  <c r="T25" i="5"/>
  <c r="AN25" i="5" s="1"/>
  <c r="S25" i="5"/>
  <c r="J25" i="5"/>
  <c r="H25" i="5"/>
  <c r="AB25" i="5" s="1"/>
  <c r="AO24" i="5"/>
  <c r="AH24" i="5"/>
  <c r="AE24" i="5"/>
  <c r="AD24" i="5"/>
  <c r="S24" i="5"/>
  <c r="AM24" i="5" s="1"/>
  <c r="N24" i="5"/>
  <c r="J24" i="5"/>
  <c r="AS23" i="5"/>
  <c r="AH23" i="5"/>
  <c r="AE23" i="5"/>
  <c r="S23" i="5"/>
  <c r="AM23" i="5" s="1"/>
  <c r="N23" i="5"/>
  <c r="AS22" i="5"/>
  <c r="AH22" i="5"/>
  <c r="AE22" i="5"/>
  <c r="O22" i="5"/>
  <c r="AI22" i="5" s="1"/>
  <c r="D22" i="5"/>
  <c r="AH21" i="5"/>
  <c r="AE21" i="5"/>
  <c r="S21" i="5"/>
  <c r="AM21" i="5" s="1"/>
  <c r="D21" i="5"/>
  <c r="AH20" i="5"/>
  <c r="AH16" i="5" s="1"/>
  <c r="R20" i="5"/>
  <c r="AL20" i="5" s="1"/>
  <c r="N20" i="5"/>
  <c r="D20" i="5"/>
  <c r="AK19" i="5"/>
  <c r="AH19" i="5"/>
  <c r="AE19" i="5"/>
  <c r="Q19" i="5"/>
  <c r="D19" i="5"/>
  <c r="AN18" i="5"/>
  <c r="AH18" i="5"/>
  <c r="U18" i="5"/>
  <c r="AO18" i="5" s="1"/>
  <c r="R18" i="5"/>
  <c r="AL18" i="5" s="1"/>
  <c r="N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AJ15" i="5"/>
  <c r="P30" i="5" s="1"/>
  <c r="AJ30" i="5" s="1"/>
  <c r="AI15" i="5"/>
  <c r="AH15" i="5"/>
  <c r="AF15" i="5"/>
  <c r="L30" i="5" s="1"/>
  <c r="AD15" i="5"/>
  <c r="AC15" i="5"/>
  <c r="AB15" i="5"/>
  <c r="H30" i="5" s="1"/>
  <c r="AB30" i="5" s="1"/>
  <c r="V15" i="5"/>
  <c r="N15" i="5"/>
  <c r="M15" i="5"/>
  <c r="AG15" i="5" s="1"/>
  <c r="M30" i="5" s="1"/>
  <c r="L15" i="5"/>
  <c r="K15" i="5"/>
  <c r="AE15" i="5" s="1"/>
  <c r="K30" i="5" s="1"/>
  <c r="J15" i="5"/>
  <c r="I15" i="5"/>
  <c r="G15" i="5"/>
  <c r="AA15" i="5" s="1"/>
  <c r="G30" i="5" s="1"/>
  <c r="AA30" i="5" s="1"/>
  <c r="E15" i="5"/>
  <c r="Y15" i="5" s="1"/>
  <c r="E30" i="5" s="1"/>
  <c r="Y30" i="5" s="1"/>
  <c r="AO14" i="5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Y14" i="5"/>
  <c r="E29" i="5" s="1"/>
  <c r="Y29" i="5" s="1"/>
  <c r="V14" i="5"/>
  <c r="AE12" i="2" s="1"/>
  <c r="S14" i="5"/>
  <c r="AM14" i="5" s="1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E14" i="5"/>
  <c r="AO13" i="5"/>
  <c r="U28" i="5" s="1"/>
  <c r="AO28" i="5" s="1"/>
  <c r="AN13" i="5"/>
  <c r="AM13" i="5"/>
  <c r="S28" i="5" s="1"/>
  <c r="AL13" i="5"/>
  <c r="R28" i="5" s="1"/>
  <c r="AL28" i="5" s="1"/>
  <c r="AK13" i="5"/>
  <c r="Q28" i="5" s="1"/>
  <c r="AK28" i="5" s="1"/>
  <c r="AJ13" i="5"/>
  <c r="AI13" i="5"/>
  <c r="AH13" i="5"/>
  <c r="N28" i="5" s="1"/>
  <c r="AB13" i="5"/>
  <c r="AA13" i="5"/>
  <c r="G28" i="5" s="1"/>
  <c r="AA28" i="5" s="1"/>
  <c r="V13" i="5"/>
  <c r="N13" i="5"/>
  <c r="M13" i="5"/>
  <c r="AG13" i="5" s="1"/>
  <c r="M28" i="5" s="1"/>
  <c r="I13" i="5"/>
  <c r="AC13" i="5" s="1"/>
  <c r="I28" i="5" s="1"/>
  <c r="AC28" i="5" s="1"/>
  <c r="G13" i="5"/>
  <c r="E13" i="5"/>
  <c r="Y13" i="5" s="1"/>
  <c r="E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AM11" i="5"/>
  <c r="S26" i="5" s="1"/>
  <c r="AM26" i="5" s="1"/>
  <c r="AL11" i="5"/>
  <c r="R26" i="5" s="1"/>
  <c r="AL26" i="5" s="1"/>
  <c r="AK11" i="5"/>
  <c r="Q26" i="5" s="1"/>
  <c r="AK26" i="5" s="1"/>
  <c r="AJ11" i="5"/>
  <c r="AI11" i="5"/>
  <c r="AA11" i="5"/>
  <c r="G26" i="5" s="1"/>
  <c r="AA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AP10" i="5"/>
  <c r="AO10" i="5"/>
  <c r="U25" i="5" s="1"/>
  <c r="AO25" i="5" s="1"/>
  <c r="AN10" i="5"/>
  <c r="AM10" i="5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N9" i="5"/>
  <c r="T24" i="5" s="1"/>
  <c r="AN24" i="5" s="1"/>
  <c r="AM9" i="5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AG9" i="5"/>
  <c r="M24" i="5" s="1"/>
  <c r="AC9" i="5"/>
  <c r="I24" i="5" s="1"/>
  <c r="AC24" i="5" s="1"/>
  <c r="AB9" i="5"/>
  <c r="H24" i="5" s="1"/>
  <c r="AB24" i="5" s="1"/>
  <c r="V9" i="5"/>
  <c r="N9" i="5"/>
  <c r="M9" i="5"/>
  <c r="I9" i="5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Y8" i="5"/>
  <c r="E23" i="5" s="1"/>
  <c r="Y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AP7" i="5" s="1"/>
  <c r="AH7" i="5"/>
  <c r="N22" i="5" s="1"/>
  <c r="AF7" i="5"/>
  <c r="L22" i="5" s="1"/>
  <c r="AF22" i="5" s="1"/>
  <c r="AD7" i="5"/>
  <c r="J22" i="5" s="1"/>
  <c r="AD22" i="5" s="1"/>
  <c r="AB7" i="5"/>
  <c r="H22" i="5" s="1"/>
  <c r="AB22" i="5" s="1"/>
  <c r="V7" i="5"/>
  <c r="N7" i="5"/>
  <c r="L7" i="5"/>
  <c r="J7" i="5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AL6" i="5"/>
  <c r="R21" i="5" s="1"/>
  <c r="AL21" i="5" s="1"/>
  <c r="AK6" i="5"/>
  <c r="Q21" i="5" s="1"/>
  <c r="AK21" i="5" s="1"/>
  <c r="AJ6" i="5"/>
  <c r="P21" i="5" s="1"/>
  <c r="AJ21" i="5" s="1"/>
  <c r="AI6" i="5"/>
  <c r="AP6" i="5" s="1"/>
  <c r="AH6" i="5"/>
  <c r="N21" i="5" s="1"/>
  <c r="AG6" i="5"/>
  <c r="M21" i="5" s="1"/>
  <c r="AC6" i="5"/>
  <c r="I21" i="5" s="1"/>
  <c r="AC21" i="5" s="1"/>
  <c r="AB6" i="5"/>
  <c r="H21" i="5" s="1"/>
  <c r="AB21" i="5" s="1"/>
  <c r="AA6" i="5"/>
  <c r="G21" i="5" s="1"/>
  <c r="AA21" i="5" s="1"/>
  <c r="V6" i="5"/>
  <c r="N6" i="5"/>
  <c r="M6" i="5"/>
  <c r="L6" i="5"/>
  <c r="AF6" i="5" s="1"/>
  <c r="L21" i="5" s="1"/>
  <c r="AF21" i="5" s="1"/>
  <c r="J6" i="5"/>
  <c r="AD6" i="5" s="1"/>
  <c r="J21" i="5" s="1"/>
  <c r="AD21" i="5" s="1"/>
  <c r="I6" i="5"/>
  <c r="G6" i="5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P5" i="5" s="1"/>
  <c r="AK5" i="5"/>
  <c r="Q20" i="5" s="1"/>
  <c r="AK20" i="5" s="1"/>
  <c r="AJ5" i="5"/>
  <c r="P20" i="5" s="1"/>
  <c r="AJ20" i="5" s="1"/>
  <c r="AI5" i="5"/>
  <c r="O20" i="5" s="1"/>
  <c r="AI20" i="5" s="1"/>
  <c r="AH5" i="5"/>
  <c r="AG5" i="5"/>
  <c r="M20" i="5" s="1"/>
  <c r="AD5" i="5"/>
  <c r="J20" i="5" s="1"/>
  <c r="AD20" i="5" s="1"/>
  <c r="AB5" i="5"/>
  <c r="H20" i="5" s="1"/>
  <c r="AB20" i="5" s="1"/>
  <c r="AA5" i="5"/>
  <c r="G20" i="5" s="1"/>
  <c r="AA20" i="5" s="1"/>
  <c r="V5" i="5"/>
  <c r="S5" i="5"/>
  <c r="AM5" i="5" s="1"/>
  <c r="S20" i="5" s="1"/>
  <c r="AM20" i="5" s="1"/>
  <c r="N5" i="5"/>
  <c r="M5" i="5"/>
  <c r="L5" i="5"/>
  <c r="AF5" i="5" s="1"/>
  <c r="L20" i="5" s="1"/>
  <c r="AF20" i="5" s="1"/>
  <c r="I5" i="5"/>
  <c r="AC5" i="5" s="1"/>
  <c r="I20" i="5" s="1"/>
  <c r="AC20" i="5" s="1"/>
  <c r="H5" i="5"/>
  <c r="G5" i="5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AN3" i="5"/>
  <c r="T18" i="5" s="1"/>
  <c r="AM3" i="5"/>
  <c r="S18" i="5" s="1"/>
  <c r="AM18" i="5" s="1"/>
  <c r="AL3" i="5"/>
  <c r="AK3" i="5"/>
  <c r="Q18" i="5" s="1"/>
  <c r="AK18" i="5" s="1"/>
  <c r="AJ3" i="5"/>
  <c r="P18" i="5" s="1"/>
  <c r="AJ18" i="5" s="1"/>
  <c r="AI3" i="5"/>
  <c r="O18" i="5" s="1"/>
  <c r="AI18" i="5" s="1"/>
  <c r="AH3" i="5"/>
  <c r="AC3" i="5"/>
  <c r="I18" i="5" s="1"/>
  <c r="AC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E11" i="3"/>
  <c r="AE19" i="3" s="1"/>
  <c r="AD11" i="3"/>
  <c r="AD19" i="3" s="1"/>
  <c r="AC11" i="3"/>
  <c r="AC19" i="3" s="1"/>
  <c r="AB11" i="3"/>
  <c r="AB19" i="3" s="1"/>
  <c r="V11" i="3"/>
  <c r="V19" i="3" s="1"/>
  <c r="U11" i="3"/>
  <c r="U19" i="3" s="1"/>
  <c r="T11" i="3"/>
  <c r="T19" i="3" s="1"/>
  <c r="S11" i="3"/>
  <c r="S19" i="3" s="1"/>
  <c r="N11" i="3"/>
  <c r="N19" i="3" s="1"/>
  <c r="M11" i="3"/>
  <c r="M19" i="3" s="1"/>
  <c r="L11" i="3"/>
  <c r="L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D6" i="3"/>
  <c r="AC6" i="3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U6" i="3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M6" i="3"/>
  <c r="L6" i="3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S20" i="2"/>
  <c r="AB20" i="2"/>
  <c r="W20" i="2"/>
  <c r="U20" i="2"/>
  <c r="S20" i="2"/>
  <c r="R20" i="2"/>
  <c r="P20" i="2"/>
  <c r="N20" i="2"/>
  <c r="I19" i="13" s="1"/>
  <c r="L20" i="2"/>
  <c r="K20" i="2"/>
  <c r="J20" i="2"/>
  <c r="AS19" i="2"/>
  <c r="AE19" i="2"/>
  <c r="W19" i="2"/>
  <c r="U19" i="2"/>
  <c r="S19" i="2"/>
  <c r="R19" i="2"/>
  <c r="P19" i="2"/>
  <c r="N19" i="2"/>
  <c r="I18" i="13" s="1"/>
  <c r="L19" i="2"/>
  <c r="K19" i="2"/>
  <c r="J19" i="2"/>
  <c r="AS18" i="2"/>
  <c r="AE18" i="2"/>
  <c r="W18" i="2"/>
  <c r="U18" i="2"/>
  <c r="S18" i="2"/>
  <c r="R18" i="2"/>
  <c r="P18" i="2"/>
  <c r="N18" i="2"/>
  <c r="I17" i="13" s="1"/>
  <c r="L18" i="2"/>
  <c r="K18" i="2"/>
  <c r="J18" i="2"/>
  <c r="AS17" i="2"/>
  <c r="AE17" i="2"/>
  <c r="W17" i="2"/>
  <c r="U17" i="2"/>
  <c r="S17" i="2"/>
  <c r="R17" i="2"/>
  <c r="P17" i="2"/>
  <c r="N17" i="2"/>
  <c r="I16" i="13" s="1"/>
  <c r="L17" i="2"/>
  <c r="K17" i="2"/>
  <c r="J17" i="2"/>
  <c r="AS16" i="2"/>
  <c r="AE16" i="2"/>
  <c r="AB16" i="2"/>
  <c r="K11" i="5" s="1"/>
  <c r="AE11" i="5" s="1"/>
  <c r="K26" i="5" s="1"/>
  <c r="Y16" i="2"/>
  <c r="H11" i="5" s="1"/>
  <c r="AB11" i="5" s="1"/>
  <c r="H26" i="5" s="1"/>
  <c r="AB26" i="5" s="1"/>
  <c r="W16" i="2"/>
  <c r="U16" i="2"/>
  <c r="S16" i="2"/>
  <c r="R16" i="2"/>
  <c r="P16" i="2"/>
  <c r="N16" i="2"/>
  <c r="I15" i="13" s="1"/>
  <c r="L16" i="2"/>
  <c r="K16" i="2"/>
  <c r="J16" i="2"/>
  <c r="AS15" i="2"/>
  <c r="AE15" i="2"/>
  <c r="Y15" i="2"/>
  <c r="W15" i="2"/>
  <c r="U15" i="2"/>
  <c r="S15" i="2"/>
  <c r="R15" i="2"/>
  <c r="P15" i="2"/>
  <c r="N15" i="2"/>
  <c r="I14" i="13" s="1"/>
  <c r="L15" i="2"/>
  <c r="K15" i="2"/>
  <c r="J15" i="2"/>
  <c r="AS14" i="2"/>
  <c r="AO14" i="2"/>
  <c r="AN14" i="2"/>
  <c r="AM14" i="2"/>
  <c r="AL14" i="2"/>
  <c r="AK14" i="2"/>
  <c r="AI14" i="2"/>
  <c r="AE14" i="2"/>
  <c r="AC14" i="2"/>
  <c r="AB14" i="2"/>
  <c r="J13" i="5"/>
  <c r="Y14" i="2"/>
  <c r="AJ14" i="2" s="1"/>
  <c r="W14" i="2"/>
  <c r="U14" i="2"/>
  <c r="S14" i="2"/>
  <c r="R14" i="2"/>
  <c r="P14" i="2"/>
  <c r="L14" i="2"/>
  <c r="K14" i="2"/>
  <c r="J14" i="2"/>
  <c r="AS13" i="2"/>
  <c r="AE13" i="2"/>
  <c r="AD13" i="2"/>
  <c r="AC13" i="2"/>
  <c r="AB13" i="2"/>
  <c r="K10" i="5" s="1"/>
  <c r="AE10" i="5" s="1"/>
  <c r="K25" i="5" s="1"/>
  <c r="J10" i="5"/>
  <c r="Y13" i="2"/>
  <c r="W13" i="2"/>
  <c r="U13" i="2"/>
  <c r="S13" i="2"/>
  <c r="R13" i="2"/>
  <c r="P13" i="2"/>
  <c r="N13" i="2"/>
  <c r="I12" i="13" s="1"/>
  <c r="L13" i="2"/>
  <c r="K13" i="2"/>
  <c r="J13" i="2"/>
  <c r="AS12" i="2"/>
  <c r="AD12" i="2"/>
  <c r="AC12" i="2"/>
  <c r="AB12" i="2"/>
  <c r="J14" i="5"/>
  <c r="Y12" i="2"/>
  <c r="W12" i="2"/>
  <c r="U12" i="2"/>
  <c r="S12" i="2"/>
  <c r="R12" i="2"/>
  <c r="P12" i="2"/>
  <c r="N12" i="2"/>
  <c r="I11" i="13" s="1"/>
  <c r="L12" i="2"/>
  <c r="K12" i="2"/>
  <c r="J12" i="2"/>
  <c r="AS11" i="2"/>
  <c r="AE11" i="2"/>
  <c r="AC11" i="2"/>
  <c r="AB11" i="2"/>
  <c r="K9" i="5" s="1"/>
  <c r="AE9" i="5" s="1"/>
  <c r="K24" i="5" s="1"/>
  <c r="Y11" i="2"/>
  <c r="H9" i="5" s="1"/>
  <c r="W11" i="2"/>
  <c r="U11" i="2"/>
  <c r="S11" i="2"/>
  <c r="R11" i="2"/>
  <c r="P11" i="2"/>
  <c r="N11" i="2"/>
  <c r="I10" i="13" s="1"/>
  <c r="L11" i="2"/>
  <c r="K11" i="2"/>
  <c r="J11" i="2"/>
  <c r="AS10" i="2"/>
  <c r="AE10" i="2"/>
  <c r="AD10" i="2"/>
  <c r="AB10" i="2"/>
  <c r="K8" i="5" s="1"/>
  <c r="AE8" i="5" s="1"/>
  <c r="K23" i="5" s="1"/>
  <c r="Y10" i="2"/>
  <c r="W10" i="2"/>
  <c r="U10" i="2"/>
  <c r="S10" i="2"/>
  <c r="R10" i="2"/>
  <c r="P10" i="2"/>
  <c r="N10" i="2"/>
  <c r="I9" i="13" s="1"/>
  <c r="L10" i="2"/>
  <c r="K10" i="2"/>
  <c r="J10" i="2"/>
  <c r="AS9" i="2"/>
  <c r="AE9" i="2"/>
  <c r="AD9" i="2"/>
  <c r="AB9" i="2"/>
  <c r="K7" i="5" s="1"/>
  <c r="AE7" i="5" s="1"/>
  <c r="K22" i="5" s="1"/>
  <c r="Y9" i="2"/>
  <c r="W9" i="2"/>
  <c r="U9" i="2"/>
  <c r="S9" i="2"/>
  <c r="R9" i="2"/>
  <c r="P9" i="2"/>
  <c r="N9" i="2"/>
  <c r="I8" i="13" s="1"/>
  <c r="L9" i="2"/>
  <c r="K9" i="2"/>
  <c r="J9" i="2"/>
  <c r="AS8" i="2"/>
  <c r="AE8" i="2"/>
  <c r="AB8" i="2"/>
  <c r="J5" i="5"/>
  <c r="Y8" i="2"/>
  <c r="W8" i="2"/>
  <c r="U8" i="2"/>
  <c r="S8" i="2"/>
  <c r="R8" i="2"/>
  <c r="P8" i="2"/>
  <c r="N8" i="2"/>
  <c r="I7" i="13" s="1"/>
  <c r="L8" i="2"/>
  <c r="K8" i="2"/>
  <c r="J8" i="2"/>
  <c r="AS7" i="2"/>
  <c r="AE7" i="2"/>
  <c r="AB7" i="2"/>
  <c r="AA7" i="2"/>
  <c r="Y7" i="2"/>
  <c r="H6" i="5" s="1"/>
  <c r="W7" i="2"/>
  <c r="U7" i="2"/>
  <c r="S7" i="2"/>
  <c r="R7" i="2"/>
  <c r="P7" i="2"/>
  <c r="N7" i="2"/>
  <c r="I6" i="13" s="1"/>
  <c r="L7" i="2"/>
  <c r="K7" i="2"/>
  <c r="J7" i="2"/>
  <c r="AS6" i="2"/>
  <c r="AD6" i="2"/>
  <c r="AD2" i="2" s="1"/>
  <c r="AB6" i="2"/>
  <c r="K4" i="5" s="1"/>
  <c r="AE4" i="5" s="1"/>
  <c r="K19" i="5" s="1"/>
  <c r="J4" i="5"/>
  <c r="Y6" i="2"/>
  <c r="W6" i="2"/>
  <c r="U6" i="2"/>
  <c r="S6" i="2"/>
  <c r="R6" i="2"/>
  <c r="P6" i="2"/>
  <c r="N6" i="2"/>
  <c r="I5" i="13" s="1"/>
  <c r="L6" i="2"/>
  <c r="K6" i="2"/>
  <c r="J6" i="2"/>
  <c r="AS5" i="2"/>
  <c r="AE5" i="2"/>
  <c r="Y5" i="2"/>
  <c r="W5" i="2"/>
  <c r="U5" i="2"/>
  <c r="S5" i="2"/>
  <c r="R5" i="2"/>
  <c r="P5" i="2"/>
  <c r="N5" i="2"/>
  <c r="I4" i="13" s="1"/>
  <c r="L5" i="2"/>
  <c r="K5" i="2"/>
  <c r="J5" i="2"/>
  <c r="AS4" i="2"/>
  <c r="AE4" i="2"/>
  <c r="Y4" i="2"/>
  <c r="W4" i="2"/>
  <c r="U4" i="2"/>
  <c r="S4" i="2"/>
  <c r="R4" i="2"/>
  <c r="P4" i="2"/>
  <c r="N4" i="2"/>
  <c r="AM4" i="2" s="1"/>
  <c r="L4" i="2"/>
  <c r="K4" i="2"/>
  <c r="J4" i="2"/>
  <c r="AG2" i="2"/>
  <c r="V2" i="2"/>
  <c r="T2" i="2"/>
  <c r="Q2" i="2"/>
  <c r="O2" i="2"/>
  <c r="I2" i="2"/>
  <c r="D2" i="2"/>
  <c r="AF16" i="15" l="1"/>
  <c r="AI16" i="15" s="1"/>
  <c r="AF27" i="15"/>
  <c r="AI27" i="15" s="1"/>
  <c r="AG16" i="15"/>
  <c r="AJ16" i="15" s="1"/>
  <c r="AG27" i="15"/>
  <c r="AJ27" i="15" s="1"/>
  <c r="F15" i="2"/>
  <c r="C14" i="13" s="1"/>
  <c r="F7" i="2"/>
  <c r="C6" i="13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V14" i="13"/>
  <c r="CC14" i="13"/>
  <c r="BP14" i="13"/>
  <c r="AN14" i="13"/>
  <c r="BR14" i="13"/>
  <c r="BB14" i="13"/>
  <c r="BH14" i="13"/>
  <c r="BX14" i="13"/>
  <c r="BF14" i="13"/>
  <c r="U14" i="13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AK6" i="13"/>
  <c r="BA6" i="13"/>
  <c r="BC6" i="13" s="1"/>
  <c r="BQ6" i="13"/>
  <c r="BR6" i="13"/>
  <c r="AN6" i="13"/>
  <c r="CB6" i="13"/>
  <c r="CD6" i="13" s="1"/>
  <c r="V6" i="13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V4" i="13"/>
  <c r="U4" i="13"/>
  <c r="W4" i="13"/>
  <c r="Y4" i="13" s="1"/>
  <c r="X4" i="13"/>
  <c r="AO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V5" i="13"/>
  <c r="AT5" i="13"/>
  <c r="AV5" i="13" s="1"/>
  <c r="BH5" i="13"/>
  <c r="BX5" i="13"/>
  <c r="BA5" i="13"/>
  <c r="BC5" i="13" s="1"/>
  <c r="BP5" i="13"/>
  <c r="AJ5" i="13"/>
  <c r="BV5" i="13"/>
  <c r="BR5" i="13"/>
  <c r="U5" i="13"/>
  <c r="AN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CB11" i="13"/>
  <c r="CD11" i="13" s="1"/>
  <c r="AW11" i="13"/>
  <c r="AY11" i="13" s="1"/>
  <c r="V11" i="13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BB15" i="13"/>
  <c r="BQ15" i="13"/>
  <c r="V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N20" i="2"/>
  <c r="C18" i="8"/>
  <c r="B18" i="8"/>
  <c r="AO16" i="2"/>
  <c r="B14" i="8"/>
  <c r="C14" i="8"/>
  <c r="AH5" i="2"/>
  <c r="C3" i="8"/>
  <c r="B3" i="8"/>
  <c r="AK12" i="2"/>
  <c r="C10" i="8"/>
  <c r="J4" i="8" s="1"/>
  <c r="B10" i="8"/>
  <c r="I4" i="8" s="1"/>
  <c r="C11" i="8"/>
  <c r="B11" i="8"/>
  <c r="AO8" i="2"/>
  <c r="B6" i="8"/>
  <c r="I2" i="8" s="1"/>
  <c r="C6" i="8"/>
  <c r="B16" i="8"/>
  <c r="C16" i="8"/>
  <c r="B5" i="8"/>
  <c r="C5" i="8"/>
  <c r="B9" i="8"/>
  <c r="C9" i="8"/>
  <c r="AH19" i="2"/>
  <c r="B17" i="8"/>
  <c r="C17" i="8"/>
  <c r="AN15" i="2"/>
  <c r="B13" i="8"/>
  <c r="C13" i="8"/>
  <c r="C4" i="8"/>
  <c r="B4" i="8"/>
  <c r="I6" i="8" s="1"/>
  <c r="I17" i="8" s="1"/>
  <c r="C8" i="8"/>
  <c r="B8" i="8"/>
  <c r="I5" i="8" s="1"/>
  <c r="AK17" i="2"/>
  <c r="C15" i="8"/>
  <c r="B15" i="8"/>
  <c r="F13" i="2"/>
  <c r="C12" i="13" s="1"/>
  <c r="F14" i="2"/>
  <c r="C13" i="13" s="1"/>
  <c r="N1" i="5"/>
  <c r="F20" i="2"/>
  <c r="C19" i="13" s="1"/>
  <c r="F11" i="2"/>
  <c r="C10" i="13" s="1"/>
  <c r="P19" i="7"/>
  <c r="P20" i="7" s="1"/>
  <c r="F8" i="2"/>
  <c r="C7" i="13" s="1"/>
  <c r="F9" i="2"/>
  <c r="C8" i="13" s="1"/>
  <c r="F5" i="2"/>
  <c r="C4" i="13" s="1"/>
  <c r="F6" i="2"/>
  <c r="C5" i="13" s="1"/>
  <c r="W2" i="2"/>
  <c r="U2" i="2"/>
  <c r="H4" i="17"/>
  <c r="C8" i="3"/>
  <c r="C13" i="3"/>
  <c r="R2" i="2"/>
  <c r="H3" i="17"/>
  <c r="S2" i="2"/>
  <c r="AL15" i="2"/>
  <c r="AH15" i="2"/>
  <c r="F17" i="2"/>
  <c r="C16" i="13" s="1"/>
  <c r="F4" i="2"/>
  <c r="AJ9" i="2"/>
  <c r="AN16" i="2"/>
  <c r="AL19" i="2"/>
  <c r="AM13" i="2"/>
  <c r="AO19" i="2"/>
  <c r="C27" i="3"/>
  <c r="AJ15" i="2"/>
  <c r="AK16" i="2"/>
  <c r="AK15" i="2"/>
  <c r="AL16" i="2"/>
  <c r="AN17" i="2"/>
  <c r="AJ10" i="2"/>
  <c r="AO17" i="2"/>
  <c r="AM19" i="2"/>
  <c r="AM20" i="2"/>
  <c r="AH6" i="2"/>
  <c r="AO12" i="2"/>
  <c r="AM15" i="2"/>
  <c r="AM16" i="2"/>
  <c r="AN19" i="2"/>
  <c r="AM12" i="2"/>
  <c r="AO9" i="2"/>
  <c r="AI12" i="2"/>
  <c r="AK13" i="2"/>
  <c r="AI17" i="2"/>
  <c r="AJ20" i="2"/>
  <c r="AO5" i="2"/>
  <c r="AI6" i="2"/>
  <c r="AN10" i="2"/>
  <c r="AL6" i="2"/>
  <c r="AN4" i="2"/>
  <c r="AJ8" i="2"/>
  <c r="AO4" i="2"/>
  <c r="AJ6" i="2"/>
  <c r="AI13" i="2"/>
  <c r="AJ19" i="2"/>
  <c r="AH17" i="2"/>
  <c r="V19" i="5"/>
  <c r="AJ19" i="5"/>
  <c r="N26" i="5"/>
  <c r="AH1" i="5"/>
  <c r="AP20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N16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F22" i="10"/>
  <c r="F26" i="10" s="1"/>
  <c r="AN6" i="2"/>
  <c r="I7" i="14"/>
  <c r="AN7" i="2"/>
  <c r="AN8" i="2"/>
  <c r="H21" i="14"/>
  <c r="M3" i="17"/>
  <c r="J3" i="16"/>
  <c r="F4" i="14"/>
  <c r="L3" i="13"/>
  <c r="B2" i="8"/>
  <c r="AO6" i="2"/>
  <c r="AO7" i="2"/>
  <c r="AO10" i="2"/>
  <c r="J11" i="14"/>
  <c r="AN11" i="2"/>
  <c r="I12" i="14"/>
  <c r="K14" i="5"/>
  <c r="AE14" i="5" s="1"/>
  <c r="K29" i="5" s="1"/>
  <c r="AL12" i="2"/>
  <c r="F13" i="14"/>
  <c r="AJ13" i="2"/>
  <c r="AJ18" i="2"/>
  <c r="F19" i="2"/>
  <c r="C18" i="13" s="1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AE6" i="2" s="1"/>
  <c r="AE2" i="2" s="1"/>
  <c r="E44" i="6"/>
  <c r="M58" i="6"/>
  <c r="P5" i="7"/>
  <c r="F3" i="7"/>
  <c r="B13" i="10"/>
  <c r="B10" i="10" s="1"/>
  <c r="I8" i="14"/>
  <c r="K9" i="14"/>
  <c r="J4" i="17"/>
  <c r="S4" i="17" s="1"/>
  <c r="F4" i="16"/>
  <c r="AH7" i="2"/>
  <c r="AH9" i="2"/>
  <c r="AO11" i="2"/>
  <c r="K5" i="5"/>
  <c r="AE5" i="5" s="1"/>
  <c r="K20" i="5" s="1"/>
  <c r="H7" i="5"/>
  <c r="M10" i="5"/>
  <c r="AG10" i="5" s="1"/>
  <c r="M25" i="5" s="1"/>
  <c r="V25" i="5"/>
  <c r="AP13" i="5"/>
  <c r="V18" i="5"/>
  <c r="V20" i="5"/>
  <c r="E15" i="6"/>
  <c r="AK20" i="10"/>
  <c r="B20" i="10"/>
  <c r="B24" i="10" s="1"/>
  <c r="B28" i="10" s="1"/>
  <c r="AI4" i="2"/>
  <c r="AK5" i="2"/>
  <c r="AJ7" i="2"/>
  <c r="F10" i="2"/>
  <c r="C9" i="13" s="1"/>
  <c r="AI11" i="2"/>
  <c r="J13" i="14"/>
  <c r="L10" i="5"/>
  <c r="AF10" i="5" s="1"/>
  <c r="L25" i="5" s="1"/>
  <c r="AF25" i="5" s="1"/>
  <c r="I14" i="14"/>
  <c r="K13" i="5"/>
  <c r="AE13" i="5" s="1"/>
  <c r="K28" i="5" s="1"/>
  <c r="H15" i="14"/>
  <c r="AJ17" i="2"/>
  <c r="F18" i="2"/>
  <c r="C17" i="13" s="1"/>
  <c r="AM18" i="2"/>
  <c r="AI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H13" i="14"/>
  <c r="AO20" i="2"/>
  <c r="AH4" i="2"/>
  <c r="AI8" i="2"/>
  <c r="AI9" i="2"/>
  <c r="AI10" i="2"/>
  <c r="K12" i="14"/>
  <c r="M14" i="5"/>
  <c r="AG14" i="5" s="1"/>
  <c r="M29" i="5" s="1"/>
  <c r="I13" i="14"/>
  <c r="AL13" i="2"/>
  <c r="H14" i="14"/>
  <c r="AH20" i="2"/>
  <c r="AJ4" i="2"/>
  <c r="AL5" i="2"/>
  <c r="F6" i="14"/>
  <c r="AK6" i="2"/>
  <c r="AK7" i="2"/>
  <c r="AK8" i="2"/>
  <c r="AK9" i="2"/>
  <c r="AK10" i="2"/>
  <c r="AJ11" i="2"/>
  <c r="F12" i="2"/>
  <c r="C11" i="13" s="1"/>
  <c r="AH12" i="2"/>
  <c r="K13" i="14"/>
  <c r="AN13" i="2"/>
  <c r="J14" i="14"/>
  <c r="L13" i="5"/>
  <c r="AF13" i="5" s="1"/>
  <c r="L28" i="5" s="1"/>
  <c r="AF28" i="5" s="1"/>
  <c r="AO15" i="2"/>
  <c r="AH16" i="2"/>
  <c r="AN18" i="2"/>
  <c r="AI19" i="2"/>
  <c r="H3" i="5"/>
  <c r="AP19" i="5"/>
  <c r="M8" i="5"/>
  <c r="AG8" i="5" s="1"/>
  <c r="M23" i="5" s="1"/>
  <c r="AP9" i="5"/>
  <c r="AP15" i="5"/>
  <c r="O30" i="5"/>
  <c r="M20" i="6"/>
  <c r="M23" i="6"/>
  <c r="M24" i="6"/>
  <c r="I11" i="14"/>
  <c r="AM11" i="2"/>
  <c r="H12" i="14"/>
  <c r="F16" i="2"/>
  <c r="C15" i="13" s="1"/>
  <c r="AI5" i="2"/>
  <c r="F14" i="14"/>
  <c r="H13" i="5"/>
  <c r="AK18" i="2"/>
  <c r="J3" i="17"/>
  <c r="T3" i="17" s="1"/>
  <c r="F3" i="16"/>
  <c r="I3" i="13"/>
  <c r="BB3" i="13" s="1"/>
  <c r="C2" i="8"/>
  <c r="AL18" i="2"/>
  <c r="AL7" i="2"/>
  <c r="F8" i="14"/>
  <c r="AL8" i="2"/>
  <c r="F9" i="14"/>
  <c r="AL9" i="2"/>
  <c r="F10" i="14"/>
  <c r="AL10" i="2"/>
  <c r="F11" i="14"/>
  <c r="AK11" i="2"/>
  <c r="AO13" i="2"/>
  <c r="AI16" i="2"/>
  <c r="AL17" i="2"/>
  <c r="AO18" i="2"/>
  <c r="AK20" i="2"/>
  <c r="AP3" i="5"/>
  <c r="O21" i="5"/>
  <c r="V26" i="5"/>
  <c r="AI26" i="5"/>
  <c r="AP26" i="5" s="1"/>
  <c r="M50" i="6"/>
  <c r="R52" i="6"/>
  <c r="Q53" i="6"/>
  <c r="K6" i="14"/>
  <c r="AN9" i="2"/>
  <c r="K10" i="14"/>
  <c r="AI18" i="2"/>
  <c r="N2" i="2"/>
  <c r="AH8" i="2"/>
  <c r="AH10" i="2"/>
  <c r="J12" i="14"/>
  <c r="L14" i="5"/>
  <c r="AF14" i="5" s="1"/>
  <c r="L29" i="5" s="1"/>
  <c r="AF29" i="5" s="1"/>
  <c r="AJ5" i="2"/>
  <c r="AI7" i="2"/>
  <c r="AH11" i="2"/>
  <c r="AN12" i="2"/>
  <c r="F15" i="14"/>
  <c r="H15" i="5"/>
  <c r="AK4" i="2"/>
  <c r="AM5" i="2"/>
  <c r="H6" i="14"/>
  <c r="F7" i="14"/>
  <c r="AL4" i="2"/>
  <c r="M4" i="17"/>
  <c r="J4" i="16"/>
  <c r="F5" i="14"/>
  <c r="AN5" i="2"/>
  <c r="I6" i="14"/>
  <c r="AM6" i="2"/>
  <c r="H7" i="14"/>
  <c r="AM7" i="2"/>
  <c r="H8" i="14"/>
  <c r="AM8" i="2"/>
  <c r="I9" i="14"/>
  <c r="AM9" i="2"/>
  <c r="I10" i="14"/>
  <c r="AM10" i="2"/>
  <c r="H11" i="14"/>
  <c r="AL11" i="2"/>
  <c r="F12" i="14"/>
  <c r="H14" i="5"/>
  <c r="AJ12" i="2"/>
  <c r="AH13" i="2"/>
  <c r="AH14" i="2"/>
  <c r="AI15" i="2"/>
  <c r="AJ16" i="2"/>
  <c r="AM17" i="2"/>
  <c r="AH18" i="2"/>
  <c r="AK19" i="2"/>
  <c r="AL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AP14" i="5"/>
  <c r="M45" i="6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F21" i="10"/>
  <c r="F25" i="10" s="1"/>
  <c r="F29" i="10" s="1"/>
  <c r="F19" i="10"/>
  <c r="F23" i="10" s="1"/>
  <c r="F27" i="10" s="1"/>
  <c r="F20" i="10"/>
  <c r="F24" i="10" s="1"/>
  <c r="F28" i="10" s="1"/>
  <c r="N44" i="6"/>
  <c r="G16" i="10"/>
  <c r="H62" i="6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M62" i="6"/>
  <c r="C11" i="10"/>
  <c r="C9" i="10"/>
  <c r="U33" i="11"/>
  <c r="O3" i="8"/>
  <c r="U26" i="11"/>
  <c r="S3" i="13"/>
  <c r="I12" i="10"/>
  <c r="I10" i="10"/>
  <c r="L8" i="10"/>
  <c r="U24" i="11"/>
  <c r="D30" i="10"/>
  <c r="E30" i="10" s="1"/>
  <c r="C31" i="10"/>
  <c r="C20" i="10"/>
  <c r="C24" i="10" s="1"/>
  <c r="H16" i="8"/>
  <c r="O16" i="8" s="1"/>
  <c r="E20" i="10"/>
  <c r="E24" i="10" s="1"/>
  <c r="E18" i="10"/>
  <c r="B22" i="10"/>
  <c r="B26" i="10" s="1"/>
  <c r="B31" i="10" s="1"/>
  <c r="B32" i="10" s="1"/>
  <c r="C18" i="10"/>
  <c r="U65" i="11"/>
  <c r="U67" i="11"/>
  <c r="D18" i="10"/>
  <c r="D20" i="10"/>
  <c r="D24" i="10" s="1"/>
  <c r="D28" i="10" s="1"/>
  <c r="U73" i="11"/>
  <c r="U75" i="11"/>
  <c r="N13" i="14"/>
  <c r="S13" i="14"/>
  <c r="R13" i="14"/>
  <c r="Q13" i="14"/>
  <c r="O13" i="14"/>
  <c r="U13" i="14" s="1"/>
  <c r="M13" i="14"/>
  <c r="T13" i="14"/>
  <c r="AH8" i="15"/>
  <c r="AK8" i="15" s="1"/>
  <c r="AG8" i="15"/>
  <c r="AJ8" i="15" s="1"/>
  <c r="AF8" i="15"/>
  <c r="AI8" i="15" s="1"/>
  <c r="Q14" i="14"/>
  <c r="O14" i="14"/>
  <c r="N14" i="14"/>
  <c r="M14" i="14"/>
  <c r="T14" i="14"/>
  <c r="S14" i="14"/>
  <c r="U15" i="14"/>
  <c r="Q12" i="14"/>
  <c r="U12" i="14" s="1"/>
  <c r="T12" i="14"/>
  <c r="Q11" i="14"/>
  <c r="U11" i="14" s="1"/>
  <c r="M12" i="14"/>
  <c r="D9" i="8" l="1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7" i="2"/>
  <c r="D17" i="14"/>
  <c r="Q4" i="16"/>
  <c r="T4" i="17"/>
  <c r="BG3" i="13"/>
  <c r="BQ3" i="13"/>
  <c r="BM3" i="13"/>
  <c r="BW3" i="13"/>
  <c r="V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CC3" i="13"/>
  <c r="AK3" i="13"/>
  <c r="AJ3" i="13"/>
  <c r="BZ3" i="13"/>
  <c r="AC3" i="13"/>
  <c r="P3" i="16"/>
  <c r="C32" i="10"/>
  <c r="B33" i="10"/>
  <c r="Q14" i="7"/>
  <c r="Q16" i="7"/>
  <c r="Q17" i="7" s="1"/>
  <c r="D19" i="14"/>
  <c r="C18" i="2"/>
  <c r="H69" i="6"/>
  <c r="Q3" i="16"/>
  <c r="E22" i="10"/>
  <c r="E17" i="10"/>
  <c r="Q18" i="7"/>
  <c r="Q19" i="7" s="1"/>
  <c r="Q20" i="7" s="1"/>
  <c r="M59" i="6"/>
  <c r="D6" i="14"/>
  <c r="C6" i="2"/>
  <c r="F4" i="5"/>
  <c r="Z4" i="5" s="1"/>
  <c r="F19" i="5" s="1"/>
  <c r="Z19" i="5" s="1"/>
  <c r="AI21" i="5"/>
  <c r="AP21" i="5" s="1"/>
  <c r="V21" i="5"/>
  <c r="J6" i="8"/>
  <c r="D20" i="14"/>
  <c r="C19" i="2"/>
  <c r="H28" i="6"/>
  <c r="P14" i="6"/>
  <c r="Q10" i="6"/>
  <c r="E27" i="6"/>
  <c r="E13" i="6"/>
  <c r="H19" i="6"/>
  <c r="B17" i="10"/>
  <c r="H68" i="6"/>
  <c r="D13" i="14"/>
  <c r="C13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P25" i="6"/>
  <c r="Q15" i="6"/>
  <c r="I13" i="8"/>
  <c r="P13" i="8" s="1"/>
  <c r="P2" i="8"/>
  <c r="D22" i="10"/>
  <c r="D26" i="10" s="1"/>
  <c r="D31" i="10" s="1"/>
  <c r="D17" i="10"/>
  <c r="C22" i="10"/>
  <c r="C17" i="10"/>
  <c r="M60" i="6"/>
  <c r="AI24" i="5"/>
  <c r="AP24" i="5" s="1"/>
  <c r="V24" i="5"/>
  <c r="R53" i="6"/>
  <c r="S52" i="6"/>
  <c r="D12" i="14"/>
  <c r="C12" i="2"/>
  <c r="F14" i="5"/>
  <c r="Z14" i="5" s="1"/>
  <c r="F29" i="5" s="1"/>
  <c r="Z29" i="5" s="1"/>
  <c r="S43" i="6"/>
  <c r="T43" i="6" s="1"/>
  <c r="D11" i="14"/>
  <c r="C11" i="2"/>
  <c r="F9" i="5"/>
  <c r="Z9" i="5" s="1"/>
  <c r="F24" i="5" s="1"/>
  <c r="Z24" i="5" s="1"/>
  <c r="M18" i="6"/>
  <c r="D15" i="14"/>
  <c r="F15" i="5"/>
  <c r="Z15" i="5" s="1"/>
  <c r="F30" i="5" s="1"/>
  <c r="Z30" i="5" s="1"/>
  <c r="C15" i="2"/>
  <c r="J3" i="7"/>
  <c r="J3" i="8"/>
  <c r="U14" i="14"/>
  <c r="F30" i="10"/>
  <c r="G30" i="10" s="1"/>
  <c r="E31" i="10"/>
  <c r="P64" i="6"/>
  <c r="Q55" i="6"/>
  <c r="M63" i="6"/>
  <c r="G21" i="10"/>
  <c r="G25" i="10" s="1"/>
  <c r="G19" i="10"/>
  <c r="G23" i="10" s="1"/>
  <c r="G20" i="10"/>
  <c r="G24" i="10" s="1"/>
  <c r="H16" i="10"/>
  <c r="G18" i="10"/>
  <c r="N65" i="6"/>
  <c r="O44" i="6" s="1"/>
  <c r="O65" i="6" s="1"/>
  <c r="P44" i="6" s="1"/>
  <c r="P65" i="6" s="1"/>
  <c r="Q44" i="6" s="1"/>
  <c r="E64" i="6"/>
  <c r="E71" i="6"/>
  <c r="AI27" i="5"/>
  <c r="AP27" i="5" s="1"/>
  <c r="V27" i="5"/>
  <c r="E69" i="6"/>
  <c r="D21" i="14"/>
  <c r="C20" i="2"/>
  <c r="AI30" i="5"/>
  <c r="AP30" i="5" s="1"/>
  <c r="V30" i="5"/>
  <c r="D10" i="14"/>
  <c r="F8" i="5"/>
  <c r="Z8" i="5" s="1"/>
  <c r="F23" i="5" s="1"/>
  <c r="Z23" i="5" s="1"/>
  <c r="C10" i="2"/>
  <c r="D14" i="14"/>
  <c r="F13" i="5"/>
  <c r="Z13" i="5" s="1"/>
  <c r="F28" i="5" s="1"/>
  <c r="Z28" i="5" s="1"/>
  <c r="C14" i="2"/>
  <c r="F17" i="10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9" i="2"/>
  <c r="F7" i="5"/>
  <c r="Z7" i="5" s="1"/>
  <c r="F22" i="5" s="1"/>
  <c r="Z22" i="5" s="1"/>
  <c r="M13" i="6"/>
  <c r="P4" i="16"/>
  <c r="E52" i="6"/>
  <c r="E66" i="6"/>
  <c r="H31" i="6"/>
  <c r="D7" i="14"/>
  <c r="C7" i="2"/>
  <c r="F6" i="5"/>
  <c r="Z6" i="5" s="1"/>
  <c r="F21" i="5" s="1"/>
  <c r="Z21" i="5" s="1"/>
  <c r="H30" i="6"/>
  <c r="H24" i="6"/>
  <c r="P14" i="7"/>
  <c r="I16" i="8"/>
  <c r="P16" i="8" s="1"/>
  <c r="P5" i="8"/>
  <c r="F9" i="16"/>
  <c r="F10" i="16"/>
  <c r="F8" i="16"/>
  <c r="F6" i="16"/>
  <c r="F5" i="16"/>
  <c r="F7" i="16"/>
  <c r="C16" i="2"/>
  <c r="F11" i="5"/>
  <c r="Z11" i="5" s="1"/>
  <c r="F26" i="5" s="1"/>
  <c r="Z26" i="5" s="1"/>
  <c r="H32" i="6"/>
  <c r="P16" i="7"/>
  <c r="P17" i="7" s="1"/>
  <c r="P21" i="7" s="1"/>
  <c r="D8" i="14"/>
  <c r="F5" i="5"/>
  <c r="Z5" i="5" s="1"/>
  <c r="F20" i="5" s="1"/>
  <c r="Z20" i="5" s="1"/>
  <c r="C8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9" i="8" l="1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H21" i="10"/>
  <c r="H25" i="10" s="1"/>
  <c r="H29" i="10" s="1"/>
  <c r="H19" i="10"/>
  <c r="H23" i="10" s="1"/>
  <c r="H27" i="10" s="1"/>
  <c r="H18" i="10"/>
  <c r="I16" i="10"/>
  <c r="H20" i="10"/>
  <c r="H24" i="10" s="1"/>
  <c r="H28" i="10" s="1"/>
  <c r="G31" i="10"/>
  <c r="H30" i="10"/>
  <c r="I30" i="10" s="1"/>
  <c r="L2" i="8"/>
  <c r="Q9" i="16"/>
  <c r="P9" i="16"/>
  <c r="H58" i="6"/>
  <c r="Q21" i="7"/>
  <c r="E68" i="6"/>
  <c r="H63" i="6"/>
  <c r="H71" i="6"/>
  <c r="Q25" i="6"/>
  <c r="R15" i="6"/>
  <c r="Q7" i="16"/>
  <c r="P7" i="16"/>
  <c r="Q5" i="8"/>
  <c r="R5" i="8" s="1"/>
  <c r="J16" i="8"/>
  <c r="K5" i="8"/>
  <c r="F31" i="10"/>
  <c r="R55" i="6"/>
  <c r="Q64" i="6"/>
  <c r="Q14" i="6"/>
  <c r="R10" i="6"/>
  <c r="J17" i="8"/>
  <c r="K17" i="8" s="1"/>
  <c r="K6" i="8"/>
  <c r="Q65" i="6"/>
  <c r="R44" i="6" s="1"/>
  <c r="H29" i="6"/>
  <c r="U43" i="6"/>
  <c r="T52" i="6"/>
  <c r="S53" i="6"/>
  <c r="H18" i="6"/>
  <c r="C33" i="10"/>
  <c r="D32" i="10"/>
  <c r="Q5" i="16"/>
  <c r="P5" i="16"/>
  <c r="H22" i="6"/>
  <c r="Q6" i="16"/>
  <c r="P6" i="16"/>
  <c r="E26" i="6"/>
  <c r="E12" i="6"/>
  <c r="G17" i="10"/>
  <c r="G22" i="10"/>
  <c r="Q3" i="8"/>
  <c r="R3" i="8" s="1"/>
  <c r="J14" i="8"/>
  <c r="K3" i="8"/>
  <c r="Q4" i="8"/>
  <c r="R4" i="8" s="1"/>
  <c r="J15" i="8"/>
  <c r="K4" i="8"/>
  <c r="K15" i="8" l="1"/>
  <c r="Q15" i="8"/>
  <c r="R15" i="8" s="1"/>
  <c r="R25" i="6"/>
  <c r="S15" i="6"/>
  <c r="I21" i="10"/>
  <c r="I25" i="10" s="1"/>
  <c r="I19" i="10"/>
  <c r="I23" i="10" s="1"/>
  <c r="J16" i="10"/>
  <c r="I18" i="10"/>
  <c r="I20" i="10"/>
  <c r="I24" i="10" s="1"/>
  <c r="K13" i="8"/>
  <c r="Q13" i="8"/>
  <c r="R13" i="8" s="1"/>
  <c r="H17" i="10"/>
  <c r="H22" i="10"/>
  <c r="H26" i="10" s="1"/>
  <c r="H31" i="10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65" i="6"/>
  <c r="S44" i="6" s="1"/>
  <c r="H61" i="6"/>
  <c r="R7" i="8"/>
  <c r="U52" i="6"/>
  <c r="V43" i="6" s="1"/>
  <c r="T53" i="6"/>
  <c r="R64" i="6"/>
  <c r="S55" i="6"/>
  <c r="K7" i="8"/>
  <c r="T7" i="8" l="1"/>
  <c r="L7" i="8"/>
  <c r="L8" i="8" s="1"/>
  <c r="L17" i="8" s="1"/>
  <c r="M7" i="8"/>
  <c r="M8" i="8" s="1"/>
  <c r="R18" i="8"/>
  <c r="S7" i="8"/>
  <c r="I17" i="10"/>
  <c r="I22" i="10"/>
  <c r="K18" i="8"/>
  <c r="K16" i="10"/>
  <c r="J20" i="10"/>
  <c r="J24" i="10" s="1"/>
  <c r="J28" i="10" s="1"/>
  <c r="J18" i="10"/>
  <c r="J19" i="10"/>
  <c r="J23" i="10" s="1"/>
  <c r="J27" i="10" s="1"/>
  <c r="J21" i="10"/>
  <c r="J25" i="10" s="1"/>
  <c r="J29" i="10" s="1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F32" i="10"/>
  <c r="M17" i="8" l="1"/>
  <c r="M14" i="8"/>
  <c r="T14" i="8" s="1"/>
  <c r="M16" i="8"/>
  <c r="T16" i="8" s="1"/>
  <c r="U15" i="6"/>
  <c r="T25" i="6"/>
  <c r="J17" i="10"/>
  <c r="J22" i="10"/>
  <c r="J26" i="10" s="1"/>
  <c r="J31" i="10" s="1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L16" i="10"/>
  <c r="K20" i="10"/>
  <c r="K24" i="10" s="1"/>
  <c r="K18" i="10"/>
  <c r="K19" i="10"/>
  <c r="K23" i="10" s="1"/>
  <c r="K21" i="10"/>
  <c r="K25" i="10" s="1"/>
  <c r="M15" i="8"/>
  <c r="T15" i="8" s="1"/>
  <c r="L14" i="8"/>
  <c r="S14" i="8" s="1"/>
  <c r="W43" i="6"/>
  <c r="X43" i="6" s="1"/>
  <c r="U14" i="6" l="1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M16" i="10"/>
  <c r="L20" i="10"/>
  <c r="L24" i="10" s="1"/>
  <c r="L28" i="10" s="1"/>
  <c r="L18" i="10"/>
  <c r="L21" i="10"/>
  <c r="L25" i="10" s="1"/>
  <c r="L29" i="10" s="1"/>
  <c r="L19" i="10"/>
  <c r="L23" i="10" s="1"/>
  <c r="L27" i="10" s="1"/>
  <c r="H32" i="10"/>
  <c r="G33" i="10"/>
  <c r="U25" i="6"/>
  <c r="V15" i="6"/>
  <c r="K22" i="10"/>
  <c r="K17" i="10"/>
  <c r="T13" i="8"/>
  <c r="T18" i="8" s="1"/>
  <c r="M18" i="8"/>
  <c r="Y52" i="6" l="1"/>
  <c r="X53" i="6"/>
  <c r="L22" i="10"/>
  <c r="L26" i="10" s="1"/>
  <c r="L31" i="10" s="1"/>
  <c r="L17" i="10"/>
  <c r="M20" i="10"/>
  <c r="M24" i="10" s="1"/>
  <c r="M18" i="10"/>
  <c r="M21" i="10"/>
  <c r="M25" i="10" s="1"/>
  <c r="N16" i="10"/>
  <c r="M19" i="10"/>
  <c r="M23" i="10" s="1"/>
  <c r="V64" i="6"/>
  <c r="V65" i="6" s="1"/>
  <c r="W55" i="6"/>
  <c r="I32" i="10"/>
  <c r="H33" i="10"/>
  <c r="Y43" i="6"/>
  <c r="Z43" i="6" s="1"/>
  <c r="Q31" i="10"/>
  <c r="R30" i="10"/>
  <c r="S30" i="10" s="1"/>
  <c r="V25" i="6"/>
  <c r="W15" i="6"/>
  <c r="V14" i="6"/>
  <c r="W10" i="6"/>
  <c r="V80" i="6" l="1"/>
  <c r="W44" i="6"/>
  <c r="W14" i="6"/>
  <c r="X10" i="6"/>
  <c r="J32" i="10"/>
  <c r="I33" i="10"/>
  <c r="M22" i="10"/>
  <c r="M17" i="10"/>
  <c r="W64" i="6"/>
  <c r="X55" i="6"/>
  <c r="W25" i="6"/>
  <c r="X15" i="6"/>
  <c r="T30" i="10"/>
  <c r="U30" i="10" s="1"/>
  <c r="S31" i="10"/>
  <c r="N21" i="10"/>
  <c r="N25" i="10" s="1"/>
  <c r="N29" i="10" s="1"/>
  <c r="N19" i="10"/>
  <c r="N23" i="10" s="1"/>
  <c r="N27" i="10" s="1"/>
  <c r="N18" i="10"/>
  <c r="O16" i="10"/>
  <c r="N20" i="10"/>
  <c r="N24" i="10" s="1"/>
  <c r="N28" i="10" s="1"/>
  <c r="Z52" i="6"/>
  <c r="Y53" i="6"/>
  <c r="U31" i="10" l="1"/>
  <c r="V30" i="10"/>
  <c r="W30" i="10" s="1"/>
  <c r="Z53" i="6"/>
  <c r="AA52" i="6"/>
  <c r="X25" i="6"/>
  <c r="Y15" i="6"/>
  <c r="AA43" i="6"/>
  <c r="AB43" i="6" s="1"/>
  <c r="X14" i="6"/>
  <c r="Y10" i="6"/>
  <c r="O21" i="10"/>
  <c r="O25" i="10" s="1"/>
  <c r="O19" i="10"/>
  <c r="O23" i="10" s="1"/>
  <c r="O18" i="10"/>
  <c r="P16" i="10"/>
  <c r="O20" i="10"/>
  <c r="O24" i="10" s="1"/>
  <c r="X64" i="6"/>
  <c r="Y55" i="6"/>
  <c r="N17" i="10"/>
  <c r="N22" i="10"/>
  <c r="N26" i="10" s="1"/>
  <c r="N31" i="10" s="1"/>
  <c r="W65" i="6"/>
  <c r="X44" i="6" s="1"/>
  <c r="K32" i="10"/>
  <c r="J33" i="10"/>
  <c r="Z55" i="6" l="1"/>
  <c r="Y64" i="6"/>
  <c r="Y25" i="6"/>
  <c r="Z15" i="6"/>
  <c r="P21" i="10"/>
  <c r="P25" i="10" s="1"/>
  <c r="P29" i="10" s="1"/>
  <c r="P19" i="10"/>
  <c r="P23" i="10" s="1"/>
  <c r="P27" i="10" s="1"/>
  <c r="P18" i="10"/>
  <c r="Q16" i="10"/>
  <c r="P20" i="10"/>
  <c r="P24" i="10" s="1"/>
  <c r="P28" i="10" s="1"/>
  <c r="O17" i="10"/>
  <c r="O22" i="10"/>
  <c r="AA53" i="6"/>
  <c r="AB52" i="6"/>
  <c r="X65" i="6"/>
  <c r="Y44" i="6" s="1"/>
  <c r="Y65" i="6" s="1"/>
  <c r="Z44" i="6" s="1"/>
  <c r="K33" i="10"/>
  <c r="L32" i="10"/>
  <c r="W31" i="10"/>
  <c r="X30" i="10"/>
  <c r="Y30" i="10" s="1"/>
  <c r="Y14" i="6"/>
  <c r="Z10" i="6"/>
  <c r="Z14" i="6" l="1"/>
  <c r="AA10" i="6"/>
  <c r="P17" i="10"/>
  <c r="P22" i="10"/>
  <c r="P26" i="10" s="1"/>
  <c r="P31" i="10" s="1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Q21" i="10"/>
  <c r="Q25" i="10" s="1"/>
  <c r="Q19" i="10"/>
  <c r="Q23" i="10" s="1"/>
  <c r="R16" i="10"/>
  <c r="Q20" i="10"/>
  <c r="Q24" i="10" s="1"/>
  <c r="Q18" i="10"/>
  <c r="AC43" i="6"/>
  <c r="AA25" i="6" l="1"/>
  <c r="AB15" i="6"/>
  <c r="AA14" i="6"/>
  <c r="AB10" i="6"/>
  <c r="AC53" i="6"/>
  <c r="AD52" i="6"/>
  <c r="M33" i="10"/>
  <c r="N32" i="10"/>
  <c r="AD43" i="6"/>
  <c r="AB30" i="10"/>
  <c r="AC30" i="10" s="1"/>
  <c r="AA31" i="10"/>
  <c r="Q17" i="10"/>
  <c r="Q22" i="10"/>
  <c r="S16" i="10"/>
  <c r="R20" i="10"/>
  <c r="R24" i="10" s="1"/>
  <c r="R28" i="10" s="1"/>
  <c r="R18" i="10"/>
  <c r="R21" i="10"/>
  <c r="R25" i="10" s="1"/>
  <c r="R29" i="10" s="1"/>
  <c r="R19" i="10"/>
  <c r="R23" i="10" s="1"/>
  <c r="R27" i="10" s="1"/>
  <c r="AA64" i="6"/>
  <c r="AA65" i="6" s="1"/>
  <c r="AB44" i="6" s="1"/>
  <c r="AB55" i="6"/>
  <c r="AB64" i="6" l="1"/>
  <c r="AB65" i="6" s="1"/>
  <c r="AC44" i="6" s="1"/>
  <c r="AC55" i="6"/>
  <c r="AB14" i="6"/>
  <c r="AC10" i="6"/>
  <c r="AD30" i="10"/>
  <c r="AC31" i="10"/>
  <c r="AC15" i="6"/>
  <c r="AB25" i="6"/>
  <c r="T16" i="10"/>
  <c r="S20" i="10"/>
  <c r="S24" i="10" s="1"/>
  <c r="S18" i="10"/>
  <c r="S21" i="10"/>
  <c r="S25" i="10" s="1"/>
  <c r="S19" i="10"/>
  <c r="S23" i="10" s="1"/>
  <c r="AD53" i="6"/>
  <c r="M53" i="6" s="1"/>
  <c r="M52" i="6"/>
  <c r="M4" i="6"/>
  <c r="N4" i="6" s="1"/>
  <c r="R17" i="10"/>
  <c r="R22" i="10"/>
  <c r="R26" i="10" s="1"/>
  <c r="R31" i="10" s="1"/>
  <c r="N33" i="10"/>
  <c r="O32" i="10"/>
  <c r="B51" i="6" l="1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P32" i="10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S22" i="10"/>
  <c r="S17" i="10"/>
  <c r="AC64" i="6"/>
  <c r="AC65" i="6" s="1"/>
  <c r="AD44" i="6" s="1"/>
  <c r="AD55" i="6"/>
  <c r="U16" i="10"/>
  <c r="T20" i="10"/>
  <c r="T24" i="10" s="1"/>
  <c r="T28" i="10" s="1"/>
  <c r="T18" i="10"/>
  <c r="T19" i="10"/>
  <c r="T23" i="10" s="1"/>
  <c r="T27" i="10" s="1"/>
  <c r="T21" i="10"/>
  <c r="T25" i="10" s="1"/>
  <c r="T29" i="10" s="1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B53" i="6" l="1"/>
  <c r="AD64" i="6"/>
  <c r="M64" i="6" s="1"/>
  <c r="M55" i="6"/>
  <c r="E10" i="6"/>
  <c r="B10" i="6"/>
  <c r="B14" i="6" s="1"/>
  <c r="E34" i="6"/>
  <c r="E63" i="6"/>
  <c r="U20" i="10"/>
  <c r="U24" i="10" s="1"/>
  <c r="U18" i="10"/>
  <c r="U19" i="10"/>
  <c r="U23" i="10" s="1"/>
  <c r="U21" i="10"/>
  <c r="U25" i="10" s="1"/>
  <c r="V16" i="10"/>
  <c r="E49" i="6"/>
  <c r="H27" i="6"/>
  <c r="B24" i="6"/>
  <c r="Q32" i="10"/>
  <c r="P33" i="10"/>
  <c r="T22" i="10"/>
  <c r="T26" i="10" s="1"/>
  <c r="T31" i="10" s="1"/>
  <c r="T17" i="10"/>
  <c r="U22" i="10" l="1"/>
  <c r="U17" i="10"/>
  <c r="R32" i="10"/>
  <c r="Q33" i="10"/>
  <c r="B64" i="6"/>
  <c r="H67" i="6"/>
  <c r="A74" i="6"/>
  <c r="B70" i="6"/>
  <c r="B63" i="6"/>
  <c r="B65" i="6"/>
  <c r="B26" i="6"/>
  <c r="B67" i="6"/>
  <c r="B29" i="6"/>
  <c r="B30" i="6"/>
  <c r="B33" i="6" s="1"/>
  <c r="B32" i="6"/>
  <c r="B31" i="6"/>
  <c r="B66" i="6"/>
  <c r="B28" i="6"/>
  <c r="B25" i="6"/>
  <c r="B27" i="6"/>
  <c r="B69" i="6"/>
  <c r="B68" i="6"/>
  <c r="B71" i="6"/>
  <c r="M65" i="6"/>
  <c r="V21" i="10"/>
  <c r="V25" i="10" s="1"/>
  <c r="V29" i="10" s="1"/>
  <c r="V19" i="10"/>
  <c r="V23" i="10" s="1"/>
  <c r="V27" i="10" s="1"/>
  <c r="V20" i="10"/>
  <c r="V24" i="10" s="1"/>
  <c r="V28" i="10" s="1"/>
  <c r="W16" i="10"/>
  <c r="V18" i="10"/>
  <c r="F63" i="6"/>
  <c r="E29" i="6"/>
  <c r="H26" i="6"/>
  <c r="E74" i="6"/>
  <c r="AD65" i="6"/>
  <c r="M5" i="6" s="1"/>
  <c r="F58" i="6" l="1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W21" i="10"/>
  <c r="W25" i="10" s="1"/>
  <c r="W19" i="10"/>
  <c r="W23" i="10" s="1"/>
  <c r="W20" i="10"/>
  <c r="W24" i="10" s="1"/>
  <c r="W18" i="10"/>
  <c r="X16" i="10"/>
  <c r="N5" i="6"/>
  <c r="M26" i="6"/>
  <c r="V22" i="10"/>
  <c r="V26" i="10" s="1"/>
  <c r="V31" i="10" s="1"/>
  <c r="V17" i="10"/>
  <c r="S32" i="10"/>
  <c r="R33" i="10"/>
  <c r="H16" i="6"/>
  <c r="H65" i="6"/>
  <c r="F49" i="6"/>
  <c r="B72" i="6"/>
  <c r="E25" i="6" l="1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X21" i="10"/>
  <c r="X25" i="10" s="1"/>
  <c r="X29" i="10" s="1"/>
  <c r="X19" i="10"/>
  <c r="X23" i="10" s="1"/>
  <c r="X27" i="10" s="1"/>
  <c r="X18" i="10"/>
  <c r="Y16" i="10"/>
  <c r="X20" i="10"/>
  <c r="X24" i="10" s="1"/>
  <c r="X28" i="10" s="1"/>
  <c r="W17" i="10"/>
  <c r="W22" i="10"/>
  <c r="H55" i="6"/>
  <c r="H10" i="6"/>
  <c r="S33" i="10"/>
  <c r="T32" i="10"/>
  <c r="H35" i="6" l="1"/>
  <c r="Y21" i="10"/>
  <c r="Y25" i="10" s="1"/>
  <c r="Y19" i="10"/>
  <c r="Y23" i="10" s="1"/>
  <c r="Z16" i="10"/>
  <c r="Y18" i="10"/>
  <c r="Y20" i="10"/>
  <c r="Y24" i="10" s="1"/>
  <c r="X17" i="10"/>
  <c r="X22" i="10"/>
  <c r="X26" i="10" s="1"/>
  <c r="X31" i="10" s="1"/>
  <c r="H49" i="6"/>
  <c r="T33" i="10"/>
  <c r="U32" i="10"/>
  <c r="E24" i="6"/>
  <c r="Y17" i="10" l="1"/>
  <c r="Y22" i="10"/>
  <c r="U33" i="10"/>
  <c r="V32" i="10"/>
  <c r="AA16" i="10"/>
  <c r="Z20" i="10"/>
  <c r="Z24" i="10" s="1"/>
  <c r="Z28" i="10" s="1"/>
  <c r="Z18" i="10"/>
  <c r="Z19" i="10"/>
  <c r="Z23" i="10" s="1"/>
  <c r="Z27" i="10" s="1"/>
  <c r="Z21" i="10"/>
  <c r="Z25" i="10" s="1"/>
  <c r="Z29" i="10" s="1"/>
  <c r="E35" i="6"/>
  <c r="F24" i="6" s="1"/>
  <c r="H74" i="6"/>
  <c r="I49" i="6" s="1"/>
  <c r="Z17" i="10" l="1"/>
  <c r="Z22" i="10"/>
  <c r="Z26" i="10" s="1"/>
  <c r="Z31" i="10" s="1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AB16" i="10"/>
  <c r="AA20" i="10"/>
  <c r="AA24" i="10" s="1"/>
  <c r="AA18" i="10"/>
  <c r="AA19" i="10"/>
  <c r="AA23" i="10" s="1"/>
  <c r="AA21" i="10"/>
  <c r="AA25" i="10" s="1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35" i="6" s="1"/>
  <c r="F25" i="6"/>
  <c r="AA22" i="10" l="1"/>
  <c r="AA17" i="10"/>
  <c r="X32" i="10"/>
  <c r="W33" i="10"/>
  <c r="AC16" i="10"/>
  <c r="AB20" i="10"/>
  <c r="AB24" i="10" s="1"/>
  <c r="AB28" i="10" s="1"/>
  <c r="AB18" i="10"/>
  <c r="AB21" i="10"/>
  <c r="AB25" i="10" s="1"/>
  <c r="AB29" i="10" s="1"/>
  <c r="AB19" i="10"/>
  <c r="AB23" i="10" s="1"/>
  <c r="AB27" i="10" s="1"/>
  <c r="AC20" i="10" l="1"/>
  <c r="AC24" i="10" s="1"/>
  <c r="AC18" i="10"/>
  <c r="AC21" i="10"/>
  <c r="AC25" i="10" s="1"/>
  <c r="AD16" i="10"/>
  <c r="AC19" i="10"/>
  <c r="AC23" i="10" s="1"/>
  <c r="AB22" i="10"/>
  <c r="AB26" i="10" s="1"/>
  <c r="AB31" i="10" s="1"/>
  <c r="AB17" i="10"/>
  <c r="Y32" i="10"/>
  <c r="X33" i="10"/>
  <c r="Z32" i="10" l="1"/>
  <c r="Y33" i="10"/>
  <c r="AC22" i="10"/>
  <c r="AC17" i="10"/>
  <c r="AD21" i="10"/>
  <c r="AD25" i="10" s="1"/>
  <c r="AD29" i="10" s="1"/>
  <c r="AD19" i="10"/>
  <c r="AD23" i="10" s="1"/>
  <c r="AD27" i="10" s="1"/>
  <c r="AD18" i="10"/>
  <c r="AE16" i="10"/>
  <c r="AD20" i="10"/>
  <c r="AD24" i="10" s="1"/>
  <c r="AD28" i="10" s="1"/>
  <c r="AD22" i="10" l="1"/>
  <c r="AD26" i="10" s="1"/>
  <c r="AD31" i="10" s="1"/>
  <c r="AD17" i="10"/>
  <c r="AE21" i="10"/>
  <c r="AE19" i="10"/>
  <c r="AE18" i="10"/>
  <c r="AF16" i="10"/>
  <c r="AE20" i="10"/>
  <c r="AA32" i="10"/>
  <c r="Z33" i="10"/>
  <c r="AA33" i="10" l="1"/>
  <c r="AB32" i="10"/>
  <c r="AF21" i="10"/>
  <c r="AF19" i="10"/>
  <c r="AF18" i="10"/>
  <c r="AG16" i="10"/>
  <c r="AF20" i="10"/>
  <c r="AG21" i="10" l="1"/>
  <c r="AG19" i="10"/>
  <c r="AH16" i="10"/>
  <c r="AG20" i="10"/>
  <c r="AG18" i="10"/>
  <c r="AB33" i="10"/>
  <c r="AC32" i="10"/>
  <c r="AC33" i="10" l="1"/>
  <c r="AD32" i="10"/>
  <c r="AD33" i="10" s="1"/>
  <c r="AI16" i="10"/>
  <c r="AH20" i="10"/>
  <c r="AH18" i="10"/>
  <c r="AH21" i="10"/>
  <c r="AH19" i="10"/>
  <c r="AJ16" i="10" l="1"/>
  <c r="AI20" i="10"/>
  <c r="AI18" i="10"/>
  <c r="AI21" i="10"/>
  <c r="AI19" i="10"/>
  <c r="AJ20" i="10" l="1"/>
  <c r="AJ18" i="10"/>
  <c r="AJ19" i="10"/>
  <c r="AJ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tc={C223E997-198D-48E4-8AA7-77CD21FADA50}</author>
    <author>tc={661AE06C-6699-47B1-9517-EA3D2635C276}</author>
    <author>tc={D132555C-CE98-4551-B6A5-A71A14C3BDA9}</author>
    <author>tc={F98AA9EF-5A8B-4A1B-97A5-F14070E4929D}</author>
    <author>tc={FA716E3D-60E4-406D-9639-45AD2205ABE4}</author>
  </authors>
  <commentList>
    <comment ref="AA5" authorId="0" shapeId="0" xr:uid="{C223E997-198D-48E4-8AA7-77CD21FADA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4150</t>
      </text>
    </comment>
    <comment ref="AA7" authorId="1" shapeId="0" xr:uid="{661AE06C-6699-47B1-9517-EA3D2635C2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7500</t>
      </text>
    </comment>
    <comment ref="AA9" authorId="2" shapeId="0" xr:uid="{D132555C-CE98-4551-B6A5-A71A14C3BD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7100</t>
      </text>
    </comment>
    <comment ref="AA10" authorId="3" shapeId="0" xr:uid="{F98AA9EF-5A8B-4A1B-97A5-F14070E492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6200</t>
      </text>
    </comment>
    <comment ref="AA14" authorId="4" shapeId="0" xr:uid="{FA716E3D-60E4-406D-9639-45AD2205AB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6500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<sst xmlns="http://schemas.openxmlformats.org/spreadsheetml/2006/main" count="2028" uniqueCount="981">
  <si>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</si>
  <si>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</si>
  <si>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</si>
  <si>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</si>
  <si>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</si>
  <si>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</si>
  <si>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</si>
  <si>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</si>
  <si>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</si>
  <si>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</si>
  <si>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</si>
  <si>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</si>
  <si>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</si>
  <si>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</si>
  <si>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</si>
  <si>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</si>
  <si>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</si>
  <si>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</si>
  <si>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</si>
  <si>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</si>
  <si>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</si>
  <si>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</si>
  <si>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</si>
  <si>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</si>
  <si>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</si>
  <si>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</si>
  <si>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</si>
  <si>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</si>
  <si>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</si>
  <si>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</si>
  <si>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</si>
  <si>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</si>
  <si>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</si>
  <si>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</si>
  <si>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</si>
  <si>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</si>
  <si>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</si>
  <si>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</si>
  <si>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</si>
  <si>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</si>
  <si>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</si>
  <si>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</si>
  <si>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</si>
  <si>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</si>
  <si>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</si>
  <si>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</si>
  <si>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</si>
  <si>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</si>
  <si>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</si>
  <si>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</si>
  <si>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</si>
  <si>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</si>
  <si>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</si>
  <si>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</si>
  <si>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</si>
  <si>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</si>
  <si>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</si>
  <si>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</si>
  <si>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</si>
  <si>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</si>
  <si>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</si>
  <si>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</si>
  <si>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</si>
  <si>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</si>
  <si>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</si>
  <si>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</si>
  <si>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</si>
  <si>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</si>
  <si>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</si>
  <si>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</si>
  <si>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</si>
  <si>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</si>
  <si>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</si>
  <si>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</si>
  <si>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</si>
  <si>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</si>
  <si>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</si>
  <si>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</si>
  <si>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</si>
  <si>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</si>
  <si>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</si>
  <si>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</si>
  <si>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</si>
  <si>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</si>
  <si>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</si>
  <si>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</si>
  <si>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</si>
  <si>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</si>
  <si>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</si>
  <si>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</si>
  <si>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</si>
  <si>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</si>
  <si>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</si>
  <si>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</si>
  <si>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</si>
  <si>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</si>
  <si>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</si>
  <si>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</si>
  <si>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</si>
  <si>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</si>
  <si>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</si>
  <si>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</si>
  <si>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</si>
  <si>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</si>
  <si>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</si>
  <si>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</si>
  <si>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</si>
  <si>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</si>
  <si>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</si>
  <si>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</si>
  <si>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</si>
  <si>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</si>
  <si>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</si>
  <si>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</si>
  <si>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</si>
  <si>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</si>
  <si>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</si>
  <si>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</si>
  <si>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</si>
  <si>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</si>
  <si>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</si>
  <si>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</si>
  <si>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</si>
  <si>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</si>
  <si>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</si>
  <si>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</si>
  <si>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</si>
  <si>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</si>
  <si>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</si>
  <si>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</si>
  <si>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</si>
  <si>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</si>
  <si>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</si>
  <si>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</si>
  <si>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</si>
  <si>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</si>
  <si>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</si>
  <si>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</si>
  <si>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</si>
  <si>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Pot28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</si>
  <si>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</si>
  <si>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</si>
  <si>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</si>
  <si>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</si>
  <si>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</si>
  <si>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</si>
  <si>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</si>
  <si>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</si>
  <si>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</si>
  <si>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</si>
  <si>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</si>
  <si>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</si>
  <si>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</si>
  <si>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</si>
  <si>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</si>
  <si>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</si>
  <si>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</si>
  <si>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</si>
  <si>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Miguel Fernández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</si>
  <si>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</si>
  <si>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</si>
  <si>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</si>
  <si>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</si>
  <si>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</si>
  <si>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</si>
  <si>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</si>
  <si>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</si>
  <si>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</si>
  <si>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</si>
  <si>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</si>
  <si>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</si>
  <si>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</si>
  <si>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</si>
  <si>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</si>
  <si>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</si>
  <si>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</si>
  <si>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</si>
  <si>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Ryan Clarke</t>
  </si>
  <si>
    <t>CAB</t>
  </si>
  <si>
    <t>#15</t>
  </si>
  <si>
    <t>DAV</t>
  </si>
  <si>
    <t>Renato Galeano</t>
  </si>
  <si>
    <t>#18</t>
  </si>
  <si>
    <t>Tommaso Niscola</t>
  </si>
  <si>
    <t>#19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</si>
  <si>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</si>
  <si>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</si>
  <si>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</si>
  <si>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</si>
  <si>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</si>
  <si>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</si>
  <si>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</si>
  <si>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</si>
  <si>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</si>
  <si>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</si>
  <si>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</si>
  <si>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</si>
  <si>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</si>
  <si>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</si>
  <si>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</si>
  <si>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</si>
  <si>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</si>
  <si>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</si>
  <si>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</si>
  <si>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</si>
  <si>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</si>
  <si>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</si>
  <si>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</si>
  <si>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</si>
  <si>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</si>
  <si>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</si>
  <si>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</si>
  <si>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</si>
  <si>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</si>
  <si>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</si>
  <si>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</si>
  <si>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</si>
  <si>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</si>
  <si>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</si>
  <si>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</si>
  <si>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</si>
  <si>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</si>
  <si>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</si>
  <si>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</si>
  <si>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</si>
  <si>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</si>
  <si>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</si>
  <si>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</si>
  <si>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</si>
  <si>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</si>
  <si>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</si>
  <si>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</si>
  <si>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</si>
  <si>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</si>
  <si>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</si>
  <si>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</si>
  <si>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</si>
  <si>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</si>
  <si>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</si>
  <si>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</si>
  <si>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</si>
  <si>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</si>
  <si>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</si>
  <si>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</si>
  <si>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</si>
  <si>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</si>
  <si>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</si>
  <si>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</si>
  <si>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</si>
  <si>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</si>
  <si>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</si>
  <si>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</si>
  <si>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</si>
  <si>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</si>
  <si>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</si>
  <si>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</si>
  <si>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</si>
  <si>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</si>
  <si>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</si>
  <si>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</si>
  <si>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</si>
  <si>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</si>
  <si>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</si>
  <si>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</si>
  <si>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</si>
  <si>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</si>
  <si>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</si>
  <si>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</si>
  <si>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</si>
  <si>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</si>
  <si>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</si>
  <si>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</si>
  <si>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</si>
  <si>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</si>
  <si>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</si>
  <si>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</si>
  <si>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</si>
  <si>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</si>
  <si>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</si>
  <si>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</si>
  <si>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</si>
  <si>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</si>
  <si>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</si>
  <si>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</si>
  <si>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</si>
  <si>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</si>
  <si>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</si>
  <si>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</si>
  <si>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</si>
  <si>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</si>
  <si>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</si>
  <si>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</si>
  <si>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</si>
  <si>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</si>
  <si>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</si>
  <si>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</si>
  <si>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</si>
  <si>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</si>
  <si>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</si>
  <si>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</si>
  <si>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</si>
  <si>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</si>
  <si>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</si>
  <si>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</si>
  <si>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</si>
  <si>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</si>
  <si>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</si>
  <si>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</si>
  <si>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</si>
  <si>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</si>
  <si>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</si>
  <si>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</si>
  <si>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</si>
  <si>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</si>
  <si>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</si>
  <si>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</si>
  <si>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</si>
  <si>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</si>
  <si>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</si>
  <si>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</si>
  <si>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</si>
  <si>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</si>
  <si>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</si>
  <si>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</si>
  <si>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</si>
  <si>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</si>
  <si>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</si>
  <si>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</si>
  <si>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</si>
  <si>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</si>
  <si>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</si>
  <si>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</si>
  <si>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</si>
  <si>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</si>
  <si>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</si>
  <si>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</si>
  <si>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</si>
  <si>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</si>
  <si>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</si>
  <si>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</si>
  <si>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</si>
  <si>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</si>
  <si>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</si>
  <si>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</si>
  <si>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</si>
  <si>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</si>
  <si>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</si>
  <si>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</si>
  <si>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</si>
  <si>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</si>
  <si>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</si>
  <si>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</si>
  <si>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</si>
  <si>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</si>
  <si>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</si>
  <si>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</si>
  <si>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</si>
  <si>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</si>
  <si>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</si>
  <si>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</si>
  <si>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</si>
  <si>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</si>
  <si>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</si>
  <si>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</si>
  <si>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</si>
  <si>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</si>
  <si>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</si>
  <si>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</si>
  <si>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</si>
  <si>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</si>
  <si>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</si>
  <si>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</si>
  <si>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</si>
  <si>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</si>
  <si>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</si>
  <si>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</si>
  <si>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</si>
  <si>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</si>
  <si>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</si>
  <si>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</si>
  <si>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</si>
  <si>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</si>
  <si>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</si>
  <si>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</si>
  <si>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</si>
  <si>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</si>
  <si>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</si>
  <si>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</si>
  <si>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</si>
  <si>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</si>
  <si>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</si>
  <si>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</si>
  <si>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</si>
  <si>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</si>
  <si>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</si>
  <si>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</si>
  <si>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</si>
  <si>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</si>
  <si>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</si>
  <si>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</si>
  <si>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</si>
  <si>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</si>
  <si>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</si>
  <si>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</si>
  <si>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</si>
  <si>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</si>
  <si>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</si>
  <si>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</si>
  <si>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</si>
  <si>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</si>
  <si>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</si>
  <si>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</si>
  <si>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</si>
  <si>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</si>
  <si>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</si>
  <si>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</si>
  <si>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</si>
  <si>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</si>
  <si>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</si>
  <si>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</si>
  <si>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</si>
  <si>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</si>
  <si>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</si>
  <si>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</si>
  <si>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</si>
  <si>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</si>
  <si>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</si>
  <si>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</si>
  <si>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</si>
  <si>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</si>
  <si>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</si>
  <si>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</si>
  <si>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</si>
  <si>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</si>
  <si>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</si>
  <si>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</si>
  <si>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</si>
  <si>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</si>
  <si>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</si>
  <si>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</si>
  <si>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</si>
  <si>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</si>
  <si>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</si>
  <si>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</si>
  <si>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</si>
  <si>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</si>
  <si>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</si>
  <si>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</si>
  <si>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</si>
  <si>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</si>
  <si>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</si>
  <si>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</si>
  <si>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</si>
  <si>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</si>
  <si>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</si>
  <si>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</si>
  <si>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</si>
  <si>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</si>
  <si>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</si>
  <si>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</si>
  <si>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</si>
  <si>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</si>
  <si>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</si>
  <si>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</si>
  <si>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</si>
  <si>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</si>
  <si>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</si>
  <si>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</si>
  <si>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</si>
  <si>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</si>
  <si>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</si>
  <si>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</si>
  <si>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</si>
  <si>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</si>
  <si>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</si>
  <si>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</si>
  <si>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</si>
  <si>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</si>
  <si>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</si>
  <si>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</si>
  <si>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</si>
  <si>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</si>
  <si>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</si>
  <si>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</si>
  <si>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</si>
  <si>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</si>
  <si>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</si>
  <si>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</si>
  <si>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</si>
  <si>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</si>
  <si>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</si>
  <si>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</si>
  <si>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</si>
  <si>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</si>
  <si>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</si>
  <si>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</si>
  <si>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</si>
  <si>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</si>
  <si>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</si>
  <si>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</si>
  <si>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</si>
  <si>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</si>
  <si>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</si>
  <si>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</si>
  <si>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</si>
  <si>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</si>
  <si>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</si>
  <si>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</si>
  <si>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</si>
  <si>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</si>
  <si>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</si>
  <si>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</si>
  <si>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</si>
  <si>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</si>
  <si>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</si>
  <si>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</si>
  <si>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</si>
  <si>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</si>
  <si>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</si>
  <si>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</si>
  <si>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</si>
  <si>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</si>
  <si>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</si>
  <si>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</si>
  <si>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</si>
  <si>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</si>
  <si>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</si>
  <si>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</si>
  <si>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</si>
  <si>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</si>
  <si>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</si>
  <si>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</si>
  <si>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</si>
  <si>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</si>
  <si>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</si>
  <si>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</si>
  <si>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</si>
  <si>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</si>
  <si>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</si>
  <si>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</si>
  <si>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</si>
  <si>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</si>
  <si>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</si>
  <si>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</si>
  <si>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</si>
  <si>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</si>
  <si>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</si>
  <si>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</si>
  <si>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</si>
  <si>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</si>
  <si>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</si>
  <si>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</si>
  <si>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</si>
  <si>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</si>
  <si>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</si>
  <si>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</si>
  <si>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</si>
  <si>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</si>
  <si>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</si>
  <si>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</si>
  <si>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</si>
  <si>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</si>
  <si>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</si>
  <si>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</si>
  <si>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</si>
  <si>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</si>
  <si>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</si>
  <si>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</si>
  <si>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</si>
  <si>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</si>
  <si>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</si>
  <si>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</si>
  <si>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</si>
  <si>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</si>
  <si>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</si>
  <si>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</si>
  <si>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</si>
  <si>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</si>
  <si>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</si>
  <si>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</si>
  <si>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</si>
  <si>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</si>
  <si>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</si>
  <si>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</si>
  <si>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</si>
  <si>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</si>
  <si>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</si>
  <si>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</si>
  <si>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</si>
  <si>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</si>
  <si>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</si>
  <si>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</si>
  <si>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</si>
  <si>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</si>
  <si>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</si>
  <si>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</si>
  <si>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</si>
  <si>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</si>
  <si>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</si>
  <si>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</si>
  <si>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</si>
  <si>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</si>
  <si>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</si>
  <si>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</si>
  <si>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</si>
  <si>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</si>
  <si>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</si>
  <si>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</si>
  <si>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</si>
  <si>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</si>
  <si>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</si>
  <si>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</si>
  <si>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</si>
  <si>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</si>
  <si>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</si>
  <si>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</si>
  <si>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</si>
  <si>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</si>
  <si>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</si>
  <si>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</si>
  <si>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</si>
  <si>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</si>
  <si>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</si>
  <si>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</si>
  <si>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</si>
  <si>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</si>
  <si>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</si>
  <si>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</si>
  <si>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</si>
  <si>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</si>
  <si>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</si>
  <si>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</si>
  <si>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</si>
  <si>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</si>
  <si>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</si>
  <si>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</si>
  <si>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</si>
  <si>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</si>
  <si>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</si>
  <si>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</si>
  <si>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</si>
  <si>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</si>
  <si>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</si>
  <si>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</si>
  <si>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</si>
  <si>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</si>
  <si>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</si>
  <si>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</si>
  <si>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</si>
  <si>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</si>
  <si>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</si>
  <si>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</si>
  <si>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</si>
  <si>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</si>
  <si>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</si>
  <si>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</si>
  <si>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</si>
  <si>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</si>
  <si>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</si>
  <si>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</si>
  <si>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</si>
  <si>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</si>
  <si>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</si>
  <si>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</si>
  <si>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</si>
  <si>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</si>
  <si>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</si>
  <si>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</si>
  <si>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</si>
  <si>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</si>
  <si>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</si>
  <si>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</si>
  <si>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</si>
  <si>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</si>
  <si>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</si>
  <si>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</si>
  <si>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</si>
  <si>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</si>
  <si>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</si>
  <si>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</si>
  <si>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</si>
  <si>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</si>
  <si>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</si>
  <si>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</si>
  <si>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</si>
  <si>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</si>
  <si>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</si>
  <si>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</si>
  <si>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</si>
  <si>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</si>
  <si>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</si>
  <si>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</si>
  <si>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</si>
  <si>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</si>
  <si>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</si>
  <si>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</si>
  <si>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</si>
  <si>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</si>
  <si>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</si>
  <si>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</si>
  <si>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</si>
  <si>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</si>
  <si>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</si>
  <si>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</si>
  <si>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</si>
  <si>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</si>
  <si>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</si>
  <si>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</si>
  <si>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</si>
  <si>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</si>
  <si>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</si>
  <si>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</si>
  <si>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</si>
  <si>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</si>
  <si>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</si>
  <si>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</si>
  <si>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</si>
  <si>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</si>
  <si>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</si>
  <si>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</si>
  <si>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</si>
  <si>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</si>
  <si>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</si>
  <si>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</si>
  <si>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</si>
  <si>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</si>
  <si>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</si>
  <si>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</si>
  <si>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</si>
  <si>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</si>
  <si>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</si>
  <si>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</si>
  <si>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</si>
  <si>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</si>
  <si>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</si>
  <si>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</si>
  <si>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</si>
  <si>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</si>
  <si>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</si>
  <si>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</si>
  <si>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</si>
  <si>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</si>
  <si>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</si>
  <si>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</si>
  <si>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</si>
  <si>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</si>
  <si>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</si>
  <si>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</si>
  <si>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</si>
  <si>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</si>
  <si>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</si>
  <si>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</si>
  <si>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</si>
  <si>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</si>
  <si>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</si>
  <si>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</si>
  <si>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</si>
  <si>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</si>
  <si>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</si>
  <si>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</si>
  <si>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</si>
  <si>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</si>
  <si>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</si>
  <si>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</si>
  <si>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</si>
  <si>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</si>
  <si>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</si>
  <si>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</si>
  <si>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</si>
  <si>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</si>
  <si>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</si>
  <si>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</si>
  <si>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</si>
  <si>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</si>
  <si>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</si>
  <si>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</si>
  <si>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</si>
  <si>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</si>
  <si>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</si>
  <si>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</si>
  <si>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</si>
  <si>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</si>
  <si>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</si>
  <si>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</si>
  <si>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</si>
  <si>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</si>
  <si>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</si>
  <si>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</si>
  <si>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</si>
  <si>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</si>
  <si>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</si>
  <si>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</si>
  <si>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</si>
  <si>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</si>
  <si>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</si>
  <si>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</si>
  <si>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</si>
  <si>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</si>
  <si>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</si>
  <si>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</si>
  <si>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</si>
  <si>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</si>
  <si>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</si>
  <si>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</si>
  <si>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</si>
  <si>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</si>
  <si>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</si>
  <si>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</si>
  <si>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</si>
  <si>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</si>
  <si>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</si>
  <si>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</si>
  <si>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</si>
  <si>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</si>
  <si>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</si>
  <si>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</si>
  <si>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</si>
  <si>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</si>
  <si>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</si>
  <si>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</si>
  <si>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</si>
  <si>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</si>
  <si>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</si>
  <si>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</si>
  <si>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</si>
  <si>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</si>
  <si>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</si>
  <si>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</si>
  <si>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</si>
  <si>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</si>
  <si>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</si>
  <si>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</si>
  <si>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</si>
  <si>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</si>
  <si>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</si>
  <si>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</si>
  <si>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</si>
  <si>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</si>
  <si>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</si>
  <si>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</si>
  <si>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</si>
  <si>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</si>
  <si>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</si>
  <si>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</si>
  <si>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</si>
  <si>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</si>
  <si>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</si>
  <si>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</si>
  <si>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</si>
  <si>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</si>
  <si>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</si>
  <si>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</si>
  <si>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</si>
  <si>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</si>
  <si>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</si>
  <si>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</si>
  <si>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</si>
  <si>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</si>
  <si>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</si>
  <si>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</si>
  <si>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</si>
  <si>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</si>
  <si>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</si>
  <si>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</si>
  <si>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</si>
  <si>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</si>
  <si>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</si>
  <si>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</si>
  <si>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</si>
  <si>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</si>
  <si>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</si>
  <si>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</si>
  <si>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</si>
  <si>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</si>
  <si>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</si>
  <si>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</si>
  <si>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</si>
  <si>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</si>
  <si>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</si>
  <si>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</si>
  <si>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</si>
  <si>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</si>
  <si>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</si>
  <si>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</si>
  <si>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</si>
  <si>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Hannes Seewald</t>
  </si>
  <si>
    <t>Matteo Grammatico</t>
  </si>
  <si>
    <t>Nathan Pierret</t>
  </si>
  <si>
    <t>Said Azizi Khairul Aiman</t>
  </si>
  <si>
    <t>Raffael Mosberger</t>
  </si>
  <si>
    <t>Tim van Tol</t>
  </si>
  <si>
    <t>Kautik Patil</t>
  </si>
  <si>
    <t>Ernie Barclay</t>
  </si>
  <si>
    <t>Quentin Veillon</t>
  </si>
  <si>
    <t>Hugo Cosatabella</t>
  </si>
  <si>
    <t>Juan Jesús Patiño</t>
  </si>
  <si>
    <t>Tautginas Tydikas</t>
  </si>
  <si>
    <t>Ludovico Galfrè</t>
  </si>
  <si>
    <t>Hanno Pajur</t>
  </si>
  <si>
    <t>Sean Zahren</t>
  </si>
  <si>
    <t>Marian Tyka</t>
  </si>
  <si>
    <t>Artur Putilin</t>
  </si>
  <si>
    <t>Caetano João Nogueira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</si>
  <si>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</si>
  <si>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</si>
  <si>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</si>
  <si>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</si>
  <si>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</si>
  <si>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</si>
  <si>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</si>
  <si>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</si>
  <si>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</si>
  <si>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</si>
  <si>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</si>
  <si>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</si>
  <si>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</si>
  <si>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</si>
  <si>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</si>
  <si>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</si>
  <si>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</si>
  <si>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</si>
  <si>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</si>
  <si>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</si>
  <si>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</si>
  <si>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</si>
  <si>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</si>
  <si>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</si>
  <si>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</si>
  <si>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</si>
  <si>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</si>
  <si>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</si>
  <si>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</si>
  <si>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</si>
  <si>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</si>
  <si>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</si>
  <si>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</si>
  <si>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</si>
  <si>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</si>
  <si>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</si>
  <si>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</si>
  <si>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</si>
  <si>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</si>
  <si>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</si>
  <si>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</si>
  <si>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</si>
  <si>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</si>
  <si>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</si>
  <si>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</si>
  <si>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</si>
  <si>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</si>
  <si>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</si>
  <si>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</si>
  <si>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</si>
  <si>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</si>
  <si>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</si>
  <si>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</si>
  <si>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</si>
  <si>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</si>
  <si>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</si>
  <si>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</si>
  <si>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</si>
  <si>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</si>
  <si>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</si>
  <si>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</si>
  <si>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</si>
  <si>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</si>
  <si>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</si>
  <si>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</si>
  <si>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</si>
  <si>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</si>
  <si>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</si>
  <si>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</si>
  <si>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</si>
  <si>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Guarion Gandini</t>
  </si>
  <si>
    <t>Nicolae Goncea</t>
  </si>
  <si>
    <t>Janos Toth</t>
  </si>
  <si>
    <t>Meraj Siddiqui</t>
  </si>
  <si>
    <t>Neven Terze</t>
  </si>
  <si>
    <t>Kian Alavi</t>
  </si>
  <si>
    <t>Bailon Zenteno</t>
  </si>
  <si>
    <t>Cesar 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</si>
</sst>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&quot;-&quot;??\ [$€-C0A]_-;_-@_-"/>
    <numFmt numFmtId="174" formatCode="_-* #,##0\ [$€-C0A]_-;\-* #,##0\ [$€-C0A]_-;_-* \-??\ [$€-C0A]_-;_-@_-"/>
    <numFmt numFmtId="175" formatCode="_-* #,##0.00\ [$€-C0A]_-;\-* #,##0.00\ [$€-C0A]_-;_-* \-??\ [$€-C0A]_-;_-@_-"/>
    <numFmt numFmtId="176" formatCode="_-* #,##0\ _€_-;\-* #,##0\ _€_-;_-* \-??\ _€_-;_-@_-"/>
    <numFmt numFmtId="177" formatCode="_-* #,##0&quot; €&quot;_-;\-* #,##0&quot; €&quot;_-;_-* \-??&quot; €&quot;_-;_-@_-"/>
    <numFmt numFmtId="178" formatCode="m/d/yyyy"/>
  </numFmts>
  <fonts count="62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81"/>
      <name val="Tahoma"/>
      <family val="2"/>
    </font>
  </fonts>
  <fills count="1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491">
    <xf numFmtId="0" fontId="0" fillId="0" borderId="0" xfId="0"/>
    <xf numFmtId="164" fontId="0" fillId="0" borderId="0" xfId="1" applyFont="1"/>
    <xf numFmtId="9" fontId="0" fillId="0" borderId="0" xfId="2" applyFont="1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8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8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8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8" fontId="56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8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8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8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8" fontId="28" fillId="0" borderId="3" xfId="3" applyNumberFormat="1" applyFont="1" applyBorder="1" applyAlignment="1">
      <alignment horizontal="center"/>
    </xf>
    <xf numFmtId="178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8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3" fontId="0" fillId="0" borderId="67" xfId="0" applyNumberFormat="1" applyBorder="1"/>
    <xf numFmtId="173" fontId="0" fillId="0" borderId="68" xfId="0" applyNumberFormat="1" applyBorder="1"/>
    <xf numFmtId="0" fontId="7" fillId="0" borderId="69" xfId="0" applyFont="1" applyBorder="1"/>
    <xf numFmtId="173" fontId="0" fillId="0" borderId="70" xfId="0" applyNumberFormat="1" applyBorder="1"/>
    <xf numFmtId="0" fontId="42" fillId="64" borderId="71" xfId="0" applyFont="1" applyFill="1" applyBorder="1"/>
    <xf numFmtId="174" fontId="42" fillId="64" borderId="71" xfId="0" applyNumberFormat="1" applyFont="1" applyFill="1" applyBorder="1"/>
    <xf numFmtId="174" fontId="42" fillId="65" borderId="72" xfId="0" applyNumberFormat="1" applyFont="1" applyFill="1" applyBorder="1"/>
    <xf numFmtId="0" fontId="10" fillId="0" borderId="0" xfId="0" applyFont="1"/>
    <xf numFmtId="173" fontId="7" fillId="0" borderId="67" xfId="0" applyNumberFormat="1" applyFont="1" applyBorder="1"/>
    <xf numFmtId="170" fontId="7" fillId="0" borderId="0" xfId="2" applyNumberFormat="1" applyFont="1"/>
    <xf numFmtId="173" fontId="7" fillId="0" borderId="0" xfId="0" applyNumberFormat="1" applyFont="1"/>
    <xf numFmtId="170" fontId="7" fillId="0" borderId="73" xfId="2" applyNumberFormat="1" applyFont="1" applyBorder="1"/>
    <xf numFmtId="0" fontId="42" fillId="66" borderId="74" xfId="0" applyFont="1" applyFill="1" applyBorder="1"/>
    <xf numFmtId="174" fontId="42" fillId="66" borderId="74" xfId="0" applyNumberFormat="1" applyFont="1" applyFill="1" applyBorder="1"/>
    <xf numFmtId="174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0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3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3" fontId="0" fillId="23" borderId="23" xfId="0" applyNumberFormat="1" applyFill="1" applyBorder="1"/>
    <xf numFmtId="170" fontId="0" fillId="0" borderId="73" xfId="2" applyNumberFormat="1" applyFont="1" applyBorder="1"/>
    <xf numFmtId="0" fontId="7" fillId="73" borderId="81" xfId="0" applyFont="1" applyFill="1" applyBorder="1" applyAlignment="1">
      <alignment wrapText="1"/>
    </xf>
    <xf numFmtId="174" fontId="7" fillId="74" borderId="82" xfId="0" applyNumberFormat="1" applyFont="1" applyFill="1" applyBorder="1"/>
    <xf numFmtId="174" fontId="0" fillId="73" borderId="81" xfId="0" applyNumberFormat="1" applyFill="1" applyBorder="1"/>
    <xf numFmtId="174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3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3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3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3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0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4" fontId="43" fillId="74" borderId="82" xfId="0" applyNumberFormat="1" applyFont="1" applyFill="1" applyBorder="1"/>
    <xf numFmtId="174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4" fontId="7" fillId="81" borderId="89" xfId="0" applyNumberFormat="1" applyFont="1" applyFill="1" applyBorder="1"/>
    <xf numFmtId="174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3" fontId="0" fillId="40" borderId="40" xfId="0" applyNumberFormat="1" applyFill="1" applyBorder="1"/>
    <xf numFmtId="173" fontId="0" fillId="0" borderId="73" xfId="0" applyNumberFormat="1" applyBorder="1"/>
    <xf numFmtId="173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3" fontId="0" fillId="84" borderId="92" xfId="0" applyNumberFormat="1" applyFill="1" applyBorder="1" applyAlignment="1">
      <alignment horizontal="right"/>
    </xf>
    <xf numFmtId="173" fontId="7" fillId="0" borderId="67" xfId="0" applyNumberFormat="1" applyFont="1" applyBorder="1" applyAlignment="1">
      <alignment horizontal="right"/>
    </xf>
    <xf numFmtId="0" fontId="11" fillId="0" borderId="0" xfId="0" applyFont="1"/>
    <xf numFmtId="173" fontId="0" fillId="84" borderId="92" xfId="0" applyNumberFormat="1" applyFill="1" applyBorder="1"/>
    <xf numFmtId="0" fontId="7" fillId="85" borderId="93" xfId="0" applyFont="1" applyFill="1" applyBorder="1"/>
    <xf numFmtId="170" fontId="7" fillId="81" borderId="89" xfId="2" applyNumberFormat="1" applyFont="1" applyFill="1" applyBorder="1"/>
    <xf numFmtId="173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4" fontId="11" fillId="81" borderId="89" xfId="0" applyNumberFormat="1" applyFont="1" applyFill="1" applyBorder="1"/>
    <xf numFmtId="174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8" fontId="12" fillId="0" borderId="0" xfId="0" applyNumberFormat="1" applyFont="1" applyAlignment="1">
      <alignment wrapText="1"/>
    </xf>
    <xf numFmtId="173" fontId="0" fillId="0" borderId="67" xfId="0" applyNumberFormat="1" applyBorder="1" applyAlignment="1">
      <alignment horizontal="right"/>
    </xf>
    <xf numFmtId="175" fontId="7" fillId="0" borderId="0" xfId="0" applyNumberFormat="1" applyFont="1"/>
    <xf numFmtId="175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6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0" fontId="11" fillId="0" borderId="3" xfId="2" applyNumberFormat="1" applyFont="1" applyBorder="1"/>
    <xf numFmtId="170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3" fontId="0" fillId="89" borderId="97" xfId="0" applyNumberFormat="1" applyFill="1" applyBorder="1"/>
    <xf numFmtId="0" fontId="0" fillId="0" borderId="98" xfId="0" applyBorder="1" applyAlignment="1">
      <alignment horizontal="right"/>
    </xf>
    <xf numFmtId="173" fontId="0" fillId="0" borderId="99" xfId="0" applyNumberFormat="1" applyBorder="1"/>
    <xf numFmtId="170" fontId="0" fillId="0" borderId="100" xfId="2" applyNumberFormat="1" applyFont="1" applyBorder="1"/>
    <xf numFmtId="177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3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4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3" fontId="22" fillId="0" borderId="0" xfId="0" applyNumberFormat="1" applyFont="1"/>
    <xf numFmtId="0" fontId="46" fillId="0" borderId="0" xfId="0" applyFont="1" applyAlignment="1">
      <alignment horizontal="right"/>
    </xf>
    <xf numFmtId="173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6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6" fillId="4" borderId="4" xfId="3" applyFill="1" applyBorder="1" applyAlignment="1">
      <alignment horizontal="right"/>
    </xf>
    <xf numFmtId="174" fontId="48" fillId="0" borderId="0" xfId="0" applyNumberFormat="1" applyFont="1"/>
    <xf numFmtId="173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3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7" fontId="0" fillId="0" borderId="3" xfId="4" applyNumberFormat="1" applyFont="1" applyBorder="1"/>
    <xf numFmtId="0" fontId="52" fillId="0" borderId="3" xfId="0" applyFont="1" applyBorder="1" applyAlignment="1">
      <alignment horizontal="center" wrapText="1"/>
    </xf>
    <xf numFmtId="177" fontId="0" fillId="0" borderId="60" xfId="4" applyNumberFormat="1" applyFon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0" fontId="0" fillId="100" borderId="112" xfId="2" applyNumberFormat="1" applyFont="1" applyFill="1" applyBorder="1"/>
    <xf numFmtId="170" fontId="0" fillId="101" borderId="113" xfId="2" applyNumberFormat="1" applyFont="1" applyFill="1" applyBorder="1"/>
    <xf numFmtId="170" fontId="0" fillId="102" borderId="114" xfId="2" applyNumberFormat="1" applyFont="1" applyFill="1" applyBorder="1"/>
    <xf numFmtId="174" fontId="0" fillId="102" borderId="114" xfId="0" applyNumberFormat="1" applyFill="1" applyBorder="1" applyAlignment="1">
      <alignment wrapText="1"/>
    </xf>
    <xf numFmtId="174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4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5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5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5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4" fontId="0" fillId="111" borderId="123" xfId="0" applyNumberFormat="1" applyFill="1" applyBorder="1"/>
    <xf numFmtId="174" fontId="0" fillId="111" borderId="123" xfId="0" applyNumberFormat="1" applyFill="1" applyBorder="1" applyAlignment="1">
      <alignment horizontal="center"/>
    </xf>
    <xf numFmtId="174" fontId="43" fillId="111" borderId="123" xfId="0" applyNumberFormat="1" applyFont="1" applyFill="1" applyBorder="1"/>
    <xf numFmtId="174" fontId="0" fillId="112" borderId="124" xfId="0" applyNumberFormat="1" applyFill="1" applyBorder="1"/>
    <xf numFmtId="174" fontId="11" fillId="112" borderId="124" xfId="0" applyNumberFormat="1" applyFont="1" applyFill="1" applyBorder="1"/>
    <xf numFmtId="178" fontId="12" fillId="34" borderId="34" xfId="0" applyNumberFormat="1" applyFont="1" applyFill="1" applyBorder="1" applyAlignment="1">
      <alignment wrapText="1"/>
    </xf>
    <xf numFmtId="174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8" fontId="12" fillId="0" borderId="68" xfId="0" applyNumberFormat="1" applyFont="1" applyBorder="1" applyAlignment="1">
      <alignment horizontal="center"/>
    </xf>
    <xf numFmtId="178" fontId="12" fillId="114" borderId="126" xfId="0" applyNumberFormat="1" applyFont="1" applyFill="1" applyBorder="1" applyAlignment="1">
      <alignment horizontal="center"/>
    </xf>
    <xf numFmtId="165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131" borderId="144" xfId="0" applyFill="1" applyBorder="1"/>
    <xf numFmtId="164" fontId="0" fillId="0" borderId="66" xfId="1" applyFont="1" applyBorder="1" applyAlignment="1">
      <alignment horizontal="center"/>
    </xf>
    <xf numFmtId="165" fontId="0" fillId="0" borderId="67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67" xfId="0" applyNumberFormat="1" applyBorder="1"/>
    <xf numFmtId="0" fontId="7" fillId="0" borderId="67" xfId="0" applyFont="1" applyBorder="1"/>
    <xf numFmtId="1" fontId="0" fillId="0" borderId="67" xfId="0" applyNumberFormat="1" applyBorder="1"/>
    <xf numFmtId="0" fontId="9" fillId="132" borderId="145" xfId="0" applyFont="1" applyFill="1" applyBorder="1"/>
    <xf numFmtId="0" fontId="9" fillId="133" borderId="146" xfId="0" applyFont="1" applyFill="1" applyBorder="1"/>
    <xf numFmtId="0" fontId="9" fillId="133" borderId="146" xfId="0" applyFont="1" applyFill="1" applyBorder="1" applyAlignment="1">
      <alignment horizontal="center"/>
    </xf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/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90" borderId="12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144" xfId="0" applyBorder="1"/>
    <xf numFmtId="0" fontId="0" fillId="0" borderId="130" xfId="0" applyBorder="1" applyAlignment="1">
      <alignment horizontal="center"/>
    </xf>
    <xf numFmtId="164" fontId="0" fillId="0" borderId="144" xfId="1" applyFont="1" applyBorder="1" applyAlignment="1">
      <alignment horizontal="center"/>
    </xf>
    <xf numFmtId="165" fontId="0" fillId="0" borderId="130" xfId="0" applyNumberFormat="1" applyBorder="1" applyAlignment="1">
      <alignment horizontal="center"/>
    </xf>
    <xf numFmtId="2" fontId="0" fillId="0" borderId="130" xfId="0" applyNumberFormat="1" applyBorder="1" applyAlignment="1">
      <alignment horizontal="center"/>
    </xf>
    <xf numFmtId="2" fontId="0" fillId="0" borderId="130" xfId="0" applyNumberFormat="1" applyBorder="1"/>
    <xf numFmtId="0" fontId="0" fillId="0" borderId="130" xfId="0" applyBorder="1"/>
    <xf numFmtId="0" fontId="7" fillId="0" borderId="130" xfId="0" applyFont="1" applyBorder="1"/>
    <xf numFmtId="1" fontId="0" fillId="0" borderId="130" xfId="0" applyNumberFormat="1" applyBorder="1"/>
    <xf numFmtId="0" fontId="7" fillId="143" borderId="144" xfId="0" applyFont="1" applyFill="1" applyBorder="1"/>
    <xf numFmtId="0" fontId="7" fillId="79" borderId="144" xfId="0" applyFont="1" applyFill="1" applyBorder="1"/>
    <xf numFmtId="0" fontId="0" fillId="144" borderId="0" xfId="0" applyFill="1"/>
    <xf numFmtId="0" fontId="7" fillId="143" borderId="87" xfId="0" applyFont="1" applyFill="1" applyBorder="1"/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174" fontId="45" fillId="69" borderId="77" xfId="0" applyNumberFormat="1" applyFont="1" applyFill="1" applyBorder="1" applyAlignment="1">
      <alignment horizontal="center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118" borderId="130" xfId="0" applyFont="1" applyFill="1" applyBorder="1" applyAlignment="1">
      <alignment horizontal="center" vertical="top" wrapText="1"/>
    </xf>
    <xf numFmtId="174" fontId="11" fillId="81" borderId="89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0.43406593406593408</c:v>
                </c:pt>
                <c:pt idx="8">
                  <c:v>0.35820895522388058</c:v>
                </c:pt>
                <c:pt idx="9">
                  <c:v>0.46969696969696972</c:v>
                </c:pt>
                <c:pt idx="10">
                  <c:v>0.47619047619047616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96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182</c:v>
                </c:pt>
                <c:pt idx="8">
                  <c:v>67</c:v>
                </c:pt>
                <c:pt idx="9">
                  <c:v>132</c:v>
                </c:pt>
                <c:pt idx="10">
                  <c:v>42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7</xdr:col>
      <xdr:colOff>133350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ZRsAABYLAADyBwAAUhAAAAAAAABkAAAAZAAAAAEAAAAjAAAABAAAAGQAAAAXAAAAFAAAAAAAAAAAAAAA/38AAP9/AAAAAAAACQAAAAQAAAAQkh0DDAAAABAAAAAAAAAAAAAAAAAAAAAAAAAAHgAAAGgAAAAAAAAAAAAAAAAAAAAAAAAAAAAAABAnAAAQJwAAAAAAAAAAAAAAAAAAAAAAAAAAAAAAAAAAAAAAAAAAAAAUAAAAAAAAAMDA/wAAAAAAZAAAADIAAAAAAAAAZAAAAAAAAAB/f38ACgAAACEAAAAwAAAALAAAAAEAAAAAAAAAZABBARMAAAAHAAAAwQG0AHcBAABSAQAACCAAABEWAAABAAAA"/>
            </a:ext>
          </a:extLst>
        </xdr:cNvPicPr>
      </xdr:nvPicPr>
      <xdr:blipFill>
        <a:blip xmlns:r="http://schemas.openxmlformats.org/officeDocument/2006/relationships" r:embed="rId1"/>
        <a:srcRect l="70130" t="28380" r="20340" b="41780"/>
        <a:stretch>
          <a:fillRect/>
        </a:stretch>
      </xdr:blipFill>
      <xdr:spPr>
        <a:xfrm>
          <a:off x="238125" y="214630"/>
          <a:ext cx="5207000" cy="358711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ORTA Isaac" id="{9D6A3A77-FC87-4EC6-94CD-E94E7D8999A4}" userId="S::i-porta@bruneau.es::dea48508-bb25-4e70-b4e7-11595d3af8b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48.563789351851" createdVersion="4" refreshedVersion="6" minRefreshableVersion="3" recordCount="227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5-29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m/>
    <s v="Lirio de Oña"/>
    <x v="8"/>
    <m/>
    <n v="8"/>
    <n v="4"/>
    <n v="0.5"/>
  </r>
  <r>
    <d v="2020-05-09T00:00:00"/>
    <m/>
    <s v="Enxebre FC"/>
    <x v="10"/>
    <m/>
    <n v="7"/>
    <n v="4"/>
    <n v="0.5714285714285714"/>
  </r>
  <r>
    <d v="2020-05-16T00:00:00"/>
    <s v="Atlético Uzumaki"/>
    <m/>
    <x v="7"/>
    <m/>
    <n v="9"/>
    <n v="4"/>
    <n v="0.44444444444444442"/>
  </r>
  <r>
    <d v="2020-05-18T00:00:00"/>
    <m/>
    <s v="Fc kickers ZH"/>
    <x v="8"/>
    <m/>
    <n v="9"/>
    <n v="4"/>
    <n v="0.44444444444444442"/>
  </r>
  <r>
    <d v="2020-05-19T00:00:00"/>
    <s v="Brattforce"/>
    <m/>
    <x v="8"/>
    <m/>
    <n v="8"/>
    <n v="5"/>
    <n v="0.625"/>
  </r>
  <r>
    <d v="2020-05-19T00:00:00"/>
    <s v="El Dorado F.C"/>
    <m/>
    <x v="7"/>
    <m/>
    <n v="9"/>
    <n v="5"/>
    <n v="0.55555555555555558"/>
  </r>
  <r>
    <d v="2020-05-20T00:00:00"/>
    <m/>
    <s v="iSoccer"/>
    <x v="8"/>
    <m/>
    <n v="9"/>
    <n v="3"/>
    <n v="0.33333333333333331"/>
  </r>
  <r>
    <d v="2020-05-20T00:00:00"/>
    <s v="TIGRII FURIOSI"/>
    <m/>
    <x v="9"/>
    <m/>
    <n v="9"/>
    <n v="2"/>
    <n v="0.22222222222222221"/>
  </r>
  <r>
    <d v="2020-05-21T00:00:00"/>
    <s v="Royal lions 2"/>
    <m/>
    <x v="8"/>
    <m/>
    <n v="8"/>
    <n v="5"/>
    <n v="0.625"/>
  </r>
  <r>
    <d v="2020-05-21T00:00:00"/>
    <m/>
    <s v="Sant Andreu"/>
    <x v="9"/>
    <m/>
    <n v="5"/>
    <n v="2"/>
    <n v="0.4"/>
  </r>
  <r>
    <d v="2020-05-21T00:00:00"/>
    <s v="FC Myth"/>
    <m/>
    <x v="7"/>
    <m/>
    <n v="5"/>
    <n v="2"/>
    <n v="0.4"/>
  </r>
  <r>
    <d v="2020-05-22T00:00:00"/>
    <s v="Brocklers"/>
    <m/>
    <x v="7"/>
    <m/>
    <n v="10"/>
    <n v="4"/>
    <n v="0.4"/>
  </r>
  <r>
    <d v="2020-05-25T00:00:00"/>
    <m/>
    <s v="FC HV 1964"/>
    <x v="9"/>
    <m/>
    <n v="6"/>
    <n v="4"/>
    <n v="0.66666666666666663"/>
  </r>
  <r>
    <d v="2020-05-26T00:00:00"/>
    <m/>
    <s v="SALSEPAREILLE"/>
    <x v="8"/>
    <m/>
    <n v="6"/>
    <n v="4"/>
    <n v="0.66666666666666663"/>
  </r>
  <r>
    <d v="2020-05-26T00:00:00"/>
    <s v="Divine Overconfidence"/>
    <m/>
    <x v="8"/>
    <m/>
    <n v="8"/>
    <n v="3"/>
    <n v="0.375"/>
  </r>
  <r>
    <d v="2020-05-26T00:00:00"/>
    <s v="Os Marcos do Nordeste"/>
    <m/>
    <x v="8"/>
    <m/>
    <n v="6"/>
    <n v="2"/>
    <n v="0.33333333333333331"/>
  </r>
  <r>
    <d v="2020-05-27T00:00:00"/>
    <m/>
    <s v="Lazio Princes Town"/>
    <x v="8"/>
    <m/>
    <n v="7"/>
    <n v="3"/>
    <n v="0.42857142857142855"/>
  </r>
  <r>
    <d v="2020-05-27T00:00:00"/>
    <s v="SS Scappati di Casa"/>
    <m/>
    <x v="8"/>
    <m/>
    <n v="7"/>
    <n v="3"/>
    <n v="0.42857142857142855"/>
  </r>
  <r>
    <d v="2020-05-27T00:00:00"/>
    <m/>
    <s v="FC Glasscherbenviertel"/>
    <x v="10"/>
    <m/>
    <n v="9"/>
    <n v="4"/>
    <n v="0.44444444444444442"/>
  </r>
  <r>
    <d v="2020-05-28T00:00:00"/>
    <m/>
    <s v="Blues Nord"/>
    <x v="8"/>
    <m/>
    <n v="7"/>
    <n v="4"/>
    <n v="0.5714285714285714"/>
  </r>
  <r>
    <d v="2020-05-28T00:00:00"/>
    <m/>
    <s v="Juventus de kudus"/>
    <x v="8"/>
    <m/>
    <n v="8"/>
    <n v="3"/>
    <n v="0.375"/>
  </r>
  <r>
    <d v="2020-05-28T00:00:00"/>
    <s v="Clerks II"/>
    <m/>
    <x v="10"/>
    <m/>
    <n v="8"/>
    <n v="3"/>
    <n v="0.375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301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5" dT="2020-08-24T14:00:51.80" personId="{9D6A3A77-FC87-4EC6-94CD-E94E7D8999A4}" id="{C223E997-198D-48E4-8AA7-77CD21FADA50}">
    <text>4150</text>
  </threadedComment>
  <threadedComment ref="AA7" dT="2020-08-24T09:50:57.99" personId="{9D6A3A77-FC87-4EC6-94CD-E94E7D8999A4}" id="{661AE06C-6699-47B1-9517-EA3D2635C276}">
    <text>7500</text>
  </threadedComment>
  <threadedComment ref="AA9" dT="2020-08-24T09:50:22.42" personId="{9D6A3A77-FC87-4EC6-94CD-E94E7D8999A4}" id="{D132555C-CE98-4551-B6A5-A71A14C3BDA9}">
    <text>7100</text>
  </threadedComment>
  <threadedComment ref="AA10" dT="2020-08-24T09:52:52.10" personId="{9D6A3A77-FC87-4EC6-94CD-E94E7D8999A4}" id="{F98AA9EF-5A8B-4A1B-97A5-F14070E4929D}">
    <text>6200</text>
  </threadedComment>
  <threadedComment ref="AA14" dT="2020-08-24T09:52:22.34" personId="{9D6A3A77-FC87-4EC6-94CD-E94E7D8999A4}" id="{FA716E3D-60E4-406D-9639-45AD2205ABE4}">
    <text>6500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0"/>
  <sheetViews>
    <sheetView workbookViewId="0">
      <selection activeCell="K17" sqref="K17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461" t="s">
        <v>2</v>
      </c>
      <c r="H1" s="461"/>
      <c r="J1" s="94" t="s">
        <v>1</v>
      </c>
      <c r="K1" s="461" t="s">
        <v>3</v>
      </c>
      <c r="L1" s="461"/>
      <c r="N1" s="94" t="s">
        <v>1</v>
      </c>
      <c r="O1" s="461" t="s">
        <v>4</v>
      </c>
      <c r="P1" s="461"/>
    </row>
    <row r="2" spans="1:16" x14ac:dyDescent="0.25">
      <c r="A2" s="443">
        <v>44048</v>
      </c>
      <c r="F2" s="43">
        <v>1</v>
      </c>
      <c r="G2" s="93" t="s">
        <v>5</v>
      </c>
      <c r="H2" s="42" t="s">
        <v>6</v>
      </c>
      <c r="J2" s="43">
        <v>1</v>
      </c>
      <c r="K2" s="93" t="s">
        <v>7</v>
      </c>
      <c r="L2" s="42">
        <v>175</v>
      </c>
      <c r="N2" s="43">
        <v>1</v>
      </c>
      <c r="O2" s="353" t="s">
        <v>31</v>
      </c>
      <c r="P2" s="42">
        <v>77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353" t="s">
        <v>14</v>
      </c>
      <c r="L3" s="42">
        <v>164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93" t="s">
        <v>12</v>
      </c>
      <c r="L4" s="42">
        <v>155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4</v>
      </c>
      <c r="K5" s="353" t="s">
        <v>34</v>
      </c>
      <c r="L5" s="42">
        <v>150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353" t="s">
        <v>20</v>
      </c>
      <c r="L6" s="42">
        <v>147</v>
      </c>
      <c r="N6" s="43">
        <v>5</v>
      </c>
      <c r="O6" s="93" t="s">
        <v>5</v>
      </c>
      <c r="P6" s="42">
        <v>42</v>
      </c>
    </row>
    <row r="7" spans="1:16" x14ac:dyDescent="0.25">
      <c r="F7" s="43">
        <v>6</v>
      </c>
      <c r="G7" s="93" t="s">
        <v>18</v>
      </c>
      <c r="H7" s="42" t="s">
        <v>32</v>
      </c>
      <c r="J7" s="43">
        <v>6</v>
      </c>
      <c r="K7" s="93" t="s">
        <v>18</v>
      </c>
      <c r="L7" s="42">
        <v>145</v>
      </c>
      <c r="N7" s="43">
        <v>6</v>
      </c>
      <c r="O7" s="93" t="s">
        <v>33</v>
      </c>
      <c r="P7" s="42">
        <v>29</v>
      </c>
    </row>
    <row r="8" spans="1:16" x14ac:dyDescent="0.25">
      <c r="A8" s="94" t="s">
        <v>1</v>
      </c>
      <c r="B8" s="461" t="s">
        <v>35</v>
      </c>
      <c r="C8" s="461"/>
      <c r="F8" s="43">
        <v>6</v>
      </c>
      <c r="G8" s="353" t="s">
        <v>918</v>
      </c>
      <c r="H8" s="42" t="s">
        <v>32</v>
      </c>
      <c r="J8" s="43">
        <v>7</v>
      </c>
      <c r="K8" s="93" t="s">
        <v>24</v>
      </c>
      <c r="L8" s="42">
        <v>144</v>
      </c>
      <c r="N8" s="43">
        <v>7</v>
      </c>
      <c r="O8" s="93" t="s">
        <v>16</v>
      </c>
      <c r="P8" s="42">
        <v>27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353" t="s">
        <v>26</v>
      </c>
      <c r="L9" s="42">
        <v>143</v>
      </c>
      <c r="N9" s="43">
        <v>8</v>
      </c>
      <c r="O9" s="353" t="s">
        <v>26</v>
      </c>
      <c r="P9" s="42">
        <v>26</v>
      </c>
    </row>
    <row r="10" spans="1:16" x14ac:dyDescent="0.25">
      <c r="A10" s="43">
        <v>2</v>
      </c>
      <c r="B10" s="353" t="s">
        <v>9</v>
      </c>
      <c r="C10" s="42">
        <v>38</v>
      </c>
      <c r="F10" s="43">
        <v>9</v>
      </c>
      <c r="G10" s="93" t="s">
        <v>39</v>
      </c>
      <c r="H10" s="42" t="s">
        <v>40</v>
      </c>
      <c r="J10" s="43">
        <v>9</v>
      </c>
      <c r="K10" s="353" t="s">
        <v>31</v>
      </c>
      <c r="L10" s="42">
        <v>142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9</v>
      </c>
      <c r="G11" s="93" t="s">
        <v>43</v>
      </c>
      <c r="H11" s="42" t="s">
        <v>40</v>
      </c>
      <c r="J11" s="43">
        <v>10</v>
      </c>
      <c r="K11" s="93" t="s">
        <v>5</v>
      </c>
      <c r="L11" s="42">
        <v>141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9</v>
      </c>
      <c r="G12" s="93" t="s">
        <v>46</v>
      </c>
      <c r="H12" s="42" t="s">
        <v>40</v>
      </c>
      <c r="J12" s="43">
        <v>11</v>
      </c>
      <c r="K12" s="93" t="s">
        <v>13</v>
      </c>
      <c r="L12" s="42">
        <v>140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9</v>
      </c>
      <c r="G13" s="93" t="s">
        <v>50</v>
      </c>
      <c r="H13" s="42" t="s">
        <v>40</v>
      </c>
      <c r="J13" s="43">
        <v>12</v>
      </c>
      <c r="K13" s="93" t="s">
        <v>38</v>
      </c>
      <c r="L13" s="42">
        <v>135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9</v>
      </c>
      <c r="G14" s="353" t="s">
        <v>9</v>
      </c>
      <c r="H14" s="42" t="s">
        <v>40</v>
      </c>
      <c r="J14" s="43">
        <v>13</v>
      </c>
      <c r="K14" s="353" t="s">
        <v>9</v>
      </c>
      <c r="L14" s="42">
        <v>119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9</v>
      </c>
      <c r="G15" s="444" t="s">
        <v>181</v>
      </c>
      <c r="H15" s="42" t="s">
        <v>40</v>
      </c>
      <c r="J15" s="43">
        <v>14</v>
      </c>
      <c r="K15" s="93" t="s">
        <v>39</v>
      </c>
      <c r="L15" s="42">
        <v>111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353" t="s">
        <v>65</v>
      </c>
      <c r="C16" s="42">
        <v>9</v>
      </c>
      <c r="F16" s="43">
        <v>15</v>
      </c>
      <c r="G16" s="93" t="s">
        <v>53</v>
      </c>
      <c r="H16" s="42" t="s">
        <v>54</v>
      </c>
      <c r="J16" s="43">
        <v>15</v>
      </c>
      <c r="K16" s="93" t="s">
        <v>47</v>
      </c>
      <c r="L16" s="42">
        <v>105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15</v>
      </c>
      <c r="G17" s="93" t="s">
        <v>57</v>
      </c>
      <c r="H17" s="42" t="s">
        <v>54</v>
      </c>
      <c r="J17" s="43">
        <v>16</v>
      </c>
      <c r="K17" s="93" t="s">
        <v>42</v>
      </c>
      <c r="L17" s="42">
        <v>93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15</v>
      </c>
      <c r="G18" s="93" t="s">
        <v>61</v>
      </c>
      <c r="H18" s="42" t="s">
        <v>54</v>
      </c>
      <c r="J18" s="43">
        <v>16</v>
      </c>
      <c r="K18" s="353" t="s">
        <v>49</v>
      </c>
      <c r="L18" s="42">
        <v>93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15</v>
      </c>
      <c r="G19" s="93" t="s">
        <v>63</v>
      </c>
      <c r="H19" s="42" t="s">
        <v>54</v>
      </c>
      <c r="J19" s="43">
        <v>18</v>
      </c>
      <c r="K19" s="353" t="s">
        <v>68</v>
      </c>
      <c r="L19" s="42">
        <v>91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15</v>
      </c>
      <c r="G20" s="93" t="s">
        <v>7</v>
      </c>
      <c r="H20" s="42" t="s">
        <v>54</v>
      </c>
      <c r="J20" s="43">
        <v>19</v>
      </c>
      <c r="K20" s="93" t="s">
        <v>66</v>
      </c>
      <c r="L20" s="42">
        <v>83</v>
      </c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15</v>
      </c>
      <c r="G21" s="444" t="s">
        <v>183</v>
      </c>
      <c r="H21" s="42" t="s">
        <v>54</v>
      </c>
      <c r="J21" s="43">
        <v>20</v>
      </c>
      <c r="K21" s="353" t="s">
        <v>74</v>
      </c>
      <c r="L21" s="42">
        <v>82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15</v>
      </c>
      <c r="G22" s="444" t="s">
        <v>14</v>
      </c>
      <c r="H22" s="42" t="s">
        <v>54</v>
      </c>
      <c r="J22" s="43">
        <v>20</v>
      </c>
      <c r="K22" s="353" t="s">
        <v>27</v>
      </c>
      <c r="L22" s="42">
        <v>82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22</v>
      </c>
      <c r="G23" s="93" t="s">
        <v>70</v>
      </c>
      <c r="H23" s="42" t="s">
        <v>71</v>
      </c>
      <c r="J23" s="43">
        <v>22</v>
      </c>
      <c r="K23" s="93" t="s">
        <v>72</v>
      </c>
      <c r="L23" s="42">
        <v>78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22</v>
      </c>
      <c r="G24" s="93" t="s">
        <v>76</v>
      </c>
      <c r="H24" s="42" t="s">
        <v>71</v>
      </c>
      <c r="J24" s="43">
        <v>23</v>
      </c>
      <c r="K24" s="93" t="s">
        <v>61</v>
      </c>
      <c r="L24" s="42">
        <v>67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22</v>
      </c>
      <c r="G25" s="93" t="s">
        <v>79</v>
      </c>
      <c r="H25" s="42" t="s">
        <v>71</v>
      </c>
      <c r="J25" s="43">
        <v>24</v>
      </c>
      <c r="K25" s="93" t="s">
        <v>8</v>
      </c>
      <c r="L25" s="42">
        <v>64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22</v>
      </c>
      <c r="G26" s="93" t="s">
        <v>82</v>
      </c>
      <c r="H26" s="42" t="s">
        <v>71</v>
      </c>
      <c r="J26" s="43">
        <v>25</v>
      </c>
      <c r="K26" s="93" t="s">
        <v>83</v>
      </c>
      <c r="L26" s="42">
        <v>60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22</v>
      </c>
      <c r="G27" s="93" t="s">
        <v>86</v>
      </c>
      <c r="H27" s="42" t="s">
        <v>71</v>
      </c>
      <c r="J27" s="43">
        <v>25</v>
      </c>
      <c r="K27" s="93" t="s">
        <v>63</v>
      </c>
      <c r="L27" s="42">
        <v>60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22</v>
      </c>
      <c r="G28" s="93" t="s">
        <v>66</v>
      </c>
      <c r="H28" s="42" t="s">
        <v>71</v>
      </c>
      <c r="J28" s="43">
        <v>27</v>
      </c>
      <c r="K28" s="93" t="s">
        <v>88</v>
      </c>
      <c r="L28" s="42">
        <v>58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22</v>
      </c>
      <c r="G29" s="93" t="s">
        <v>72</v>
      </c>
      <c r="H29" s="42" t="s">
        <v>71</v>
      </c>
      <c r="J29" s="43">
        <v>28</v>
      </c>
      <c r="K29" s="93" t="s">
        <v>41</v>
      </c>
      <c r="L29" s="42">
        <v>57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22</v>
      </c>
      <c r="G30" s="93" t="s">
        <v>83</v>
      </c>
      <c r="H30" s="42" t="s">
        <v>71</v>
      </c>
      <c r="J30" s="43">
        <v>28</v>
      </c>
      <c r="K30" s="93" t="s">
        <v>10</v>
      </c>
      <c r="L30" s="42">
        <v>57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22</v>
      </c>
      <c r="G31" s="93" t="s">
        <v>94</v>
      </c>
      <c r="H31" s="42" t="s">
        <v>71</v>
      </c>
      <c r="J31" s="43">
        <v>30</v>
      </c>
      <c r="K31" s="93" t="s">
        <v>97</v>
      </c>
      <c r="L31" s="42">
        <v>56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22</v>
      </c>
      <c r="G32" s="93" t="s">
        <v>96</v>
      </c>
      <c r="H32" s="42" t="s">
        <v>71</v>
      </c>
      <c r="J32" s="43">
        <v>30</v>
      </c>
      <c r="K32" s="93" t="s">
        <v>76</v>
      </c>
      <c r="L32" s="42">
        <v>56</v>
      </c>
    </row>
    <row r="33" spans="6:12" x14ac:dyDescent="0.25">
      <c r="F33" s="43">
        <v>22</v>
      </c>
      <c r="G33" s="93" t="s">
        <v>99</v>
      </c>
      <c r="H33" s="42" t="s">
        <v>71</v>
      </c>
      <c r="J33" s="43">
        <v>32</v>
      </c>
      <c r="K33" s="93" t="s">
        <v>36</v>
      </c>
      <c r="L33" s="42">
        <v>54</v>
      </c>
    </row>
    <row r="34" spans="6:12" x14ac:dyDescent="0.25">
      <c r="F34" s="43">
        <v>22</v>
      </c>
      <c r="G34" s="93" t="s">
        <v>101</v>
      </c>
      <c r="H34" s="42" t="s">
        <v>71</v>
      </c>
      <c r="J34" s="43">
        <v>33</v>
      </c>
      <c r="K34" s="54" t="s">
        <v>104</v>
      </c>
      <c r="L34" s="42">
        <v>52</v>
      </c>
    </row>
    <row r="35" spans="6:12" x14ac:dyDescent="0.25">
      <c r="F35" s="43">
        <v>22</v>
      </c>
      <c r="G35" s="93" t="s">
        <v>103</v>
      </c>
      <c r="H35" s="42" t="s">
        <v>71</v>
      </c>
      <c r="J35" s="43">
        <v>34</v>
      </c>
      <c r="K35" s="93" t="s">
        <v>99</v>
      </c>
      <c r="L35" s="42">
        <v>51</v>
      </c>
    </row>
    <row r="36" spans="6:12" x14ac:dyDescent="0.25">
      <c r="F36" s="43">
        <v>22</v>
      </c>
      <c r="G36" s="93" t="s">
        <v>106</v>
      </c>
      <c r="H36" s="42" t="s">
        <v>71</v>
      </c>
      <c r="J36" s="43">
        <v>34</v>
      </c>
      <c r="K36" s="93" t="s">
        <v>77</v>
      </c>
      <c r="L36" s="42">
        <v>51</v>
      </c>
    </row>
    <row r="37" spans="6:12" x14ac:dyDescent="0.25">
      <c r="F37" s="43">
        <v>22</v>
      </c>
      <c r="G37" s="353" t="s">
        <v>49</v>
      </c>
      <c r="H37" s="42" t="s">
        <v>71</v>
      </c>
    </row>
    <row r="38" spans="6:12" x14ac:dyDescent="0.25">
      <c r="F38" s="43">
        <v>22</v>
      </c>
      <c r="G38" s="353" t="s">
        <v>27</v>
      </c>
      <c r="H38" s="42" t="s">
        <v>71</v>
      </c>
    </row>
    <row r="39" spans="6:12" x14ac:dyDescent="0.25">
      <c r="F39" s="43">
        <v>22</v>
      </c>
      <c r="G39" s="93" t="s">
        <v>919</v>
      </c>
      <c r="H39" s="42" t="s">
        <v>71</v>
      </c>
    </row>
    <row r="40" spans="6:12" x14ac:dyDescent="0.25">
      <c r="F40" s="43">
        <v>22</v>
      </c>
      <c r="G40" s="93" t="s">
        <v>19</v>
      </c>
      <c r="H40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topLeftCell="A2" zoomScale="90" workbookViewId="0">
      <selection activeCell="N32" sqref="N3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0" t="s">
        <v>697</v>
      </c>
      <c r="N1" s="360" t="s">
        <v>698</v>
      </c>
      <c r="O1" s="360" t="s">
        <v>699</v>
      </c>
      <c r="P1" s="360" t="s">
        <v>700</v>
      </c>
      <c r="Q1" s="360" t="s">
        <v>701</v>
      </c>
      <c r="R1" s="360" t="s">
        <v>702</v>
      </c>
      <c r="S1" s="360" t="s">
        <v>703</v>
      </c>
      <c r="U1" s="360" t="s">
        <v>704</v>
      </c>
    </row>
    <row r="2" spans="1:36" x14ac:dyDescent="0.25">
      <c r="C2" s="361" t="s">
        <v>705</v>
      </c>
      <c r="D2" s="485" t="s">
        <v>706</v>
      </c>
      <c r="E2" s="485"/>
      <c r="F2" s="486" t="s">
        <v>707</v>
      </c>
      <c r="G2" s="486"/>
      <c r="H2" s="487" t="s">
        <v>708</v>
      </c>
      <c r="I2" s="487"/>
      <c r="K2" s="54"/>
      <c r="M2" s="362">
        <v>11</v>
      </c>
      <c r="N2" s="363">
        <v>14.98</v>
      </c>
      <c r="O2" s="363">
        <v>5.95</v>
      </c>
      <c r="P2" s="364">
        <f t="shared" ref="P2:P12" si="0">U2*0.97</f>
        <v>5.3253000000000004</v>
      </c>
      <c r="Q2" s="363">
        <v>0.68000000000000016</v>
      </c>
      <c r="R2" s="365">
        <v>27.09</v>
      </c>
      <c r="U2" s="363">
        <v>5.49</v>
      </c>
    </row>
    <row r="3" spans="1:36" x14ac:dyDescent="0.25">
      <c r="A3" s="366" t="s">
        <v>709</v>
      </c>
      <c r="B3" s="367">
        <f>B4+B5+B6+B7</f>
        <v>54000</v>
      </c>
      <c r="C3" s="368">
        <f>C4+C5+C6+C7</f>
        <v>58283</v>
      </c>
      <c r="D3" s="18" t="s">
        <v>710</v>
      </c>
      <c r="E3" s="18" t="s">
        <v>711</v>
      </c>
      <c r="F3" s="18" t="s">
        <v>710</v>
      </c>
      <c r="G3" s="18" t="s">
        <v>712</v>
      </c>
      <c r="H3" s="18" t="s">
        <v>710</v>
      </c>
      <c r="I3" s="369" t="s">
        <v>713</v>
      </c>
      <c r="J3" s="18" t="s">
        <v>714</v>
      </c>
      <c r="K3" s="18" t="s">
        <v>715</v>
      </c>
      <c r="M3" s="362">
        <v>10</v>
      </c>
      <c r="N3" s="370">
        <v>14.23</v>
      </c>
      <c r="O3" s="370">
        <v>5.59</v>
      </c>
      <c r="P3" s="364">
        <f t="shared" si="0"/>
        <v>4.9179000000000004</v>
      </c>
      <c r="Q3" s="370">
        <v>0.62</v>
      </c>
      <c r="R3" s="371">
        <v>25.52</v>
      </c>
      <c r="U3" s="370">
        <v>5.07</v>
      </c>
    </row>
    <row r="4" spans="1:36" x14ac:dyDescent="0.25">
      <c r="A4" s="366" t="s">
        <v>716</v>
      </c>
      <c r="B4" s="367">
        <v>28944</v>
      </c>
      <c r="C4" s="372">
        <v>33353</v>
      </c>
      <c r="D4" s="373">
        <v>45</v>
      </c>
      <c r="E4" s="374">
        <f>D4*(C4-B4)</f>
        <v>198405</v>
      </c>
      <c r="F4" s="375">
        <v>0.5</v>
      </c>
      <c r="G4" s="374">
        <f>(C4-B4)*F4</f>
        <v>2204.5</v>
      </c>
      <c r="H4" s="375">
        <v>7</v>
      </c>
      <c r="I4" s="376">
        <f>(C4-B4)*H4</f>
        <v>30863</v>
      </c>
      <c r="J4" s="374">
        <f>H4*C4</f>
        <v>233471</v>
      </c>
      <c r="K4" s="18">
        <f>B4*F4</f>
        <v>14472</v>
      </c>
      <c r="L4" s="27">
        <f>5000*N13*F4</f>
        <v>1382.4289405684756</v>
      </c>
      <c r="M4" s="362">
        <v>9</v>
      </c>
      <c r="N4" s="363">
        <v>13.49</v>
      </c>
      <c r="O4" s="363">
        <v>5.24</v>
      </c>
      <c r="P4" s="364">
        <f t="shared" si="0"/>
        <v>4.5202</v>
      </c>
      <c r="Q4" s="363">
        <v>0.56999999999999995</v>
      </c>
      <c r="R4" s="365">
        <v>23.95</v>
      </c>
      <c r="U4" s="363">
        <v>4.66</v>
      </c>
    </row>
    <row r="5" spans="1:36" x14ac:dyDescent="0.25">
      <c r="A5" s="366" t="s">
        <v>717</v>
      </c>
      <c r="B5" s="367">
        <v>12420</v>
      </c>
      <c r="C5" s="377">
        <v>12802</v>
      </c>
      <c r="D5" s="378">
        <v>75</v>
      </c>
      <c r="E5" s="374">
        <f>D5*(C5-B5)</f>
        <v>28650</v>
      </c>
      <c r="F5" s="379">
        <v>0.7</v>
      </c>
      <c r="G5" s="374">
        <f>(C5-B5)*F5</f>
        <v>267.39999999999998</v>
      </c>
      <c r="H5" s="379">
        <v>10</v>
      </c>
      <c r="I5" s="376">
        <f>(C5-B5)*H5</f>
        <v>3820</v>
      </c>
      <c r="J5" s="374">
        <f>H5*C5</f>
        <v>128020</v>
      </c>
      <c r="K5" s="18">
        <f>B5*F5</f>
        <v>8694</v>
      </c>
      <c r="L5" s="27">
        <f>5000*O13*F5</f>
        <v>768.73385012919903</v>
      </c>
      <c r="M5" s="362">
        <v>8</v>
      </c>
      <c r="N5" s="370">
        <v>12.74</v>
      </c>
      <c r="O5" s="370">
        <v>4.8899999999999997</v>
      </c>
      <c r="P5" s="364">
        <f t="shared" si="0"/>
        <v>4.1224999999999996</v>
      </c>
      <c r="Q5" s="370">
        <v>0.51</v>
      </c>
      <c r="R5" s="371">
        <v>22.39</v>
      </c>
      <c r="U5" s="370">
        <v>4.25</v>
      </c>
    </row>
    <row r="6" spans="1:36" x14ac:dyDescent="0.25">
      <c r="A6" s="366" t="s">
        <v>718</v>
      </c>
      <c r="B6" s="367">
        <v>11448</v>
      </c>
      <c r="C6" s="377">
        <v>10793</v>
      </c>
      <c r="D6" s="373">
        <v>90</v>
      </c>
      <c r="E6" s="374">
        <f>D6*(C6-B6)</f>
        <v>-58950</v>
      </c>
      <c r="F6" s="375">
        <v>1</v>
      </c>
      <c r="G6" s="374">
        <f>(C6-B6)*F6</f>
        <v>-655</v>
      </c>
      <c r="H6" s="375">
        <v>19</v>
      </c>
      <c r="I6" s="376">
        <f>(C6-B6)*H6</f>
        <v>-12445</v>
      </c>
      <c r="J6" s="374">
        <f>H6*C6</f>
        <v>205067</v>
      </c>
      <c r="K6" s="18">
        <f>B6*F6</f>
        <v>11448</v>
      </c>
      <c r="L6" s="27">
        <f>5000*P13*F6</f>
        <v>982.89036544850512</v>
      </c>
      <c r="M6" s="362">
        <v>7</v>
      </c>
      <c r="N6" s="363">
        <v>12</v>
      </c>
      <c r="O6" s="363">
        <v>4.53</v>
      </c>
      <c r="P6" s="364">
        <f t="shared" si="0"/>
        <v>3.7247999999999997</v>
      </c>
      <c r="Q6" s="363">
        <v>0.46000000000000008</v>
      </c>
      <c r="R6" s="365">
        <v>20.83</v>
      </c>
      <c r="U6" s="363">
        <v>3.84</v>
      </c>
    </row>
    <row r="7" spans="1:36" x14ac:dyDescent="0.25">
      <c r="A7" s="366" t="s">
        <v>719</v>
      </c>
      <c r="B7" s="367">
        <v>1188</v>
      </c>
      <c r="C7" s="380">
        <v>1335</v>
      </c>
      <c r="D7" s="378">
        <v>300</v>
      </c>
      <c r="E7" s="374">
        <f>D7*(C7-B7)</f>
        <v>44100</v>
      </c>
      <c r="F7" s="379">
        <v>2.5</v>
      </c>
      <c r="G7" s="374">
        <f>(C7-B7)*F7</f>
        <v>367.5</v>
      </c>
      <c r="H7" s="379">
        <v>35</v>
      </c>
      <c r="I7" s="376">
        <f>(C7-B7)*H7</f>
        <v>5145</v>
      </c>
      <c r="J7" s="374">
        <f>H7*C7</f>
        <v>46725</v>
      </c>
      <c r="K7" s="18">
        <f>B7*F7</f>
        <v>2970</v>
      </c>
      <c r="L7" s="27">
        <f>5000*Q13*F7</f>
        <v>313.76891842008126</v>
      </c>
      <c r="M7" s="362">
        <v>6</v>
      </c>
      <c r="N7" s="370">
        <v>11.26</v>
      </c>
      <c r="O7" s="370">
        <v>4.17</v>
      </c>
      <c r="P7" s="364">
        <f t="shared" si="0"/>
        <v>3.3367999999999998</v>
      </c>
      <c r="Q7" s="370">
        <v>0.41</v>
      </c>
      <c r="R7" s="371">
        <v>19.27</v>
      </c>
      <c r="U7" s="370">
        <v>3.44</v>
      </c>
    </row>
    <row r="8" spans="1:36" x14ac:dyDescent="0.25">
      <c r="C8" s="381">
        <f>C4/$C$3</f>
        <v>0.57225949247636532</v>
      </c>
      <c r="J8" s="374">
        <f>J7+J6+J5+J4</f>
        <v>613283</v>
      </c>
      <c r="K8" s="18">
        <f>K7+K6+K5+K4</f>
        <v>37584</v>
      </c>
      <c r="L8" s="18">
        <f>L7+L6+L5+L4</f>
        <v>3447.8220745662611</v>
      </c>
      <c r="M8" s="362">
        <v>5</v>
      </c>
      <c r="N8" s="363">
        <v>10.52</v>
      </c>
      <c r="O8" s="363">
        <v>3.81</v>
      </c>
      <c r="P8" s="364">
        <f t="shared" si="0"/>
        <v>2.9390999999999998</v>
      </c>
      <c r="Q8" s="363">
        <v>0.35</v>
      </c>
      <c r="R8" s="365">
        <v>17.719999999999995</v>
      </c>
      <c r="U8" s="363">
        <v>3.03</v>
      </c>
    </row>
    <row r="9" spans="1:36" x14ac:dyDescent="0.25">
      <c r="C9" s="382">
        <f>C5/$C$3</f>
        <v>0.21965238577286689</v>
      </c>
      <c r="E9" s="25">
        <f>C4-B4</f>
        <v>4409</v>
      </c>
      <c r="H9">
        <f>H10+H11+H12+H13</f>
        <v>71304</v>
      </c>
      <c r="M9" s="362">
        <v>4</v>
      </c>
      <c r="N9" s="370">
        <v>9.8000000000000007</v>
      </c>
      <c r="O9" s="370">
        <v>3.46</v>
      </c>
      <c r="P9" s="364">
        <f t="shared" si="0"/>
        <v>2.5510999999999999</v>
      </c>
      <c r="Q9" s="370">
        <v>0.3</v>
      </c>
      <c r="R9" s="371">
        <v>16.170000000000002</v>
      </c>
      <c r="U9" s="370">
        <v>2.63</v>
      </c>
    </row>
    <row r="10" spans="1:36" x14ac:dyDescent="0.25">
      <c r="B10" s="383">
        <f>B11/B13</f>
        <v>4.5003487770302199E-2</v>
      </c>
      <c r="C10" s="382">
        <f>C6/$C$3</f>
        <v>0.18518264330936979</v>
      </c>
      <c r="E10" s="25">
        <f>C5-B5</f>
        <v>382</v>
      </c>
      <c r="H10">
        <v>40146</v>
      </c>
      <c r="I10" s="58">
        <f>H10/$H$9</f>
        <v>0.56302591719959605</v>
      </c>
      <c r="M10" s="362">
        <v>3</v>
      </c>
      <c r="N10" s="363">
        <v>9.09</v>
      </c>
      <c r="O10" s="363">
        <v>3.1</v>
      </c>
      <c r="P10" s="364">
        <f t="shared" si="0"/>
        <v>2.1436999999999999</v>
      </c>
      <c r="Q10" s="363">
        <v>0.24</v>
      </c>
      <c r="R10" s="365">
        <v>14.63</v>
      </c>
      <c r="U10" s="363">
        <v>2.21</v>
      </c>
    </row>
    <row r="11" spans="1:36" x14ac:dyDescent="0.25">
      <c r="A11" s="341" t="s">
        <v>720</v>
      </c>
      <c r="B11" s="384">
        <v>10000</v>
      </c>
      <c r="C11" s="382">
        <f>C7/$C$3</f>
        <v>2.2905478441398005E-2</v>
      </c>
      <c r="E11" s="25">
        <f>C6-B6</f>
        <v>-655</v>
      </c>
      <c r="H11">
        <v>15594</v>
      </c>
      <c r="I11" s="58">
        <f>H11/$H$9</f>
        <v>0.21869740828004039</v>
      </c>
      <c r="M11" s="362">
        <v>2</v>
      </c>
      <c r="N11" s="370">
        <v>8.42</v>
      </c>
      <c r="O11" s="370">
        <v>2.73</v>
      </c>
      <c r="P11" s="364">
        <f t="shared" si="0"/>
        <v>1.7168999999999999</v>
      </c>
      <c r="Q11" s="370">
        <v>0.17999999999999997</v>
      </c>
      <c r="R11" s="371">
        <v>13.090000000000002</v>
      </c>
      <c r="U11" s="370">
        <v>1.77</v>
      </c>
    </row>
    <row r="12" spans="1:36" x14ac:dyDescent="0.25">
      <c r="A12" s="341" t="s">
        <v>721</v>
      </c>
      <c r="B12" s="385">
        <f>E7+E6+E5+E4</f>
        <v>212205</v>
      </c>
      <c r="E12" s="25">
        <f>C7-B7</f>
        <v>147</v>
      </c>
      <c r="H12">
        <v>13868</v>
      </c>
      <c r="I12" s="58">
        <f>H12/$H$9</f>
        <v>0.19449119263996409</v>
      </c>
      <c r="M12" s="362">
        <v>1</v>
      </c>
      <c r="N12" s="363">
        <v>7.8499999999999988</v>
      </c>
      <c r="O12" s="363">
        <v>2.34</v>
      </c>
      <c r="P12" s="364">
        <f t="shared" si="0"/>
        <v>1.1931</v>
      </c>
      <c r="Q12" s="363">
        <v>0.1</v>
      </c>
      <c r="R12" s="365">
        <v>11.53</v>
      </c>
      <c r="U12" s="363">
        <v>1.23</v>
      </c>
    </row>
    <row r="13" spans="1:36" x14ac:dyDescent="0.25">
      <c r="A13" s="386" t="s">
        <v>585</v>
      </c>
      <c r="B13" s="387">
        <f>B11+B12</f>
        <v>222205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4">
        <f>P2/R2</f>
        <v>0.19657807308970102</v>
      </c>
      <c r="Q13">
        <f>Q2/R2</f>
        <v>2.5101513473606504E-2</v>
      </c>
    </row>
    <row r="15" spans="1:36" x14ac:dyDescent="0.25">
      <c r="A15" s="43"/>
      <c r="B15" s="388" t="s">
        <v>504</v>
      </c>
      <c r="C15" s="388" t="s">
        <v>505</v>
      </c>
      <c r="D15" s="388" t="s">
        <v>506</v>
      </c>
      <c r="E15" s="388" t="s">
        <v>507</v>
      </c>
      <c r="F15" s="388" t="s">
        <v>508</v>
      </c>
      <c r="G15" s="388" t="s">
        <v>509</v>
      </c>
      <c r="H15" s="388" t="s">
        <v>510</v>
      </c>
      <c r="I15" s="388" t="s">
        <v>511</v>
      </c>
      <c r="J15" s="388" t="s">
        <v>512</v>
      </c>
      <c r="K15" s="388" t="s">
        <v>513</v>
      </c>
      <c r="L15" s="388" t="s">
        <v>514</v>
      </c>
      <c r="M15" s="388" t="s">
        <v>515</v>
      </c>
      <c r="N15" s="388" t="s">
        <v>516</v>
      </c>
      <c r="O15" s="388" t="s">
        <v>517</v>
      </c>
      <c r="P15" s="388" t="s">
        <v>518</v>
      </c>
      <c r="Q15" s="388" t="s">
        <v>519</v>
      </c>
      <c r="R15" s="388" t="s">
        <v>504</v>
      </c>
      <c r="S15" s="388" t="s">
        <v>505</v>
      </c>
      <c r="T15" s="388" t="s">
        <v>506</v>
      </c>
      <c r="U15" s="388" t="s">
        <v>507</v>
      </c>
      <c r="V15" s="388" t="s">
        <v>508</v>
      </c>
      <c r="W15" s="388" t="s">
        <v>509</v>
      </c>
      <c r="X15" s="388" t="s">
        <v>510</v>
      </c>
      <c r="Y15" s="388" t="s">
        <v>511</v>
      </c>
      <c r="Z15" s="388" t="s">
        <v>512</v>
      </c>
      <c r="AA15" s="388" t="s">
        <v>513</v>
      </c>
      <c r="AB15" s="388" t="s">
        <v>514</v>
      </c>
      <c r="AC15" s="388" t="s">
        <v>515</v>
      </c>
      <c r="AD15" s="388" t="s">
        <v>516</v>
      </c>
      <c r="AE15" s="388" t="s">
        <v>517</v>
      </c>
      <c r="AF15" s="388" t="s">
        <v>518</v>
      </c>
      <c r="AG15" s="388" t="s">
        <v>519</v>
      </c>
      <c r="AH15" s="388"/>
      <c r="AI15" s="388"/>
    </row>
    <row r="16" spans="1:36" x14ac:dyDescent="0.25">
      <c r="A16" s="389" t="s">
        <v>722</v>
      </c>
      <c r="B16" s="390">
        <v>2588</v>
      </c>
      <c r="C16" s="390">
        <f t="shared" ref="C16:AG16" si="1">B16+2</f>
        <v>2590</v>
      </c>
      <c r="D16" s="390">
        <f t="shared" si="1"/>
        <v>2592</v>
      </c>
      <c r="E16" s="390">
        <f t="shared" si="1"/>
        <v>2594</v>
      </c>
      <c r="F16" s="390">
        <f t="shared" si="1"/>
        <v>2596</v>
      </c>
      <c r="G16" s="390">
        <f t="shared" si="1"/>
        <v>2598</v>
      </c>
      <c r="H16" s="390">
        <f t="shared" si="1"/>
        <v>2600</v>
      </c>
      <c r="I16" s="390">
        <f t="shared" si="1"/>
        <v>2602</v>
      </c>
      <c r="J16" s="390">
        <f t="shared" si="1"/>
        <v>2604</v>
      </c>
      <c r="K16" s="390">
        <f t="shared" si="1"/>
        <v>2606</v>
      </c>
      <c r="L16" s="390">
        <f t="shared" si="1"/>
        <v>2608</v>
      </c>
      <c r="M16" s="390">
        <f t="shared" si="1"/>
        <v>2610</v>
      </c>
      <c r="N16" s="390">
        <f t="shared" si="1"/>
        <v>2612</v>
      </c>
      <c r="O16" s="390">
        <f t="shared" si="1"/>
        <v>2614</v>
      </c>
      <c r="P16" s="390">
        <f t="shared" si="1"/>
        <v>2616</v>
      </c>
      <c r="Q16" s="390">
        <f t="shared" si="1"/>
        <v>2618</v>
      </c>
      <c r="R16" s="390">
        <f t="shared" si="1"/>
        <v>2620</v>
      </c>
      <c r="S16" s="390">
        <f t="shared" si="1"/>
        <v>2622</v>
      </c>
      <c r="T16" s="390">
        <f t="shared" si="1"/>
        <v>2624</v>
      </c>
      <c r="U16" s="390">
        <f t="shared" si="1"/>
        <v>2626</v>
      </c>
      <c r="V16" s="390">
        <f t="shared" si="1"/>
        <v>2628</v>
      </c>
      <c r="W16" s="390">
        <f t="shared" si="1"/>
        <v>2630</v>
      </c>
      <c r="X16" s="390">
        <f t="shared" si="1"/>
        <v>2632</v>
      </c>
      <c r="Y16" s="390">
        <f t="shared" si="1"/>
        <v>2634</v>
      </c>
      <c r="Z16" s="390">
        <f t="shared" si="1"/>
        <v>2636</v>
      </c>
      <c r="AA16" s="390">
        <f t="shared" si="1"/>
        <v>2638</v>
      </c>
      <c r="AB16" s="390">
        <f t="shared" si="1"/>
        <v>2640</v>
      </c>
      <c r="AC16" s="390">
        <f t="shared" si="1"/>
        <v>2642</v>
      </c>
      <c r="AD16" s="390">
        <f t="shared" si="1"/>
        <v>2644</v>
      </c>
      <c r="AE16" s="390">
        <f t="shared" si="1"/>
        <v>2646</v>
      </c>
      <c r="AF16" s="390">
        <f t="shared" si="1"/>
        <v>2648</v>
      </c>
      <c r="AG16" s="390">
        <f t="shared" si="1"/>
        <v>2650</v>
      </c>
      <c r="AH16" s="390">
        <f>AG16+4</f>
        <v>2654</v>
      </c>
      <c r="AI16" s="390">
        <f>AH16+4</f>
        <v>2658</v>
      </c>
      <c r="AJ16" s="390">
        <f>AI16+4</f>
        <v>2662</v>
      </c>
    </row>
    <row r="17" spans="1:48" s="41" customFormat="1" x14ac:dyDescent="0.25">
      <c r="A17" s="400"/>
      <c r="B17" s="401">
        <f t="shared" ref="B17:AD17" si="2">B18+B19+B20+B21</f>
        <v>57615.35</v>
      </c>
      <c r="C17" s="401">
        <f t="shared" si="2"/>
        <v>57659.875</v>
      </c>
      <c r="D17" s="401">
        <f t="shared" si="2"/>
        <v>57704.399999999994</v>
      </c>
      <c r="E17" s="401">
        <f t="shared" si="2"/>
        <v>57748.925000000003</v>
      </c>
      <c r="F17" s="401">
        <f t="shared" si="2"/>
        <v>57793.44999999999</v>
      </c>
      <c r="G17" s="401">
        <f t="shared" si="2"/>
        <v>57837.975000000006</v>
      </c>
      <c r="H17" s="401">
        <f t="shared" si="2"/>
        <v>57882.5</v>
      </c>
      <c r="I17" s="401">
        <f t="shared" si="2"/>
        <v>57927.025000000001</v>
      </c>
      <c r="J17" s="401">
        <f t="shared" si="2"/>
        <v>57971.549999999996</v>
      </c>
      <c r="K17" s="401">
        <f t="shared" si="2"/>
        <v>58016.074999999997</v>
      </c>
      <c r="L17" s="401">
        <f t="shared" si="2"/>
        <v>58060.599999999991</v>
      </c>
      <c r="M17" s="401">
        <f t="shared" si="2"/>
        <v>58105.125</v>
      </c>
      <c r="N17" s="401">
        <f t="shared" si="2"/>
        <v>58149.65</v>
      </c>
      <c r="O17" s="401">
        <f t="shared" si="2"/>
        <v>58194.174999999996</v>
      </c>
      <c r="P17" s="401">
        <f t="shared" si="2"/>
        <v>58238.700000000004</v>
      </c>
      <c r="Q17" s="401">
        <f t="shared" si="2"/>
        <v>58283.224999999999</v>
      </c>
      <c r="R17" s="401">
        <f t="shared" si="2"/>
        <v>58327.75</v>
      </c>
      <c r="S17" s="401">
        <f t="shared" si="2"/>
        <v>58372.275000000001</v>
      </c>
      <c r="T17" s="401">
        <f t="shared" si="2"/>
        <v>58416.799999999996</v>
      </c>
      <c r="U17" s="401">
        <f t="shared" si="2"/>
        <v>58461.324999999997</v>
      </c>
      <c r="V17" s="401">
        <f t="shared" si="2"/>
        <v>58505.85</v>
      </c>
      <c r="W17" s="401">
        <f t="shared" si="2"/>
        <v>58550.375</v>
      </c>
      <c r="X17" s="401">
        <f t="shared" si="2"/>
        <v>58594.9</v>
      </c>
      <c r="Y17" s="401">
        <f t="shared" si="2"/>
        <v>58639.424999999996</v>
      </c>
      <c r="Z17" s="401">
        <f t="shared" si="2"/>
        <v>58683.95</v>
      </c>
      <c r="AA17" s="401">
        <f t="shared" si="2"/>
        <v>58728.474999999999</v>
      </c>
      <c r="AB17" s="401">
        <f t="shared" si="2"/>
        <v>58773</v>
      </c>
      <c r="AC17" s="401">
        <f t="shared" si="2"/>
        <v>58817.524999999994</v>
      </c>
      <c r="AD17" s="401">
        <f t="shared" si="2"/>
        <v>58862.05</v>
      </c>
      <c r="AE17" s="401"/>
      <c r="AF17" s="401"/>
      <c r="AG17" s="401"/>
      <c r="AH17" s="401"/>
      <c r="AI17" s="401"/>
    </row>
    <row r="18" spans="1:48" x14ac:dyDescent="0.25">
      <c r="A18" s="391" t="s">
        <v>723</v>
      </c>
      <c r="B18" s="392">
        <f t="shared" ref="B18:AK18" si="3">B16*$N$5</f>
        <v>32971.120000000003</v>
      </c>
      <c r="C18" s="392">
        <f t="shared" si="3"/>
        <v>32996.6</v>
      </c>
      <c r="D18" s="392">
        <f t="shared" si="3"/>
        <v>33022.080000000002</v>
      </c>
      <c r="E18" s="392">
        <f t="shared" si="3"/>
        <v>33047.56</v>
      </c>
      <c r="F18" s="392">
        <f t="shared" si="3"/>
        <v>33073.040000000001</v>
      </c>
      <c r="G18" s="392">
        <f t="shared" si="3"/>
        <v>33098.520000000004</v>
      </c>
      <c r="H18" s="392">
        <f t="shared" si="3"/>
        <v>33124</v>
      </c>
      <c r="I18" s="392">
        <f t="shared" si="3"/>
        <v>33149.480000000003</v>
      </c>
      <c r="J18" s="392">
        <f t="shared" si="3"/>
        <v>33174.959999999999</v>
      </c>
      <c r="K18" s="392">
        <f t="shared" si="3"/>
        <v>33200.44</v>
      </c>
      <c r="L18" s="392">
        <f t="shared" si="3"/>
        <v>33225.919999999998</v>
      </c>
      <c r="M18" s="392">
        <f t="shared" si="3"/>
        <v>33251.4</v>
      </c>
      <c r="N18" s="392">
        <f t="shared" si="3"/>
        <v>33276.879999999997</v>
      </c>
      <c r="O18" s="392">
        <f t="shared" si="3"/>
        <v>33302.36</v>
      </c>
      <c r="P18" s="392">
        <f t="shared" si="3"/>
        <v>33327.840000000004</v>
      </c>
      <c r="Q18" s="392">
        <f t="shared" si="3"/>
        <v>33353.32</v>
      </c>
      <c r="R18" s="392">
        <f t="shared" si="3"/>
        <v>33378.800000000003</v>
      </c>
      <c r="S18" s="392">
        <f t="shared" si="3"/>
        <v>33404.28</v>
      </c>
      <c r="T18" s="392">
        <f t="shared" si="3"/>
        <v>33429.760000000002</v>
      </c>
      <c r="U18" s="392">
        <f t="shared" si="3"/>
        <v>33455.24</v>
      </c>
      <c r="V18" s="392">
        <f t="shared" si="3"/>
        <v>33480.720000000001</v>
      </c>
      <c r="W18" s="392">
        <f t="shared" si="3"/>
        <v>33506.199999999997</v>
      </c>
      <c r="X18" s="392">
        <f t="shared" si="3"/>
        <v>33531.68</v>
      </c>
      <c r="Y18" s="392">
        <f t="shared" si="3"/>
        <v>33557.160000000003</v>
      </c>
      <c r="Z18" s="392">
        <f t="shared" si="3"/>
        <v>33582.639999999999</v>
      </c>
      <c r="AA18" s="392">
        <f t="shared" si="3"/>
        <v>33608.120000000003</v>
      </c>
      <c r="AB18" s="392">
        <f t="shared" si="3"/>
        <v>33633.599999999999</v>
      </c>
      <c r="AC18" s="392">
        <f t="shared" si="3"/>
        <v>33659.08</v>
      </c>
      <c r="AD18" s="392">
        <f t="shared" si="3"/>
        <v>33684.559999999998</v>
      </c>
      <c r="AE18" s="392">
        <f t="shared" si="3"/>
        <v>33710.04</v>
      </c>
      <c r="AF18" s="392">
        <f t="shared" si="3"/>
        <v>33735.520000000004</v>
      </c>
      <c r="AG18" s="392">
        <f t="shared" si="3"/>
        <v>33761</v>
      </c>
      <c r="AH18" s="392">
        <f t="shared" si="3"/>
        <v>33811.96</v>
      </c>
      <c r="AI18" s="392">
        <f t="shared" si="3"/>
        <v>33862.92</v>
      </c>
      <c r="AJ18" s="392">
        <f t="shared" si="3"/>
        <v>33913.879999999997</v>
      </c>
      <c r="AK18" s="392">
        <f t="shared" si="3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1" t="s">
        <v>724</v>
      </c>
      <c r="B19" s="392">
        <f t="shared" ref="B19:AK19" si="4">B16*$O$5</f>
        <v>12655.32</v>
      </c>
      <c r="C19" s="392">
        <f t="shared" si="4"/>
        <v>12665.099999999999</v>
      </c>
      <c r="D19" s="392">
        <f t="shared" si="4"/>
        <v>12674.88</v>
      </c>
      <c r="E19" s="392">
        <f t="shared" si="4"/>
        <v>12684.66</v>
      </c>
      <c r="F19" s="392">
        <f t="shared" si="4"/>
        <v>12694.439999999999</v>
      </c>
      <c r="G19" s="392">
        <f t="shared" si="4"/>
        <v>12704.22</v>
      </c>
      <c r="H19" s="392">
        <f t="shared" si="4"/>
        <v>12714</v>
      </c>
      <c r="I19" s="392">
        <f t="shared" si="4"/>
        <v>12723.779999999999</v>
      </c>
      <c r="J19" s="392">
        <f t="shared" si="4"/>
        <v>12733.56</v>
      </c>
      <c r="K19" s="392">
        <f t="shared" si="4"/>
        <v>12743.339999999998</v>
      </c>
      <c r="L19" s="392">
        <f t="shared" si="4"/>
        <v>12753.119999999999</v>
      </c>
      <c r="M19" s="392">
        <f t="shared" si="4"/>
        <v>12762.9</v>
      </c>
      <c r="N19" s="392">
        <f t="shared" si="4"/>
        <v>12772.679999999998</v>
      </c>
      <c r="O19" s="392">
        <f t="shared" si="4"/>
        <v>12782.46</v>
      </c>
      <c r="P19" s="392">
        <f t="shared" si="4"/>
        <v>12792.24</v>
      </c>
      <c r="Q19" s="392">
        <f t="shared" si="4"/>
        <v>12802.019999999999</v>
      </c>
      <c r="R19" s="392">
        <f t="shared" si="4"/>
        <v>12811.8</v>
      </c>
      <c r="S19" s="392">
        <f t="shared" si="4"/>
        <v>12821.58</v>
      </c>
      <c r="T19" s="392">
        <f t="shared" si="4"/>
        <v>12831.359999999999</v>
      </c>
      <c r="U19" s="392">
        <f t="shared" si="4"/>
        <v>12841.14</v>
      </c>
      <c r="V19" s="392">
        <f t="shared" si="4"/>
        <v>12850.919999999998</v>
      </c>
      <c r="W19" s="392">
        <f t="shared" si="4"/>
        <v>12860.699999999999</v>
      </c>
      <c r="X19" s="392">
        <f t="shared" si="4"/>
        <v>12870.48</v>
      </c>
      <c r="Y19" s="392">
        <f t="shared" si="4"/>
        <v>12880.259999999998</v>
      </c>
      <c r="Z19" s="392">
        <f t="shared" si="4"/>
        <v>12890.039999999999</v>
      </c>
      <c r="AA19" s="392">
        <f t="shared" si="4"/>
        <v>12899.82</v>
      </c>
      <c r="AB19" s="392">
        <f t="shared" si="4"/>
        <v>12909.599999999999</v>
      </c>
      <c r="AC19" s="392">
        <f t="shared" si="4"/>
        <v>12919.38</v>
      </c>
      <c r="AD19" s="392">
        <f t="shared" si="4"/>
        <v>12929.16</v>
      </c>
      <c r="AE19" s="392">
        <f t="shared" si="4"/>
        <v>12938.939999999999</v>
      </c>
      <c r="AF19" s="392">
        <f t="shared" si="4"/>
        <v>12948.72</v>
      </c>
      <c r="AG19" s="392">
        <f t="shared" si="4"/>
        <v>12958.5</v>
      </c>
      <c r="AH19" s="392">
        <f t="shared" si="4"/>
        <v>12978.06</v>
      </c>
      <c r="AI19" s="392">
        <f t="shared" si="4"/>
        <v>12997.619999999999</v>
      </c>
      <c r="AJ19" s="392">
        <f t="shared" si="4"/>
        <v>13017.179999999998</v>
      </c>
      <c r="AK19" s="392">
        <f t="shared" si="4"/>
        <v>0</v>
      </c>
    </row>
    <row r="20" spans="1:48" x14ac:dyDescent="0.25">
      <c r="A20" s="391" t="s">
        <v>725</v>
      </c>
      <c r="B20" s="392">
        <f t="shared" ref="B20:AK20" si="5">B16*$P$5</f>
        <v>10669.029999999999</v>
      </c>
      <c r="C20" s="392">
        <f t="shared" si="5"/>
        <v>10677.275</v>
      </c>
      <c r="D20" s="392">
        <f t="shared" si="5"/>
        <v>10685.519999999999</v>
      </c>
      <c r="E20" s="392">
        <f t="shared" si="5"/>
        <v>10693.764999999999</v>
      </c>
      <c r="F20" s="392">
        <f t="shared" si="5"/>
        <v>10702.009999999998</v>
      </c>
      <c r="G20" s="392">
        <f t="shared" si="5"/>
        <v>10710.254999999999</v>
      </c>
      <c r="H20" s="392">
        <f t="shared" si="5"/>
        <v>10718.499999999998</v>
      </c>
      <c r="I20" s="392">
        <f t="shared" si="5"/>
        <v>10726.744999999999</v>
      </c>
      <c r="J20" s="392">
        <f t="shared" si="5"/>
        <v>10734.99</v>
      </c>
      <c r="K20" s="392">
        <f t="shared" si="5"/>
        <v>10743.234999999999</v>
      </c>
      <c r="L20" s="392">
        <f t="shared" si="5"/>
        <v>10751.48</v>
      </c>
      <c r="M20" s="392">
        <f t="shared" si="5"/>
        <v>10759.724999999999</v>
      </c>
      <c r="N20" s="392">
        <f t="shared" si="5"/>
        <v>10767.97</v>
      </c>
      <c r="O20" s="392">
        <f t="shared" si="5"/>
        <v>10776.214999999998</v>
      </c>
      <c r="P20" s="392">
        <f t="shared" si="5"/>
        <v>10784.46</v>
      </c>
      <c r="Q20" s="392">
        <f t="shared" si="5"/>
        <v>10792.704999999998</v>
      </c>
      <c r="R20" s="392">
        <f t="shared" si="5"/>
        <v>10800.949999999999</v>
      </c>
      <c r="S20" s="392">
        <f t="shared" si="5"/>
        <v>10809.195</v>
      </c>
      <c r="T20" s="392">
        <f t="shared" si="5"/>
        <v>10817.439999999999</v>
      </c>
      <c r="U20" s="392">
        <f t="shared" si="5"/>
        <v>10825.684999999999</v>
      </c>
      <c r="V20" s="392">
        <f t="shared" si="5"/>
        <v>10833.929999999998</v>
      </c>
      <c r="W20" s="392">
        <f t="shared" si="5"/>
        <v>10842.174999999999</v>
      </c>
      <c r="X20" s="392">
        <f t="shared" si="5"/>
        <v>10850.419999999998</v>
      </c>
      <c r="Y20" s="392">
        <f t="shared" si="5"/>
        <v>10858.664999999999</v>
      </c>
      <c r="Z20" s="392">
        <f t="shared" si="5"/>
        <v>10866.91</v>
      </c>
      <c r="AA20" s="392">
        <f t="shared" si="5"/>
        <v>10875.154999999999</v>
      </c>
      <c r="AB20" s="392">
        <f t="shared" si="5"/>
        <v>10883.4</v>
      </c>
      <c r="AC20" s="392">
        <f t="shared" si="5"/>
        <v>10891.644999999999</v>
      </c>
      <c r="AD20" s="392">
        <f t="shared" si="5"/>
        <v>10899.89</v>
      </c>
      <c r="AE20" s="392">
        <f t="shared" si="5"/>
        <v>10908.134999999998</v>
      </c>
      <c r="AF20" s="392">
        <f t="shared" si="5"/>
        <v>10916.38</v>
      </c>
      <c r="AG20" s="392">
        <f t="shared" si="5"/>
        <v>10924.624999999998</v>
      </c>
      <c r="AH20" s="392">
        <f t="shared" si="5"/>
        <v>10941.115</v>
      </c>
      <c r="AI20" s="392">
        <f t="shared" si="5"/>
        <v>10957.605</v>
      </c>
      <c r="AJ20" s="392">
        <f t="shared" si="5"/>
        <v>10974.094999999999</v>
      </c>
      <c r="AK20" s="392">
        <f t="shared" si="5"/>
        <v>0</v>
      </c>
    </row>
    <row r="21" spans="1:48" x14ac:dyDescent="0.25">
      <c r="A21" s="391" t="s">
        <v>726</v>
      </c>
      <c r="B21" s="392">
        <f t="shared" ref="B21:AK21" si="6">B16*$Q$5</f>
        <v>1319.88</v>
      </c>
      <c r="C21" s="392">
        <f t="shared" si="6"/>
        <v>1320.9</v>
      </c>
      <c r="D21" s="392">
        <f t="shared" si="6"/>
        <v>1321.92</v>
      </c>
      <c r="E21" s="392">
        <f t="shared" si="6"/>
        <v>1322.94</v>
      </c>
      <c r="F21" s="392">
        <f t="shared" si="6"/>
        <v>1323.96</v>
      </c>
      <c r="G21" s="392">
        <f t="shared" si="6"/>
        <v>1324.98</v>
      </c>
      <c r="H21" s="392">
        <f t="shared" si="6"/>
        <v>1326</v>
      </c>
      <c r="I21" s="392">
        <f t="shared" si="6"/>
        <v>1327.02</v>
      </c>
      <c r="J21" s="392">
        <f t="shared" si="6"/>
        <v>1328.04</v>
      </c>
      <c r="K21" s="392">
        <f t="shared" si="6"/>
        <v>1329.06</v>
      </c>
      <c r="L21" s="392">
        <f t="shared" si="6"/>
        <v>1330.08</v>
      </c>
      <c r="M21" s="392">
        <f t="shared" si="6"/>
        <v>1331.1000000000001</v>
      </c>
      <c r="N21" s="392">
        <f t="shared" si="6"/>
        <v>1332.1200000000001</v>
      </c>
      <c r="O21" s="392">
        <f t="shared" si="6"/>
        <v>1333.14</v>
      </c>
      <c r="P21" s="392">
        <f t="shared" si="6"/>
        <v>1334.16</v>
      </c>
      <c r="Q21" s="392">
        <f t="shared" si="6"/>
        <v>1335.18</v>
      </c>
      <c r="R21" s="392">
        <f t="shared" si="6"/>
        <v>1336.2</v>
      </c>
      <c r="S21" s="392">
        <f t="shared" si="6"/>
        <v>1337.22</v>
      </c>
      <c r="T21" s="392">
        <f t="shared" si="6"/>
        <v>1338.24</v>
      </c>
      <c r="U21" s="392">
        <f t="shared" si="6"/>
        <v>1339.26</v>
      </c>
      <c r="V21" s="392">
        <f t="shared" si="6"/>
        <v>1340.28</v>
      </c>
      <c r="W21" s="392">
        <f t="shared" si="6"/>
        <v>1341.3</v>
      </c>
      <c r="X21" s="392">
        <f t="shared" si="6"/>
        <v>1342.32</v>
      </c>
      <c r="Y21" s="392">
        <f t="shared" si="6"/>
        <v>1343.34</v>
      </c>
      <c r="Z21" s="392">
        <f t="shared" si="6"/>
        <v>1344.3600000000001</v>
      </c>
      <c r="AA21" s="392">
        <f t="shared" si="6"/>
        <v>1345.38</v>
      </c>
      <c r="AB21" s="392">
        <f t="shared" si="6"/>
        <v>1346.4</v>
      </c>
      <c r="AC21" s="392">
        <f t="shared" si="6"/>
        <v>1347.42</v>
      </c>
      <c r="AD21" s="392">
        <f t="shared" si="6"/>
        <v>1348.44</v>
      </c>
      <c r="AE21" s="392">
        <f t="shared" si="6"/>
        <v>1349.46</v>
      </c>
      <c r="AF21" s="392">
        <f t="shared" si="6"/>
        <v>1350.48</v>
      </c>
      <c r="AG21" s="392">
        <f t="shared" si="6"/>
        <v>1351.5</v>
      </c>
      <c r="AH21" s="392">
        <f t="shared" si="6"/>
        <v>1353.54</v>
      </c>
      <c r="AI21" s="392">
        <f t="shared" si="6"/>
        <v>1355.58</v>
      </c>
      <c r="AJ21" s="392">
        <f t="shared" si="6"/>
        <v>1357.6200000000001</v>
      </c>
      <c r="AK21" s="392">
        <f t="shared" si="6"/>
        <v>0</v>
      </c>
    </row>
    <row r="22" spans="1:48" x14ac:dyDescent="0.25">
      <c r="A22" s="391" t="s">
        <v>727</v>
      </c>
      <c r="B22" s="392">
        <f t="shared" ref="B22:AD22" si="7">MIN(B$18,$C$4)</f>
        <v>32971.120000000003</v>
      </c>
      <c r="C22" s="392">
        <f t="shared" si="7"/>
        <v>32996.6</v>
      </c>
      <c r="D22" s="392">
        <f t="shared" si="7"/>
        <v>33022.080000000002</v>
      </c>
      <c r="E22" s="392">
        <f t="shared" si="7"/>
        <v>33047.56</v>
      </c>
      <c r="F22" s="392">
        <f t="shared" si="7"/>
        <v>33073.040000000001</v>
      </c>
      <c r="G22" s="392">
        <f t="shared" si="7"/>
        <v>33098.520000000004</v>
      </c>
      <c r="H22" s="392">
        <f t="shared" si="7"/>
        <v>33124</v>
      </c>
      <c r="I22" s="392">
        <f t="shared" si="7"/>
        <v>33149.480000000003</v>
      </c>
      <c r="J22" s="392">
        <f t="shared" si="7"/>
        <v>33174.959999999999</v>
      </c>
      <c r="K22" s="392">
        <f t="shared" si="7"/>
        <v>33200.44</v>
      </c>
      <c r="L22" s="392">
        <f t="shared" si="7"/>
        <v>33225.919999999998</v>
      </c>
      <c r="M22" s="392">
        <f t="shared" si="7"/>
        <v>33251.4</v>
      </c>
      <c r="N22" s="392">
        <f t="shared" si="7"/>
        <v>33276.879999999997</v>
      </c>
      <c r="O22" s="392">
        <f t="shared" si="7"/>
        <v>33302.36</v>
      </c>
      <c r="P22" s="392">
        <f t="shared" si="7"/>
        <v>33327.840000000004</v>
      </c>
      <c r="Q22" s="392">
        <f t="shared" si="7"/>
        <v>33353</v>
      </c>
      <c r="R22" s="392">
        <f t="shared" si="7"/>
        <v>33353</v>
      </c>
      <c r="S22" s="392">
        <f t="shared" si="7"/>
        <v>33353</v>
      </c>
      <c r="T22" s="392">
        <f t="shared" si="7"/>
        <v>33353</v>
      </c>
      <c r="U22" s="392">
        <f t="shared" si="7"/>
        <v>33353</v>
      </c>
      <c r="V22" s="392">
        <f t="shared" si="7"/>
        <v>33353</v>
      </c>
      <c r="W22" s="392">
        <f t="shared" si="7"/>
        <v>33353</v>
      </c>
      <c r="X22" s="392">
        <f t="shared" si="7"/>
        <v>33353</v>
      </c>
      <c r="Y22" s="392">
        <f t="shared" si="7"/>
        <v>33353</v>
      </c>
      <c r="Z22" s="392">
        <f t="shared" si="7"/>
        <v>33353</v>
      </c>
      <c r="AA22" s="392">
        <f t="shared" si="7"/>
        <v>33353</v>
      </c>
      <c r="AB22" s="392">
        <f t="shared" si="7"/>
        <v>33353</v>
      </c>
      <c r="AC22" s="392">
        <f t="shared" si="7"/>
        <v>33353</v>
      </c>
      <c r="AD22" s="392">
        <f t="shared" si="7"/>
        <v>33353</v>
      </c>
      <c r="AE22" s="392"/>
      <c r="AF22" s="392"/>
      <c r="AG22" s="392"/>
      <c r="AH22" s="392"/>
      <c r="AI22" s="392"/>
    </row>
    <row r="23" spans="1:48" x14ac:dyDescent="0.25">
      <c r="A23" s="391" t="s">
        <v>728</v>
      </c>
      <c r="B23" s="392">
        <f t="shared" ref="B23:AD23" si="8">MIN(B$19,$C$5)</f>
        <v>12655.32</v>
      </c>
      <c r="C23" s="392">
        <f t="shared" si="8"/>
        <v>12665.099999999999</v>
      </c>
      <c r="D23" s="392">
        <f t="shared" si="8"/>
        <v>12674.88</v>
      </c>
      <c r="E23" s="392">
        <f t="shared" si="8"/>
        <v>12684.66</v>
      </c>
      <c r="F23" s="392">
        <f t="shared" si="8"/>
        <v>12694.439999999999</v>
      </c>
      <c r="G23" s="392">
        <f t="shared" si="8"/>
        <v>12704.22</v>
      </c>
      <c r="H23" s="392">
        <f t="shared" si="8"/>
        <v>12714</v>
      </c>
      <c r="I23" s="392">
        <f t="shared" si="8"/>
        <v>12723.779999999999</v>
      </c>
      <c r="J23" s="392">
        <f t="shared" si="8"/>
        <v>12733.56</v>
      </c>
      <c r="K23" s="392">
        <f t="shared" si="8"/>
        <v>12743.339999999998</v>
      </c>
      <c r="L23" s="392">
        <f t="shared" si="8"/>
        <v>12753.119999999999</v>
      </c>
      <c r="M23" s="392">
        <f t="shared" si="8"/>
        <v>12762.9</v>
      </c>
      <c r="N23" s="392">
        <f t="shared" si="8"/>
        <v>12772.679999999998</v>
      </c>
      <c r="O23" s="392">
        <f t="shared" si="8"/>
        <v>12782.46</v>
      </c>
      <c r="P23" s="392">
        <f t="shared" si="8"/>
        <v>12792.24</v>
      </c>
      <c r="Q23" s="392">
        <f t="shared" si="8"/>
        <v>12802</v>
      </c>
      <c r="R23" s="392">
        <f t="shared" si="8"/>
        <v>12802</v>
      </c>
      <c r="S23" s="392">
        <f t="shared" si="8"/>
        <v>12802</v>
      </c>
      <c r="T23" s="392">
        <f t="shared" si="8"/>
        <v>12802</v>
      </c>
      <c r="U23" s="392">
        <f t="shared" si="8"/>
        <v>12802</v>
      </c>
      <c r="V23" s="392">
        <f t="shared" si="8"/>
        <v>12802</v>
      </c>
      <c r="W23" s="392">
        <f t="shared" si="8"/>
        <v>12802</v>
      </c>
      <c r="X23" s="392">
        <f t="shared" si="8"/>
        <v>12802</v>
      </c>
      <c r="Y23" s="392">
        <f t="shared" si="8"/>
        <v>12802</v>
      </c>
      <c r="Z23" s="392">
        <f t="shared" si="8"/>
        <v>12802</v>
      </c>
      <c r="AA23" s="392">
        <f t="shared" si="8"/>
        <v>12802</v>
      </c>
      <c r="AB23" s="392">
        <f t="shared" si="8"/>
        <v>12802</v>
      </c>
      <c r="AC23" s="392">
        <f t="shared" si="8"/>
        <v>12802</v>
      </c>
      <c r="AD23" s="392">
        <f t="shared" si="8"/>
        <v>12802</v>
      </c>
      <c r="AE23" s="392"/>
      <c r="AF23" s="392"/>
      <c r="AG23" s="392"/>
      <c r="AH23" s="392"/>
      <c r="AI23" s="392"/>
    </row>
    <row r="24" spans="1:48" x14ac:dyDescent="0.25">
      <c r="A24" s="391" t="s">
        <v>729</v>
      </c>
      <c r="B24" s="392">
        <f t="shared" ref="B24:AD24" si="9">MIN(B$20,$C$6)</f>
        <v>10669.029999999999</v>
      </c>
      <c r="C24" s="392">
        <f t="shared" si="9"/>
        <v>10677.275</v>
      </c>
      <c r="D24" s="392">
        <f t="shared" si="9"/>
        <v>10685.519999999999</v>
      </c>
      <c r="E24" s="392">
        <f t="shared" si="9"/>
        <v>10693.764999999999</v>
      </c>
      <c r="F24" s="392">
        <f t="shared" si="9"/>
        <v>10702.009999999998</v>
      </c>
      <c r="G24" s="392">
        <f t="shared" si="9"/>
        <v>10710.254999999999</v>
      </c>
      <c r="H24" s="392">
        <f t="shared" si="9"/>
        <v>10718.499999999998</v>
      </c>
      <c r="I24" s="392">
        <f t="shared" si="9"/>
        <v>10726.744999999999</v>
      </c>
      <c r="J24" s="392">
        <f t="shared" si="9"/>
        <v>10734.99</v>
      </c>
      <c r="K24" s="392">
        <f t="shared" si="9"/>
        <v>10743.234999999999</v>
      </c>
      <c r="L24" s="392">
        <f t="shared" si="9"/>
        <v>10751.48</v>
      </c>
      <c r="M24" s="392">
        <f t="shared" si="9"/>
        <v>10759.724999999999</v>
      </c>
      <c r="N24" s="392">
        <f t="shared" si="9"/>
        <v>10767.97</v>
      </c>
      <c r="O24" s="392">
        <f t="shared" si="9"/>
        <v>10776.214999999998</v>
      </c>
      <c r="P24" s="392">
        <f t="shared" si="9"/>
        <v>10784.46</v>
      </c>
      <c r="Q24" s="392">
        <f t="shared" si="9"/>
        <v>10792.704999999998</v>
      </c>
      <c r="R24" s="392">
        <f t="shared" si="9"/>
        <v>10793</v>
      </c>
      <c r="S24" s="392">
        <f t="shared" si="9"/>
        <v>10793</v>
      </c>
      <c r="T24" s="392">
        <f t="shared" si="9"/>
        <v>10793</v>
      </c>
      <c r="U24" s="392">
        <f t="shared" si="9"/>
        <v>10793</v>
      </c>
      <c r="V24" s="392">
        <f t="shared" si="9"/>
        <v>10793</v>
      </c>
      <c r="W24" s="392">
        <f t="shared" si="9"/>
        <v>10793</v>
      </c>
      <c r="X24" s="392">
        <f t="shared" si="9"/>
        <v>10793</v>
      </c>
      <c r="Y24" s="392">
        <f t="shared" si="9"/>
        <v>10793</v>
      </c>
      <c r="Z24" s="392">
        <f t="shared" si="9"/>
        <v>10793</v>
      </c>
      <c r="AA24" s="392">
        <f t="shared" si="9"/>
        <v>10793</v>
      </c>
      <c r="AB24" s="392">
        <f t="shared" si="9"/>
        <v>10793</v>
      </c>
      <c r="AC24" s="392">
        <f t="shared" si="9"/>
        <v>10793</v>
      </c>
      <c r="AD24" s="392">
        <f t="shared" si="9"/>
        <v>10793</v>
      </c>
      <c r="AE24" s="392"/>
      <c r="AF24" s="392"/>
      <c r="AG24" s="392"/>
      <c r="AH24" s="392"/>
      <c r="AI24" s="392"/>
    </row>
    <row r="25" spans="1:48" x14ac:dyDescent="0.25">
      <c r="A25" s="391" t="s">
        <v>730</v>
      </c>
      <c r="B25" s="392">
        <f t="shared" ref="B25:AD25" si="10">MIN(B$21,$C$7)</f>
        <v>1319.88</v>
      </c>
      <c r="C25" s="392">
        <f t="shared" si="10"/>
        <v>1320.9</v>
      </c>
      <c r="D25" s="392">
        <f t="shared" si="10"/>
        <v>1321.92</v>
      </c>
      <c r="E25" s="392">
        <f t="shared" si="10"/>
        <v>1322.94</v>
      </c>
      <c r="F25" s="392">
        <f t="shared" si="10"/>
        <v>1323.96</v>
      </c>
      <c r="G25" s="392">
        <f t="shared" si="10"/>
        <v>1324.98</v>
      </c>
      <c r="H25" s="392">
        <f t="shared" si="10"/>
        <v>1326</v>
      </c>
      <c r="I25" s="392">
        <f t="shared" si="10"/>
        <v>1327.02</v>
      </c>
      <c r="J25" s="392">
        <f t="shared" si="10"/>
        <v>1328.04</v>
      </c>
      <c r="K25" s="392">
        <f t="shared" si="10"/>
        <v>1329.06</v>
      </c>
      <c r="L25" s="392">
        <f t="shared" si="10"/>
        <v>1330.08</v>
      </c>
      <c r="M25" s="392">
        <f t="shared" si="10"/>
        <v>1331.1000000000001</v>
      </c>
      <c r="N25" s="392">
        <f t="shared" si="10"/>
        <v>1332.1200000000001</v>
      </c>
      <c r="O25" s="392">
        <f t="shared" si="10"/>
        <v>1333.14</v>
      </c>
      <c r="P25" s="392">
        <f t="shared" si="10"/>
        <v>1334.16</v>
      </c>
      <c r="Q25" s="392">
        <f t="shared" si="10"/>
        <v>1335</v>
      </c>
      <c r="R25" s="392">
        <f t="shared" si="10"/>
        <v>1335</v>
      </c>
      <c r="S25" s="392">
        <f t="shared" si="10"/>
        <v>1335</v>
      </c>
      <c r="T25" s="392">
        <f t="shared" si="10"/>
        <v>1335</v>
      </c>
      <c r="U25" s="392">
        <f t="shared" si="10"/>
        <v>1335</v>
      </c>
      <c r="V25" s="392">
        <f t="shared" si="10"/>
        <v>1335</v>
      </c>
      <c r="W25" s="392">
        <f t="shared" si="10"/>
        <v>1335</v>
      </c>
      <c r="X25" s="392">
        <f t="shared" si="10"/>
        <v>1335</v>
      </c>
      <c r="Y25" s="392">
        <f t="shared" si="10"/>
        <v>1335</v>
      </c>
      <c r="Z25" s="392">
        <f t="shared" si="10"/>
        <v>1335</v>
      </c>
      <c r="AA25" s="392">
        <f t="shared" si="10"/>
        <v>1335</v>
      </c>
      <c r="AB25" s="392">
        <f t="shared" si="10"/>
        <v>1335</v>
      </c>
      <c r="AC25" s="392">
        <f t="shared" si="10"/>
        <v>1335</v>
      </c>
      <c r="AD25" s="392">
        <f t="shared" si="10"/>
        <v>1335</v>
      </c>
      <c r="AE25" s="392"/>
      <c r="AF25" s="392"/>
      <c r="AG25" s="392"/>
      <c r="AH25" s="392"/>
      <c r="AI25" s="392"/>
    </row>
    <row r="26" spans="1:48" x14ac:dyDescent="0.25">
      <c r="A26" s="393" t="s">
        <v>731</v>
      </c>
      <c r="B26" s="394">
        <f>IF(B22&gt;$B$4,(B22-$B$4)*$H$4,0)</f>
        <v>28189.840000000018</v>
      </c>
      <c r="C26" s="394">
        <v>0</v>
      </c>
      <c r="D26" s="394">
        <f>IF(D22&gt;$B$4,(D22-$B$4)*$H$4,0)</f>
        <v>28546.560000000012</v>
      </c>
      <c r="E26" s="394">
        <v>0</v>
      </c>
      <c r="F26" s="394">
        <f>IF(F22&gt;$B$4,(F22-$B$4)*$H$4,0)</f>
        <v>28903.280000000006</v>
      </c>
      <c r="G26" s="394">
        <v>0</v>
      </c>
      <c r="H26" s="394">
        <f>IF(H22&gt;$B$4,(H22-$B$4)*$H$4,0)</f>
        <v>29260</v>
      </c>
      <c r="I26" s="394">
        <v>0</v>
      </c>
      <c r="J26" s="394">
        <f>IF(J22&gt;$B$4,(J22-$B$4)*$H$4,0)</f>
        <v>29616.719999999994</v>
      </c>
      <c r="K26" s="394">
        <v>0</v>
      </c>
      <c r="L26" s="394">
        <f>IF(L22&gt;$B$4,(L22-$B$4)*$H$4,0)</f>
        <v>29973.439999999988</v>
      </c>
      <c r="M26" s="394">
        <v>0</v>
      </c>
      <c r="N26" s="394">
        <f>IF(N22&gt;$B$4,(N22-$B$4)*$H$4,0)</f>
        <v>30330.159999999982</v>
      </c>
      <c r="O26" s="394">
        <v>0</v>
      </c>
      <c r="P26" s="394">
        <f>IF(P22&gt;$B$4,(P22-$B$4)*$H$4,0)</f>
        <v>30686.880000000026</v>
      </c>
      <c r="Q26" s="394">
        <v>0</v>
      </c>
      <c r="R26" s="394">
        <f>IF(R22&gt;$B$4,(R22-$B$4)*$H$4,0)</f>
        <v>30863</v>
      </c>
      <c r="S26" s="394">
        <v>0</v>
      </c>
      <c r="T26" s="394">
        <f>IF(T22&gt;$B$4,(T22-$B$4)*$H$4,0)</f>
        <v>30863</v>
      </c>
      <c r="U26" s="394">
        <v>0</v>
      </c>
      <c r="V26" s="394">
        <f>IF(V22&gt;$B$4,(V22-$B$4)*$H$4,0)</f>
        <v>30863</v>
      </c>
      <c r="W26" s="394">
        <v>0</v>
      </c>
      <c r="X26" s="394">
        <f>IF(X22&gt;$B$4,(X22-$B$4)*$H$4,0)</f>
        <v>30863</v>
      </c>
      <c r="Y26" s="394">
        <v>0</v>
      </c>
      <c r="Z26" s="394">
        <f>IF(Z22&gt;$B$4,(Z22-$B$4)*$H$4,0)</f>
        <v>30863</v>
      </c>
      <c r="AA26" s="394">
        <v>0</v>
      </c>
      <c r="AB26" s="394">
        <f>IF(AB22&gt;$B$4,(AB22-$B$4)*$H$4,0)</f>
        <v>30863</v>
      </c>
      <c r="AC26" s="394">
        <v>0</v>
      </c>
      <c r="AD26" s="394">
        <f>IF(AD22&gt;$B$4,(AD22-$B$4)*$H$4,0)</f>
        <v>30863</v>
      </c>
      <c r="AE26" s="394">
        <v>0</v>
      </c>
      <c r="AF26" s="394">
        <f>IF(AF22&gt;$B$4,(AF22-$B$4)*$H$4,0)</f>
        <v>0</v>
      </c>
      <c r="AG26" s="394">
        <v>0</v>
      </c>
      <c r="AH26" s="394">
        <f>IF(AH22&gt;$B$4,(AH22-$B$4)*$H$4,0)</f>
        <v>0</v>
      </c>
      <c r="AI26" s="394">
        <v>0</v>
      </c>
      <c r="AJ26" s="394">
        <f>IF(AJ22&gt;$B$4,(AJ22-$B$4)*$H$4,0)</f>
        <v>0</v>
      </c>
      <c r="AK26" s="394">
        <v>0</v>
      </c>
    </row>
    <row r="27" spans="1:48" x14ac:dyDescent="0.25">
      <c r="A27" s="393" t="s">
        <v>732</v>
      </c>
      <c r="B27" s="394">
        <f>IF(B23&gt;$B$5,(B23-$B$5)*$H$5,0)</f>
        <v>2353.1999999999971</v>
      </c>
      <c r="C27" s="394">
        <v>0</v>
      </c>
      <c r="D27" s="394">
        <f>IF(D23&gt;$B$5,(D23-$B$5)*$H$5,0)</f>
        <v>2548.799999999992</v>
      </c>
      <c r="E27" s="394">
        <v>0</v>
      </c>
      <c r="F27" s="394">
        <f>IF(F23&gt;$B$5,(F23-$B$5)*$H$5,0)</f>
        <v>2744.3999999999869</v>
      </c>
      <c r="G27" s="394">
        <v>0</v>
      </c>
      <c r="H27" s="394">
        <f>IF(H23&gt;$B$5,(H23-$B$5)*$H$5,0)</f>
        <v>2940</v>
      </c>
      <c r="I27" s="394">
        <v>0</v>
      </c>
      <c r="J27" s="394">
        <f>IF(J23&gt;$B$5,(J23-$B$5)*$H$5,0)</f>
        <v>3135.5999999999949</v>
      </c>
      <c r="K27" s="394">
        <v>0</v>
      </c>
      <c r="L27" s="394">
        <f>IF(L23&gt;$B$5,(L23-$B$5)*$H$5,0)</f>
        <v>3331.1999999999898</v>
      </c>
      <c r="M27" s="394">
        <v>0</v>
      </c>
      <c r="N27" s="394">
        <f>IF(N23&gt;$B$5,(N23-$B$5)*$H$5,0)</f>
        <v>3526.7999999999847</v>
      </c>
      <c r="O27" s="394">
        <v>0</v>
      </c>
      <c r="P27" s="394">
        <f>IF(P23&gt;$B$5,(P23-$B$5)*$H$5,0)</f>
        <v>3722.3999999999978</v>
      </c>
      <c r="Q27" s="394">
        <v>0</v>
      </c>
      <c r="R27" s="394">
        <f>IF(R23&gt;$B$5,(R23-$B$5)*$H$5,0)</f>
        <v>3820</v>
      </c>
      <c r="S27" s="394">
        <v>0</v>
      </c>
      <c r="T27" s="394">
        <f>IF(T23&gt;$B$5,(T23-$B$5)*$H$5,0)</f>
        <v>3820</v>
      </c>
      <c r="U27" s="394">
        <v>0</v>
      </c>
      <c r="V27" s="394">
        <f>IF(V23&gt;$B$5,(V23-$B$5)*$H$5,0)</f>
        <v>3820</v>
      </c>
      <c r="W27" s="394">
        <v>0</v>
      </c>
      <c r="X27" s="394">
        <f>IF(X23&gt;$B$5,(X23-$B$5)*$H$5,0)</f>
        <v>3820</v>
      </c>
      <c r="Y27" s="394">
        <v>0</v>
      </c>
      <c r="Z27" s="394">
        <f>IF(Z23&gt;$B$5,(Z23-$B$5)*$H$5,0)</f>
        <v>3820</v>
      </c>
      <c r="AA27" s="394">
        <v>0</v>
      </c>
      <c r="AB27" s="394">
        <f>IF(AB23&gt;$B$5,(AB23-$B$5)*$H$5,0)</f>
        <v>3820</v>
      </c>
      <c r="AC27" s="394">
        <v>0</v>
      </c>
      <c r="AD27" s="394">
        <f>IF(AD23&gt;$B$5,(AD23-$B$5)*$H$5,0)</f>
        <v>3820</v>
      </c>
      <c r="AE27" s="394">
        <v>0</v>
      </c>
      <c r="AF27" s="394">
        <f>IF(AF23&gt;$B$5,(AF23-$B$5)*$H$5,0)</f>
        <v>0</v>
      </c>
      <c r="AG27" s="394">
        <v>0</v>
      </c>
      <c r="AH27" s="394">
        <f>IF(AH23&gt;$B$5,(AH23-$B$5)*$H$5,0)</f>
        <v>0</v>
      </c>
      <c r="AI27" s="394">
        <v>0</v>
      </c>
      <c r="AJ27" s="394">
        <f>IF(AJ23&gt;$B$5,(AJ23-$B$5)*$H$5,0)</f>
        <v>0</v>
      </c>
      <c r="AK27" s="394">
        <v>0</v>
      </c>
    </row>
    <row r="28" spans="1:48" x14ac:dyDescent="0.25">
      <c r="A28" s="393" t="s">
        <v>733</v>
      </c>
      <c r="B28" s="394">
        <f>IF(B24&gt;$B$6,(B24-$B$6)*$H$6,0)</f>
        <v>0</v>
      </c>
      <c r="C28" s="394">
        <v>0</v>
      </c>
      <c r="D28" s="394">
        <f>IF(D24&gt;$B$6,(D24-$B$6)*$H$6,0)</f>
        <v>0</v>
      </c>
      <c r="E28" s="394">
        <v>0</v>
      </c>
      <c r="F28" s="394">
        <f>IF(F24&gt;$B$6,(F24-$B$6)*$H$6,0)</f>
        <v>0</v>
      </c>
      <c r="G28" s="394">
        <v>0</v>
      </c>
      <c r="H28" s="394">
        <f>IF(H24&gt;$B$6,(H24-$B$6)*$H$6,0)</f>
        <v>0</v>
      </c>
      <c r="I28" s="394">
        <v>0</v>
      </c>
      <c r="J28" s="394">
        <f>IF(J24&gt;$B$6,(J24-$B$6)*$H$6,0)</f>
        <v>0</v>
      </c>
      <c r="K28" s="394">
        <v>0</v>
      </c>
      <c r="L28" s="394">
        <f>IF(L24&gt;$B$6,(L24-$B$6)*$H$6,0)</f>
        <v>0</v>
      </c>
      <c r="M28" s="394">
        <v>0</v>
      </c>
      <c r="N28" s="394">
        <f>IF(N24&gt;$B$6,(N24-$B$6)*$H$6,0)</f>
        <v>0</v>
      </c>
      <c r="O28" s="394">
        <v>0</v>
      </c>
      <c r="P28" s="394">
        <f>IF(P24&gt;$B$6,(P24-$B$6)*$H$6,0)</f>
        <v>0</v>
      </c>
      <c r="Q28" s="394">
        <v>0</v>
      </c>
      <c r="R28" s="394">
        <f>IF(R24&gt;$B$6,(R24-$B$6)*$H$6,0)</f>
        <v>0</v>
      </c>
      <c r="S28" s="394">
        <v>0</v>
      </c>
      <c r="T28" s="394">
        <f>IF(T24&gt;$B$6,(T24-$B$6)*$H$6,0)</f>
        <v>0</v>
      </c>
      <c r="U28" s="394">
        <v>0</v>
      </c>
      <c r="V28" s="394">
        <f>IF(V24&gt;$B$6,(V24-$B$6)*$H$6,0)</f>
        <v>0</v>
      </c>
      <c r="W28" s="394">
        <v>0</v>
      </c>
      <c r="X28" s="394">
        <f>IF(X24&gt;$B$6,(X24-$B$6)*$H$6,0)</f>
        <v>0</v>
      </c>
      <c r="Y28" s="394">
        <v>0</v>
      </c>
      <c r="Z28" s="394">
        <f>IF(Z24&gt;$B$6,(Z24-$B$6)*$H$6,0)</f>
        <v>0</v>
      </c>
      <c r="AA28" s="394">
        <v>0</v>
      </c>
      <c r="AB28" s="394">
        <f>IF(AB24&gt;$B$6,(AB24-$B$6)*$H$6,0)</f>
        <v>0</v>
      </c>
      <c r="AC28" s="394">
        <v>0</v>
      </c>
      <c r="AD28" s="394">
        <f>IF(AD24&gt;$B$6,(AD24-$B$6)*$H$6,0)</f>
        <v>0</v>
      </c>
      <c r="AE28" s="394">
        <v>0</v>
      </c>
      <c r="AF28" s="394">
        <f>IF(AF24&gt;$B$6,(AF24-$B$6)*$H$6,0)</f>
        <v>0</v>
      </c>
      <c r="AG28" s="394">
        <v>0</v>
      </c>
      <c r="AH28" s="394">
        <f>IF(AH24&gt;$B$6,(AH24-$B$6)*$H$6,0)</f>
        <v>0</v>
      </c>
      <c r="AI28" s="394">
        <v>0</v>
      </c>
      <c r="AJ28" s="394">
        <f>IF(AJ24&gt;$B$6,(AJ24-$B$6)*$H$6,0)</f>
        <v>0</v>
      </c>
      <c r="AK28" s="394">
        <v>0</v>
      </c>
    </row>
    <row r="29" spans="1:48" x14ac:dyDescent="0.25">
      <c r="A29" s="393" t="s">
        <v>734</v>
      </c>
      <c r="B29" s="394">
        <f>IF(B25&gt;$B$7,(B25-$B$7)*$H$7,0)</f>
        <v>4615.8000000000038</v>
      </c>
      <c r="C29" s="394">
        <v>0</v>
      </c>
      <c r="D29" s="394">
        <f>IF(D25&gt;$B$7,(D25-$B$7)*$H$7,0)</f>
        <v>4687.2000000000025</v>
      </c>
      <c r="E29" s="394">
        <v>0</v>
      </c>
      <c r="F29" s="394">
        <f>IF(F25&gt;$B$7,(F25-$B$7)*$H$7,0)</f>
        <v>4758.6000000000013</v>
      </c>
      <c r="G29" s="394">
        <v>0</v>
      </c>
      <c r="H29" s="394">
        <f>IF(H25&gt;$B$7,(H25-$B$7)*$H$7,0)</f>
        <v>4830</v>
      </c>
      <c r="I29" s="394">
        <v>0</v>
      </c>
      <c r="J29" s="394">
        <f>IF(J25&gt;$B$7,(J25-$B$7)*$H$7,0)</f>
        <v>4901.3999999999987</v>
      </c>
      <c r="K29" s="394">
        <v>0</v>
      </c>
      <c r="L29" s="394">
        <f>IF(L25&gt;$B$7,(L25-$B$7)*$H$7,0)</f>
        <v>4972.7999999999975</v>
      </c>
      <c r="M29" s="394">
        <v>0</v>
      </c>
      <c r="N29" s="394">
        <f>IF(N25&gt;$B$7,(N25-$B$7)*$H$7,0)</f>
        <v>5044.2000000000044</v>
      </c>
      <c r="O29" s="394">
        <v>0</v>
      </c>
      <c r="P29" s="394">
        <f>IF(P25&gt;$B$7,(P25-$B$7)*$H$7,0)</f>
        <v>5115.6000000000031</v>
      </c>
      <c r="Q29" s="394">
        <v>0</v>
      </c>
      <c r="R29" s="394">
        <f>IF(R25&gt;$B$7,(R25-$B$7)*$H$7,0)</f>
        <v>5145</v>
      </c>
      <c r="S29" s="394">
        <v>0</v>
      </c>
      <c r="T29" s="394">
        <f>IF(T25&gt;$B$7,(T25-$B$7)*$H$7,0)</f>
        <v>5145</v>
      </c>
      <c r="U29" s="394">
        <v>0</v>
      </c>
      <c r="V29" s="394">
        <f>IF(V25&gt;$B$7,(V25-$B$7)*$H$7,0)</f>
        <v>5145</v>
      </c>
      <c r="W29" s="394">
        <v>0</v>
      </c>
      <c r="X29" s="394">
        <f>IF(X25&gt;$B$7,(X25-$B$7)*$H$7,0)</f>
        <v>5145</v>
      </c>
      <c r="Y29" s="394">
        <v>0</v>
      </c>
      <c r="Z29" s="394">
        <f>IF(Z25&gt;$B$7,(Z25-$B$7)*$H$7,0)</f>
        <v>5145</v>
      </c>
      <c r="AA29" s="394">
        <v>0</v>
      </c>
      <c r="AB29" s="394">
        <f>IF(AB25&gt;$B$7,(AB25-$B$7)*$H$7,0)</f>
        <v>5145</v>
      </c>
      <c r="AC29" s="394">
        <v>0</v>
      </c>
      <c r="AD29" s="394">
        <f>IF(AD25&gt;$B$7,(AD25-$B$7)*$H$7,0)</f>
        <v>5145</v>
      </c>
      <c r="AE29" s="394">
        <v>0</v>
      </c>
      <c r="AF29" s="394">
        <f>IF(AF25&gt;$B$7,(AF25-$B$7)*$H$7,0)</f>
        <v>0</v>
      </c>
      <c r="AG29" s="394">
        <v>0</v>
      </c>
      <c r="AH29" s="394">
        <f>IF(AH25&gt;$B$7,(AH25-$B$7)*$H$7,0)</f>
        <v>0</v>
      </c>
      <c r="AI29" s="394">
        <v>0</v>
      </c>
      <c r="AJ29" s="394">
        <f>IF(AJ25&gt;$B$7,(AJ25-$B$7)*$H$7,0)</f>
        <v>0</v>
      </c>
      <c r="AK29" s="394">
        <v>0</v>
      </c>
    </row>
    <row r="30" spans="1:48" x14ac:dyDescent="0.25">
      <c r="A30" s="395" t="s">
        <v>735</v>
      </c>
      <c r="B30" s="396">
        <f>G4+G5+G6+G7</f>
        <v>2184.4</v>
      </c>
      <c r="C30" s="396">
        <f t="shared" ref="C30:AD30" si="11">B30</f>
        <v>2184.4</v>
      </c>
      <c r="D30" s="396">
        <f t="shared" si="11"/>
        <v>2184.4</v>
      </c>
      <c r="E30" s="396">
        <f t="shared" si="11"/>
        <v>2184.4</v>
      </c>
      <c r="F30" s="396">
        <f t="shared" si="11"/>
        <v>2184.4</v>
      </c>
      <c r="G30" s="396">
        <f t="shared" si="11"/>
        <v>2184.4</v>
      </c>
      <c r="H30" s="396">
        <f t="shared" si="11"/>
        <v>2184.4</v>
      </c>
      <c r="I30" s="396">
        <f t="shared" si="11"/>
        <v>2184.4</v>
      </c>
      <c r="J30" s="396">
        <f t="shared" si="11"/>
        <v>2184.4</v>
      </c>
      <c r="K30" s="396">
        <f t="shared" si="11"/>
        <v>2184.4</v>
      </c>
      <c r="L30" s="396">
        <f t="shared" si="11"/>
        <v>2184.4</v>
      </c>
      <c r="M30" s="396">
        <f t="shared" si="11"/>
        <v>2184.4</v>
      </c>
      <c r="N30" s="396">
        <f t="shared" si="11"/>
        <v>2184.4</v>
      </c>
      <c r="O30" s="396">
        <f t="shared" si="11"/>
        <v>2184.4</v>
      </c>
      <c r="P30" s="396">
        <f t="shared" si="11"/>
        <v>2184.4</v>
      </c>
      <c r="Q30" s="396">
        <f t="shared" si="11"/>
        <v>2184.4</v>
      </c>
      <c r="R30" s="396">
        <f t="shared" si="11"/>
        <v>2184.4</v>
      </c>
      <c r="S30" s="396">
        <f t="shared" si="11"/>
        <v>2184.4</v>
      </c>
      <c r="T30" s="396">
        <f t="shared" si="11"/>
        <v>2184.4</v>
      </c>
      <c r="U30" s="396">
        <f t="shared" si="11"/>
        <v>2184.4</v>
      </c>
      <c r="V30" s="396">
        <f t="shared" si="11"/>
        <v>2184.4</v>
      </c>
      <c r="W30" s="396">
        <f t="shared" si="11"/>
        <v>2184.4</v>
      </c>
      <c r="X30" s="396">
        <f t="shared" si="11"/>
        <v>2184.4</v>
      </c>
      <c r="Y30" s="396">
        <f t="shared" si="11"/>
        <v>2184.4</v>
      </c>
      <c r="Z30" s="396">
        <f t="shared" si="11"/>
        <v>2184.4</v>
      </c>
      <c r="AA30" s="396">
        <f t="shared" si="11"/>
        <v>2184.4</v>
      </c>
      <c r="AB30" s="396">
        <f t="shared" si="11"/>
        <v>2184.4</v>
      </c>
      <c r="AC30" s="396">
        <f t="shared" si="11"/>
        <v>2184.4</v>
      </c>
      <c r="AD30" s="396">
        <f t="shared" si="11"/>
        <v>2184.4</v>
      </c>
      <c r="AE30" s="396"/>
      <c r="AF30" s="396"/>
      <c r="AG30" s="396"/>
      <c r="AH30" s="396"/>
      <c r="AI30" s="396"/>
    </row>
    <row r="31" spans="1:48" x14ac:dyDescent="0.25">
      <c r="A31" s="397" t="s">
        <v>736</v>
      </c>
      <c r="B31" s="398">
        <f t="shared" ref="B31:AD31" si="12">B26+B27+B28+B29-B30</f>
        <v>32974.440000000017</v>
      </c>
      <c r="C31" s="398">
        <f t="shared" si="12"/>
        <v>-2184.4</v>
      </c>
      <c r="D31" s="398">
        <f t="shared" si="12"/>
        <v>33598.160000000003</v>
      </c>
      <c r="E31" s="398">
        <f t="shared" si="12"/>
        <v>-2184.4</v>
      </c>
      <c r="F31" s="398">
        <f t="shared" si="12"/>
        <v>34221.87999999999</v>
      </c>
      <c r="G31" s="398">
        <f t="shared" si="12"/>
        <v>-2184.4</v>
      </c>
      <c r="H31" s="398">
        <f t="shared" si="12"/>
        <v>34845.599999999999</v>
      </c>
      <c r="I31" s="398">
        <f t="shared" si="12"/>
        <v>-2184.4</v>
      </c>
      <c r="J31" s="398">
        <f t="shared" si="12"/>
        <v>35469.319999999985</v>
      </c>
      <c r="K31" s="398">
        <f t="shared" si="12"/>
        <v>-2184.4</v>
      </c>
      <c r="L31" s="398">
        <f t="shared" si="12"/>
        <v>36093.039999999972</v>
      </c>
      <c r="M31" s="398">
        <f t="shared" si="12"/>
        <v>-2184.4</v>
      </c>
      <c r="N31" s="398">
        <f t="shared" si="12"/>
        <v>36716.759999999966</v>
      </c>
      <c r="O31" s="398">
        <f t="shared" si="12"/>
        <v>-2184.4</v>
      </c>
      <c r="P31" s="398">
        <f t="shared" si="12"/>
        <v>37340.480000000032</v>
      </c>
      <c r="Q31" s="398">
        <f t="shared" si="12"/>
        <v>-2184.4</v>
      </c>
      <c r="R31" s="398">
        <f t="shared" si="12"/>
        <v>37643.599999999999</v>
      </c>
      <c r="S31" s="398">
        <f t="shared" si="12"/>
        <v>-2184.4</v>
      </c>
      <c r="T31" s="398">
        <f t="shared" si="12"/>
        <v>37643.599999999999</v>
      </c>
      <c r="U31" s="398">
        <f t="shared" si="12"/>
        <v>-2184.4</v>
      </c>
      <c r="V31" s="398">
        <f t="shared" si="12"/>
        <v>37643.599999999999</v>
      </c>
      <c r="W31" s="398">
        <f t="shared" si="12"/>
        <v>-2184.4</v>
      </c>
      <c r="X31" s="398">
        <f t="shared" si="12"/>
        <v>37643.599999999999</v>
      </c>
      <c r="Y31" s="398">
        <f t="shared" si="12"/>
        <v>-2184.4</v>
      </c>
      <c r="Z31" s="398">
        <f t="shared" si="12"/>
        <v>37643.599999999999</v>
      </c>
      <c r="AA31" s="398">
        <f t="shared" si="12"/>
        <v>-2184.4</v>
      </c>
      <c r="AB31" s="398">
        <f t="shared" si="12"/>
        <v>37643.599999999999</v>
      </c>
      <c r="AC31" s="398">
        <f t="shared" si="12"/>
        <v>-2184.4</v>
      </c>
      <c r="AD31" s="398">
        <f t="shared" si="12"/>
        <v>37643.599999999999</v>
      </c>
      <c r="AE31" s="398"/>
      <c r="AF31" s="398"/>
      <c r="AG31" s="398"/>
      <c r="AH31" s="398"/>
      <c r="AI31" s="398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399" t="s">
        <v>737</v>
      </c>
      <c r="B32" s="398">
        <f>-B12-B11+B31</f>
        <v>-189230.56</v>
      </c>
      <c r="C32" s="398">
        <f t="shared" ref="C32:AD32" si="13">B32+C31</f>
        <v>-191414.96</v>
      </c>
      <c r="D32" s="398">
        <f t="shared" si="13"/>
        <v>-157816.79999999999</v>
      </c>
      <c r="E32" s="398">
        <f t="shared" si="13"/>
        <v>-160001.19999999998</v>
      </c>
      <c r="F32" s="398">
        <f t="shared" si="13"/>
        <v>-125779.31999999999</v>
      </c>
      <c r="G32" s="398">
        <f t="shared" si="13"/>
        <v>-127963.71999999999</v>
      </c>
      <c r="H32" s="398">
        <f t="shared" si="13"/>
        <v>-93118.12</v>
      </c>
      <c r="I32" s="398">
        <f t="shared" si="13"/>
        <v>-95302.51999999999</v>
      </c>
      <c r="J32" s="398">
        <f t="shared" si="13"/>
        <v>-59833.200000000004</v>
      </c>
      <c r="K32" s="398">
        <f t="shared" si="13"/>
        <v>-62017.600000000006</v>
      </c>
      <c r="L32" s="398">
        <f t="shared" si="13"/>
        <v>-25924.560000000034</v>
      </c>
      <c r="M32" s="398">
        <f t="shared" si="13"/>
        <v>-28108.960000000036</v>
      </c>
      <c r="N32" s="398">
        <f t="shared" si="13"/>
        <v>8607.7999999999302</v>
      </c>
      <c r="O32" s="398">
        <f t="shared" si="13"/>
        <v>6423.3999999999305</v>
      </c>
      <c r="P32" s="398">
        <f t="shared" si="13"/>
        <v>43763.879999999961</v>
      </c>
      <c r="Q32" s="398">
        <f t="shared" si="13"/>
        <v>41579.47999999996</v>
      </c>
      <c r="R32" s="398">
        <f t="shared" si="13"/>
        <v>79223.079999999958</v>
      </c>
      <c r="S32" s="398">
        <f t="shared" si="13"/>
        <v>77038.679999999964</v>
      </c>
      <c r="T32" s="398">
        <f t="shared" si="13"/>
        <v>114682.27999999997</v>
      </c>
      <c r="U32" s="398">
        <f t="shared" si="13"/>
        <v>112497.87999999998</v>
      </c>
      <c r="V32" s="398">
        <f t="shared" si="13"/>
        <v>150141.47999999998</v>
      </c>
      <c r="W32" s="398">
        <f t="shared" si="13"/>
        <v>147957.07999999999</v>
      </c>
      <c r="X32" s="398">
        <f t="shared" si="13"/>
        <v>185600.68</v>
      </c>
      <c r="Y32" s="398">
        <f t="shared" si="13"/>
        <v>183416.28</v>
      </c>
      <c r="Z32" s="398">
        <f t="shared" si="13"/>
        <v>221059.88</v>
      </c>
      <c r="AA32" s="398">
        <f t="shared" si="13"/>
        <v>218875.48</v>
      </c>
      <c r="AB32" s="398">
        <f t="shared" si="13"/>
        <v>256519.08000000002</v>
      </c>
      <c r="AC32" s="398">
        <f t="shared" si="13"/>
        <v>254334.68000000002</v>
      </c>
      <c r="AD32" s="398">
        <f t="shared" si="13"/>
        <v>291978.28000000003</v>
      </c>
      <c r="AE32" s="398"/>
      <c r="AF32" s="398"/>
      <c r="AG32" s="398"/>
      <c r="AH32" s="398"/>
      <c r="AI32" s="398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4">B32/$B$13</f>
        <v>-0.85160351927274358</v>
      </c>
      <c r="C33" s="58">
        <f t="shared" si="14"/>
        <v>-0.86143408114128839</v>
      </c>
      <c r="D33" s="58">
        <f t="shared" si="14"/>
        <v>-0.71023064287482274</v>
      </c>
      <c r="E33" s="58">
        <f t="shared" si="14"/>
        <v>-0.72006120474336754</v>
      </c>
      <c r="F33" s="58">
        <f t="shared" si="14"/>
        <v>-0.56605080893769266</v>
      </c>
      <c r="G33" s="58">
        <f t="shared" si="14"/>
        <v>-0.57588137080623747</v>
      </c>
      <c r="H33" s="58">
        <f t="shared" si="14"/>
        <v>-0.41906401746135324</v>
      </c>
      <c r="I33" s="58">
        <f t="shared" si="14"/>
        <v>-0.428894579329898</v>
      </c>
      <c r="J33" s="58">
        <f t="shared" si="14"/>
        <v>-0.26927026844580459</v>
      </c>
      <c r="K33" s="58">
        <f t="shared" si="14"/>
        <v>-0.2791008303143494</v>
      </c>
      <c r="L33" s="58">
        <f t="shared" si="14"/>
        <v>-0.11666956189104671</v>
      </c>
      <c r="M33" s="58">
        <f t="shared" si="14"/>
        <v>-0.12650012375959152</v>
      </c>
      <c r="N33" s="58">
        <f t="shared" si="14"/>
        <v>3.8738102202920413E-2</v>
      </c>
      <c r="O33" s="58">
        <f t="shared" si="14"/>
        <v>2.8907540334375603E-2</v>
      </c>
      <c r="P33" s="58">
        <f t="shared" si="14"/>
        <v>0.19695272383609713</v>
      </c>
      <c r="Q33" s="58">
        <f t="shared" si="14"/>
        <v>0.1871221619675523</v>
      </c>
      <c r="R33" s="58">
        <f t="shared" si="14"/>
        <v>0.3565314911905671</v>
      </c>
      <c r="S33" s="58">
        <f t="shared" si="14"/>
        <v>0.34670092932202229</v>
      </c>
      <c r="T33" s="58">
        <f t="shared" si="14"/>
        <v>0.51611025854503711</v>
      </c>
      <c r="U33" s="58">
        <f t="shared" si="14"/>
        <v>0.50627969667649231</v>
      </c>
      <c r="V33" s="58">
        <f t="shared" si="14"/>
        <v>0.67568902589950708</v>
      </c>
      <c r="W33" s="58">
        <f t="shared" si="14"/>
        <v>0.66585846403096238</v>
      </c>
      <c r="X33" s="58">
        <f t="shared" si="14"/>
        <v>0.83526779325397715</v>
      </c>
      <c r="Y33" s="58">
        <f t="shared" si="14"/>
        <v>0.82543723138543235</v>
      </c>
      <c r="Z33" s="58">
        <f t="shared" si="14"/>
        <v>0.99484656060844723</v>
      </c>
      <c r="AA33" s="58">
        <f t="shared" si="14"/>
        <v>0.98501599873990242</v>
      </c>
      <c r="AB33" s="58">
        <f t="shared" si="14"/>
        <v>1.1544253279629173</v>
      </c>
      <c r="AC33" s="58">
        <f t="shared" si="14"/>
        <v>1.1445947660943725</v>
      </c>
      <c r="AD33" s="58">
        <f t="shared" si="14"/>
        <v>1.3140040953173873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1" priority="1" operator="lessThan">
      <formula>0</formula>
    </cfRule>
  </conditionalFormatting>
  <conditionalFormatting sqref="B32:AD32">
    <cfRule type="cellIs" dxfId="1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2" activePane="bottomLeft" state="frozen"/>
      <selection pane="bottomLeft" activeCell="P13" sqref="P13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488" t="s">
        <v>738</v>
      </c>
      <c r="B1" s="488"/>
      <c r="C1" s="488"/>
      <c r="D1" s="488"/>
      <c r="F1" s="13" t="s">
        <v>187</v>
      </c>
      <c r="G1" s="13" t="s">
        <v>112</v>
      </c>
      <c r="H1" s="13" t="s">
        <v>113</v>
      </c>
      <c r="I1" s="26" t="s">
        <v>739</v>
      </c>
      <c r="J1" s="26" t="s">
        <v>115</v>
      </c>
      <c r="K1" s="26" t="s">
        <v>472</v>
      </c>
      <c r="L1" s="26" t="s">
        <v>740</v>
      </c>
      <c r="M1" s="26" t="s">
        <v>741</v>
      </c>
      <c r="N1" s="64" t="s">
        <v>742</v>
      </c>
      <c r="O1" s="64" t="s">
        <v>743</v>
      </c>
      <c r="P1" s="64" t="s">
        <v>744</v>
      </c>
      <c r="Q1" s="64" t="s">
        <v>745</v>
      </c>
      <c r="R1" s="65" t="s">
        <v>746</v>
      </c>
      <c r="S1" s="65" t="s">
        <v>747</v>
      </c>
      <c r="T1" s="65" t="s">
        <v>744</v>
      </c>
      <c r="U1" s="65" t="s">
        <v>745</v>
      </c>
    </row>
    <row r="2" spans="1:21" x14ac:dyDescent="0.25">
      <c r="A2" s="489" t="s">
        <v>748</v>
      </c>
      <c r="B2" s="490" t="s">
        <v>749</v>
      </c>
      <c r="C2" s="490" t="s">
        <v>750</v>
      </c>
      <c r="D2" s="490" t="s">
        <v>751</v>
      </c>
      <c r="F2" s="88" t="s">
        <v>752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489"/>
      <c r="B3" s="490"/>
      <c r="C3" s="490"/>
      <c r="D3" s="490"/>
      <c r="F3" s="88" t="s">
        <v>753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749</v>
      </c>
      <c r="B4" s="73" t="s">
        <v>754</v>
      </c>
      <c r="C4" s="73" t="s">
        <v>755</v>
      </c>
      <c r="D4" s="73" t="s">
        <v>755</v>
      </c>
      <c r="F4" s="88" t="s">
        <v>756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750</v>
      </c>
      <c r="B5" s="75" t="s">
        <v>757</v>
      </c>
      <c r="C5" s="75" t="s">
        <v>758</v>
      </c>
      <c r="D5" s="75" t="s">
        <v>755</v>
      </c>
      <c r="F5" s="88" t="s">
        <v>759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751</v>
      </c>
      <c r="B6" s="73" t="s">
        <v>760</v>
      </c>
      <c r="C6" s="73" t="s">
        <v>761</v>
      </c>
      <c r="D6" s="73" t="s">
        <v>762</v>
      </c>
      <c r="F6" s="88" t="s">
        <v>763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764</v>
      </c>
      <c r="B7" s="75" t="s">
        <v>765</v>
      </c>
      <c r="C7" s="75" t="s">
        <v>766</v>
      </c>
      <c r="D7" s="75" t="s">
        <v>767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768</v>
      </c>
      <c r="B8" s="73" t="s">
        <v>769</v>
      </c>
      <c r="C8" s="73" t="s">
        <v>770</v>
      </c>
      <c r="D8" s="73" t="s">
        <v>771</v>
      </c>
      <c r="F8" s="88" t="s">
        <v>772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773</v>
      </c>
      <c r="B9" s="75" t="s">
        <v>774</v>
      </c>
      <c r="C9" s="75" t="s">
        <v>775</v>
      </c>
      <c r="D9" s="75" t="s">
        <v>776</v>
      </c>
      <c r="F9" s="88" t="s">
        <v>777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778</v>
      </c>
      <c r="B10" s="73" t="s">
        <v>779</v>
      </c>
      <c r="C10" s="73" t="s">
        <v>780</v>
      </c>
      <c r="D10" s="73" t="s">
        <v>781</v>
      </c>
      <c r="F10" s="88" t="s">
        <v>782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783</v>
      </c>
      <c r="B11" s="75" t="s">
        <v>784</v>
      </c>
      <c r="C11" s="75" t="s">
        <v>785</v>
      </c>
      <c r="D11" s="75" t="s">
        <v>786</v>
      </c>
      <c r="F11" s="88" t="s">
        <v>787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788</v>
      </c>
      <c r="B12" s="73" t="s">
        <v>789</v>
      </c>
      <c r="C12" s="73" t="s">
        <v>790</v>
      </c>
      <c r="D12" s="73" t="s">
        <v>791</v>
      </c>
      <c r="F12" s="88" t="s">
        <v>792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793</v>
      </c>
      <c r="B13" s="75" t="s">
        <v>794</v>
      </c>
      <c r="C13" s="75" t="s">
        <v>795</v>
      </c>
      <c r="D13" s="75" t="s">
        <v>796</v>
      </c>
      <c r="F13" s="88" t="s">
        <v>797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798</v>
      </c>
      <c r="B14" s="73" t="s">
        <v>799</v>
      </c>
      <c r="C14" s="73" t="s">
        <v>800</v>
      </c>
      <c r="D14" s="73" t="s">
        <v>801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802</v>
      </c>
      <c r="B15" s="75" t="s">
        <v>803</v>
      </c>
      <c r="C15" s="75" t="s">
        <v>804</v>
      </c>
      <c r="D15" s="75" t="s">
        <v>805</v>
      </c>
      <c r="F15" s="88" t="s">
        <v>806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807</v>
      </c>
      <c r="B16" s="73" t="s">
        <v>808</v>
      </c>
      <c r="C16" s="73" t="s">
        <v>809</v>
      </c>
      <c r="D16" s="73" t="s">
        <v>810</v>
      </c>
      <c r="F16" s="88" t="s">
        <v>811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812</v>
      </c>
      <c r="B17" s="75" t="s">
        <v>813</v>
      </c>
      <c r="C17" s="75" t="s">
        <v>814</v>
      </c>
      <c r="D17" s="75" t="s">
        <v>815</v>
      </c>
      <c r="F17" s="88" t="s">
        <v>816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817</v>
      </c>
      <c r="B18" s="73" t="s">
        <v>818</v>
      </c>
      <c r="C18" s="73" t="s">
        <v>819</v>
      </c>
      <c r="D18" s="73" t="s">
        <v>820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821</v>
      </c>
      <c r="B20" s="13" t="s">
        <v>822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823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824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825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826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827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828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829</v>
      </c>
      <c r="B28" s="13" t="s">
        <v>830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831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832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833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834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835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836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837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A26" sqref="A26"/>
    </sheetView>
  </sheetViews>
  <sheetFormatPr baseColWidth="10" defaultColWidth="10.7109375" defaultRowHeight="15" x14ac:dyDescent="0.25"/>
  <sheetData>
    <row r="26" spans="1:1" x14ac:dyDescent="0.25">
      <c r="A26" s="23">
        <v>43733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BK3" activePane="bottomRight" state="frozen"/>
      <selection pane="topRight"/>
      <selection pane="bottomLeft"/>
      <selection pane="bottomRight" activeCell="CB12" sqref="CB12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838</v>
      </c>
      <c r="Z1" t="s">
        <v>839</v>
      </c>
      <c r="AD1" t="s">
        <v>840</v>
      </c>
      <c r="AH1" t="s">
        <v>841</v>
      </c>
      <c r="AL1" t="s">
        <v>842</v>
      </c>
      <c r="AP1" t="s">
        <v>843</v>
      </c>
      <c r="AW1" t="s">
        <v>844</v>
      </c>
      <c r="BD1" t="s">
        <v>845</v>
      </c>
      <c r="BI1" t="s">
        <v>846</v>
      </c>
      <c r="BN1" t="s">
        <v>847</v>
      </c>
      <c r="BS1" t="s">
        <v>848</v>
      </c>
      <c r="BX1" t="s">
        <v>849</v>
      </c>
      <c r="CB1" t="s">
        <v>180</v>
      </c>
    </row>
    <row r="2" spans="1:83" x14ac:dyDescent="0.25">
      <c r="A2" s="31" t="s">
        <v>187</v>
      </c>
      <c r="B2" s="31" t="s">
        <v>850</v>
      </c>
      <c r="C2" s="31" t="s">
        <v>113</v>
      </c>
      <c r="D2" s="51" t="s">
        <v>469</v>
      </c>
      <c r="E2" s="31" t="s">
        <v>851</v>
      </c>
      <c r="F2" s="39" t="s">
        <v>852</v>
      </c>
      <c r="G2" s="39" t="s">
        <v>125</v>
      </c>
      <c r="H2" s="39" t="s">
        <v>126</v>
      </c>
      <c r="I2" s="40" t="s">
        <v>121</v>
      </c>
      <c r="J2" s="32" t="s">
        <v>739</v>
      </c>
      <c r="K2" s="32" t="s">
        <v>154</v>
      </c>
      <c r="L2" s="32" t="s">
        <v>195</v>
      </c>
      <c r="M2" s="32" t="s">
        <v>196</v>
      </c>
      <c r="N2" s="32" t="s">
        <v>493</v>
      </c>
      <c r="O2" s="32" t="s">
        <v>198</v>
      </c>
      <c r="P2" s="32" t="s">
        <v>199</v>
      </c>
      <c r="Q2" s="32" t="s">
        <v>200</v>
      </c>
      <c r="R2" s="33" t="s">
        <v>140</v>
      </c>
      <c r="S2" s="33" t="s">
        <v>853</v>
      </c>
      <c r="T2" s="33" t="s">
        <v>854</v>
      </c>
      <c r="U2" s="33" t="s">
        <v>855</v>
      </c>
      <c r="V2" s="33" t="s">
        <v>856</v>
      </c>
      <c r="W2" s="34" t="s">
        <v>857</v>
      </c>
      <c r="X2" s="34" t="s">
        <v>858</v>
      </c>
      <c r="Y2" s="34" t="s">
        <v>857</v>
      </c>
      <c r="Z2" s="35" t="s">
        <v>857</v>
      </c>
      <c r="AA2" s="35" t="s">
        <v>858</v>
      </c>
      <c r="AB2" s="35" t="s">
        <v>857</v>
      </c>
      <c r="AC2" s="35" t="s">
        <v>174</v>
      </c>
      <c r="AD2" s="35" t="s">
        <v>857</v>
      </c>
      <c r="AE2" s="35" t="s">
        <v>858</v>
      </c>
      <c r="AF2" s="35" t="s">
        <v>857</v>
      </c>
      <c r="AG2" s="35" t="s">
        <v>174</v>
      </c>
      <c r="AH2" s="34" t="s">
        <v>857</v>
      </c>
      <c r="AI2" s="34" t="s">
        <v>858</v>
      </c>
      <c r="AJ2" s="34" t="s">
        <v>174</v>
      </c>
      <c r="AK2" s="34" t="s">
        <v>859</v>
      </c>
      <c r="AL2" s="34" t="s">
        <v>857</v>
      </c>
      <c r="AM2" s="34" t="s">
        <v>858</v>
      </c>
      <c r="AN2" s="34" t="s">
        <v>174</v>
      </c>
      <c r="AO2" s="34" t="s">
        <v>859</v>
      </c>
      <c r="AP2" s="34" t="s">
        <v>857</v>
      </c>
      <c r="AQ2" s="34" t="s">
        <v>858</v>
      </c>
      <c r="AR2" s="34" t="s">
        <v>857</v>
      </c>
      <c r="AS2" s="34" t="s">
        <v>174</v>
      </c>
      <c r="AT2" s="34" t="s">
        <v>859</v>
      </c>
      <c r="AU2" s="34" t="s">
        <v>860</v>
      </c>
      <c r="AV2" s="34" t="s">
        <v>859</v>
      </c>
      <c r="AW2" s="34" t="s">
        <v>857</v>
      </c>
      <c r="AX2" s="34" t="s">
        <v>858</v>
      </c>
      <c r="AY2" s="34" t="s">
        <v>857</v>
      </c>
      <c r="AZ2" s="34" t="s">
        <v>174</v>
      </c>
      <c r="BA2" s="34" t="s">
        <v>859</v>
      </c>
      <c r="BB2" s="34" t="s">
        <v>860</v>
      </c>
      <c r="BC2" s="34" t="s">
        <v>859</v>
      </c>
      <c r="BD2" s="35" t="s">
        <v>857</v>
      </c>
      <c r="BE2" s="35" t="s">
        <v>858</v>
      </c>
      <c r="BF2" s="35" t="s">
        <v>174</v>
      </c>
      <c r="BG2" s="35" t="s">
        <v>859</v>
      </c>
      <c r="BH2" s="35" t="s">
        <v>860</v>
      </c>
      <c r="BI2" s="35" t="s">
        <v>857</v>
      </c>
      <c r="BJ2" s="35" t="s">
        <v>858</v>
      </c>
      <c r="BK2" s="35" t="s">
        <v>174</v>
      </c>
      <c r="BL2" s="35" t="s">
        <v>859</v>
      </c>
      <c r="BM2" s="35" t="s">
        <v>860</v>
      </c>
      <c r="BN2" s="34" t="s">
        <v>857</v>
      </c>
      <c r="BO2" s="34" t="s">
        <v>858</v>
      </c>
      <c r="BP2" s="34" t="s">
        <v>174</v>
      </c>
      <c r="BQ2" s="34" t="s">
        <v>859</v>
      </c>
      <c r="BR2" s="34" t="s">
        <v>860</v>
      </c>
      <c r="BS2" s="34" t="s">
        <v>857</v>
      </c>
      <c r="BT2" s="34" t="s">
        <v>858</v>
      </c>
      <c r="BU2" s="34" t="s">
        <v>174</v>
      </c>
      <c r="BV2" s="34" t="s">
        <v>859</v>
      </c>
      <c r="BW2" s="34" t="s">
        <v>860</v>
      </c>
      <c r="BX2" s="35" t="s">
        <v>174</v>
      </c>
      <c r="BY2" s="35" t="s">
        <v>859</v>
      </c>
      <c r="BZ2" s="35" t="s">
        <v>860</v>
      </c>
      <c r="CA2" s="35" t="s">
        <v>859</v>
      </c>
      <c r="CB2" s="34" t="s">
        <v>859</v>
      </c>
      <c r="CC2" s="34" t="s">
        <v>860</v>
      </c>
      <c r="CD2" s="34" t="s">
        <v>859</v>
      </c>
      <c r="CE2" s="34" t="s">
        <v>174</v>
      </c>
    </row>
    <row r="3" spans="1:83" x14ac:dyDescent="0.25">
      <c r="A3" t="str">
        <f>Plantilla!D4</f>
        <v>Cosme Fonteboa</v>
      </c>
      <c r="B3">
        <f>Plantilla!E4</f>
        <v>26</v>
      </c>
      <c r="C3" s="25">
        <f ca="1">Plantilla!F4</f>
        <v>30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8</v>
      </c>
      <c r="K3" s="36">
        <f>Plantilla!X4</f>
        <v>15</v>
      </c>
      <c r="L3" s="36">
        <f>Plantilla!Y4</f>
        <v>12.363636363636363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15</v>
      </c>
      <c r="R3" s="36">
        <f t="shared" ref="R3" si="2">((2*(O3+1))+(L3+1))/8</f>
        <v>2.1704545454545454</v>
      </c>
      <c r="S3" s="36">
        <f t="shared" ref="S3" si="3">(0.5*P3+0.3*Q3)/10</f>
        <v>0.5</v>
      </c>
      <c r="T3" s="36">
        <f t="shared" ref="T3" si="4">(0.4*L3+0.3*Q3)/10</f>
        <v>0.94454545454545458</v>
      </c>
      <c r="U3" s="36">
        <f t="shared" ref="U3" ca="1" si="5">(Q3+I3+(LOG(J3)*4/3))*(F3/7)^0.5</f>
        <v>15.927920078841455</v>
      </c>
      <c r="V3" s="36">
        <f t="shared" ref="V3" ca="1" si="6">IF(F3=7,U3,(Q3+I3+(LOG(J3)*4/3))*((F3+0.99)/7)^0.5)</f>
        <v>17.191826933581673</v>
      </c>
      <c r="W3" s="27">
        <f t="shared" ref="W3" ca="1" si="7">((K3+I3+(LOG(J3)*4/3))*0.597)+((L3+I3+(LOG(J3)*4/3))*0.276)</f>
        <v>14.291560381222258</v>
      </c>
      <c r="X3" s="27">
        <f t="shared" ref="X3" ca="1" si="8">((K3+I3+(LOG(J3)*4/3))*0.866)+((L3+I3+(LOG(J3)*4/3))*0.425)</f>
        <v>21.090064352154254</v>
      </c>
      <c r="Y3" s="27">
        <f t="shared" ref="Y3" ca="1" si="9">W3</f>
        <v>14.291560381222258</v>
      </c>
      <c r="Z3" s="27">
        <f t="shared" ref="Z3" ca="1" si="10">((L3+I3+(LOG(J3)*4/3))*0.516)</f>
        <v>7.5169622746868212</v>
      </c>
      <c r="AA3" s="27">
        <f t="shared" ref="AA3" ca="1" si="11">((L3+I3+(LOG(J3)*4/3))*1)</f>
        <v>14.567756346292288</v>
      </c>
      <c r="AB3" s="27">
        <f t="shared" ref="AB3" ca="1" si="12">Z3/2</f>
        <v>3.7584811373434106</v>
      </c>
      <c r="AC3" s="27">
        <f t="shared" ref="AC3" ca="1" si="13">((M3+I3+(LOG(J3)*4/3))*0.238)</f>
        <v>0.52458055587211017</v>
      </c>
      <c r="AD3" s="27">
        <f t="shared" ref="AD3" ca="1" si="14">((L3+I3+(LOG(J3)*4/3))*0.378)</f>
        <v>5.5066118988984849</v>
      </c>
      <c r="AE3" s="27">
        <f t="shared" ref="AE3" ca="1" si="15">((L3+I3+(LOG(J3)*4/3))*0.723)</f>
        <v>10.532487838369324</v>
      </c>
      <c r="AF3" s="27">
        <f t="shared" ref="AF3" ca="1" si="16">AD3/2</f>
        <v>2.7533059494492425</v>
      </c>
      <c r="AG3" s="27">
        <f t="shared" ref="AG3" ca="1" si="17">((M3+I3+(LOG(J3)*4/3))*0.385)</f>
        <v>0.84858619332253116</v>
      </c>
      <c r="AH3" s="27">
        <f t="shared" ref="AH3" ca="1" si="18">((L3+I3+(LOG(J3)*4/3))*0.92)</f>
        <v>13.402335838588906</v>
      </c>
      <c r="AI3" s="27">
        <f t="shared" ref="AI3" ca="1" si="19">((L3+I3+(LOG(J3)*4/3))*0.414)</f>
        <v>6.0310511273650071</v>
      </c>
      <c r="AJ3" s="27">
        <f t="shared" ref="AJ3" ca="1" si="20">((M3+I3+(LOG(J3)*4/3))*0.167)</f>
        <v>0.36808803710353949</v>
      </c>
      <c r="AK3" s="27">
        <f t="shared" ref="AK3" ca="1" si="21">((N3+I3+(LOG(J3)*4/3))*0.588)</f>
        <v>1.8840225498016838</v>
      </c>
      <c r="AL3" s="27">
        <f t="shared" ref="AL3" ca="1" si="22">((L3+I3+(LOG(J3)*4/3))*0.754)</f>
        <v>10.984088285104386</v>
      </c>
      <c r="AM3" s="27">
        <f t="shared" ref="AM3" ca="1" si="23">((L3+I3+(LOG(J3)*4/3))*0.708)</f>
        <v>10.31397149317494</v>
      </c>
      <c r="AN3" s="27">
        <f t="shared" ref="AN3" ca="1" si="24">((Q3+I3+(LOG(J3)*4/3))*0.167)</f>
        <v>2.8730880371035394</v>
      </c>
      <c r="AO3" s="27">
        <f t="shared" ref="AO3" ca="1" si="25">((R3+I3+(LOG(J3)*4/3))*0.288)</f>
        <v>1.2598774640958152</v>
      </c>
      <c r="AP3" s="27">
        <f t="shared" ref="AP3" ca="1" si="26">((L3+I3+(LOG(J3)*4/3))*0.27)</f>
        <v>3.9332942134989182</v>
      </c>
      <c r="AQ3" s="27">
        <f t="shared" ref="AQ3" ca="1" si="27">((L3+I3+(LOG(J3)*4/3))*0.594)</f>
        <v>8.6532472696976193</v>
      </c>
      <c r="AR3" s="27">
        <f t="shared" ref="AR3" ca="1" si="28">AP3/2</f>
        <v>1.9666471067494591</v>
      </c>
      <c r="AS3" s="27">
        <f t="shared" ref="AS3" ca="1" si="29">((M3+I3+(LOG(J3)*4/3))*0.944)</f>
        <v>2.080689263627193</v>
      </c>
      <c r="AT3" s="27">
        <f t="shared" ref="AT3" ca="1" si="30">((O3+I3+(LOG(J3)*4/3))*0.13)</f>
        <v>0.41653559774527027</v>
      </c>
      <c r="AU3" s="27">
        <f t="shared" ref="AU3" ca="1" si="31">((P3+I3+(LOG(J3)*4/3))*0.173)+((O3+I3+(LOG(J3)*4/3))*0.12)</f>
        <v>0.938807154918186</v>
      </c>
      <c r="AV3" s="27">
        <f t="shared" ref="AV3" ca="1" si="32">AT3/2</f>
        <v>0.20826779887263513</v>
      </c>
      <c r="AW3" s="27">
        <f t="shared" ref="AW3" ca="1" si="33">((L3+I3+(LOG(J3)*4/3))*0.189)</f>
        <v>2.7533059494492425</v>
      </c>
      <c r="AX3" s="27">
        <f t="shared" ref="AX3" ca="1" si="34">((L3+I3+(LOG(J3)*4/3))*0.4)</f>
        <v>5.8271025385169155</v>
      </c>
      <c r="AY3" s="27">
        <f t="shared" ref="AY3" ca="1" si="35">AW3/2</f>
        <v>1.3766529747246212</v>
      </c>
      <c r="AZ3" s="27">
        <f t="shared" ref="AZ3" ca="1" si="36">((M3+I3+(LOG(J3)*4/3))*1)</f>
        <v>2.204119982655925</v>
      </c>
      <c r="BA3" s="27">
        <f t="shared" ref="BA3" ca="1" si="37">((O3+I3+(LOG(J3)*4/3))*0.253)</f>
        <v>0.81064235561194908</v>
      </c>
      <c r="BB3" s="27">
        <f t="shared" ref="BB3" ca="1" si="38">((P3+I3+(LOG(J3)*4/3))*0.21)+((O3+I3+(LOG(J3)*4/3))*0.341)</f>
        <v>1.765470110443415</v>
      </c>
      <c r="BC3" s="27">
        <f t="shared" ref="BC3" ca="1" si="39">BA3/2</f>
        <v>0.40532117780597454</v>
      </c>
      <c r="BD3" s="27">
        <f t="shared" ref="BD3" ca="1" si="40">((L3+I3+(LOG(J3)*4/3))*0.291)</f>
        <v>4.2392170967710552</v>
      </c>
      <c r="BE3" s="27">
        <f t="shared" ref="BE3" ca="1" si="41">((L3+I3+(LOG(J3)*4/3))*0.348)</f>
        <v>5.0695792085097162</v>
      </c>
      <c r="BF3" s="27">
        <f t="shared" ref="BF3" ca="1" si="42">((M3+I3+(LOG(J3)*4/3))*0.881)</f>
        <v>1.94182970471987</v>
      </c>
      <c r="BG3" s="27">
        <f t="shared" ref="BG3" ca="1" si="43">((N3+I3+(LOG(J3)*4/3))*0.574)+((O3+I3+(LOG(J3)*4/3))*0.315)</f>
        <v>2.8484626645811173</v>
      </c>
      <c r="BH3" s="27">
        <f t="shared" ref="BH3" ca="1" si="44">((O3+I3+(LOG(J3)*4/3))*0.241)</f>
        <v>0.77219291582007787</v>
      </c>
      <c r="BI3" s="27">
        <f t="shared" ref="BI3" ca="1" si="45">((L3+I3+(LOG(J3)*4/3))*0.485)</f>
        <v>7.0653618279517598</v>
      </c>
      <c r="BJ3" s="27">
        <f t="shared" ref="BJ3" ca="1" si="46">((L3+I3+(LOG(J3)*4/3))*0.264)</f>
        <v>3.8458876754211642</v>
      </c>
      <c r="BK3" s="27">
        <f t="shared" ref="BK3" ca="1" si="47">((M3+I3+(LOG(J3)*4/3))*0.381)</f>
        <v>0.83976971339190742</v>
      </c>
      <c r="BL3" s="27">
        <f t="shared" ref="BL3" ca="1" si="48">((N3+I3+(LOG(J3)*4/3))*0.673)+((O3+I3+(LOG(J3)*4/3))*0.201)</f>
        <v>2.8004008648412784</v>
      </c>
      <c r="BM3" s="27">
        <f t="shared" ref="BM3" ca="1" si="49">((O3+I3+(LOG(J3)*4/3))*0.052)</f>
        <v>0.1666142390981081</v>
      </c>
      <c r="BN3" s="27">
        <f t="shared" ref="BN3" ca="1" si="50">((L3+I3+(LOG(J3)*4/3))*0.18)</f>
        <v>2.6221961423326117</v>
      </c>
      <c r="BO3" s="27">
        <f t="shared" ref="BO3" ca="1" si="51">((L3+I3+(LOG(J3)*4/3))*0.068)</f>
        <v>0.99060743154787567</v>
      </c>
      <c r="BP3" s="27">
        <f t="shared" ref="BP3" ca="1" si="52">((M3+I3+(LOG(J3)*4/3))*0.305)</f>
        <v>0.67225659471005716</v>
      </c>
      <c r="BQ3" s="27">
        <f t="shared" ref="BQ3" ca="1" si="53">((N3+I3+(LOG(J3)*4/3))*1)+((O3+I3+(LOG(J3)*4/3))*0.286)</f>
        <v>4.1204982976955193</v>
      </c>
      <c r="BR3" s="27">
        <f t="shared" ref="BR3" ca="1" si="54">((O3+I3+(LOG(J3)*4/3))*0.135)</f>
        <v>0.43255619765854991</v>
      </c>
      <c r="BS3" s="27">
        <f t="shared" ref="BS3" ca="1" si="55">((L3+I3+(LOG(J3)*4/3))*0.284)</f>
        <v>4.1372428023470098</v>
      </c>
      <c r="BT3" s="27">
        <f t="shared" ref="BT3" ca="1" si="56">((L3+I3+(LOG(J3)*4/3))*0.244)</f>
        <v>3.5545325484953181</v>
      </c>
      <c r="BU3" s="27">
        <f t="shared" ref="BU3" ca="1" si="57">((M3+I3+(LOG(J3)*4/3))*0.631)</f>
        <v>1.3907997090558888</v>
      </c>
      <c r="BV3" s="27">
        <f t="shared" ref="BV3" ca="1" si="58">((N3+I3+(LOG(J3)*4/3))*0.702)+((O3+I3+(LOG(J3)*4/3))*0.193)</f>
        <v>2.867687384477053</v>
      </c>
      <c r="BW3" s="27">
        <f t="shared" ref="BW3" ca="1" si="59">((O3+I3+(LOG(J3)*4/3))*0.148)</f>
        <v>0.47420975743307686</v>
      </c>
      <c r="BX3" s="27">
        <f t="shared" ref="BX3" ca="1" si="60">((M3+I3+(LOG(J3)*4/3))*0.406)</f>
        <v>0.89487271295830562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1.6693465109637369</v>
      </c>
      <c r="BZ3" s="27">
        <f t="shared" ref="BZ3" ca="1" si="62">IF(D3="TEC",((O3+I3+(LOG(J3)*4/3))*0.543)+((P3+I3+(LOG(J3)*4/3))*0.583),((O3+I3+(LOG(J3)*4/3))*0.543)+((P3+I3+(LOG(J3)*4/3))*0.583))</f>
        <v>3.6078391004705717</v>
      </c>
      <c r="CA3" s="27">
        <f t="shared" ref="CA3" ca="1" si="63">BY3</f>
        <v>1.6693465109637369</v>
      </c>
      <c r="CB3" s="27">
        <f t="shared" ref="CB3" ca="1" si="64">((P3+I3+(LOG(J3)*4/3))*0.26)+((N3+I3+(LOG(J3)*4/3))*0.221)+((O3+I3+(LOG(J3)*4/3))*0.142)</f>
        <v>1.9961667491946413</v>
      </c>
      <c r="CC3" s="27">
        <f t="shared" ref="CC3" ca="1" si="65">((P3+I3+(LOG(J3)*4/3))*1)+((O3+I3+(LOG(J3)*4/3))*0.369)</f>
        <v>4.3864402562559608</v>
      </c>
      <c r="CD3" s="27">
        <f t="shared" ref="CD3" ca="1" si="66">CB3</f>
        <v>1.9961667491946413</v>
      </c>
      <c r="CE3" s="27">
        <f t="shared" ref="CE3" ca="1" si="67">((M3+I3+(LOG(J3)*4/3))*0.25)</f>
        <v>0.55102999566398125</v>
      </c>
    </row>
    <row r="4" spans="1:83" x14ac:dyDescent="0.25">
      <c r="A4" t="str">
        <f>Plantilla!D5</f>
        <v>Nicolae Hornet</v>
      </c>
      <c r="B4">
        <f>Plantilla!E5</f>
        <v>26</v>
      </c>
      <c r="C4" s="25">
        <f ca="1">Plantilla!F5</f>
        <v>55</v>
      </c>
      <c r="D4" s="42">
        <f>Plantilla!G5</f>
        <v>0</v>
      </c>
      <c r="E4" s="23">
        <f>Plantilla!M5</f>
        <v>43190</v>
      </c>
      <c r="F4" s="37">
        <f>Plantilla!Q5</f>
        <v>5</v>
      </c>
      <c r="G4" s="38">
        <f t="shared" ref="G4:G19" si="68">(F4/7)^0.5</f>
        <v>0.84515425472851657</v>
      </c>
      <c r="H4" s="38">
        <f t="shared" ref="H4:H19" si="69">IF(F4=7,1,((F4+0.99)/7)^0.5)</f>
        <v>0.92504826128926143</v>
      </c>
      <c r="I4" s="104">
        <f ca="1">Plantilla!N5</f>
        <v>1</v>
      </c>
      <c r="J4" s="29">
        <f>Plantilla!I5</f>
        <v>2</v>
      </c>
      <c r="K4" s="36">
        <f>Plantilla!X5</f>
        <v>6</v>
      </c>
      <c r="L4" s="36">
        <f>Plantilla!Y5</f>
        <v>5.4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ref="R4:R19" si="70">((2*(O4+1))+(L4+1))/8</f>
        <v>1.3</v>
      </c>
      <c r="S4" s="36">
        <f t="shared" ref="S4:S19" si="71">(0.5*P4+0.3*Q4)/10</f>
        <v>0.16999999999999998</v>
      </c>
      <c r="T4" s="36">
        <f t="shared" ref="T4:T19" si="72">(0.4*L4+0.3*Q4)/10</f>
        <v>0.33600000000000002</v>
      </c>
      <c r="U4" s="36">
        <f t="shared" ref="U4:U19" ca="1" si="73">(Q4+I4+(LOG(J4)*4/3))*(F4/7)^0.5</f>
        <v>4.5649936491576772</v>
      </c>
      <c r="V4" s="36">
        <f t="shared" ref="V4:V19" ca="1" si="74">IF(F4=7,U4,(Q4+I4+(LOG(J4)*4/3))*((F4+0.99)/7)^0.5)</f>
        <v>4.9965310052261467</v>
      </c>
      <c r="W4" s="27">
        <f t="shared" ref="W4:W19" ca="1" si="75">((K4+I4+(LOG(J4)*4/3))*0.597)+((L4+I4+(LOG(J4)*4/3))*0.276)</f>
        <v>6.2957989149528748</v>
      </c>
      <c r="X4" s="27">
        <f t="shared" ref="X4:X19" ca="1" si="76">((K4+I4+(LOG(J4)*4/3))*0.866)+((L4+I4+(LOG(J4)*4/3))*0.425)</f>
        <v>9.3001729658695993</v>
      </c>
      <c r="Y4" s="27">
        <f t="shared" ref="Y4:Y19" ca="1" si="77">W4</f>
        <v>6.2957989149528748</v>
      </c>
      <c r="Z4" s="27">
        <f t="shared" ref="Z4:Z19" ca="1" si="78">((L4+I4+(LOG(J4)*4/3))*0.516)</f>
        <v>3.5095086370168196</v>
      </c>
      <c r="AA4" s="27">
        <f t="shared" ref="AA4:AA19" ca="1" si="79">((L4+I4+(LOG(J4)*4/3))*1)</f>
        <v>6.8013733275519757</v>
      </c>
      <c r="AB4" s="27">
        <f t="shared" ref="AB4:AB19" ca="1" si="80">Z4/2</f>
        <v>1.7547543185084098</v>
      </c>
      <c r="AC4" s="27">
        <f t="shared" ref="AC4:AC19" ca="1" si="81">((M4+I4+(LOG(J4)*4/3))*0.238)</f>
        <v>0.33352685195736997</v>
      </c>
      <c r="AD4" s="27">
        <f t="shared" ref="AD4:AD19" ca="1" si="82">((L4+I4+(LOG(J4)*4/3))*0.378)</f>
        <v>2.5709191178146469</v>
      </c>
      <c r="AE4" s="27">
        <f t="shared" ref="AE4:AE19" ca="1" si="83">((L4+I4+(LOG(J4)*4/3))*0.723)</f>
        <v>4.917392915820078</v>
      </c>
      <c r="AF4" s="27">
        <f t="shared" ref="AF4:AF19" ca="1" si="84">AD4/2</f>
        <v>1.2854595589073234</v>
      </c>
      <c r="AG4" s="27">
        <f t="shared" ref="AG4:AG19" ca="1" si="85">((M4+I4+(LOG(J4)*4/3))*0.385)</f>
        <v>0.53952873110751032</v>
      </c>
      <c r="AH4" s="27">
        <f t="shared" ref="AH4:AH19" ca="1" si="86">((L4+I4+(LOG(J4)*4/3))*0.92)</f>
        <v>6.2572634613478177</v>
      </c>
      <c r="AI4" s="27">
        <f t="shared" ref="AI4:AI19" ca="1" si="87">((L4+I4+(LOG(J4)*4/3))*0.414)</f>
        <v>2.8157685576065177</v>
      </c>
      <c r="AJ4" s="27">
        <f t="shared" ref="AJ4:AJ19" ca="1" si="88">((M4+I4+(LOG(J4)*4/3))*0.167)</f>
        <v>0.23402934570117981</v>
      </c>
      <c r="AK4" s="27">
        <f t="shared" ref="AK4:AK19" ca="1" si="89">((N4+I4+(LOG(J4)*4/3))*0.588)</f>
        <v>2.5880075166005612</v>
      </c>
      <c r="AL4" s="27">
        <f t="shared" ref="AL4:AL19" ca="1" si="90">((L4+I4+(LOG(J4)*4/3))*0.754)</f>
        <v>5.1282354889741892</v>
      </c>
      <c r="AM4" s="27">
        <f t="shared" ref="AM4:AM19" ca="1" si="91">((L4+I4+(LOG(J4)*4/3))*0.708)</f>
        <v>4.8153723159067985</v>
      </c>
      <c r="AN4" s="27">
        <f t="shared" ref="AN4:AN19" ca="1" si="92">((Q4+I4+(LOG(J4)*4/3))*0.167)</f>
        <v>0.90202934570117987</v>
      </c>
      <c r="AO4" s="27">
        <f t="shared" ref="AO4:AO19" ca="1" si="93">((R4+I4+(LOG(J4)*4/3))*0.288)</f>
        <v>0.77799551833496861</v>
      </c>
      <c r="AP4" s="27">
        <f t="shared" ref="AP4:AP19" ca="1" si="94">((L4+I4+(LOG(J4)*4/3))*0.27)</f>
        <v>1.8363707984390336</v>
      </c>
      <c r="AQ4" s="27">
        <f t="shared" ref="AQ4:AQ19" ca="1" si="95">((L4+I4+(LOG(J4)*4/3))*0.594)</f>
        <v>4.0400157565658734</v>
      </c>
      <c r="AR4" s="27">
        <f t="shared" ref="AR4:AR19" ca="1" si="96">AP4/2</f>
        <v>0.91818539921951681</v>
      </c>
      <c r="AS4" s="27">
        <f t="shared" ref="AS4:AS19" ca="1" si="97">((M4+I4+(LOG(J4)*4/3))*0.944)</f>
        <v>1.3228964212090641</v>
      </c>
      <c r="AT4" s="27">
        <f t="shared" ref="AT4:AT19" ca="1" si="98">((O4+I4+(LOG(J4)*4/3))*0.13)</f>
        <v>0.31217853258175676</v>
      </c>
      <c r="AU4" s="27">
        <f t="shared" ref="AU4:AU19" ca="1" si="99">((P4+I4+(LOG(J4)*4/3))*0.173)+((O4+I4+(LOG(J4)*4/3))*0.12)</f>
        <v>0.70360238497272864</v>
      </c>
      <c r="AV4" s="27">
        <f t="shared" ref="AV4:AV19" ca="1" si="100">AT4/2</f>
        <v>0.15608926629087838</v>
      </c>
      <c r="AW4" s="27">
        <f t="shared" ref="AW4:AW19" ca="1" si="101">((L4+I4+(LOG(J4)*4/3))*0.189)</f>
        <v>1.2854595589073234</v>
      </c>
      <c r="AX4" s="27">
        <f t="shared" ref="AX4:AX19" ca="1" si="102">((L4+I4+(LOG(J4)*4/3))*0.4)</f>
        <v>2.7205493310207904</v>
      </c>
      <c r="AY4" s="27">
        <f t="shared" ref="AY4:AY19" ca="1" si="103">AW4/2</f>
        <v>0.64272977945366172</v>
      </c>
      <c r="AZ4" s="27">
        <f t="shared" ref="AZ4:AZ19" ca="1" si="104">((M4+I4+(LOG(J4)*4/3))*1)</f>
        <v>1.4013733275519749</v>
      </c>
      <c r="BA4" s="27">
        <f t="shared" ref="BA4:BA19" ca="1" si="105">((O4+I4+(LOG(J4)*4/3))*0.253)</f>
        <v>0.60754745187064962</v>
      </c>
      <c r="BB4" s="27">
        <f t="shared" ref="BB4:BB19" ca="1" si="106">((P4+I4+(LOG(J4)*4/3))*0.21)+((O4+I4+(LOG(J4)*4/3))*0.341)</f>
        <v>1.3231567034811382</v>
      </c>
      <c r="BC4" s="27">
        <f t="shared" ref="BC4:BC19" ca="1" si="107">BA4/2</f>
        <v>0.30377372593532481</v>
      </c>
      <c r="BD4" s="27">
        <f t="shared" ref="BD4:BD19" ca="1" si="108">((L4+I4+(LOG(J4)*4/3))*0.291)</f>
        <v>1.9791996383176247</v>
      </c>
      <c r="BE4" s="27">
        <f t="shared" ref="BE4:BE19" ca="1" si="109">((L4+I4+(LOG(J4)*4/3))*0.348)</f>
        <v>2.3668779179880874</v>
      </c>
      <c r="BF4" s="27">
        <f t="shared" ref="BF4:BF19" ca="1" si="110">((M4+I4+(LOG(J4)*4/3))*0.881)</f>
        <v>1.2346099015732899</v>
      </c>
      <c r="BG4" s="27">
        <f t="shared" ref="BG4:BG19" ca="1" si="111">((N4+I4+(LOG(J4)*4/3))*0.574)+((O4+I4+(LOG(J4)*4/3))*0.315)</f>
        <v>3.2828208881937058</v>
      </c>
      <c r="BH4" s="27">
        <f t="shared" ref="BH4:BH19" ca="1" si="112">((O4+I4+(LOG(J4)*4/3))*0.241)</f>
        <v>0.57873097194002587</v>
      </c>
      <c r="BI4" s="27">
        <f t="shared" ref="BI4:BI19" ca="1" si="113">((L4+I4+(LOG(J4)*4/3))*0.485)</f>
        <v>3.2986660638627079</v>
      </c>
      <c r="BJ4" s="27">
        <f t="shared" ref="BJ4:BJ19" ca="1" si="114">((L4+I4+(LOG(J4)*4/3))*0.264)</f>
        <v>1.7955625584737216</v>
      </c>
      <c r="BK4" s="27">
        <f t="shared" ref="BK4:BK19" ca="1" si="115">((M4+I4+(LOG(J4)*4/3))*0.381)</f>
        <v>0.53392323779730244</v>
      </c>
      <c r="BL4" s="27">
        <f t="shared" ref="BL4:BL19" ca="1" si="116">((N4+I4+(LOG(J4)*4/3))*0.673)+((O4+I4+(LOG(J4)*4/3))*0.201)</f>
        <v>3.4448002882804269</v>
      </c>
      <c r="BM4" s="27">
        <f t="shared" ref="BM4:BM19" ca="1" si="117">((O4+I4+(LOG(J4)*4/3))*0.052)</f>
        <v>0.12487141303270269</v>
      </c>
      <c r="BN4" s="27">
        <f t="shared" ref="BN4:BN19" ca="1" si="118">((L4+I4+(LOG(J4)*4/3))*0.18)</f>
        <v>1.2242471989593555</v>
      </c>
      <c r="BO4" s="27">
        <f t="shared" ref="BO4:BO19" ca="1" si="119">((L4+I4+(LOG(J4)*4/3))*0.068)</f>
        <v>0.46249338627353437</v>
      </c>
      <c r="BP4" s="27">
        <f t="shared" ref="BP4:BP19" ca="1" si="120">((M4+I4+(LOG(J4)*4/3))*0.305)</f>
        <v>0.42741886490335235</v>
      </c>
      <c r="BQ4" s="27">
        <f t="shared" ref="BQ4:BQ19" ca="1" si="121">((N4+I4+(LOG(J4)*4/3))*1)+((O4+I4+(LOG(J4)*4/3))*0.286)</f>
        <v>5.0881660992318398</v>
      </c>
      <c r="BR4" s="27">
        <f t="shared" ref="BR4:BR19" ca="1" si="122">((O4+I4+(LOG(J4)*4/3))*0.135)</f>
        <v>0.32418539921951661</v>
      </c>
      <c r="BS4" s="27">
        <f t="shared" ref="BS4:BS19" ca="1" si="123">((L4+I4+(LOG(J4)*4/3))*0.284)</f>
        <v>1.9315900250247608</v>
      </c>
      <c r="BT4" s="27">
        <f t="shared" ref="BT4:BT19" ca="1" si="124">((L4+I4+(LOG(J4)*4/3))*0.244)</f>
        <v>1.6595350919226821</v>
      </c>
      <c r="BU4" s="27">
        <f t="shared" ref="BU4:BU19" ca="1" si="125">((M4+I4+(LOG(J4)*4/3))*0.631)</f>
        <v>0.88426656968529616</v>
      </c>
      <c r="BV4" s="27">
        <f t="shared" ref="BV4:BV19" ca="1" si="126">((N4+I4+(LOG(J4)*4/3))*0.702)+((O4+I4+(LOG(J4)*4/3))*0.193)</f>
        <v>3.5532291281590176</v>
      </c>
      <c r="BW4" s="27">
        <f t="shared" ref="BW4:BW19" ca="1" si="127">((O4+I4+(LOG(J4)*4/3))*0.148)</f>
        <v>0.35540325247769228</v>
      </c>
      <c r="BX4" s="27">
        <f t="shared" ref="BX4:BX19" ca="1" si="128">((M4+I4+(LOG(J4)*4/3))*0.406)</f>
        <v>0.56895757098610178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1.5391155036545787</v>
      </c>
      <c r="BZ4" s="27">
        <f t="shared" ref="BZ4:BZ19" ca="1" si="130">IF(D4="TEC",((O4+I4+(LOG(J4)*4/3))*0.543)+((P4+I4+(LOG(J4)*4/3))*0.583),((O4+I4+(LOG(J4)*4/3))*0.543)+((P4+I4+(LOG(J4)*4/3))*0.583))</f>
        <v>2.7039463668235237</v>
      </c>
      <c r="CA4" s="27">
        <f t="shared" ref="CA4:CA19" ca="1" si="131">BY4</f>
        <v>1.5391155036545787</v>
      </c>
      <c r="CB4" s="27">
        <f t="shared" ref="CB4:CB19" ca="1" si="132">((P4+I4+(LOG(J4)*4/3))*0.26)+((N4+I4+(LOG(J4)*4/3))*0.221)+((O4+I4+(LOG(J4)*4/3))*0.142)</f>
        <v>1.9380555830648805</v>
      </c>
      <c r="CC4" s="27">
        <f t="shared" ref="CC4:CC19" ca="1" si="133">((P4+I4+(LOG(J4)*4/3))*1)+((O4+I4+(LOG(J4)*4/3))*0.369)</f>
        <v>3.2874800854186534</v>
      </c>
      <c r="CD4" s="27">
        <f t="shared" ref="CD4:CD19" ca="1" si="134">CB4</f>
        <v>1.9380555830648805</v>
      </c>
      <c r="CE4" s="27">
        <f t="shared" ref="CE4:CE19" ca="1" si="135">((M4+I4+(LOG(J4)*4/3))*0.25)</f>
        <v>0.35034333188799371</v>
      </c>
    </row>
    <row r="5" spans="1:83" x14ac:dyDescent="0.25">
      <c r="A5" t="str">
        <f>Plantilla!D6</f>
        <v>Miguel Fernández</v>
      </c>
      <c r="B5">
        <f>Plantilla!E6</f>
        <v>26</v>
      </c>
      <c r="C5" s="25">
        <f ca="1">Plantilla!F6</f>
        <v>27</v>
      </c>
      <c r="D5" s="42">
        <f>Plantilla!G6</f>
        <v>0</v>
      </c>
      <c r="E5" s="23">
        <f>Plantilla!M6</f>
        <v>43395</v>
      </c>
      <c r="F5" s="37">
        <f>Plantilla!Q6</f>
        <v>5</v>
      </c>
      <c r="G5" s="38">
        <f t="shared" si="68"/>
        <v>0.84515425472851657</v>
      </c>
      <c r="H5" s="38">
        <f t="shared" si="69"/>
        <v>0.92504826128926143</v>
      </c>
      <c r="I5" s="104">
        <f ca="1">Plantilla!N6</f>
        <v>1</v>
      </c>
      <c r="J5" s="29">
        <f>Plantilla!I6</f>
        <v>4.5999999999999996</v>
      </c>
      <c r="K5" s="36">
        <f>Plantilla!X6</f>
        <v>0</v>
      </c>
      <c r="L5" s="36">
        <f>Plantilla!Y6</f>
        <v>15.488194444444444</v>
      </c>
      <c r="M5" s="36">
        <f>Plantilla!Z6</f>
        <v>5</v>
      </c>
      <c r="N5" s="36">
        <f>Plantilla!AA6</f>
        <v>6.5</v>
      </c>
      <c r="O5" s="36">
        <f>Plantilla!AB6</f>
        <v>8.8000000000000007</v>
      </c>
      <c r="P5" s="36">
        <f>Plantilla!AC6</f>
        <v>2</v>
      </c>
      <c r="Q5" s="36">
        <f>Plantilla!AD6</f>
        <v>13.5</v>
      </c>
      <c r="R5" s="36">
        <f t="shared" si="70"/>
        <v>4.5110243055555559</v>
      </c>
      <c r="S5" s="36">
        <f t="shared" si="71"/>
        <v>0.505</v>
      </c>
      <c r="T5" s="36">
        <f t="shared" si="72"/>
        <v>1.0245277777777777</v>
      </c>
      <c r="U5" s="36">
        <f t="shared" ca="1" si="73"/>
        <v>13.001580161963927</v>
      </c>
      <c r="V5" s="36">
        <f t="shared" ca="1" si="74"/>
        <v>14.230643761831466</v>
      </c>
      <c r="W5" s="27">
        <f t="shared" ca="1" si="75"/>
        <v>5.9191917827440204</v>
      </c>
      <c r="X5" s="27">
        <f t="shared" ca="1" si="76"/>
        <v>9.0143097864901058</v>
      </c>
      <c r="Y5" s="27">
        <f t="shared" ca="1" si="77"/>
        <v>5.9191917827440204</v>
      </c>
      <c r="Z5" s="27">
        <f t="shared" ca="1" si="78"/>
        <v>8.9638857215302572</v>
      </c>
      <c r="AA5" s="27">
        <f t="shared" ca="1" si="79"/>
        <v>17.371871553353213</v>
      </c>
      <c r="AB5" s="27">
        <f t="shared" ca="1" si="80"/>
        <v>4.4819428607651286</v>
      </c>
      <c r="AC5" s="27">
        <f t="shared" ca="1" si="81"/>
        <v>1.6383151519202861</v>
      </c>
      <c r="AD5" s="27">
        <f t="shared" ca="1" si="82"/>
        <v>6.5665674471675146</v>
      </c>
      <c r="AE5" s="27">
        <f t="shared" ca="1" si="83"/>
        <v>12.559863133074373</v>
      </c>
      <c r="AF5" s="27">
        <f t="shared" ca="1" si="84"/>
        <v>3.2832837235837573</v>
      </c>
      <c r="AG5" s="27">
        <f t="shared" ca="1" si="85"/>
        <v>2.6502156869298745</v>
      </c>
      <c r="AH5" s="27">
        <f t="shared" ca="1" si="86"/>
        <v>15.982121829084956</v>
      </c>
      <c r="AI5" s="27">
        <f t="shared" ca="1" si="87"/>
        <v>7.1919548230882295</v>
      </c>
      <c r="AJ5" s="27">
        <f t="shared" ca="1" si="88"/>
        <v>1.1495740771877638</v>
      </c>
      <c r="AK5" s="27">
        <f t="shared" ca="1" si="89"/>
        <v>4.9296021400383534</v>
      </c>
      <c r="AL5" s="27">
        <f t="shared" ca="1" si="90"/>
        <v>13.098391151228322</v>
      </c>
      <c r="AM5" s="27">
        <f t="shared" ca="1" si="91"/>
        <v>12.299285059774073</v>
      </c>
      <c r="AN5" s="27">
        <f t="shared" ca="1" si="92"/>
        <v>2.5690740771877638</v>
      </c>
      <c r="AO5" s="27">
        <f t="shared" ca="1" si="93"/>
        <v>1.8416740073657243</v>
      </c>
      <c r="AP5" s="27">
        <f t="shared" ca="1" si="94"/>
        <v>4.6904053194053681</v>
      </c>
      <c r="AQ5" s="27">
        <f t="shared" ca="1" si="95"/>
        <v>10.318891702691808</v>
      </c>
      <c r="AR5" s="27">
        <f t="shared" ca="1" si="96"/>
        <v>2.345202659702684</v>
      </c>
      <c r="AS5" s="27">
        <f t="shared" ca="1" si="97"/>
        <v>6.498191190809874</v>
      </c>
      <c r="AT5" s="27">
        <f t="shared" ca="1" si="98"/>
        <v>1.3888780241581395</v>
      </c>
      <c r="AU5" s="27">
        <f t="shared" ca="1" si="99"/>
        <v>1.9539173929102684</v>
      </c>
      <c r="AV5" s="27">
        <f t="shared" ca="1" si="100"/>
        <v>0.69443901207906977</v>
      </c>
      <c r="AW5" s="27">
        <f t="shared" ca="1" si="101"/>
        <v>3.2832837235837573</v>
      </c>
      <c r="AX5" s="27">
        <f t="shared" ca="1" si="102"/>
        <v>6.9487486213412852</v>
      </c>
      <c r="AY5" s="27">
        <f t="shared" ca="1" si="103"/>
        <v>1.6416418617918787</v>
      </c>
      <c r="AZ5" s="27">
        <f t="shared" ca="1" si="104"/>
        <v>6.8836771089087652</v>
      </c>
      <c r="BA5" s="27">
        <f t="shared" ca="1" si="105"/>
        <v>2.7029703085539176</v>
      </c>
      <c r="BB5" s="27">
        <f t="shared" ca="1" si="106"/>
        <v>4.4587060870087303</v>
      </c>
      <c r="BC5" s="27">
        <f t="shared" ca="1" si="107"/>
        <v>1.3514851542769588</v>
      </c>
      <c r="BD5" s="27">
        <f t="shared" ca="1" si="108"/>
        <v>5.055214622025785</v>
      </c>
      <c r="BE5" s="27">
        <f t="shared" ca="1" si="109"/>
        <v>6.0454113005669177</v>
      </c>
      <c r="BF5" s="27">
        <f t="shared" ca="1" si="110"/>
        <v>6.0645195329486219</v>
      </c>
      <c r="BG5" s="27">
        <f t="shared" ca="1" si="111"/>
        <v>8.1775889498198922</v>
      </c>
      <c r="BH5" s="27">
        <f t="shared" ca="1" si="112"/>
        <v>2.5747661832470126</v>
      </c>
      <c r="BI5" s="27">
        <f t="shared" ca="1" si="113"/>
        <v>8.4253577033763083</v>
      </c>
      <c r="BJ5" s="27">
        <f t="shared" ca="1" si="114"/>
        <v>4.5861740900852483</v>
      </c>
      <c r="BK5" s="27">
        <f t="shared" ca="1" si="115"/>
        <v>2.6226809784942398</v>
      </c>
      <c r="BL5" s="27">
        <f t="shared" ca="1" si="116"/>
        <v>7.7896337931862618</v>
      </c>
      <c r="BM5" s="27">
        <f t="shared" ca="1" si="117"/>
        <v>0.55555120966325577</v>
      </c>
      <c r="BN5" s="27">
        <f t="shared" ca="1" si="118"/>
        <v>3.1269368796035781</v>
      </c>
      <c r="BO5" s="27">
        <f t="shared" ca="1" si="119"/>
        <v>1.1812872656280184</v>
      </c>
      <c r="BP5" s="27">
        <f t="shared" ca="1" si="120"/>
        <v>2.0995215182171734</v>
      </c>
      <c r="BQ5" s="27">
        <f t="shared" ca="1" si="121"/>
        <v>11.439208762056673</v>
      </c>
      <c r="BR5" s="27">
        <f t="shared" ca="1" si="122"/>
        <v>1.4422964097026836</v>
      </c>
      <c r="BS5" s="27">
        <f t="shared" ca="1" si="123"/>
        <v>4.9336115211523124</v>
      </c>
      <c r="BT5" s="27">
        <f t="shared" ca="1" si="124"/>
        <v>4.2387366590181834</v>
      </c>
      <c r="BU5" s="27">
        <f t="shared" ca="1" si="125"/>
        <v>4.343600255721431</v>
      </c>
      <c r="BV5" s="27">
        <f t="shared" ca="1" si="126"/>
        <v>7.9472910124733449</v>
      </c>
      <c r="BW5" s="27">
        <f t="shared" ca="1" si="127"/>
        <v>1.5811842121184974</v>
      </c>
      <c r="BX5" s="27">
        <f t="shared" ca="1" si="128"/>
        <v>2.7947729062169588</v>
      </c>
      <c r="BY5" s="27">
        <f t="shared" ca="1" si="129"/>
        <v>4.371395773741467</v>
      </c>
      <c r="BZ5" s="27">
        <f t="shared" ca="1" si="130"/>
        <v>8.0654204246312702</v>
      </c>
      <c r="CA5" s="27">
        <f t="shared" ca="1" si="131"/>
        <v>4.371395773741467</v>
      </c>
      <c r="CB5" s="27">
        <f t="shared" ca="1" si="132"/>
        <v>4.3796308388501615</v>
      </c>
      <c r="CC5" s="27">
        <f t="shared" ca="1" si="133"/>
        <v>7.8259539620961007</v>
      </c>
      <c r="CD5" s="27">
        <f t="shared" ca="1" si="134"/>
        <v>4.3796308388501615</v>
      </c>
      <c r="CE5" s="27">
        <f t="shared" ca="1" si="135"/>
        <v>1.7209192772271913</v>
      </c>
    </row>
    <row r="6" spans="1:83" x14ac:dyDescent="0.25">
      <c r="A6" t="str">
        <f>Plantilla!D7</f>
        <v>Iván Real Figueroa</v>
      </c>
      <c r="B6">
        <f>Plantilla!E7</f>
        <v>26</v>
      </c>
      <c r="C6" s="25">
        <f ca="1">Plantilla!F7</f>
        <v>8</v>
      </c>
      <c r="D6" s="42">
        <f>Plantilla!G7</f>
        <v>0</v>
      </c>
      <c r="E6" s="23">
        <f>Plantilla!M7</f>
        <v>43410</v>
      </c>
      <c r="F6" s="37">
        <f>Plantilla!Q7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Plantilla!N7</f>
        <v>1</v>
      </c>
      <c r="J6" s="29">
        <f>Plantilla!I7</f>
        <v>5.5</v>
      </c>
      <c r="K6" s="36">
        <f>Plantilla!X7</f>
        <v>0</v>
      </c>
      <c r="L6" s="36">
        <f>Plantilla!Y7</f>
        <v>15.518750000000001</v>
      </c>
      <c r="M6" s="36">
        <f>Plantilla!Z7</f>
        <v>5</v>
      </c>
      <c r="N6" s="36">
        <f>Plantilla!AA7</f>
        <v>7.75</v>
      </c>
      <c r="O6" s="36">
        <f>Plantilla!AB7</f>
        <v>8.3333333333333339</v>
      </c>
      <c r="P6" s="36">
        <f>Plantilla!AC7</f>
        <v>1</v>
      </c>
      <c r="Q6" s="36">
        <f>Plantilla!AD7</f>
        <v>13</v>
      </c>
      <c r="R6" s="36">
        <f t="shared" si="70"/>
        <v>4.3981770833333336</v>
      </c>
      <c r="S6" s="36">
        <f t="shared" si="71"/>
        <v>0.44000000000000006</v>
      </c>
      <c r="T6" s="36">
        <f t="shared" si="72"/>
        <v>1.01075</v>
      </c>
      <c r="U6" s="36">
        <f t="shared" ca="1" si="73"/>
        <v>13.875404942222968</v>
      </c>
      <c r="V6" s="36">
        <f t="shared" ca="1" si="74"/>
        <v>14.976441319349712</v>
      </c>
      <c r="W6" s="27">
        <f t="shared" ca="1" si="75"/>
        <v>6.0179571705713002</v>
      </c>
      <c r="X6" s="27">
        <f t="shared" ca="1" si="76"/>
        <v>9.1608797261827597</v>
      </c>
      <c r="Y6" s="27">
        <f t="shared" ca="1" si="77"/>
        <v>6.0179571705713002</v>
      </c>
      <c r="Z6" s="27">
        <f t="shared" ca="1" si="78"/>
        <v>9.0330445303720399</v>
      </c>
      <c r="AA6" s="27">
        <f t="shared" ca="1" si="79"/>
        <v>17.505900252658993</v>
      </c>
      <c r="AB6" s="27">
        <f t="shared" ca="1" si="80"/>
        <v>4.51652226518602</v>
      </c>
      <c r="AC6" s="27">
        <f t="shared" ca="1" si="81"/>
        <v>1.66294176013284</v>
      </c>
      <c r="AD6" s="27">
        <f t="shared" ca="1" si="82"/>
        <v>6.6172302955050997</v>
      </c>
      <c r="AE6" s="27">
        <f t="shared" ca="1" si="83"/>
        <v>12.656765882672451</v>
      </c>
      <c r="AF6" s="27">
        <f t="shared" ca="1" si="84"/>
        <v>3.3086151477525498</v>
      </c>
      <c r="AG6" s="27">
        <f t="shared" ca="1" si="85"/>
        <v>2.6900528472737122</v>
      </c>
      <c r="AH6" s="27">
        <f t="shared" ca="1" si="86"/>
        <v>16.105428232446275</v>
      </c>
      <c r="AI6" s="27">
        <f t="shared" ca="1" si="87"/>
        <v>7.2474427046008225</v>
      </c>
      <c r="AJ6" s="27">
        <f t="shared" ca="1" si="88"/>
        <v>1.1668540921940518</v>
      </c>
      <c r="AK6" s="27">
        <f t="shared" ca="1" si="89"/>
        <v>5.7254443485634869</v>
      </c>
      <c r="AL6" s="27">
        <f t="shared" ca="1" si="90"/>
        <v>13.199448790504881</v>
      </c>
      <c r="AM6" s="27">
        <f t="shared" ca="1" si="91"/>
        <v>12.394177378882567</v>
      </c>
      <c r="AN6" s="27">
        <f t="shared" ca="1" si="92"/>
        <v>2.5028540921940516</v>
      </c>
      <c r="AO6" s="27">
        <f t="shared" ca="1" si="93"/>
        <v>1.8389742727657896</v>
      </c>
      <c r="AP6" s="27">
        <f t="shared" ca="1" si="94"/>
        <v>4.7265930682179285</v>
      </c>
      <c r="AQ6" s="27">
        <f t="shared" ca="1" si="95"/>
        <v>10.398504750079441</v>
      </c>
      <c r="AR6" s="27">
        <f t="shared" ca="1" si="96"/>
        <v>2.3632965341089642</v>
      </c>
      <c r="AS6" s="27">
        <f t="shared" ca="1" si="97"/>
        <v>6.5958698385100885</v>
      </c>
      <c r="AT6" s="27">
        <f t="shared" ca="1" si="98"/>
        <v>1.3416628661790024</v>
      </c>
      <c r="AU6" s="27">
        <f t="shared" ca="1" si="99"/>
        <v>1.7552350240290846</v>
      </c>
      <c r="AV6" s="27">
        <f t="shared" ca="1" si="100"/>
        <v>0.67083143308950122</v>
      </c>
      <c r="AW6" s="27">
        <f t="shared" ca="1" si="101"/>
        <v>3.3086151477525498</v>
      </c>
      <c r="AX6" s="27">
        <f t="shared" ca="1" si="102"/>
        <v>7.0023601010635979</v>
      </c>
      <c r="AY6" s="27">
        <f t="shared" ca="1" si="103"/>
        <v>1.6543075738762749</v>
      </c>
      <c r="AZ6" s="27">
        <f t="shared" ca="1" si="104"/>
        <v>6.9871502526589921</v>
      </c>
      <c r="BA6" s="27">
        <f t="shared" ca="1" si="105"/>
        <v>2.6110823472560587</v>
      </c>
      <c r="BB6" s="27">
        <f t="shared" ca="1" si="106"/>
        <v>4.1465864558817715</v>
      </c>
      <c r="BC6" s="27">
        <f t="shared" ca="1" si="107"/>
        <v>1.3055411736280293</v>
      </c>
      <c r="BD6" s="27">
        <f t="shared" ca="1" si="108"/>
        <v>5.0942169735237668</v>
      </c>
      <c r="BE6" s="27">
        <f t="shared" ca="1" si="109"/>
        <v>6.0920532879253289</v>
      </c>
      <c r="BF6" s="27">
        <f t="shared" ca="1" si="110"/>
        <v>6.155679372592572</v>
      </c>
      <c r="BG6" s="27">
        <f t="shared" ca="1" si="111"/>
        <v>8.8400765746138443</v>
      </c>
      <c r="BH6" s="27">
        <f t="shared" ca="1" si="112"/>
        <v>2.4872365442241504</v>
      </c>
      <c r="BI6" s="27">
        <f t="shared" ca="1" si="113"/>
        <v>8.490361622539611</v>
      </c>
      <c r="BJ6" s="27">
        <f t="shared" ca="1" si="114"/>
        <v>4.6215576667019747</v>
      </c>
      <c r="BK6" s="27">
        <f t="shared" ca="1" si="115"/>
        <v>2.662104246263076</v>
      </c>
      <c r="BL6" s="27">
        <f t="shared" ca="1" si="116"/>
        <v>8.6275193208239589</v>
      </c>
      <c r="BM6" s="27">
        <f t="shared" ca="1" si="117"/>
        <v>0.53666514647160091</v>
      </c>
      <c r="BN6" s="27">
        <f t="shared" ca="1" si="118"/>
        <v>3.1510620454786187</v>
      </c>
      <c r="BO6" s="27">
        <f t="shared" ca="1" si="119"/>
        <v>1.1904012171808116</v>
      </c>
      <c r="BP6" s="27">
        <f t="shared" ca="1" si="120"/>
        <v>2.1310808270609924</v>
      </c>
      <c r="BQ6" s="27">
        <f t="shared" ca="1" si="121"/>
        <v>12.688808558252797</v>
      </c>
      <c r="BR6" s="27">
        <f t="shared" ca="1" si="122"/>
        <v>1.3932652841089641</v>
      </c>
      <c r="BS6" s="27">
        <f t="shared" ca="1" si="123"/>
        <v>4.9716756717551531</v>
      </c>
      <c r="BT6" s="27">
        <f t="shared" ca="1" si="124"/>
        <v>4.2714396616487944</v>
      </c>
      <c r="BU6" s="27">
        <f t="shared" ca="1" si="125"/>
        <v>4.408891809427824</v>
      </c>
      <c r="BV6" s="27">
        <f t="shared" ca="1" si="126"/>
        <v>8.8273328094631314</v>
      </c>
      <c r="BW6" s="27">
        <f t="shared" ca="1" si="127"/>
        <v>1.5274315707268642</v>
      </c>
      <c r="BX6" s="27">
        <f t="shared" ca="1" si="128"/>
        <v>2.8367830025795508</v>
      </c>
      <c r="BY6" s="27">
        <f t="shared" ca="1" si="129"/>
        <v>4.3616386149686681</v>
      </c>
      <c r="BZ6" s="27">
        <f t="shared" ca="1" si="130"/>
        <v>7.3455311844940256</v>
      </c>
      <c r="CA6" s="27">
        <f t="shared" ca="1" si="131"/>
        <v>4.3616386149686681</v>
      </c>
      <c r="CB6" s="27">
        <f t="shared" ca="1" si="132"/>
        <v>4.3940779407398853</v>
      </c>
      <c r="CC6" s="27">
        <f t="shared" ca="1" si="133"/>
        <v>6.7954086958901598</v>
      </c>
      <c r="CD6" s="27">
        <f t="shared" ca="1" si="134"/>
        <v>4.3940779407398853</v>
      </c>
      <c r="CE6" s="27">
        <f t="shared" ca="1" si="135"/>
        <v>1.746787563164748</v>
      </c>
    </row>
    <row r="7" spans="1:83" x14ac:dyDescent="0.25">
      <c r="A7" t="str">
        <f>Plantilla!D8</f>
        <v>Berto Abandero</v>
      </c>
      <c r="B7">
        <f>Plantilla!E8</f>
        <v>26</v>
      </c>
      <c r="C7" s="25">
        <f ca="1">Plantilla!F8</f>
        <v>58</v>
      </c>
      <c r="D7" s="42">
        <f>Plantilla!G8</f>
        <v>0</v>
      </c>
      <c r="E7" s="23">
        <f>Plantilla!M8</f>
        <v>43383</v>
      </c>
      <c r="F7" s="37">
        <f>Plantilla!Q8</f>
        <v>5</v>
      </c>
      <c r="G7" s="38">
        <f t="shared" si="68"/>
        <v>0.84515425472851657</v>
      </c>
      <c r="H7" s="38">
        <f t="shared" si="69"/>
        <v>0.92504826128926143</v>
      </c>
      <c r="I7" s="104">
        <f ca="1">Plantilla!N8</f>
        <v>1</v>
      </c>
      <c r="J7" s="29">
        <f>Plantilla!I8</f>
        <v>6.1</v>
      </c>
      <c r="K7" s="36">
        <f>Plantilla!X8</f>
        <v>0</v>
      </c>
      <c r="L7" s="36">
        <f>Plantilla!Y8</f>
        <v>14.125</v>
      </c>
      <c r="M7" s="36">
        <f>Plantilla!Z8</f>
        <v>3</v>
      </c>
      <c r="N7" s="36">
        <f>Plantilla!AA8</f>
        <v>8</v>
      </c>
      <c r="O7" s="36">
        <f>Plantilla!AB8</f>
        <v>11.428571428571429</v>
      </c>
      <c r="P7" s="36">
        <f>Plantilla!AC8</f>
        <v>4</v>
      </c>
      <c r="Q7" s="36">
        <f>Plantilla!AD8</f>
        <v>14</v>
      </c>
      <c r="R7" s="36">
        <f t="shared" si="70"/>
        <v>4.9977678571428577</v>
      </c>
      <c r="S7" s="36">
        <f t="shared" si="71"/>
        <v>0.62</v>
      </c>
      <c r="T7" s="36">
        <f t="shared" si="72"/>
        <v>0.9850000000000001</v>
      </c>
      <c r="U7" s="36">
        <f t="shared" ca="1" si="73"/>
        <v>13.562280289493875</v>
      </c>
      <c r="V7" s="36">
        <f t="shared" ca="1" si="74"/>
        <v>14.84434791722598</v>
      </c>
      <c r="W7" s="27">
        <f t="shared" ca="1" si="75"/>
        <v>5.685623927952534</v>
      </c>
      <c r="X7" s="27">
        <f t="shared" ca="1" si="76"/>
        <v>8.6459394226652009</v>
      </c>
      <c r="Y7" s="27">
        <f t="shared" ca="1" si="77"/>
        <v>5.685623927952534</v>
      </c>
      <c r="Z7" s="27">
        <f t="shared" ca="1" si="78"/>
        <v>8.3448069264874078</v>
      </c>
      <c r="AA7" s="27">
        <f t="shared" ca="1" si="79"/>
        <v>16.172106446681024</v>
      </c>
      <c r="AB7" s="27">
        <f t="shared" ca="1" si="80"/>
        <v>4.1724034632437039</v>
      </c>
      <c r="AC7" s="27">
        <f t="shared" ca="1" si="81"/>
        <v>1.2012113343100832</v>
      </c>
      <c r="AD7" s="27">
        <f t="shared" ca="1" si="82"/>
        <v>6.1130562368454271</v>
      </c>
      <c r="AE7" s="27">
        <f t="shared" ca="1" si="83"/>
        <v>11.692432960950381</v>
      </c>
      <c r="AF7" s="27">
        <f t="shared" ca="1" si="84"/>
        <v>3.0565281184227135</v>
      </c>
      <c r="AG7" s="27">
        <f t="shared" ca="1" si="85"/>
        <v>1.9431359819721936</v>
      </c>
      <c r="AH7" s="27">
        <f t="shared" ca="1" si="86"/>
        <v>14.878337930946543</v>
      </c>
      <c r="AI7" s="27">
        <f t="shared" ca="1" si="87"/>
        <v>6.695252068925944</v>
      </c>
      <c r="AJ7" s="27">
        <f t="shared" ca="1" si="88"/>
        <v>0.84286677659573073</v>
      </c>
      <c r="AK7" s="27">
        <f t="shared" ca="1" si="89"/>
        <v>5.9076985906484412</v>
      </c>
      <c r="AL7" s="27">
        <f t="shared" ca="1" si="90"/>
        <v>12.193768260797492</v>
      </c>
      <c r="AM7" s="27">
        <f t="shared" ca="1" si="91"/>
        <v>11.449851364250165</v>
      </c>
      <c r="AN7" s="27">
        <f t="shared" ca="1" si="92"/>
        <v>2.6798667765957314</v>
      </c>
      <c r="AO7" s="27">
        <f t="shared" ca="1" si="93"/>
        <v>2.0289237995012774</v>
      </c>
      <c r="AP7" s="27">
        <f t="shared" ca="1" si="94"/>
        <v>4.3664687406038771</v>
      </c>
      <c r="AQ7" s="27">
        <f t="shared" ca="1" si="95"/>
        <v>9.606231229328527</v>
      </c>
      <c r="AR7" s="27">
        <f t="shared" ca="1" si="96"/>
        <v>2.1832343703019386</v>
      </c>
      <c r="AS7" s="27">
        <f t="shared" ca="1" si="97"/>
        <v>4.7644684856668844</v>
      </c>
      <c r="AT7" s="27">
        <f t="shared" ca="1" si="98"/>
        <v>1.7518381237828187</v>
      </c>
      <c r="AU7" s="27">
        <f t="shared" ca="1" si="99"/>
        <v>2.6632307603061109</v>
      </c>
      <c r="AV7" s="27">
        <f t="shared" ca="1" si="100"/>
        <v>0.87591906189140933</v>
      </c>
      <c r="AW7" s="27">
        <f t="shared" ca="1" si="101"/>
        <v>3.0565281184227135</v>
      </c>
      <c r="AX7" s="27">
        <f t="shared" ca="1" si="102"/>
        <v>6.46884257867241</v>
      </c>
      <c r="AY7" s="27">
        <f t="shared" ca="1" si="103"/>
        <v>1.5282640592113568</v>
      </c>
      <c r="AZ7" s="27">
        <f t="shared" ca="1" si="104"/>
        <v>5.0471064466810223</v>
      </c>
      <c r="BA7" s="27">
        <f t="shared" ca="1" si="105"/>
        <v>3.4093465024388703</v>
      </c>
      <c r="BB7" s="27">
        <f t="shared" ca="1" si="106"/>
        <v>5.8650985092641008</v>
      </c>
      <c r="BC7" s="27">
        <f t="shared" ca="1" si="107"/>
        <v>1.7046732512194351</v>
      </c>
      <c r="BD7" s="27">
        <f t="shared" ca="1" si="108"/>
        <v>4.7060829759841774</v>
      </c>
      <c r="BE7" s="27">
        <f t="shared" ca="1" si="109"/>
        <v>5.6278930434449963</v>
      </c>
      <c r="BF7" s="27">
        <f t="shared" ca="1" si="110"/>
        <v>4.446500779525981</v>
      </c>
      <c r="BG7" s="27">
        <f t="shared" ca="1" si="111"/>
        <v>10.011877631099427</v>
      </c>
      <c r="BH7" s="27">
        <f t="shared" ca="1" si="112"/>
        <v>3.2476383679358407</v>
      </c>
      <c r="BI7" s="27">
        <f t="shared" ca="1" si="113"/>
        <v>7.8434716266402962</v>
      </c>
      <c r="BJ7" s="27">
        <f t="shared" ca="1" si="114"/>
        <v>4.269436101923791</v>
      </c>
      <c r="BK7" s="27">
        <f t="shared" ca="1" si="115"/>
        <v>1.9229475561854694</v>
      </c>
      <c r="BL7" s="27">
        <f t="shared" ca="1" si="116"/>
        <v>9.4703138915420713</v>
      </c>
      <c r="BM7" s="27">
        <f t="shared" ca="1" si="117"/>
        <v>0.70073524951312738</v>
      </c>
      <c r="BN7" s="27">
        <f t="shared" ca="1" si="118"/>
        <v>2.9109791604025843</v>
      </c>
      <c r="BO7" s="27">
        <f t="shared" ca="1" si="119"/>
        <v>1.0997032383743097</v>
      </c>
      <c r="BP7" s="27">
        <f t="shared" ca="1" si="120"/>
        <v>1.5393674662377117</v>
      </c>
      <c r="BQ7" s="27">
        <f t="shared" ca="1" si="121"/>
        <v>13.901150319003223</v>
      </c>
      <c r="BR7" s="27">
        <f t="shared" ca="1" si="122"/>
        <v>1.819216513159081</v>
      </c>
      <c r="BS7" s="27">
        <f t="shared" ca="1" si="123"/>
        <v>4.5928782308574103</v>
      </c>
      <c r="BT7" s="27">
        <f t="shared" ca="1" si="124"/>
        <v>3.9459939729901699</v>
      </c>
      <c r="BU7" s="27">
        <f t="shared" ca="1" si="125"/>
        <v>3.184724167855725</v>
      </c>
      <c r="BV7" s="27">
        <f t="shared" ca="1" si="126"/>
        <v>9.6538745554938004</v>
      </c>
      <c r="BW7" s="27">
        <f t="shared" ca="1" si="127"/>
        <v>1.9944003255373626</v>
      </c>
      <c r="BX7" s="27">
        <f t="shared" ca="1" si="128"/>
        <v>2.0491252173524952</v>
      </c>
      <c r="BY7" s="27">
        <f t="shared" ca="1" si="129"/>
        <v>5.5836853158636703</v>
      </c>
      <c r="BZ7" s="27">
        <f t="shared" ca="1" si="130"/>
        <v>10.842756144677118</v>
      </c>
      <c r="CA7" s="27">
        <f t="shared" ca="1" si="131"/>
        <v>5.5836853158636703</v>
      </c>
      <c r="CB7" s="27">
        <f t="shared" ca="1" si="132"/>
        <v>5.7062044591394194</v>
      </c>
      <c r="CC7" s="27">
        <f t="shared" ca="1" si="133"/>
        <v>11.019631582649176</v>
      </c>
      <c r="CD7" s="27">
        <f t="shared" ca="1" si="134"/>
        <v>5.7062044591394194</v>
      </c>
      <c r="CE7" s="27">
        <f t="shared" ca="1" si="135"/>
        <v>1.2617766116702556</v>
      </c>
    </row>
    <row r="8" spans="1:83" x14ac:dyDescent="0.25">
      <c r="A8" t="str">
        <f>Plantilla!D9</f>
        <v>Guillermo Pedrajas</v>
      </c>
      <c r="B8">
        <f>Plantilla!E9</f>
        <v>26</v>
      </c>
      <c r="C8" s="25">
        <f ca="1">Plantilla!F9</f>
        <v>43</v>
      </c>
      <c r="D8" s="42">
        <f>Plantilla!G9</f>
        <v>0</v>
      </c>
      <c r="E8" s="23">
        <f>Plantilla!M9</f>
        <v>43419</v>
      </c>
      <c r="F8" s="37">
        <f>Plantilla!Q9</f>
        <v>7</v>
      </c>
      <c r="G8" s="38">
        <f t="shared" si="68"/>
        <v>1</v>
      </c>
      <c r="H8" s="38">
        <f t="shared" si="69"/>
        <v>1</v>
      </c>
      <c r="I8" s="104">
        <f ca="1">Plantilla!N9</f>
        <v>1</v>
      </c>
      <c r="J8" s="29">
        <f>Plantilla!I9</f>
        <v>6.5</v>
      </c>
      <c r="K8" s="36">
        <f>Plantilla!X9</f>
        <v>0</v>
      </c>
      <c r="L8" s="36">
        <f>Plantilla!Y9</f>
        <v>12.381818181818183</v>
      </c>
      <c r="M8" s="36">
        <f>Plantilla!Z9</f>
        <v>11</v>
      </c>
      <c r="N8" s="36">
        <f>Plantilla!AA9</f>
        <v>4</v>
      </c>
      <c r="O8" s="36">
        <f>Plantilla!AB9</f>
        <v>11</v>
      </c>
      <c r="P8" s="36">
        <f>Plantilla!AC9</f>
        <v>4</v>
      </c>
      <c r="Q8" s="36">
        <f>Plantilla!AD9</f>
        <v>13.5</v>
      </c>
      <c r="R8" s="36">
        <f t="shared" si="70"/>
        <v>4.6727272727272728</v>
      </c>
      <c r="S8" s="36">
        <f t="shared" si="71"/>
        <v>0.60499999999999998</v>
      </c>
      <c r="T8" s="36">
        <f t="shared" si="72"/>
        <v>0.90027272727272734</v>
      </c>
      <c r="U8" s="36">
        <f t="shared" ca="1" si="73"/>
        <v>15.583884475523808</v>
      </c>
      <c r="V8" s="36">
        <f t="shared" ca="1" si="74"/>
        <v>15.583884475523808</v>
      </c>
      <c r="W8" s="27">
        <f t="shared" ca="1" si="75"/>
        <v>5.2366129653141025</v>
      </c>
      <c r="X8" s="27">
        <f t="shared" ca="1" si="76"/>
        <v>7.9525675851739628</v>
      </c>
      <c r="Y8" s="27">
        <f t="shared" ca="1" si="77"/>
        <v>5.2366129653141025</v>
      </c>
      <c r="Z8" s="27">
        <f t="shared" ca="1" si="78"/>
        <v>7.4643025711884672</v>
      </c>
      <c r="AA8" s="27">
        <f t="shared" ca="1" si="79"/>
        <v>14.465702657341991</v>
      </c>
      <c r="AB8" s="27">
        <f t="shared" ca="1" si="80"/>
        <v>3.7321512855942336</v>
      </c>
      <c r="AC8" s="27">
        <f t="shared" ca="1" si="81"/>
        <v>3.1139645051746663</v>
      </c>
      <c r="AD8" s="27">
        <f t="shared" ca="1" si="82"/>
        <v>5.4680356044752729</v>
      </c>
      <c r="AE8" s="27">
        <f t="shared" ca="1" si="83"/>
        <v>10.458703021258259</v>
      </c>
      <c r="AF8" s="27">
        <f t="shared" ca="1" si="84"/>
        <v>2.7340178022376365</v>
      </c>
      <c r="AG8" s="27">
        <f t="shared" ca="1" si="85"/>
        <v>5.0372955230766658</v>
      </c>
      <c r="AH8" s="27">
        <f t="shared" ca="1" si="86"/>
        <v>13.308446444754631</v>
      </c>
      <c r="AI8" s="27">
        <f t="shared" ca="1" si="87"/>
        <v>5.9888009001395837</v>
      </c>
      <c r="AJ8" s="27">
        <f t="shared" ca="1" si="88"/>
        <v>2.185008707412476</v>
      </c>
      <c r="AK8" s="27">
        <f t="shared" ca="1" si="89"/>
        <v>3.5773240716079986</v>
      </c>
      <c r="AL8" s="27">
        <f t="shared" ca="1" si="90"/>
        <v>10.907139803635861</v>
      </c>
      <c r="AM8" s="27">
        <f t="shared" ca="1" si="91"/>
        <v>10.24171748139813</v>
      </c>
      <c r="AN8" s="27">
        <f t="shared" ca="1" si="92"/>
        <v>2.602508707412476</v>
      </c>
      <c r="AO8" s="27">
        <f t="shared" ca="1" si="93"/>
        <v>1.9459041834963109</v>
      </c>
      <c r="AP8" s="27">
        <f t="shared" ca="1" si="94"/>
        <v>3.9057397174823376</v>
      </c>
      <c r="AQ8" s="27">
        <f t="shared" ca="1" si="95"/>
        <v>8.5926273784611418</v>
      </c>
      <c r="AR8" s="27">
        <f t="shared" ca="1" si="96"/>
        <v>1.9528698587411688</v>
      </c>
      <c r="AS8" s="27">
        <f t="shared" ca="1" si="97"/>
        <v>12.351186944894474</v>
      </c>
      <c r="AT8" s="27">
        <f t="shared" ca="1" si="98"/>
        <v>1.700904981818095</v>
      </c>
      <c r="AU8" s="27">
        <f t="shared" ca="1" si="99"/>
        <v>2.6225781513284758</v>
      </c>
      <c r="AV8" s="27">
        <f t="shared" ca="1" si="100"/>
        <v>0.85045249090904751</v>
      </c>
      <c r="AW8" s="27">
        <f t="shared" ca="1" si="101"/>
        <v>2.7340178022376365</v>
      </c>
      <c r="AX8" s="27">
        <f t="shared" ca="1" si="102"/>
        <v>5.7862810629367969</v>
      </c>
      <c r="AY8" s="27">
        <f t="shared" ca="1" si="103"/>
        <v>1.3670089011188182</v>
      </c>
      <c r="AZ8" s="27">
        <f t="shared" ca="1" si="104"/>
        <v>13.083884475523808</v>
      </c>
      <c r="BA8" s="27">
        <f t="shared" ca="1" si="105"/>
        <v>3.3102227723075237</v>
      </c>
      <c r="BB8" s="27">
        <f t="shared" ca="1" si="106"/>
        <v>5.7392203460136191</v>
      </c>
      <c r="BC8" s="27">
        <f t="shared" ca="1" si="107"/>
        <v>1.6551113861537619</v>
      </c>
      <c r="BD8" s="27">
        <f t="shared" ca="1" si="108"/>
        <v>4.2095194732865187</v>
      </c>
      <c r="BE8" s="27">
        <f t="shared" ca="1" si="109"/>
        <v>5.0340645247550126</v>
      </c>
      <c r="BF8" s="27">
        <f t="shared" ca="1" si="110"/>
        <v>11.526902222936474</v>
      </c>
      <c r="BG8" s="27">
        <f t="shared" ca="1" si="111"/>
        <v>7.6135732987406648</v>
      </c>
      <c r="BH8" s="27">
        <f t="shared" ca="1" si="112"/>
        <v>3.1532161586012375</v>
      </c>
      <c r="BI8" s="27">
        <f t="shared" ca="1" si="113"/>
        <v>7.0158657888108653</v>
      </c>
      <c r="BJ8" s="27">
        <f t="shared" ca="1" si="114"/>
        <v>3.8189455015382858</v>
      </c>
      <c r="BK8" s="27">
        <f t="shared" ca="1" si="115"/>
        <v>4.9849599851745712</v>
      </c>
      <c r="BL8" s="27">
        <f t="shared" ca="1" si="116"/>
        <v>6.7243150316078077</v>
      </c>
      <c r="BM8" s="27">
        <f t="shared" ca="1" si="117"/>
        <v>0.68036199272723796</v>
      </c>
      <c r="BN8" s="27">
        <f t="shared" ca="1" si="118"/>
        <v>2.6038264783215581</v>
      </c>
      <c r="BO8" s="27">
        <f t="shared" ca="1" si="119"/>
        <v>0.98366778069925542</v>
      </c>
      <c r="BP8" s="27">
        <f t="shared" ca="1" si="120"/>
        <v>3.9905847650347614</v>
      </c>
      <c r="BQ8" s="27">
        <f t="shared" ca="1" si="121"/>
        <v>9.8258754355236171</v>
      </c>
      <c r="BR8" s="27">
        <f t="shared" ca="1" si="122"/>
        <v>1.7663244041957142</v>
      </c>
      <c r="BS8" s="27">
        <f t="shared" ca="1" si="123"/>
        <v>4.1082595546851248</v>
      </c>
      <c r="BT8" s="27">
        <f t="shared" ca="1" si="124"/>
        <v>3.5296314483914455</v>
      </c>
      <c r="BU8" s="27">
        <f t="shared" ca="1" si="125"/>
        <v>8.2559311040555237</v>
      </c>
      <c r="BV8" s="27">
        <f t="shared" ca="1" si="126"/>
        <v>6.7960766055938073</v>
      </c>
      <c r="BW8" s="27">
        <f t="shared" ca="1" si="127"/>
        <v>1.9364149023775235</v>
      </c>
      <c r="BX8" s="27">
        <f t="shared" ca="1" si="128"/>
        <v>5.3120570970626666</v>
      </c>
      <c r="BY8" s="27">
        <f t="shared" ca="1" si="129"/>
        <v>4.9197038117479037</v>
      </c>
      <c r="BZ8" s="27">
        <f t="shared" ca="1" si="130"/>
        <v>10.651453919439808</v>
      </c>
      <c r="CA8" s="27">
        <f t="shared" ca="1" si="131"/>
        <v>4.9197038117479037</v>
      </c>
      <c r="CB8" s="27">
        <f t="shared" ca="1" si="132"/>
        <v>4.7842600282513317</v>
      </c>
      <c r="CC8" s="27">
        <f t="shared" ca="1" si="133"/>
        <v>10.911837846992093</v>
      </c>
      <c r="CD8" s="27">
        <f t="shared" ca="1" si="134"/>
        <v>4.7842600282513317</v>
      </c>
      <c r="CE8" s="27">
        <f t="shared" ca="1" si="135"/>
        <v>3.270971118880952</v>
      </c>
    </row>
    <row r="9" spans="1:83" x14ac:dyDescent="0.25">
      <c r="A9" t="str">
        <f>Plantilla!D10</f>
        <v>Venanci Oset</v>
      </c>
      <c r="B9">
        <f>Plantilla!E10</f>
        <v>26</v>
      </c>
      <c r="C9" s="25">
        <f ca="1">Plantilla!F10</f>
        <v>86</v>
      </c>
      <c r="D9" s="42">
        <f>Plantilla!G10</f>
        <v>0</v>
      </c>
      <c r="E9" s="23">
        <f>Plantilla!M10</f>
        <v>43706</v>
      </c>
      <c r="F9" s="37">
        <f>Plantilla!Q10</f>
        <v>4</v>
      </c>
      <c r="G9" s="38">
        <f t="shared" si="68"/>
        <v>0.7559289460184544</v>
      </c>
      <c r="H9" s="38">
        <f t="shared" si="69"/>
        <v>0.84430867747355465</v>
      </c>
      <c r="I9" s="104">
        <f ca="1">Plantilla!N10</f>
        <v>1</v>
      </c>
      <c r="J9" s="29">
        <f>Plantilla!I10</f>
        <v>6.2</v>
      </c>
      <c r="K9" s="36">
        <f>Plantilla!X10</f>
        <v>0</v>
      </c>
      <c r="L9" s="36">
        <f>Plantilla!Y10</f>
        <v>14.1875</v>
      </c>
      <c r="M9" s="36">
        <f>Plantilla!Z10</f>
        <v>5</v>
      </c>
      <c r="N9" s="36">
        <f>Plantilla!AA10</f>
        <v>2</v>
      </c>
      <c r="O9" s="36">
        <f>Plantilla!AB10</f>
        <v>12</v>
      </c>
      <c r="P9" s="36">
        <f>Plantilla!AC10</f>
        <v>6</v>
      </c>
      <c r="Q9" s="36">
        <f>Plantilla!AD10</f>
        <v>12.5</v>
      </c>
      <c r="R9" s="36">
        <f t="shared" si="70"/>
        <v>5.1484375</v>
      </c>
      <c r="S9" s="36">
        <f t="shared" si="71"/>
        <v>0.67500000000000004</v>
      </c>
      <c r="T9" s="36">
        <f t="shared" si="72"/>
        <v>0.94250000000000012</v>
      </c>
      <c r="U9" s="36">
        <f t="shared" ca="1" si="73"/>
        <v>11.003696524150731</v>
      </c>
      <c r="V9" s="36">
        <f t="shared" ca="1" si="74"/>
        <v>12.290198051761395</v>
      </c>
      <c r="W9" s="27">
        <f t="shared" ca="1" si="75"/>
        <v>5.7110939265759679</v>
      </c>
      <c r="X9" s="27">
        <f t="shared" ca="1" si="76"/>
        <v>8.6846577281896593</v>
      </c>
      <c r="Y9" s="27">
        <f t="shared" ca="1" si="77"/>
        <v>5.7110939265759679</v>
      </c>
      <c r="Z9" s="27">
        <f t="shared" ca="1" si="78"/>
        <v>8.3819154823747972</v>
      </c>
      <c r="AA9" s="27">
        <f t="shared" ca="1" si="79"/>
        <v>16.244022252664337</v>
      </c>
      <c r="AB9" s="27">
        <f t="shared" ca="1" si="80"/>
        <v>4.1909577411873986</v>
      </c>
      <c r="AC9" s="27">
        <f t="shared" ca="1" si="81"/>
        <v>1.6794522961341125</v>
      </c>
      <c r="AD9" s="27">
        <f t="shared" ca="1" si="82"/>
        <v>6.1402404115071194</v>
      </c>
      <c r="AE9" s="27">
        <f t="shared" ca="1" si="83"/>
        <v>11.744428088676315</v>
      </c>
      <c r="AF9" s="27">
        <f t="shared" ca="1" si="84"/>
        <v>3.0701202057535597</v>
      </c>
      <c r="AG9" s="27">
        <f t="shared" ca="1" si="85"/>
        <v>2.7167610672757703</v>
      </c>
      <c r="AH9" s="27">
        <f t="shared" ca="1" si="86"/>
        <v>14.944500472451191</v>
      </c>
      <c r="AI9" s="27">
        <f t="shared" ca="1" si="87"/>
        <v>6.7250252126030352</v>
      </c>
      <c r="AJ9" s="27">
        <f t="shared" ca="1" si="88"/>
        <v>1.1784392161949446</v>
      </c>
      <c r="AK9" s="27">
        <f t="shared" ca="1" si="89"/>
        <v>2.3852350845666308</v>
      </c>
      <c r="AL9" s="27">
        <f t="shared" ca="1" si="90"/>
        <v>12.247992778508911</v>
      </c>
      <c r="AM9" s="27">
        <f t="shared" ca="1" si="91"/>
        <v>11.500767754886351</v>
      </c>
      <c r="AN9" s="27">
        <f t="shared" ca="1" si="92"/>
        <v>2.4309392161949446</v>
      </c>
      <c r="AO9" s="27">
        <f t="shared" ca="1" si="93"/>
        <v>2.0750284087673294</v>
      </c>
      <c r="AP9" s="27">
        <f t="shared" ca="1" si="94"/>
        <v>4.3858860082193711</v>
      </c>
      <c r="AQ9" s="27">
        <f t="shared" ca="1" si="95"/>
        <v>9.6489492180826151</v>
      </c>
      <c r="AR9" s="27">
        <f t="shared" ca="1" si="96"/>
        <v>2.1929430041096856</v>
      </c>
      <c r="AS9" s="27">
        <f t="shared" ca="1" si="97"/>
        <v>6.6613570065151348</v>
      </c>
      <c r="AT9" s="27">
        <f t="shared" ca="1" si="98"/>
        <v>1.827347892846364</v>
      </c>
      <c r="AU9" s="27">
        <f t="shared" ca="1" si="99"/>
        <v>3.0805610200306512</v>
      </c>
      <c r="AV9" s="27">
        <f t="shared" ca="1" si="100"/>
        <v>0.913673946423182</v>
      </c>
      <c r="AW9" s="27">
        <f t="shared" ca="1" si="101"/>
        <v>3.0701202057535597</v>
      </c>
      <c r="AX9" s="27">
        <f t="shared" ca="1" si="102"/>
        <v>6.4976089010657354</v>
      </c>
      <c r="AY9" s="27">
        <f t="shared" ca="1" si="103"/>
        <v>1.5350601028767799</v>
      </c>
      <c r="AZ9" s="27">
        <f t="shared" ca="1" si="104"/>
        <v>7.0565222526643385</v>
      </c>
      <c r="BA9" s="27">
        <f t="shared" ca="1" si="105"/>
        <v>3.5563001299240775</v>
      </c>
      <c r="BB9" s="27">
        <f t="shared" ca="1" si="106"/>
        <v>6.4851437612180503</v>
      </c>
      <c r="BC9" s="27">
        <f t="shared" ca="1" si="107"/>
        <v>1.7781500649620388</v>
      </c>
      <c r="BD9" s="27">
        <f t="shared" ca="1" si="108"/>
        <v>4.7270104755253213</v>
      </c>
      <c r="BE9" s="27">
        <f t="shared" ca="1" si="109"/>
        <v>5.652919743927189</v>
      </c>
      <c r="BF9" s="27">
        <f t="shared" ca="1" si="110"/>
        <v>6.2167961045972824</v>
      </c>
      <c r="BG9" s="27">
        <f t="shared" ca="1" si="111"/>
        <v>6.7562482826185963</v>
      </c>
      <c r="BH9" s="27">
        <f t="shared" ca="1" si="112"/>
        <v>3.3876218628921055</v>
      </c>
      <c r="BI9" s="27">
        <f t="shared" ca="1" si="113"/>
        <v>7.8783507925422027</v>
      </c>
      <c r="BJ9" s="27">
        <f t="shared" ca="1" si="114"/>
        <v>4.2884218747033849</v>
      </c>
      <c r="BK9" s="27">
        <f t="shared" ca="1" si="115"/>
        <v>2.6885349782651131</v>
      </c>
      <c r="BL9" s="27">
        <f t="shared" ca="1" si="116"/>
        <v>5.5554004488286317</v>
      </c>
      <c r="BM9" s="27">
        <f t="shared" ca="1" si="117"/>
        <v>0.73093915713854551</v>
      </c>
      <c r="BN9" s="27">
        <f t="shared" ca="1" si="118"/>
        <v>2.9239240054795803</v>
      </c>
      <c r="BO9" s="27">
        <f t="shared" ca="1" si="119"/>
        <v>1.104593513181175</v>
      </c>
      <c r="BP9" s="27">
        <f t="shared" ca="1" si="120"/>
        <v>2.1522392870626232</v>
      </c>
      <c r="BQ9" s="27">
        <f t="shared" ca="1" si="121"/>
        <v>8.0766876169263391</v>
      </c>
      <c r="BR9" s="27">
        <f t="shared" ca="1" si="122"/>
        <v>1.8976305041096859</v>
      </c>
      <c r="BS9" s="27">
        <f t="shared" ca="1" si="123"/>
        <v>4.6133023197566709</v>
      </c>
      <c r="BT9" s="27">
        <f t="shared" ca="1" si="124"/>
        <v>3.9635414296500979</v>
      </c>
      <c r="BU9" s="27">
        <f t="shared" ca="1" si="125"/>
        <v>4.4526655414311973</v>
      </c>
      <c r="BV9" s="27">
        <f t="shared" ca="1" si="126"/>
        <v>5.5605874161345827</v>
      </c>
      <c r="BW9" s="27">
        <f t="shared" ca="1" si="127"/>
        <v>2.0803652933943222</v>
      </c>
      <c r="BX9" s="27">
        <f t="shared" ca="1" si="128"/>
        <v>2.8649480345817215</v>
      </c>
      <c r="BY9" s="27">
        <f t="shared" ca="1" si="129"/>
        <v>5.1214480936381204</v>
      </c>
      <c r="BZ9" s="27">
        <f t="shared" ca="1" si="130"/>
        <v>12.329644056500046</v>
      </c>
      <c r="CA9" s="27">
        <f t="shared" ca="1" si="131"/>
        <v>5.1214480936381204</v>
      </c>
      <c r="CB9" s="27">
        <f t="shared" ca="1" si="132"/>
        <v>4.9872133634098823</v>
      </c>
      <c r="CC9" s="27">
        <f t="shared" ca="1" si="133"/>
        <v>13.243378963897479</v>
      </c>
      <c r="CD9" s="27">
        <f t="shared" ca="1" si="134"/>
        <v>4.9872133634098823</v>
      </c>
      <c r="CE9" s="27">
        <f t="shared" ca="1" si="135"/>
        <v>1.7641305631660846</v>
      </c>
    </row>
    <row r="10" spans="1:83" x14ac:dyDescent="0.25">
      <c r="A10" t="str">
        <f>Plantilla!D11</f>
        <v>Francesc Añigas</v>
      </c>
      <c r="B10">
        <f>Plantilla!E11</f>
        <v>26</v>
      </c>
      <c r="C10" s="25">
        <f ca="1">Plantilla!F11</f>
        <v>23</v>
      </c>
      <c r="D10" s="42" t="str">
        <f>Plantilla!G11</f>
        <v>IMP</v>
      </c>
      <c r="E10" s="23">
        <f>Plantilla!M11</f>
        <v>43137</v>
      </c>
      <c r="F10" s="37">
        <f>Plantilla!Q11</f>
        <v>5</v>
      </c>
      <c r="G10" s="38">
        <f t="shared" si="68"/>
        <v>0.84515425472851657</v>
      </c>
      <c r="H10" s="38">
        <f t="shared" si="69"/>
        <v>0.92504826128926143</v>
      </c>
      <c r="I10" s="104">
        <f ca="1">Plantilla!N11</f>
        <v>1</v>
      </c>
      <c r="J10" s="29">
        <f>Plantilla!I11</f>
        <v>7</v>
      </c>
      <c r="K10" s="36">
        <f>Plantilla!X11</f>
        <v>0</v>
      </c>
      <c r="L10" s="36">
        <f>Plantilla!Y11</f>
        <v>13.583333333333334</v>
      </c>
      <c r="M10" s="36">
        <f>Plantilla!Z11</f>
        <v>4</v>
      </c>
      <c r="N10" s="36">
        <f>Plantilla!AA11</f>
        <v>13.066666666666666</v>
      </c>
      <c r="O10" s="36">
        <f>Plantilla!AB11</f>
        <v>7.75</v>
      </c>
      <c r="P10" s="36">
        <f>Plantilla!AC11</f>
        <v>7</v>
      </c>
      <c r="Q10" s="36">
        <f>Plantilla!AD11</f>
        <v>14</v>
      </c>
      <c r="R10" s="36">
        <f t="shared" si="70"/>
        <v>4.010416666666667</v>
      </c>
      <c r="S10" s="36">
        <f t="shared" si="71"/>
        <v>0.77</v>
      </c>
      <c r="T10" s="36">
        <f t="shared" si="72"/>
        <v>0.96333333333333326</v>
      </c>
      <c r="U10" s="36">
        <f t="shared" ca="1" si="73"/>
        <v>13.629631426502122</v>
      </c>
      <c r="V10" s="36">
        <f t="shared" ca="1" si="74"/>
        <v>14.918065882717791</v>
      </c>
      <c r="W10" s="27">
        <f t="shared" ca="1" si="75"/>
        <v>5.6056941185765954</v>
      </c>
      <c r="X10" s="27">
        <f t="shared" ca="1" si="76"/>
        <v>8.5186120928778735</v>
      </c>
      <c r="Y10" s="27">
        <f t="shared" ca="1" si="77"/>
        <v>5.6056941185765954</v>
      </c>
      <c r="Z10" s="27">
        <f t="shared" ca="1" si="78"/>
        <v>8.1064274515298091</v>
      </c>
      <c r="AA10" s="27">
        <f t="shared" ca="1" si="79"/>
        <v>15.710130720019009</v>
      </c>
      <c r="AB10" s="27">
        <f t="shared" ca="1" si="80"/>
        <v>4.0532137257649046</v>
      </c>
      <c r="AC10" s="27">
        <f t="shared" ca="1" si="81"/>
        <v>1.4581777780311906</v>
      </c>
      <c r="AD10" s="27">
        <f t="shared" ca="1" si="82"/>
        <v>5.9384294121671859</v>
      </c>
      <c r="AE10" s="27">
        <f t="shared" ca="1" si="83"/>
        <v>11.358424510573743</v>
      </c>
      <c r="AF10" s="27">
        <f t="shared" ca="1" si="84"/>
        <v>2.9692147060835929</v>
      </c>
      <c r="AG10" s="27">
        <f t="shared" ca="1" si="85"/>
        <v>2.3588169938739849</v>
      </c>
      <c r="AH10" s="27">
        <f t="shared" ca="1" si="86"/>
        <v>14.453320262417488</v>
      </c>
      <c r="AI10" s="27">
        <f t="shared" ca="1" si="87"/>
        <v>6.5039941180878698</v>
      </c>
      <c r="AJ10" s="27">
        <f t="shared" ca="1" si="88"/>
        <v>1.0231751635765078</v>
      </c>
      <c r="AK10" s="27">
        <f t="shared" ca="1" si="89"/>
        <v>8.9337568633711761</v>
      </c>
      <c r="AL10" s="27">
        <f t="shared" ca="1" si="90"/>
        <v>11.845438562894334</v>
      </c>
      <c r="AM10" s="27">
        <f t="shared" ca="1" si="91"/>
        <v>11.122772549773458</v>
      </c>
      <c r="AN10" s="27">
        <f t="shared" ca="1" si="92"/>
        <v>2.6931751635765084</v>
      </c>
      <c r="AO10" s="27">
        <f t="shared" ca="1" si="93"/>
        <v>1.7675176473654748</v>
      </c>
      <c r="AP10" s="27">
        <f t="shared" ca="1" si="94"/>
        <v>4.2417352944051325</v>
      </c>
      <c r="AQ10" s="27">
        <f t="shared" ca="1" si="95"/>
        <v>9.3318176476912917</v>
      </c>
      <c r="AR10" s="27">
        <f t="shared" ca="1" si="96"/>
        <v>2.1208676472025663</v>
      </c>
      <c r="AS10" s="27">
        <f t="shared" ca="1" si="97"/>
        <v>5.7836967330312774</v>
      </c>
      <c r="AT10" s="27">
        <f t="shared" ca="1" si="98"/>
        <v>1.2839836602691379</v>
      </c>
      <c r="AU10" s="27">
        <f t="shared" ca="1" si="99"/>
        <v>2.7641516342989023</v>
      </c>
      <c r="AV10" s="27">
        <f t="shared" ca="1" si="100"/>
        <v>0.64199183013456895</v>
      </c>
      <c r="AW10" s="27">
        <f t="shared" ca="1" si="101"/>
        <v>2.9692147060835929</v>
      </c>
      <c r="AX10" s="27">
        <f t="shared" ca="1" si="102"/>
        <v>6.2840522880076044</v>
      </c>
      <c r="AY10" s="27">
        <f t="shared" ca="1" si="103"/>
        <v>1.4846073530417965</v>
      </c>
      <c r="AZ10" s="27">
        <f t="shared" ca="1" si="104"/>
        <v>6.1267973866856753</v>
      </c>
      <c r="BA10" s="27">
        <f t="shared" ca="1" si="105"/>
        <v>2.4988297388314757</v>
      </c>
      <c r="BB10" s="27">
        <f t="shared" ca="1" si="106"/>
        <v>5.2846153600638077</v>
      </c>
      <c r="BC10" s="27">
        <f t="shared" ca="1" si="107"/>
        <v>1.2494148694157379</v>
      </c>
      <c r="BD10" s="27">
        <f t="shared" ca="1" si="108"/>
        <v>4.571648039525531</v>
      </c>
      <c r="BE10" s="27">
        <f t="shared" ca="1" si="109"/>
        <v>5.4671254905666151</v>
      </c>
      <c r="BF10" s="27">
        <f t="shared" ca="1" si="110"/>
        <v>5.39770849767008</v>
      </c>
      <c r="BG10" s="27">
        <f t="shared" ca="1" si="111"/>
        <v>11.832239543430232</v>
      </c>
      <c r="BH10" s="27">
        <f t="shared" ca="1" si="112"/>
        <v>2.3803081701912476</v>
      </c>
      <c r="BI10" s="27">
        <f t="shared" ca="1" si="113"/>
        <v>7.6194133992092192</v>
      </c>
      <c r="BJ10" s="27">
        <f t="shared" ca="1" si="114"/>
        <v>4.1474745100850186</v>
      </c>
      <c r="BK10" s="27">
        <f t="shared" ca="1" si="115"/>
        <v>2.3343098043272423</v>
      </c>
      <c r="BL10" s="27">
        <f t="shared" ca="1" si="116"/>
        <v>12.210437582629948</v>
      </c>
      <c r="BM10" s="27">
        <f t="shared" ca="1" si="117"/>
        <v>0.51359346410765505</v>
      </c>
      <c r="BN10" s="27">
        <f t="shared" ca="1" si="118"/>
        <v>2.8278235296034215</v>
      </c>
      <c r="BO10" s="27">
        <f t="shared" ca="1" si="119"/>
        <v>1.0682888889612927</v>
      </c>
      <c r="BP10" s="27">
        <f t="shared" ca="1" si="120"/>
        <v>1.8686732029391309</v>
      </c>
      <c r="BQ10" s="27">
        <f t="shared" ca="1" si="121"/>
        <v>18.018228105944445</v>
      </c>
      <c r="BR10" s="27">
        <f t="shared" ca="1" si="122"/>
        <v>1.3333676472025662</v>
      </c>
      <c r="BS10" s="27">
        <f t="shared" ca="1" si="123"/>
        <v>4.4616771244853979</v>
      </c>
      <c r="BT10" s="27">
        <f t="shared" ca="1" si="124"/>
        <v>3.8332718956846383</v>
      </c>
      <c r="BU10" s="27">
        <f t="shared" ca="1" si="125"/>
        <v>3.8660091509986612</v>
      </c>
      <c r="BV10" s="27">
        <f t="shared" ca="1" si="126"/>
        <v>12.572033661083678</v>
      </c>
      <c r="BW10" s="27">
        <f t="shared" ca="1" si="127"/>
        <v>1.4617660132294799</v>
      </c>
      <c r="BX10" s="27">
        <f t="shared" ca="1" si="128"/>
        <v>2.4874797389943843</v>
      </c>
      <c r="BY10" s="27">
        <f t="shared" ca="1" si="129"/>
        <v>5.8161614384632365</v>
      </c>
      <c r="BZ10" s="27">
        <f t="shared" ca="1" si="130"/>
        <v>10.684023857408071</v>
      </c>
      <c r="CA10" s="27">
        <f t="shared" ca="1" si="131"/>
        <v>5.8161614384632365</v>
      </c>
      <c r="CB10" s="27">
        <f t="shared" ca="1" si="132"/>
        <v>7.1332281052385085</v>
      </c>
      <c r="CC10" s="27">
        <f t="shared" ca="1" si="133"/>
        <v>12.771335622372689</v>
      </c>
      <c r="CD10" s="27">
        <f t="shared" ca="1" si="134"/>
        <v>7.1332281052385085</v>
      </c>
      <c r="CE10" s="27">
        <f t="shared" ca="1" si="135"/>
        <v>1.5316993466714188</v>
      </c>
    </row>
    <row r="11" spans="1:83" x14ac:dyDescent="0.25">
      <c r="A11" t="str">
        <f>Plantilla!D12</f>
        <v>Will Duffill</v>
      </c>
      <c r="B11">
        <f>Plantilla!E12</f>
        <v>25</v>
      </c>
      <c r="C11" s="25">
        <f ca="1">Plantilla!F12</f>
        <v>96</v>
      </c>
      <c r="D11" s="42" t="str">
        <f>Plantilla!G12</f>
        <v>RAP</v>
      </c>
      <c r="E11" s="23">
        <f>Plantilla!M12</f>
        <v>43122</v>
      </c>
      <c r="F11" s="37">
        <f>Plantilla!Q12</f>
        <v>6</v>
      </c>
      <c r="G11" s="38">
        <f t="shared" si="68"/>
        <v>0.92582009977255142</v>
      </c>
      <c r="H11" s="38">
        <f t="shared" si="69"/>
        <v>0.99928545900129484</v>
      </c>
      <c r="I11" s="104">
        <f ca="1">Plantilla!N12</f>
        <v>1</v>
      </c>
      <c r="J11" s="29">
        <f>Plantilla!I12</f>
        <v>7</v>
      </c>
      <c r="K11" s="36">
        <f>Plantilla!X12</f>
        <v>0</v>
      </c>
      <c r="L11" s="36">
        <f>Plantilla!Y12</f>
        <v>13</v>
      </c>
      <c r="M11" s="36">
        <f>Plantilla!Z12</f>
        <v>3</v>
      </c>
      <c r="N11" s="36">
        <f>Plantilla!AA12</f>
        <v>13.666666666666666</v>
      </c>
      <c r="O11" s="36">
        <f>Plantilla!AB12</f>
        <v>9.6666666666666661</v>
      </c>
      <c r="P11" s="36">
        <f>Plantilla!AC12</f>
        <v>7</v>
      </c>
      <c r="Q11" s="36">
        <f>Plantilla!AD12</f>
        <v>14.5</v>
      </c>
      <c r="R11" s="36">
        <f t="shared" si="70"/>
        <v>4.4166666666666661</v>
      </c>
      <c r="S11" s="36">
        <f t="shared" si="71"/>
        <v>0.78499999999999992</v>
      </c>
      <c r="T11" s="36">
        <f t="shared" si="72"/>
        <v>0.95500000000000007</v>
      </c>
      <c r="U11" s="36">
        <f t="shared" ca="1" si="73"/>
        <v>15.393423215439331</v>
      </c>
      <c r="V11" s="36">
        <f t="shared" ca="1" si="74"/>
        <v>16.614916858275727</v>
      </c>
      <c r="W11" s="27">
        <f t="shared" ca="1" si="75"/>
        <v>5.4446941185765958</v>
      </c>
      <c r="X11" s="27">
        <f t="shared" ca="1" si="76"/>
        <v>8.2706954262112067</v>
      </c>
      <c r="Y11" s="27">
        <f t="shared" ca="1" si="77"/>
        <v>5.4446941185765958</v>
      </c>
      <c r="Z11" s="27">
        <f t="shared" ca="1" si="78"/>
        <v>7.805427451529809</v>
      </c>
      <c r="AA11" s="27">
        <f t="shared" ca="1" si="79"/>
        <v>15.126797386685675</v>
      </c>
      <c r="AB11" s="27">
        <f t="shared" ca="1" si="80"/>
        <v>3.9027137257649045</v>
      </c>
      <c r="AC11" s="27">
        <f t="shared" ca="1" si="81"/>
        <v>1.2201777780311907</v>
      </c>
      <c r="AD11" s="27">
        <f t="shared" ca="1" si="82"/>
        <v>5.7179294121671855</v>
      </c>
      <c r="AE11" s="27">
        <f t="shared" ca="1" si="83"/>
        <v>10.936674510573743</v>
      </c>
      <c r="AF11" s="27">
        <f t="shared" ca="1" si="84"/>
        <v>2.8589647060835928</v>
      </c>
      <c r="AG11" s="27">
        <f t="shared" ca="1" si="85"/>
        <v>1.9738169938739851</v>
      </c>
      <c r="AH11" s="27">
        <f t="shared" ca="1" si="86"/>
        <v>13.916653595750821</v>
      </c>
      <c r="AI11" s="27">
        <f t="shared" ca="1" si="87"/>
        <v>6.2624941180878695</v>
      </c>
      <c r="AJ11" s="27">
        <f t="shared" ca="1" si="88"/>
        <v>0.8561751635765078</v>
      </c>
      <c r="AK11" s="27">
        <f t="shared" ca="1" si="89"/>
        <v>9.2865568633711764</v>
      </c>
      <c r="AL11" s="27">
        <f t="shared" ca="1" si="90"/>
        <v>11.405605229560999</v>
      </c>
      <c r="AM11" s="27">
        <f t="shared" ca="1" si="91"/>
        <v>10.709772549773458</v>
      </c>
      <c r="AN11" s="27">
        <f t="shared" ca="1" si="92"/>
        <v>2.7766751635765083</v>
      </c>
      <c r="AO11" s="27">
        <f t="shared" ca="1" si="93"/>
        <v>1.8845176473654741</v>
      </c>
      <c r="AP11" s="27">
        <f t="shared" ca="1" si="94"/>
        <v>4.0842352944051328</v>
      </c>
      <c r="AQ11" s="27">
        <f t="shared" ca="1" si="95"/>
        <v>8.985317647691291</v>
      </c>
      <c r="AR11" s="27">
        <f t="shared" ca="1" si="96"/>
        <v>2.0421176472025664</v>
      </c>
      <c r="AS11" s="27">
        <f t="shared" ca="1" si="97"/>
        <v>4.8396967330312775</v>
      </c>
      <c r="AT11" s="27">
        <f t="shared" ca="1" si="98"/>
        <v>1.5331503269358044</v>
      </c>
      <c r="AU11" s="27">
        <f t="shared" ca="1" si="99"/>
        <v>2.9941516342989027</v>
      </c>
      <c r="AV11" s="27">
        <f t="shared" ca="1" si="100"/>
        <v>0.76657516346790222</v>
      </c>
      <c r="AW11" s="27">
        <f t="shared" ca="1" si="101"/>
        <v>2.8589647060835928</v>
      </c>
      <c r="AX11" s="27">
        <f t="shared" ca="1" si="102"/>
        <v>6.0507189546742701</v>
      </c>
      <c r="AY11" s="27">
        <f t="shared" ca="1" si="103"/>
        <v>1.4294823530417964</v>
      </c>
      <c r="AZ11" s="27">
        <f t="shared" ca="1" si="104"/>
        <v>5.1267973866856753</v>
      </c>
      <c r="BA11" s="27">
        <f t="shared" ca="1" si="105"/>
        <v>2.9837464054981422</v>
      </c>
      <c r="BB11" s="27">
        <f t="shared" ca="1" si="106"/>
        <v>5.9381986933971405</v>
      </c>
      <c r="BC11" s="27">
        <f t="shared" ca="1" si="107"/>
        <v>1.4918732027490711</v>
      </c>
      <c r="BD11" s="27">
        <f t="shared" ca="1" si="108"/>
        <v>4.4018980395255314</v>
      </c>
      <c r="BE11" s="27">
        <f t="shared" ca="1" si="109"/>
        <v>5.2641254905666148</v>
      </c>
      <c r="BF11" s="27">
        <f t="shared" ca="1" si="110"/>
        <v>4.5167084976700798</v>
      </c>
      <c r="BG11" s="27">
        <f t="shared" ca="1" si="111"/>
        <v>12.780389543430232</v>
      </c>
      <c r="BH11" s="27">
        <f t="shared" ca="1" si="112"/>
        <v>2.8422248368579144</v>
      </c>
      <c r="BI11" s="27">
        <f t="shared" ca="1" si="113"/>
        <v>7.3364967325425523</v>
      </c>
      <c r="BJ11" s="27">
        <f t="shared" ca="1" si="114"/>
        <v>3.9934745100850186</v>
      </c>
      <c r="BK11" s="27">
        <f t="shared" ca="1" si="115"/>
        <v>1.9533098043272423</v>
      </c>
      <c r="BL11" s="27">
        <f t="shared" ca="1" si="116"/>
        <v>12.999487582629946</v>
      </c>
      <c r="BM11" s="27">
        <f t="shared" ca="1" si="117"/>
        <v>0.61326013077432173</v>
      </c>
      <c r="BN11" s="27">
        <f t="shared" ca="1" si="118"/>
        <v>2.7228235296034216</v>
      </c>
      <c r="BO11" s="27">
        <f t="shared" ca="1" si="119"/>
        <v>1.028622222294626</v>
      </c>
      <c r="BP11" s="27">
        <f t="shared" ca="1" si="120"/>
        <v>1.5636732029391309</v>
      </c>
      <c r="BQ11" s="27">
        <f t="shared" ca="1" si="121"/>
        <v>19.16639477261111</v>
      </c>
      <c r="BR11" s="27">
        <f t="shared" ca="1" si="122"/>
        <v>1.5921176472025662</v>
      </c>
      <c r="BS11" s="27">
        <f t="shared" ca="1" si="123"/>
        <v>4.2960104578187313</v>
      </c>
      <c r="BT11" s="27">
        <f t="shared" ca="1" si="124"/>
        <v>3.6909385623513047</v>
      </c>
      <c r="BU11" s="27">
        <f t="shared" ca="1" si="125"/>
        <v>3.2350091509986609</v>
      </c>
      <c r="BV11" s="27">
        <f t="shared" ca="1" si="126"/>
        <v>13.363150327750345</v>
      </c>
      <c r="BW11" s="27">
        <f t="shared" ca="1" si="127"/>
        <v>1.7454326798961464</v>
      </c>
      <c r="BX11" s="27">
        <f t="shared" ca="1" si="128"/>
        <v>2.0814797389943842</v>
      </c>
      <c r="BY11" s="27">
        <f t="shared" ca="1" si="129"/>
        <v>6.3817281051299029</v>
      </c>
      <c r="BZ11" s="27">
        <f t="shared" ca="1" si="130"/>
        <v>11.724773857408071</v>
      </c>
      <c r="CA11" s="27">
        <f t="shared" ca="1" si="131"/>
        <v>6.3817281051299029</v>
      </c>
      <c r="CB11" s="27">
        <f t="shared" ca="1" si="132"/>
        <v>7.5379947719051748</v>
      </c>
      <c r="CC11" s="27">
        <f t="shared" ca="1" si="133"/>
        <v>13.478585622372689</v>
      </c>
      <c r="CD11" s="27">
        <f t="shared" ca="1" si="134"/>
        <v>7.5379947719051748</v>
      </c>
      <c r="CE11" s="27">
        <f t="shared" ca="1" si="135"/>
        <v>1.2816993466714188</v>
      </c>
    </row>
    <row r="12" spans="1:83" x14ac:dyDescent="0.25">
      <c r="A12" t="str">
        <f>Plantilla!D13</f>
        <v>Valeri Gomis</v>
      </c>
      <c r="B12">
        <f>Plantilla!E13</f>
        <v>26</v>
      </c>
      <c r="C12" s="25">
        <f ca="1">Plantilla!F13</f>
        <v>23</v>
      </c>
      <c r="D12" s="42" t="str">
        <f>Plantilla!G13</f>
        <v>IMP</v>
      </c>
      <c r="E12" s="23">
        <f>Plantilla!M13</f>
        <v>43051</v>
      </c>
      <c r="F12" s="37">
        <f>Plantilla!Q13</f>
        <v>4</v>
      </c>
      <c r="G12" s="38">
        <f t="shared" si="68"/>
        <v>0.7559289460184544</v>
      </c>
      <c r="H12" s="38">
        <f t="shared" si="69"/>
        <v>0.84430867747355465</v>
      </c>
      <c r="I12" s="104">
        <f ca="1">Plantilla!N13</f>
        <v>1</v>
      </c>
      <c r="J12" s="29">
        <f>Plantilla!I13</f>
        <v>7</v>
      </c>
      <c r="K12" s="36">
        <f>Plantilla!X13</f>
        <v>0</v>
      </c>
      <c r="L12" s="36">
        <f>Plantilla!Y13</f>
        <v>12.454545454545455</v>
      </c>
      <c r="M12" s="36">
        <f>Plantilla!Z13</f>
        <v>3</v>
      </c>
      <c r="N12" s="36">
        <f>Plantilla!AA13</f>
        <v>12.466666666666667</v>
      </c>
      <c r="O12" s="36">
        <f>Plantilla!AB13</f>
        <v>9</v>
      </c>
      <c r="P12" s="36">
        <f>Plantilla!AC13</f>
        <v>7.25</v>
      </c>
      <c r="Q12" s="36">
        <f>Plantilla!AD13</f>
        <v>14.5</v>
      </c>
      <c r="R12" s="36">
        <f t="shared" si="70"/>
        <v>4.1818181818181817</v>
      </c>
      <c r="S12" s="36">
        <f t="shared" si="71"/>
        <v>0.79749999999999999</v>
      </c>
      <c r="T12" s="36">
        <f t="shared" si="72"/>
        <v>0.93318181818181822</v>
      </c>
      <c r="U12" s="36">
        <f t="shared" ca="1" si="73"/>
        <v>12.568677424179695</v>
      </c>
      <c r="V12" s="36">
        <f t="shared" ca="1" si="74"/>
        <v>14.038149312173339</v>
      </c>
      <c r="W12" s="27">
        <f t="shared" ca="1" si="75"/>
        <v>5.294148664031141</v>
      </c>
      <c r="X12" s="27">
        <f t="shared" ca="1" si="76"/>
        <v>8.0388772443930261</v>
      </c>
      <c r="Y12" s="27">
        <f t="shared" ca="1" si="77"/>
        <v>5.294148664031141</v>
      </c>
      <c r="Z12" s="27">
        <f t="shared" ca="1" si="78"/>
        <v>7.5239729060752634</v>
      </c>
      <c r="AA12" s="27">
        <f t="shared" ca="1" si="79"/>
        <v>14.58134284123113</v>
      </c>
      <c r="AB12" s="27">
        <f t="shared" ca="1" si="80"/>
        <v>3.7619864530376317</v>
      </c>
      <c r="AC12" s="27">
        <f t="shared" ca="1" si="81"/>
        <v>1.2201777780311907</v>
      </c>
      <c r="AD12" s="27">
        <f t="shared" ca="1" si="82"/>
        <v>5.5117475939853673</v>
      </c>
      <c r="AE12" s="27">
        <f t="shared" ca="1" si="83"/>
        <v>10.542310874210107</v>
      </c>
      <c r="AF12" s="27">
        <f t="shared" ca="1" si="84"/>
        <v>2.7558737969926836</v>
      </c>
      <c r="AG12" s="27">
        <f t="shared" ca="1" si="85"/>
        <v>1.9738169938739851</v>
      </c>
      <c r="AH12" s="27">
        <f t="shared" ca="1" si="86"/>
        <v>13.414835413932641</v>
      </c>
      <c r="AI12" s="27">
        <f t="shared" ca="1" si="87"/>
        <v>6.0366759362696873</v>
      </c>
      <c r="AJ12" s="27">
        <f t="shared" ca="1" si="88"/>
        <v>0.8561751635765078</v>
      </c>
      <c r="AK12" s="27">
        <f t="shared" ca="1" si="89"/>
        <v>8.5809568633711759</v>
      </c>
      <c r="AL12" s="27">
        <f t="shared" ca="1" si="90"/>
        <v>10.994332502288273</v>
      </c>
      <c r="AM12" s="27">
        <f t="shared" ca="1" si="91"/>
        <v>10.32359073159164</v>
      </c>
      <c r="AN12" s="27">
        <f t="shared" ca="1" si="92"/>
        <v>2.7766751635765083</v>
      </c>
      <c r="AO12" s="27">
        <f t="shared" ca="1" si="93"/>
        <v>1.8168812837291106</v>
      </c>
      <c r="AP12" s="27">
        <f t="shared" ca="1" si="94"/>
        <v>3.9369625671324053</v>
      </c>
      <c r="AQ12" s="27">
        <f t="shared" ca="1" si="95"/>
        <v>8.6613176476912912</v>
      </c>
      <c r="AR12" s="27">
        <f t="shared" ca="1" si="96"/>
        <v>1.9684812835662027</v>
      </c>
      <c r="AS12" s="27">
        <f t="shared" ca="1" si="97"/>
        <v>4.8396967330312775</v>
      </c>
      <c r="AT12" s="27">
        <f t="shared" ca="1" si="98"/>
        <v>1.4464836602691378</v>
      </c>
      <c r="AU12" s="27">
        <f t="shared" ca="1" si="99"/>
        <v>2.9574016342989027</v>
      </c>
      <c r="AV12" s="27">
        <f t="shared" ca="1" si="100"/>
        <v>0.72324183013456889</v>
      </c>
      <c r="AW12" s="27">
        <f t="shared" ca="1" si="101"/>
        <v>2.7558737969926836</v>
      </c>
      <c r="AX12" s="27">
        <f t="shared" ca="1" si="102"/>
        <v>5.8325371364924523</v>
      </c>
      <c r="AY12" s="27">
        <f t="shared" ca="1" si="103"/>
        <v>1.3779368984963418</v>
      </c>
      <c r="AZ12" s="27">
        <f t="shared" ca="1" si="104"/>
        <v>5.1267973866856753</v>
      </c>
      <c r="BA12" s="27">
        <f t="shared" ca="1" si="105"/>
        <v>2.8150797388314759</v>
      </c>
      <c r="BB12" s="27">
        <f t="shared" ca="1" si="106"/>
        <v>5.7633653600638075</v>
      </c>
      <c r="BC12" s="27">
        <f t="shared" ca="1" si="107"/>
        <v>1.4075398694157379</v>
      </c>
      <c r="BD12" s="27">
        <f t="shared" ca="1" si="108"/>
        <v>4.2431707667982588</v>
      </c>
      <c r="BE12" s="27">
        <f t="shared" ca="1" si="109"/>
        <v>5.0743073087484332</v>
      </c>
      <c r="BF12" s="27">
        <f t="shared" ca="1" si="110"/>
        <v>4.5167084976700798</v>
      </c>
      <c r="BG12" s="27">
        <f t="shared" ca="1" si="111"/>
        <v>11.881589543430231</v>
      </c>
      <c r="BH12" s="27">
        <f t="shared" ca="1" si="112"/>
        <v>2.6815581701912476</v>
      </c>
      <c r="BI12" s="27">
        <f t="shared" ca="1" si="113"/>
        <v>7.0719512779970977</v>
      </c>
      <c r="BJ12" s="27">
        <f t="shared" ca="1" si="114"/>
        <v>3.8494745100850185</v>
      </c>
      <c r="BK12" s="27">
        <f t="shared" ca="1" si="115"/>
        <v>1.9533098043272423</v>
      </c>
      <c r="BL12" s="27">
        <f t="shared" ca="1" si="116"/>
        <v>12.057887582629949</v>
      </c>
      <c r="BM12" s="27">
        <f t="shared" ca="1" si="117"/>
        <v>0.57859346410765511</v>
      </c>
      <c r="BN12" s="27">
        <f t="shared" ca="1" si="118"/>
        <v>2.6246417114216034</v>
      </c>
      <c r="BO12" s="27">
        <f t="shared" ca="1" si="119"/>
        <v>0.9915313132037169</v>
      </c>
      <c r="BP12" s="27">
        <f t="shared" ca="1" si="120"/>
        <v>1.5636732029391309</v>
      </c>
      <c r="BQ12" s="27">
        <f t="shared" ca="1" si="121"/>
        <v>17.775728105944445</v>
      </c>
      <c r="BR12" s="27">
        <f t="shared" ca="1" si="122"/>
        <v>1.5021176472025664</v>
      </c>
      <c r="BS12" s="27">
        <f t="shared" ca="1" si="123"/>
        <v>4.1411013669096404</v>
      </c>
      <c r="BT12" s="27">
        <f t="shared" ca="1" si="124"/>
        <v>3.5578476532603958</v>
      </c>
      <c r="BU12" s="27">
        <f t="shared" ca="1" si="125"/>
        <v>3.2350091509986609</v>
      </c>
      <c r="BV12" s="27">
        <f t="shared" ca="1" si="126"/>
        <v>12.39208366108368</v>
      </c>
      <c r="BW12" s="27">
        <f t="shared" ca="1" si="127"/>
        <v>1.6467660132294799</v>
      </c>
      <c r="BX12" s="27">
        <f t="shared" ca="1" si="128"/>
        <v>2.0814797389943842</v>
      </c>
      <c r="BY12" s="27">
        <f t="shared" ca="1" si="129"/>
        <v>6.074011438463236</v>
      </c>
      <c r="BZ12" s="27">
        <f t="shared" ca="1" si="130"/>
        <v>11.50852385740807</v>
      </c>
      <c r="CA12" s="27">
        <f t="shared" ca="1" si="131"/>
        <v>6.074011438463236</v>
      </c>
      <c r="CB12" s="27">
        <f t="shared" ca="1" si="132"/>
        <v>7.243128105238509</v>
      </c>
      <c r="CC12" s="27">
        <f t="shared" ca="1" si="133"/>
        <v>13.482585622372689</v>
      </c>
      <c r="CD12" s="27">
        <f t="shared" ca="1" si="134"/>
        <v>7.243128105238509</v>
      </c>
      <c r="CE12" s="27">
        <f t="shared" ca="1" si="135"/>
        <v>1.2816993466714188</v>
      </c>
    </row>
    <row r="13" spans="1:83" x14ac:dyDescent="0.25">
      <c r="A13" t="str">
        <f>Plantilla!D14</f>
        <v>Enrique Cubas</v>
      </c>
      <c r="B13">
        <f>Plantilla!E14</f>
        <v>26</v>
      </c>
      <c r="C13" s="25">
        <f ca="1">Plantilla!F14</f>
        <v>19</v>
      </c>
      <c r="D13" s="42" t="str">
        <f>Plantilla!G14</f>
        <v>RAP</v>
      </c>
      <c r="E13" s="23">
        <f>Plantilla!M14</f>
        <v>43046</v>
      </c>
      <c r="F13" s="37">
        <f>Plantilla!Q14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Plantilla!N14</f>
        <v>1.5</v>
      </c>
      <c r="J13" s="29">
        <f>Plantilla!I14</f>
        <v>7.3</v>
      </c>
      <c r="K13" s="36">
        <f>Plantilla!X14</f>
        <v>0</v>
      </c>
      <c r="L13" s="36">
        <f>Plantilla!Y14</f>
        <v>11.5</v>
      </c>
      <c r="M13" s="36">
        <f>Plantilla!Z14</f>
        <v>5.7</v>
      </c>
      <c r="N13" s="36">
        <f>Plantilla!AA14</f>
        <v>14.666666666666666</v>
      </c>
      <c r="O13" s="36">
        <f>Plantilla!AB14</f>
        <v>9</v>
      </c>
      <c r="P13" s="36">
        <f>Plantilla!AC14</f>
        <v>7.5</v>
      </c>
      <c r="Q13" s="36">
        <f>Plantilla!AD14</f>
        <v>15</v>
      </c>
      <c r="R13" s="36">
        <f t="shared" si="70"/>
        <v>4.0625</v>
      </c>
      <c r="S13" s="36">
        <f t="shared" si="71"/>
        <v>0.82499999999999996</v>
      </c>
      <c r="T13" s="36">
        <f t="shared" si="72"/>
        <v>0.91000000000000014</v>
      </c>
      <c r="U13" s="36">
        <f t="shared" si="73"/>
        <v>16.341740521570625</v>
      </c>
      <c r="V13" s="36">
        <f t="shared" si="74"/>
        <v>17.638484714243742</v>
      </c>
      <c r="W13" s="27">
        <f t="shared" si="75"/>
        <v>5.4884078091802113</v>
      </c>
      <c r="X13" s="27">
        <f t="shared" si="76"/>
        <v>8.3100664165540117</v>
      </c>
      <c r="Y13" s="27">
        <f t="shared" si="77"/>
        <v>5.4884078091802113</v>
      </c>
      <c r="Z13" s="27">
        <f t="shared" si="78"/>
        <v>7.3019661277628733</v>
      </c>
      <c r="AA13" s="27">
        <f t="shared" si="79"/>
        <v>14.151097146827274</v>
      </c>
      <c r="AB13" s="27">
        <f t="shared" si="80"/>
        <v>3.6509830638814367</v>
      </c>
      <c r="AC13" s="27">
        <f t="shared" si="81"/>
        <v>1.9875611209448913</v>
      </c>
      <c r="AD13" s="27">
        <f t="shared" si="82"/>
        <v>5.34911472150071</v>
      </c>
      <c r="AE13" s="27">
        <f t="shared" si="83"/>
        <v>10.231243237156118</v>
      </c>
      <c r="AF13" s="27">
        <f t="shared" si="84"/>
        <v>2.674557360750355</v>
      </c>
      <c r="AG13" s="27">
        <f t="shared" si="85"/>
        <v>3.215172401528501</v>
      </c>
      <c r="AH13" s="27">
        <f t="shared" si="86"/>
        <v>13.019009375081092</v>
      </c>
      <c r="AI13" s="27">
        <f t="shared" si="87"/>
        <v>5.858554218786491</v>
      </c>
      <c r="AJ13" s="27">
        <f t="shared" si="88"/>
        <v>1.3946332235201551</v>
      </c>
      <c r="AK13" s="27">
        <f t="shared" si="89"/>
        <v>10.182845122334436</v>
      </c>
      <c r="AL13" s="27">
        <f t="shared" si="90"/>
        <v>10.669927248707765</v>
      </c>
      <c r="AM13" s="27">
        <f t="shared" si="91"/>
        <v>10.018976779953709</v>
      </c>
      <c r="AN13" s="27">
        <f t="shared" si="92"/>
        <v>2.9477332235201552</v>
      </c>
      <c r="AO13" s="27">
        <f t="shared" si="93"/>
        <v>1.933515978286255</v>
      </c>
      <c r="AP13" s="27">
        <f t="shared" si="94"/>
        <v>3.8207962296433644</v>
      </c>
      <c r="AQ13" s="27">
        <f t="shared" si="95"/>
        <v>8.4057517052154012</v>
      </c>
      <c r="AR13" s="27">
        <f t="shared" si="96"/>
        <v>1.9103981148216822</v>
      </c>
      <c r="AS13" s="27">
        <f t="shared" si="97"/>
        <v>7.8834357066049474</v>
      </c>
      <c r="AT13" s="27">
        <f t="shared" si="98"/>
        <v>1.5146426290875457</v>
      </c>
      <c r="AU13" s="27">
        <f t="shared" si="99"/>
        <v>3.154271464020391</v>
      </c>
      <c r="AV13" s="27">
        <f t="shared" si="100"/>
        <v>0.75732131454377283</v>
      </c>
      <c r="AW13" s="27">
        <f t="shared" si="101"/>
        <v>2.674557360750355</v>
      </c>
      <c r="AX13" s="27">
        <f t="shared" si="102"/>
        <v>5.6604388587309096</v>
      </c>
      <c r="AY13" s="27">
        <f t="shared" si="103"/>
        <v>1.3372786803751775</v>
      </c>
      <c r="AZ13" s="27">
        <f t="shared" si="104"/>
        <v>8.351097146827275</v>
      </c>
      <c r="BA13" s="27">
        <f t="shared" si="105"/>
        <v>2.9477275781473002</v>
      </c>
      <c r="BB13" s="27">
        <f t="shared" si="106"/>
        <v>6.1047545279018287</v>
      </c>
      <c r="BC13" s="27">
        <f t="shared" si="107"/>
        <v>1.4738637890736501</v>
      </c>
      <c r="BD13" s="27">
        <f t="shared" si="108"/>
        <v>4.1179692697267365</v>
      </c>
      <c r="BE13" s="27">
        <f t="shared" si="109"/>
        <v>4.9245818070958913</v>
      </c>
      <c r="BF13" s="27">
        <f t="shared" si="110"/>
        <v>7.3573165863548295</v>
      </c>
      <c r="BG13" s="27">
        <f t="shared" si="111"/>
        <v>13.610492030196113</v>
      </c>
      <c r="BH13" s="27">
        <f t="shared" si="112"/>
        <v>2.8079144123853728</v>
      </c>
      <c r="BI13" s="27">
        <f t="shared" si="113"/>
        <v>6.8632821162112281</v>
      </c>
      <c r="BJ13" s="27">
        <f t="shared" si="114"/>
        <v>3.7358896467624003</v>
      </c>
      <c r="BK13" s="27">
        <f t="shared" si="115"/>
        <v>3.1817680129411916</v>
      </c>
      <c r="BL13" s="27">
        <f t="shared" si="116"/>
        <v>13.996725572993705</v>
      </c>
      <c r="BM13" s="27">
        <f t="shared" si="117"/>
        <v>0.60585705163501824</v>
      </c>
      <c r="BN13" s="27">
        <f t="shared" si="118"/>
        <v>2.5471974864289093</v>
      </c>
      <c r="BO13" s="27">
        <f t="shared" si="119"/>
        <v>0.96227460598425474</v>
      </c>
      <c r="BP13" s="27">
        <f t="shared" si="120"/>
        <v>2.5470846297823186</v>
      </c>
      <c r="BQ13" s="27">
        <f t="shared" si="121"/>
        <v>20.64997759748654</v>
      </c>
      <c r="BR13" s="27">
        <f t="shared" si="122"/>
        <v>1.5728981148216821</v>
      </c>
      <c r="BS13" s="27">
        <f t="shared" si="123"/>
        <v>4.0189115896989458</v>
      </c>
      <c r="BT13" s="27">
        <f t="shared" si="124"/>
        <v>3.4528677038258548</v>
      </c>
      <c r="BU13" s="27">
        <f t="shared" si="125"/>
        <v>5.2695422996480108</v>
      </c>
      <c r="BV13" s="27">
        <f t="shared" si="126"/>
        <v>14.405731946410409</v>
      </c>
      <c r="BW13" s="27">
        <f t="shared" si="127"/>
        <v>1.7243623777304364</v>
      </c>
      <c r="BX13" s="27">
        <f t="shared" si="128"/>
        <v>3.3905454416118741</v>
      </c>
      <c r="BY13" s="27">
        <f t="shared" si="129"/>
        <v>6.6957216134970095</v>
      </c>
      <c r="BZ13" s="27">
        <f t="shared" si="130"/>
        <v>12.244635387327511</v>
      </c>
      <c r="CA13" s="27">
        <f t="shared" si="131"/>
        <v>6.6957216134970095</v>
      </c>
      <c r="CB13" s="27">
        <f t="shared" si="132"/>
        <v>8.1209668558067243</v>
      </c>
      <c r="CC13" s="27">
        <f t="shared" si="133"/>
        <v>14.450351994006539</v>
      </c>
      <c r="CD13" s="27">
        <f t="shared" si="134"/>
        <v>8.1209668558067243</v>
      </c>
      <c r="CE13" s="27">
        <f t="shared" si="135"/>
        <v>2.0877742867068187</v>
      </c>
    </row>
    <row r="14" spans="1:83" x14ac:dyDescent="0.25">
      <c r="A14" t="str">
        <f>Plantilla!D15</f>
        <v>J. G. Peñuela</v>
      </c>
      <c r="B14">
        <f>Plantilla!E15</f>
        <v>26</v>
      </c>
      <c r="C14" s="25">
        <f ca="1">Plantilla!F15</f>
        <v>19</v>
      </c>
      <c r="D14" s="42" t="str">
        <f>Plantilla!G15</f>
        <v>IMP</v>
      </c>
      <c r="E14" s="23">
        <f>Plantilla!M15</f>
        <v>43054</v>
      </c>
      <c r="F14" s="37">
        <f>Plantilla!Q15</f>
        <v>6</v>
      </c>
      <c r="G14" s="38">
        <f t="shared" si="68"/>
        <v>0.92582009977255142</v>
      </c>
      <c r="H14" s="38">
        <f t="shared" si="69"/>
        <v>0.99928545900129484</v>
      </c>
      <c r="I14" s="104">
        <f ca="1">Plantilla!N15</f>
        <v>1</v>
      </c>
      <c r="J14" s="29">
        <f>Plantilla!I15</f>
        <v>6.5</v>
      </c>
      <c r="K14" s="36">
        <f>Plantilla!X15</f>
        <v>0</v>
      </c>
      <c r="L14" s="36">
        <f>Plantilla!Y15</f>
        <v>11.8</v>
      </c>
      <c r="M14" s="36">
        <f>Plantilla!Z15</f>
        <v>5</v>
      </c>
      <c r="N14" s="36">
        <f>Plantilla!AA15</f>
        <v>14</v>
      </c>
      <c r="O14" s="36">
        <f>Plantilla!AB15</f>
        <v>8</v>
      </c>
      <c r="P14" s="36">
        <f>Plantilla!AC15</f>
        <v>8</v>
      </c>
      <c r="Q14" s="36">
        <f>Plantilla!AD15</f>
        <v>14</v>
      </c>
      <c r="R14" s="36">
        <f t="shared" si="70"/>
        <v>3.85</v>
      </c>
      <c r="S14" s="36">
        <f t="shared" si="71"/>
        <v>0.82</v>
      </c>
      <c r="T14" s="36">
        <f t="shared" si="72"/>
        <v>0.89200000000000013</v>
      </c>
      <c r="U14" s="36">
        <f t="shared" ca="1" si="73"/>
        <v>14.890783529859641</v>
      </c>
      <c r="V14" s="36">
        <f t="shared" ca="1" si="74"/>
        <v>16.072391880647608</v>
      </c>
      <c r="W14" s="27">
        <f t="shared" ca="1" si="75"/>
        <v>5.0760311471322845</v>
      </c>
      <c r="X14" s="27">
        <f t="shared" ca="1" si="76"/>
        <v>7.7052948579012357</v>
      </c>
      <c r="Y14" s="27">
        <f t="shared" ca="1" si="77"/>
        <v>5.0760311471322845</v>
      </c>
      <c r="Z14" s="27">
        <f t="shared" ca="1" si="78"/>
        <v>7.1640843893702852</v>
      </c>
      <c r="AA14" s="27">
        <f t="shared" ca="1" si="79"/>
        <v>13.883884475523809</v>
      </c>
      <c r="AB14" s="27">
        <f t="shared" ca="1" si="80"/>
        <v>3.5820421946851426</v>
      </c>
      <c r="AC14" s="27">
        <f t="shared" ca="1" si="81"/>
        <v>1.6859645051746661</v>
      </c>
      <c r="AD14" s="27">
        <f t="shared" ca="1" si="82"/>
        <v>5.248108331748</v>
      </c>
      <c r="AE14" s="27">
        <f t="shared" ca="1" si="83"/>
        <v>10.038048475803713</v>
      </c>
      <c r="AF14" s="27">
        <f t="shared" ca="1" si="84"/>
        <v>2.624054165874</v>
      </c>
      <c r="AG14" s="27">
        <f t="shared" ca="1" si="85"/>
        <v>2.7272955230766658</v>
      </c>
      <c r="AH14" s="27">
        <f t="shared" ca="1" si="86"/>
        <v>12.773173717481905</v>
      </c>
      <c r="AI14" s="27">
        <f t="shared" ca="1" si="87"/>
        <v>5.7479281728668568</v>
      </c>
      <c r="AJ14" s="27">
        <f t="shared" ca="1" si="88"/>
        <v>1.183008707412476</v>
      </c>
      <c r="AK14" s="27">
        <f t="shared" ca="1" si="89"/>
        <v>9.4573240716079976</v>
      </c>
      <c r="AL14" s="27">
        <f t="shared" ca="1" si="90"/>
        <v>10.468448894544952</v>
      </c>
      <c r="AM14" s="27">
        <f t="shared" ca="1" si="91"/>
        <v>9.8297902086708557</v>
      </c>
      <c r="AN14" s="27">
        <f t="shared" ca="1" si="92"/>
        <v>2.6860087074124759</v>
      </c>
      <c r="AO14" s="27">
        <f t="shared" ca="1" si="93"/>
        <v>1.7089587289508563</v>
      </c>
      <c r="AP14" s="27">
        <f t="shared" ca="1" si="94"/>
        <v>3.7486488083914287</v>
      </c>
      <c r="AQ14" s="27">
        <f t="shared" ca="1" si="95"/>
        <v>8.2470273784611425</v>
      </c>
      <c r="AR14" s="27">
        <f t="shared" ca="1" si="96"/>
        <v>1.8743244041957143</v>
      </c>
      <c r="AS14" s="27">
        <f t="shared" ca="1" si="97"/>
        <v>6.6871869448944734</v>
      </c>
      <c r="AT14" s="27">
        <f t="shared" ca="1" si="98"/>
        <v>1.3109049818180951</v>
      </c>
      <c r="AU14" s="27">
        <f t="shared" ca="1" si="99"/>
        <v>2.9545781513284757</v>
      </c>
      <c r="AV14" s="27">
        <f t="shared" ca="1" si="100"/>
        <v>0.65545249090904756</v>
      </c>
      <c r="AW14" s="27">
        <f t="shared" ca="1" si="101"/>
        <v>2.624054165874</v>
      </c>
      <c r="AX14" s="27">
        <f t="shared" ca="1" si="102"/>
        <v>5.5535537902095236</v>
      </c>
      <c r="AY14" s="27">
        <f t="shared" ca="1" si="103"/>
        <v>1.312027082937</v>
      </c>
      <c r="AZ14" s="27">
        <f t="shared" ca="1" si="104"/>
        <v>7.0838844755238073</v>
      </c>
      <c r="BA14" s="27">
        <f t="shared" ca="1" si="105"/>
        <v>2.5512227723075234</v>
      </c>
      <c r="BB14" s="27">
        <f t="shared" ca="1" si="106"/>
        <v>5.5562203460136184</v>
      </c>
      <c r="BC14" s="27">
        <f t="shared" ca="1" si="107"/>
        <v>1.2756113861537617</v>
      </c>
      <c r="BD14" s="27">
        <f t="shared" ca="1" si="108"/>
        <v>4.0402103823774285</v>
      </c>
      <c r="BE14" s="27">
        <f t="shared" ca="1" si="109"/>
        <v>4.8315917974822851</v>
      </c>
      <c r="BF14" s="27">
        <f t="shared" ca="1" si="110"/>
        <v>6.2409022229364739</v>
      </c>
      <c r="BG14" s="27">
        <f t="shared" ca="1" si="111"/>
        <v>12.408573298740663</v>
      </c>
      <c r="BH14" s="27">
        <f t="shared" ca="1" si="112"/>
        <v>2.4302161586012376</v>
      </c>
      <c r="BI14" s="27">
        <f t="shared" ca="1" si="113"/>
        <v>6.7336839706290474</v>
      </c>
      <c r="BJ14" s="27">
        <f t="shared" ca="1" si="114"/>
        <v>3.6653455015382859</v>
      </c>
      <c r="BK14" s="27">
        <f t="shared" ca="1" si="115"/>
        <v>2.6989599851745707</v>
      </c>
      <c r="BL14" s="27">
        <f t="shared" ca="1" si="116"/>
        <v>12.851315031607808</v>
      </c>
      <c r="BM14" s="27">
        <f t="shared" ca="1" si="117"/>
        <v>0.52436199272723805</v>
      </c>
      <c r="BN14" s="27">
        <f t="shared" ca="1" si="118"/>
        <v>2.4990992055942853</v>
      </c>
      <c r="BO14" s="27">
        <f t="shared" ca="1" si="119"/>
        <v>0.94410414433561907</v>
      </c>
      <c r="BP14" s="27">
        <f t="shared" ca="1" si="120"/>
        <v>2.1605847650347614</v>
      </c>
      <c r="BQ14" s="27">
        <f t="shared" ca="1" si="121"/>
        <v>18.967875435523617</v>
      </c>
      <c r="BR14" s="27">
        <f t="shared" ca="1" si="122"/>
        <v>1.3613244041957142</v>
      </c>
      <c r="BS14" s="27">
        <f t="shared" ca="1" si="123"/>
        <v>3.9430231910487614</v>
      </c>
      <c r="BT14" s="27">
        <f t="shared" ca="1" si="124"/>
        <v>3.3876678120278094</v>
      </c>
      <c r="BU14" s="27">
        <f t="shared" ca="1" si="125"/>
        <v>4.4699311040555223</v>
      </c>
      <c r="BV14" s="27">
        <f t="shared" ca="1" si="126"/>
        <v>13.237076605593806</v>
      </c>
      <c r="BW14" s="27">
        <f t="shared" ca="1" si="127"/>
        <v>1.4924149023775235</v>
      </c>
      <c r="BX14" s="27">
        <f t="shared" ca="1" si="128"/>
        <v>2.8760570970626658</v>
      </c>
      <c r="BY14" s="27">
        <f t="shared" ca="1" si="129"/>
        <v>6.1177038117479041</v>
      </c>
      <c r="BZ14" s="27">
        <f t="shared" ca="1" si="130"/>
        <v>11.354453919439809</v>
      </c>
      <c r="CA14" s="27">
        <f t="shared" ca="1" si="131"/>
        <v>6.1177038117479041</v>
      </c>
      <c r="CB14" s="27">
        <f t="shared" ca="1" si="132"/>
        <v>7.6082600282513324</v>
      </c>
      <c r="CC14" s="27">
        <f t="shared" ca="1" si="133"/>
        <v>13.804837846992093</v>
      </c>
      <c r="CD14" s="27">
        <f t="shared" ca="1" si="134"/>
        <v>7.6082600282513324</v>
      </c>
      <c r="CE14" s="27">
        <f t="shared" ca="1" si="135"/>
        <v>1.7709711188809518</v>
      </c>
    </row>
    <row r="15" spans="1:83" x14ac:dyDescent="0.25">
      <c r="A15" t="str">
        <f>Plantilla!D16</f>
        <v>Julian Gräbitz</v>
      </c>
      <c r="B15">
        <f>Plantilla!E16</f>
        <v>25</v>
      </c>
      <c r="C15" s="25">
        <f ca="1">Plantilla!F16</f>
        <v>105</v>
      </c>
      <c r="D15" s="42" t="str">
        <f>Plantilla!G16</f>
        <v>RAP</v>
      </c>
      <c r="E15" s="23">
        <f>Plantilla!M16</f>
        <v>43744</v>
      </c>
      <c r="F15" s="37">
        <f>Plantilla!Q16</f>
        <v>6</v>
      </c>
      <c r="G15" s="38">
        <f t="shared" si="68"/>
        <v>0.92582009977255142</v>
      </c>
      <c r="H15" s="38">
        <f t="shared" si="69"/>
        <v>0.99928545900129484</v>
      </c>
      <c r="I15" s="104">
        <f ca="1">Plantilla!N16</f>
        <v>0.97506255066494929</v>
      </c>
      <c r="J15" s="29">
        <f>Plantilla!I16</f>
        <v>4.5</v>
      </c>
      <c r="K15" s="36">
        <f>Plantilla!X16</f>
        <v>0</v>
      </c>
      <c r="L15" s="36">
        <f>Plantilla!Y16</f>
        <v>12.590909090909092</v>
      </c>
      <c r="M15" s="36">
        <f>Plantilla!Z16</f>
        <v>9</v>
      </c>
      <c r="N15" s="36">
        <f>Plantilla!AA16</f>
        <v>4</v>
      </c>
      <c r="O15" s="36">
        <f>Plantilla!AB16</f>
        <v>8.6666666666666661</v>
      </c>
      <c r="P15" s="36">
        <f>Plantilla!AC16</f>
        <v>4</v>
      </c>
      <c r="Q15" s="36">
        <f>Plantilla!AD16</f>
        <v>20</v>
      </c>
      <c r="R15" s="36">
        <f t="shared" si="70"/>
        <v>4.1155303030303028</v>
      </c>
      <c r="S15" s="36">
        <f t="shared" si="71"/>
        <v>0.8</v>
      </c>
      <c r="T15" s="36">
        <f t="shared" si="72"/>
        <v>1.1036363636363637</v>
      </c>
      <c r="U15" s="36">
        <f t="shared" ca="1" si="73"/>
        <v>20.225477536293685</v>
      </c>
      <c r="V15" s="36">
        <f t="shared" ca="1" si="74"/>
        <v>21.830402697393271</v>
      </c>
      <c r="W15" s="27">
        <f t="shared" ca="1" si="75"/>
        <v>5.086659881855911</v>
      </c>
      <c r="X15" s="27">
        <f t="shared" ca="1" si="76"/>
        <v>7.7343385902567716</v>
      </c>
      <c r="Y15" s="27">
        <f t="shared" ca="1" si="77"/>
        <v>5.086659881855911</v>
      </c>
      <c r="Z15" s="27">
        <f t="shared" ca="1" si="78"/>
        <v>7.4494515765296425</v>
      </c>
      <c r="AA15" s="27">
        <f t="shared" ca="1" si="79"/>
        <v>14.436921659941166</v>
      </c>
      <c r="AB15" s="27">
        <f t="shared" ca="1" si="80"/>
        <v>3.7247257882648213</v>
      </c>
      <c r="AC15" s="27">
        <f t="shared" ca="1" si="81"/>
        <v>2.5813509914296335</v>
      </c>
      <c r="AD15" s="27">
        <f t="shared" ca="1" si="82"/>
        <v>5.4571563874577613</v>
      </c>
      <c r="AE15" s="27">
        <f t="shared" ca="1" si="83"/>
        <v>10.437894360137463</v>
      </c>
      <c r="AF15" s="27">
        <f t="shared" ca="1" si="84"/>
        <v>2.7285781937288807</v>
      </c>
      <c r="AG15" s="27">
        <f t="shared" ca="1" si="85"/>
        <v>4.1757148390773491</v>
      </c>
      <c r="AH15" s="27">
        <f t="shared" ca="1" si="86"/>
        <v>13.281967927145875</v>
      </c>
      <c r="AI15" s="27">
        <f t="shared" ca="1" si="87"/>
        <v>5.9768855672156427</v>
      </c>
      <c r="AJ15" s="27">
        <f t="shared" ca="1" si="88"/>
        <v>1.8112840990283565</v>
      </c>
      <c r="AK15" s="27">
        <f t="shared" ca="1" si="89"/>
        <v>3.4374553905908596</v>
      </c>
      <c r="AL15" s="27">
        <f t="shared" ca="1" si="90"/>
        <v>10.88543893159564</v>
      </c>
      <c r="AM15" s="27">
        <f t="shared" ca="1" si="91"/>
        <v>10.221340535238346</v>
      </c>
      <c r="AN15" s="27">
        <f t="shared" ca="1" si="92"/>
        <v>3.6482840990283565</v>
      </c>
      <c r="AO15" s="27">
        <f t="shared" ca="1" si="93"/>
        <v>1.7169243471539646</v>
      </c>
      <c r="AP15" s="27">
        <f t="shared" ca="1" si="94"/>
        <v>3.897968848184115</v>
      </c>
      <c r="AQ15" s="27">
        <f t="shared" ca="1" si="95"/>
        <v>8.575531466005053</v>
      </c>
      <c r="AR15" s="27">
        <f t="shared" ca="1" si="96"/>
        <v>1.9489844240920575</v>
      </c>
      <c r="AS15" s="27">
        <f t="shared" ca="1" si="97"/>
        <v>10.238635865166279</v>
      </c>
      <c r="AT15" s="27">
        <f t="shared" ca="1" si="98"/>
        <v>1.3666483006408363</v>
      </c>
      <c r="AU15" s="27">
        <f t="shared" ca="1" si="99"/>
        <v>2.272881682726398</v>
      </c>
      <c r="AV15" s="27">
        <f t="shared" ca="1" si="100"/>
        <v>0.68332415032041816</v>
      </c>
      <c r="AW15" s="27">
        <f t="shared" ca="1" si="101"/>
        <v>2.7285781937288807</v>
      </c>
      <c r="AX15" s="27">
        <f t="shared" ca="1" si="102"/>
        <v>5.7747686639764666</v>
      </c>
      <c r="AY15" s="27">
        <f t="shared" ca="1" si="103"/>
        <v>1.3642890968644403</v>
      </c>
      <c r="AZ15" s="27">
        <f t="shared" ca="1" si="104"/>
        <v>10.846012569032075</v>
      </c>
      <c r="BA15" s="27">
        <f t="shared" ca="1" si="105"/>
        <v>2.6597078466317816</v>
      </c>
      <c r="BB15" s="27">
        <f t="shared" ca="1" si="106"/>
        <v>4.8124862588700061</v>
      </c>
      <c r="BC15" s="27">
        <f t="shared" ca="1" si="107"/>
        <v>1.3298539233158908</v>
      </c>
      <c r="BD15" s="27">
        <f t="shared" ca="1" si="108"/>
        <v>4.2011442030428796</v>
      </c>
      <c r="BE15" s="27">
        <f t="shared" ca="1" si="109"/>
        <v>5.024048737659526</v>
      </c>
      <c r="BF15" s="27">
        <f t="shared" ca="1" si="110"/>
        <v>9.5553370733172578</v>
      </c>
      <c r="BG15" s="27">
        <f t="shared" ca="1" si="111"/>
        <v>6.6671051738695137</v>
      </c>
      <c r="BH15" s="27">
        <f t="shared" ca="1" si="112"/>
        <v>2.5335556958033965</v>
      </c>
      <c r="BI15" s="27">
        <f t="shared" ca="1" si="113"/>
        <v>7.0019070050714651</v>
      </c>
      <c r="BJ15" s="27">
        <f t="shared" ca="1" si="114"/>
        <v>3.8113473182244682</v>
      </c>
      <c r="BK15" s="27">
        <f t="shared" ca="1" si="115"/>
        <v>4.1323307888012204</v>
      </c>
      <c r="BL15" s="27">
        <f t="shared" ca="1" si="116"/>
        <v>6.0474149853340329</v>
      </c>
      <c r="BM15" s="27">
        <f t="shared" ca="1" si="117"/>
        <v>0.54665932025633446</v>
      </c>
      <c r="BN15" s="27">
        <f t="shared" ca="1" si="118"/>
        <v>2.5986458987894099</v>
      </c>
      <c r="BO15" s="27">
        <f t="shared" ca="1" si="119"/>
        <v>0.98171067287599945</v>
      </c>
      <c r="BP15" s="27">
        <f t="shared" ca="1" si="120"/>
        <v>3.3080338335547825</v>
      </c>
      <c r="BQ15" s="27">
        <f t="shared" ca="1" si="121"/>
        <v>8.852638830441915</v>
      </c>
      <c r="BR15" s="27">
        <f t="shared" ca="1" si="122"/>
        <v>1.41921169681933</v>
      </c>
      <c r="BS15" s="27">
        <f t="shared" ca="1" si="123"/>
        <v>4.1000857514232907</v>
      </c>
      <c r="BT15" s="27">
        <f t="shared" ca="1" si="124"/>
        <v>3.5226088850256447</v>
      </c>
      <c r="BU15" s="27">
        <f t="shared" ca="1" si="125"/>
        <v>6.8438339310592395</v>
      </c>
      <c r="BV15" s="27">
        <f t="shared" ca="1" si="126"/>
        <v>6.1328479159503733</v>
      </c>
      <c r="BW15" s="27">
        <f t="shared" ca="1" si="127"/>
        <v>1.5558765268834136</v>
      </c>
      <c r="BX15" s="27">
        <f t="shared" ca="1" si="128"/>
        <v>4.4034811030270227</v>
      </c>
      <c r="BY15" s="27">
        <f t="shared" ca="1" si="129"/>
        <v>4.2124392151323775</v>
      </c>
      <c r="BZ15" s="27">
        <f t="shared" ca="1" si="130"/>
        <v>9.1166101527301162</v>
      </c>
      <c r="CA15" s="27">
        <f t="shared" ca="1" si="131"/>
        <v>4.2124392151323775</v>
      </c>
      <c r="CB15" s="27">
        <f t="shared" ca="1" si="132"/>
        <v>4.3047324971736494</v>
      </c>
      <c r="CC15" s="27">
        <f t="shared" ca="1" si="133"/>
        <v>9.7251912070049098</v>
      </c>
      <c r="CD15" s="27">
        <f t="shared" ca="1" si="134"/>
        <v>4.3047324971736494</v>
      </c>
      <c r="CE15" s="27">
        <f t="shared" ca="1" si="135"/>
        <v>2.7115031422580187</v>
      </c>
    </row>
    <row r="16" spans="1:83" x14ac:dyDescent="0.25">
      <c r="A16" t="str">
        <f>Plantilla!D17</f>
        <v>Ryan Clarke</v>
      </c>
      <c r="B16">
        <f>Plantilla!E17</f>
        <v>30</v>
      </c>
      <c r="C16" s="25">
        <f ca="1">Plantilla!F17</f>
        <v>71</v>
      </c>
      <c r="D16" s="42" t="str">
        <f>Plantilla!G17</f>
        <v>CAB</v>
      </c>
      <c r="E16" s="23">
        <f>Plantilla!M17</f>
        <v>43415</v>
      </c>
      <c r="F16" s="37">
        <f>Plantilla!Q17</f>
        <v>7</v>
      </c>
      <c r="G16" s="38">
        <f t="shared" si="68"/>
        <v>1</v>
      </c>
      <c r="H16" s="38">
        <f t="shared" si="69"/>
        <v>1</v>
      </c>
      <c r="I16" s="104">
        <f ca="1">Plantilla!N17</f>
        <v>1</v>
      </c>
      <c r="J16" s="29">
        <f>Plantilla!I17</f>
        <v>7.5</v>
      </c>
      <c r="K16" s="36">
        <f>Plantilla!X17</f>
        <v>0</v>
      </c>
      <c r="L16" s="36">
        <f>Plantilla!Y17</f>
        <v>11</v>
      </c>
      <c r="M16" s="36">
        <f>Plantilla!Z17</f>
        <v>10</v>
      </c>
      <c r="N16" s="36">
        <f>Plantilla!AA17</f>
        <v>5</v>
      </c>
      <c r="O16" s="36">
        <f>Plantilla!AB17</f>
        <v>13</v>
      </c>
      <c r="P16" s="36">
        <f>Plantilla!AC17</f>
        <v>5</v>
      </c>
      <c r="Q16" s="36">
        <f>Plantilla!AD17</f>
        <v>15</v>
      </c>
      <c r="R16" s="36">
        <f t="shared" si="70"/>
        <v>5</v>
      </c>
      <c r="S16" s="36">
        <f t="shared" si="71"/>
        <v>0.7</v>
      </c>
      <c r="T16" s="36">
        <f t="shared" si="72"/>
        <v>0.89</v>
      </c>
      <c r="U16" s="36">
        <f t="shared" ca="1" si="73"/>
        <v>17.166748351188932</v>
      </c>
      <c r="V16" s="36">
        <f t="shared" ca="1" si="74"/>
        <v>17.166748351188932</v>
      </c>
      <c r="W16" s="27">
        <f t="shared" ca="1" si="75"/>
        <v>4.9275713105879388</v>
      </c>
      <c r="X16" s="27">
        <f t="shared" ca="1" si="76"/>
        <v>7.472272121384913</v>
      </c>
      <c r="Y16" s="27">
        <f t="shared" ca="1" si="77"/>
        <v>4.9275713105879388</v>
      </c>
      <c r="Z16" s="27">
        <f t="shared" ca="1" si="78"/>
        <v>6.7940421492134906</v>
      </c>
      <c r="AA16" s="27">
        <f t="shared" ca="1" si="79"/>
        <v>13.166748351188934</v>
      </c>
      <c r="AB16" s="27">
        <f t="shared" ca="1" si="80"/>
        <v>3.3970210746067453</v>
      </c>
      <c r="AC16" s="27">
        <f t="shared" ca="1" si="81"/>
        <v>2.8956861075829661</v>
      </c>
      <c r="AD16" s="27">
        <f t="shared" ca="1" si="82"/>
        <v>4.9770308767494171</v>
      </c>
      <c r="AE16" s="27">
        <f t="shared" ca="1" si="83"/>
        <v>9.5195590579095999</v>
      </c>
      <c r="AF16" s="27">
        <f t="shared" ca="1" si="84"/>
        <v>2.4885154383747086</v>
      </c>
      <c r="AG16" s="27">
        <f t="shared" ca="1" si="85"/>
        <v>4.6841981152077397</v>
      </c>
      <c r="AH16" s="27">
        <f t="shared" ca="1" si="86"/>
        <v>12.113408483093821</v>
      </c>
      <c r="AI16" s="27">
        <f t="shared" ca="1" si="87"/>
        <v>5.4510338173922186</v>
      </c>
      <c r="AJ16" s="27">
        <f t="shared" ca="1" si="88"/>
        <v>2.0318469746485519</v>
      </c>
      <c r="AK16" s="27">
        <f t="shared" ca="1" si="89"/>
        <v>4.2140480304990922</v>
      </c>
      <c r="AL16" s="27">
        <f t="shared" ca="1" si="90"/>
        <v>9.9277282567964562</v>
      </c>
      <c r="AM16" s="27">
        <f t="shared" ca="1" si="91"/>
        <v>9.3220578326417645</v>
      </c>
      <c r="AN16" s="27">
        <f t="shared" ca="1" si="92"/>
        <v>2.8668469746485519</v>
      </c>
      <c r="AO16" s="27">
        <f t="shared" ca="1" si="93"/>
        <v>2.0640235251424124</v>
      </c>
      <c r="AP16" s="27">
        <f t="shared" ca="1" si="94"/>
        <v>3.5550220548210123</v>
      </c>
      <c r="AQ16" s="27">
        <f t="shared" ca="1" si="95"/>
        <v>7.8210485206062268</v>
      </c>
      <c r="AR16" s="27">
        <f t="shared" ca="1" si="96"/>
        <v>1.7775110274105062</v>
      </c>
      <c r="AS16" s="27">
        <f t="shared" ca="1" si="97"/>
        <v>11.485410443522353</v>
      </c>
      <c r="AT16" s="27">
        <f t="shared" ca="1" si="98"/>
        <v>1.9716772856545615</v>
      </c>
      <c r="AU16" s="27">
        <f t="shared" ca="1" si="99"/>
        <v>3.0598572668983577</v>
      </c>
      <c r="AV16" s="27">
        <f t="shared" ca="1" si="100"/>
        <v>0.98583864282728073</v>
      </c>
      <c r="AW16" s="27">
        <f t="shared" ca="1" si="101"/>
        <v>2.4885154383747086</v>
      </c>
      <c r="AX16" s="27">
        <f t="shared" ca="1" si="102"/>
        <v>5.266699340475574</v>
      </c>
      <c r="AY16" s="27">
        <f t="shared" ca="1" si="103"/>
        <v>1.2442577191873543</v>
      </c>
      <c r="AZ16" s="27">
        <f t="shared" ca="1" si="104"/>
        <v>12.166748351188934</v>
      </c>
      <c r="BA16" s="27">
        <f t="shared" ca="1" si="105"/>
        <v>3.8371873328508004</v>
      </c>
      <c r="BB16" s="27">
        <f t="shared" ca="1" si="106"/>
        <v>6.6768783415051027</v>
      </c>
      <c r="BC16" s="27">
        <f t="shared" ca="1" si="107"/>
        <v>1.9185936664254002</v>
      </c>
      <c r="BD16" s="27">
        <f t="shared" ca="1" si="108"/>
        <v>3.8315237701959797</v>
      </c>
      <c r="BE16" s="27">
        <f t="shared" ca="1" si="109"/>
        <v>4.582028426213749</v>
      </c>
      <c r="BF16" s="27">
        <f t="shared" ca="1" si="110"/>
        <v>10.71890529739745</v>
      </c>
      <c r="BG16" s="27">
        <f t="shared" ca="1" si="111"/>
        <v>8.8912392842069607</v>
      </c>
      <c r="BH16" s="27">
        <f t="shared" ca="1" si="112"/>
        <v>3.6551863526365329</v>
      </c>
      <c r="BI16" s="27">
        <f t="shared" ca="1" si="113"/>
        <v>6.3858729503266325</v>
      </c>
      <c r="BJ16" s="27">
        <f t="shared" ca="1" si="114"/>
        <v>3.4760215647138786</v>
      </c>
      <c r="BK16" s="27">
        <f t="shared" ca="1" si="115"/>
        <v>4.635531121802984</v>
      </c>
      <c r="BL16" s="27">
        <f t="shared" ca="1" si="116"/>
        <v>7.8717380589391279</v>
      </c>
      <c r="BM16" s="27">
        <f t="shared" ca="1" si="117"/>
        <v>0.78867091426182456</v>
      </c>
      <c r="BN16" s="27">
        <f t="shared" ca="1" si="118"/>
        <v>2.3700147032140082</v>
      </c>
      <c r="BO16" s="27">
        <f t="shared" ca="1" si="119"/>
        <v>0.89533888788084759</v>
      </c>
      <c r="BP16" s="27">
        <f t="shared" ca="1" si="120"/>
        <v>3.710858247112625</v>
      </c>
      <c r="BQ16" s="27">
        <f t="shared" ca="1" si="121"/>
        <v>11.504438379628969</v>
      </c>
      <c r="BR16" s="27">
        <f t="shared" ca="1" si="122"/>
        <v>2.0475110274105064</v>
      </c>
      <c r="BS16" s="27">
        <f t="shared" ca="1" si="123"/>
        <v>3.7393565317376569</v>
      </c>
      <c r="BT16" s="27">
        <f t="shared" ca="1" si="124"/>
        <v>3.2126865976900998</v>
      </c>
      <c r="BU16" s="27">
        <f t="shared" ca="1" si="125"/>
        <v>7.6772182096002171</v>
      </c>
      <c r="BV16" s="27">
        <f t="shared" ca="1" si="126"/>
        <v>7.9582397743140945</v>
      </c>
      <c r="BW16" s="27">
        <f t="shared" ca="1" si="127"/>
        <v>2.2446787559759622</v>
      </c>
      <c r="BX16" s="27">
        <f t="shared" ca="1" si="128"/>
        <v>4.9396998305827076</v>
      </c>
      <c r="BY16" s="27">
        <f t="shared" ca="1" si="129"/>
        <v>5.7338758909694345</v>
      </c>
      <c r="BZ16" s="27">
        <f t="shared" ca="1" si="130"/>
        <v>12.41375864343874</v>
      </c>
      <c r="CA16" s="27">
        <f t="shared" ca="1" si="131"/>
        <v>5.7338758909694345</v>
      </c>
      <c r="CB16" s="27">
        <f t="shared" ca="1" si="132"/>
        <v>5.6008842227907056</v>
      </c>
      <c r="CC16" s="27">
        <f t="shared" ca="1" si="133"/>
        <v>12.763278492777649</v>
      </c>
      <c r="CD16" s="27">
        <f t="shared" ca="1" si="134"/>
        <v>5.6008842227907056</v>
      </c>
      <c r="CE16" s="27">
        <f t="shared" ca="1" si="135"/>
        <v>3.0416870877972335</v>
      </c>
    </row>
    <row r="17" spans="1:83" x14ac:dyDescent="0.25">
      <c r="A17" t="str">
        <f>Plantilla!D18</f>
        <v>Renato Galeano</v>
      </c>
      <c r="B17">
        <f>Plantilla!E18</f>
        <v>28</v>
      </c>
      <c r="C17" s="25">
        <f ca="1">Plantilla!F18</f>
        <v>110</v>
      </c>
      <c r="D17" s="42" t="str">
        <f>Plantilla!G18</f>
        <v>RAP</v>
      </c>
      <c r="E17" s="23">
        <f>Plantilla!M18</f>
        <v>43687</v>
      </c>
      <c r="F17" s="37">
        <f>Plantilla!Q18</f>
        <v>6</v>
      </c>
      <c r="G17" s="38">
        <f t="shared" si="68"/>
        <v>0.92582009977255142</v>
      </c>
      <c r="H17" s="38">
        <f t="shared" si="69"/>
        <v>0.99928545900129484</v>
      </c>
      <c r="I17" s="104">
        <f ca="1">Plantilla!N18</f>
        <v>1</v>
      </c>
      <c r="J17" s="29">
        <f>Plantilla!I18</f>
        <v>7</v>
      </c>
      <c r="K17" s="36">
        <f>Plantilla!X18</f>
        <v>0</v>
      </c>
      <c r="L17" s="36">
        <f>Plantilla!Y18</f>
        <v>2</v>
      </c>
      <c r="M17" s="36">
        <f>Plantilla!Z18</f>
        <v>5</v>
      </c>
      <c r="N17" s="36">
        <f>Plantilla!AA18</f>
        <v>8</v>
      </c>
      <c r="O17" s="36">
        <f>Plantilla!AB18</f>
        <v>7</v>
      </c>
      <c r="P17" s="36">
        <f>Plantilla!AC18</f>
        <v>13</v>
      </c>
      <c r="Q17" s="36">
        <f>Plantilla!AD18</f>
        <v>12</v>
      </c>
      <c r="R17" s="36">
        <f t="shared" si="70"/>
        <v>2.375</v>
      </c>
      <c r="S17" s="36">
        <f t="shared" si="71"/>
        <v>1.01</v>
      </c>
      <c r="T17" s="36">
        <f t="shared" si="72"/>
        <v>0.43999999999999995</v>
      </c>
      <c r="U17" s="36">
        <f t="shared" ca="1" si="73"/>
        <v>13.07887296600795</v>
      </c>
      <c r="V17" s="36">
        <f t="shared" ca="1" si="74"/>
        <v>14.116703210772487</v>
      </c>
      <c r="W17" s="27">
        <f t="shared" ca="1" si="75"/>
        <v>2.4086941185765949</v>
      </c>
      <c r="X17" s="27">
        <f t="shared" ca="1" si="76"/>
        <v>3.5956954262112069</v>
      </c>
      <c r="Y17" s="27">
        <f t="shared" ca="1" si="77"/>
        <v>2.4086941185765949</v>
      </c>
      <c r="Z17" s="27">
        <f t="shared" ca="1" si="78"/>
        <v>2.1294274515298084</v>
      </c>
      <c r="AA17" s="27">
        <f t="shared" ca="1" si="79"/>
        <v>4.1267973866856753</v>
      </c>
      <c r="AB17" s="27">
        <f t="shared" ca="1" si="80"/>
        <v>1.0647137257649042</v>
      </c>
      <c r="AC17" s="27">
        <f t="shared" ca="1" si="81"/>
        <v>1.6961777780311906</v>
      </c>
      <c r="AD17" s="27">
        <f t="shared" ca="1" si="82"/>
        <v>1.5599294121671852</v>
      </c>
      <c r="AE17" s="27">
        <f t="shared" ca="1" si="83"/>
        <v>2.983674510573743</v>
      </c>
      <c r="AF17" s="27">
        <f t="shared" ca="1" si="84"/>
        <v>0.77996470608359258</v>
      </c>
      <c r="AG17" s="27">
        <f t="shared" ca="1" si="85"/>
        <v>2.7438169938739851</v>
      </c>
      <c r="AH17" s="27">
        <f t="shared" ca="1" si="86"/>
        <v>3.7966535957508216</v>
      </c>
      <c r="AI17" s="27">
        <f t="shared" ca="1" si="87"/>
        <v>1.7084941180878694</v>
      </c>
      <c r="AJ17" s="27">
        <f t="shared" ca="1" si="88"/>
        <v>1.1901751635765079</v>
      </c>
      <c r="AK17" s="27">
        <f t="shared" ca="1" si="89"/>
        <v>5.9545568633711765</v>
      </c>
      <c r="AL17" s="27">
        <f t="shared" ca="1" si="90"/>
        <v>3.1116052295609991</v>
      </c>
      <c r="AM17" s="27">
        <f t="shared" ca="1" si="91"/>
        <v>2.9217725497734581</v>
      </c>
      <c r="AN17" s="27">
        <f t="shared" ca="1" si="92"/>
        <v>2.3591751635765079</v>
      </c>
      <c r="AO17" s="27">
        <f t="shared" ca="1" si="93"/>
        <v>1.2965176473654745</v>
      </c>
      <c r="AP17" s="27">
        <f t="shared" ca="1" si="94"/>
        <v>1.1142352944051324</v>
      </c>
      <c r="AQ17" s="27">
        <f t="shared" ca="1" si="95"/>
        <v>2.4513176476912912</v>
      </c>
      <c r="AR17" s="27">
        <f t="shared" ca="1" si="96"/>
        <v>0.55711764720256618</v>
      </c>
      <c r="AS17" s="27">
        <f t="shared" ca="1" si="97"/>
        <v>6.7276967330312774</v>
      </c>
      <c r="AT17" s="27">
        <f t="shared" ca="1" si="98"/>
        <v>1.1864836602691378</v>
      </c>
      <c r="AU17" s="27">
        <f t="shared" ca="1" si="99"/>
        <v>3.7121516342989027</v>
      </c>
      <c r="AV17" s="27">
        <f t="shared" ca="1" si="100"/>
        <v>0.59324183013456888</v>
      </c>
      <c r="AW17" s="27">
        <f t="shared" ca="1" si="101"/>
        <v>0.77996470608359258</v>
      </c>
      <c r="AX17" s="27">
        <f t="shared" ca="1" si="102"/>
        <v>1.6507189546742702</v>
      </c>
      <c r="AY17" s="27">
        <f t="shared" ca="1" si="103"/>
        <v>0.38998235304179629</v>
      </c>
      <c r="AZ17" s="27">
        <f t="shared" ca="1" si="104"/>
        <v>7.1267973866856753</v>
      </c>
      <c r="BA17" s="27">
        <f t="shared" ca="1" si="105"/>
        <v>2.3090797388314757</v>
      </c>
      <c r="BB17" s="27">
        <f t="shared" ca="1" si="106"/>
        <v>6.2888653600638076</v>
      </c>
      <c r="BC17" s="27">
        <f t="shared" ca="1" si="107"/>
        <v>1.1545398694157378</v>
      </c>
      <c r="BD17" s="27">
        <f t="shared" ca="1" si="108"/>
        <v>1.2008980395255315</v>
      </c>
      <c r="BE17" s="27">
        <f t="shared" ca="1" si="109"/>
        <v>1.436125490566615</v>
      </c>
      <c r="BF17" s="27">
        <f t="shared" ca="1" si="110"/>
        <v>6.2787084976700802</v>
      </c>
      <c r="BG17" s="27">
        <f t="shared" ca="1" si="111"/>
        <v>8.6877228767635657</v>
      </c>
      <c r="BH17" s="27">
        <f t="shared" ca="1" si="112"/>
        <v>2.1995581701912479</v>
      </c>
      <c r="BI17" s="27">
        <f t="shared" ca="1" si="113"/>
        <v>2.0014967325425523</v>
      </c>
      <c r="BJ17" s="27">
        <f t="shared" ca="1" si="114"/>
        <v>1.0894745100850183</v>
      </c>
      <c r="BK17" s="27">
        <f t="shared" ca="1" si="115"/>
        <v>2.7153098043272421</v>
      </c>
      <c r="BL17" s="27">
        <f t="shared" ca="1" si="116"/>
        <v>8.6498209159632804</v>
      </c>
      <c r="BM17" s="27">
        <f t="shared" ca="1" si="117"/>
        <v>0.47459346410765507</v>
      </c>
      <c r="BN17" s="27">
        <f t="shared" ca="1" si="118"/>
        <v>0.74282352960342157</v>
      </c>
      <c r="BO17" s="27">
        <f t="shared" ca="1" si="119"/>
        <v>0.28062222229462597</v>
      </c>
      <c r="BP17" s="27">
        <f t="shared" ca="1" si="120"/>
        <v>2.1736732029391308</v>
      </c>
      <c r="BQ17" s="27">
        <f t="shared" ca="1" si="121"/>
        <v>12.737061439277777</v>
      </c>
      <c r="BR17" s="27">
        <f t="shared" ca="1" si="122"/>
        <v>1.2321176472025663</v>
      </c>
      <c r="BS17" s="27">
        <f t="shared" ca="1" si="123"/>
        <v>1.1720104578187316</v>
      </c>
      <c r="BT17" s="27">
        <f t="shared" ca="1" si="124"/>
        <v>1.0069385623513047</v>
      </c>
      <c r="BU17" s="27">
        <f t="shared" ca="1" si="125"/>
        <v>4.4970091509986609</v>
      </c>
      <c r="BV17" s="27">
        <f t="shared" ca="1" si="126"/>
        <v>8.8704836610836786</v>
      </c>
      <c r="BW17" s="27">
        <f t="shared" ca="1" si="127"/>
        <v>1.3507660132294799</v>
      </c>
      <c r="BX17" s="27">
        <f t="shared" ca="1" si="128"/>
        <v>2.8934797389943845</v>
      </c>
      <c r="BY17" s="27">
        <f t="shared" ca="1" si="129"/>
        <v>5.6610614384632374</v>
      </c>
      <c r="BZ17" s="27">
        <f t="shared" ca="1" si="130"/>
        <v>13.77477385740807</v>
      </c>
      <c r="CA17" s="27">
        <f t="shared" ca="1" si="131"/>
        <v>5.6610614384632374</v>
      </c>
      <c r="CB17" s="27">
        <f t="shared" ca="1" si="132"/>
        <v>7.4669947719051759</v>
      </c>
      <c r="CC17" s="27">
        <f t="shared" ca="1" si="133"/>
        <v>18.494585622372689</v>
      </c>
      <c r="CD17" s="27">
        <f t="shared" ca="1" si="134"/>
        <v>7.4669947719051759</v>
      </c>
      <c r="CE17" s="27">
        <f t="shared" ca="1" si="135"/>
        <v>1.7816993466714188</v>
      </c>
    </row>
    <row r="18" spans="1:83" x14ac:dyDescent="0.25">
      <c r="A18" t="str">
        <f>Plantilla!D19</f>
        <v>Tommaso Niscola</v>
      </c>
      <c r="B18">
        <f>Plantilla!E19</f>
        <v>31</v>
      </c>
      <c r="C18" s="25">
        <f ca="1">Plantilla!F19</f>
        <v>106</v>
      </c>
      <c r="D18" s="42" t="str">
        <f>Plantilla!G19</f>
        <v>IMP</v>
      </c>
      <c r="E18" s="23">
        <f>Plantilla!M19</f>
        <v>43761</v>
      </c>
      <c r="F18" s="37">
        <f>Plantilla!Q19</f>
        <v>6</v>
      </c>
      <c r="G18" s="38">
        <f t="shared" si="68"/>
        <v>0.92582009977255142</v>
      </c>
      <c r="H18" s="38">
        <f t="shared" si="69"/>
        <v>0.99928545900129484</v>
      </c>
      <c r="I18" s="104">
        <f ca="1">Plantilla!N19</f>
        <v>0.94189951965602514</v>
      </c>
      <c r="J18" s="29">
        <f>Plantilla!I19</f>
        <v>8.4</v>
      </c>
      <c r="K18" s="36">
        <f>Plantilla!X19</f>
        <v>0</v>
      </c>
      <c r="L18" s="36">
        <f>Plantilla!Y19</f>
        <v>3</v>
      </c>
      <c r="M18" s="36">
        <f>Plantilla!Z19</f>
        <v>9</v>
      </c>
      <c r="N18" s="36">
        <f>Plantilla!AA19</f>
        <v>3</v>
      </c>
      <c r="O18" s="36">
        <f>Plantilla!AB19</f>
        <v>13</v>
      </c>
      <c r="P18" s="36">
        <f>Plantilla!AC19</f>
        <v>11.95</v>
      </c>
      <c r="Q18" s="36">
        <f>Plantilla!AD19</f>
        <v>20</v>
      </c>
      <c r="R18" s="36">
        <f t="shared" si="70"/>
        <v>4</v>
      </c>
      <c r="S18" s="36">
        <f t="shared" si="71"/>
        <v>1.1975</v>
      </c>
      <c r="T18" s="36">
        <f t="shared" si="72"/>
        <v>0.72</v>
      </c>
      <c r="U18" s="36">
        <f t="shared" ca="1" si="73"/>
        <v>20.529386623834039</v>
      </c>
      <c r="V18" s="36">
        <f t="shared" ca="1" si="74"/>
        <v>22.158427474682117</v>
      </c>
      <c r="W18" s="27">
        <f t="shared" ca="1" si="75"/>
        <v>2.7261393696357406</v>
      </c>
      <c r="X18" s="27">
        <f t="shared" ca="1" si="76"/>
        <v>4.0819850242837807</v>
      </c>
      <c r="Y18" s="27">
        <f t="shared" ca="1" si="77"/>
        <v>2.7261393696357406</v>
      </c>
      <c r="Z18" s="27">
        <f t="shared" ca="1" si="78"/>
        <v>2.6699243009530833</v>
      </c>
      <c r="AA18" s="27">
        <f t="shared" ca="1" si="79"/>
        <v>5.174271901071867</v>
      </c>
      <c r="AB18" s="27">
        <f t="shared" ca="1" si="80"/>
        <v>1.3349621504765417</v>
      </c>
      <c r="AC18" s="27">
        <f t="shared" ca="1" si="81"/>
        <v>2.6594767124551044</v>
      </c>
      <c r="AD18" s="27">
        <f t="shared" ca="1" si="82"/>
        <v>1.9558747786051658</v>
      </c>
      <c r="AE18" s="27">
        <f t="shared" ca="1" si="83"/>
        <v>3.7409985844749598</v>
      </c>
      <c r="AF18" s="27">
        <f t="shared" ca="1" si="84"/>
        <v>0.97793738930258289</v>
      </c>
      <c r="AG18" s="27">
        <f t="shared" ca="1" si="85"/>
        <v>4.3020946819126697</v>
      </c>
      <c r="AH18" s="27">
        <f t="shared" ca="1" si="86"/>
        <v>4.7603301489861174</v>
      </c>
      <c r="AI18" s="27">
        <f t="shared" ca="1" si="87"/>
        <v>2.142148567043753</v>
      </c>
      <c r="AJ18" s="27">
        <f t="shared" ca="1" si="88"/>
        <v>1.8661034074790022</v>
      </c>
      <c r="AK18" s="27">
        <f t="shared" ca="1" si="89"/>
        <v>3.0424718778302577</v>
      </c>
      <c r="AL18" s="27">
        <f t="shared" ca="1" si="90"/>
        <v>3.9014010134081878</v>
      </c>
      <c r="AM18" s="27">
        <f t="shared" ca="1" si="91"/>
        <v>3.6633845059588817</v>
      </c>
      <c r="AN18" s="27">
        <f t="shared" ca="1" si="92"/>
        <v>3.7031034074790021</v>
      </c>
      <c r="AO18" s="27">
        <f t="shared" ca="1" si="93"/>
        <v>1.7781903075086976</v>
      </c>
      <c r="AP18" s="27">
        <f t="shared" ca="1" si="94"/>
        <v>1.3970534132894041</v>
      </c>
      <c r="AQ18" s="27">
        <f t="shared" ca="1" si="95"/>
        <v>3.0735175092366886</v>
      </c>
      <c r="AR18" s="27">
        <f t="shared" ca="1" si="96"/>
        <v>0.69852670664470207</v>
      </c>
      <c r="AS18" s="27">
        <f t="shared" ca="1" si="97"/>
        <v>10.548512674611844</v>
      </c>
      <c r="AT18" s="27">
        <f t="shared" ca="1" si="98"/>
        <v>1.9726553471393431</v>
      </c>
      <c r="AU18" s="27">
        <f t="shared" ca="1" si="99"/>
        <v>4.2644116670140573</v>
      </c>
      <c r="AV18" s="27">
        <f t="shared" ca="1" si="100"/>
        <v>0.98632767356967155</v>
      </c>
      <c r="AW18" s="27">
        <f t="shared" ca="1" si="101"/>
        <v>0.97793738930258289</v>
      </c>
      <c r="AX18" s="27">
        <f t="shared" ca="1" si="102"/>
        <v>2.069708760428747</v>
      </c>
      <c r="AY18" s="27">
        <f t="shared" ca="1" si="103"/>
        <v>0.48896869465129145</v>
      </c>
      <c r="AZ18" s="27">
        <f t="shared" ca="1" si="104"/>
        <v>11.174271901071869</v>
      </c>
      <c r="BA18" s="27">
        <f t="shared" ca="1" si="105"/>
        <v>3.8390907909711829</v>
      </c>
      <c r="BB18" s="27">
        <f t="shared" ca="1" si="106"/>
        <v>8.1405238174905996</v>
      </c>
      <c r="BC18" s="27">
        <f t="shared" ca="1" si="107"/>
        <v>1.9195453954855914</v>
      </c>
      <c r="BD18" s="27">
        <f t="shared" ca="1" si="108"/>
        <v>1.5057131232119132</v>
      </c>
      <c r="BE18" s="27">
        <f t="shared" ca="1" si="109"/>
        <v>1.8006466215730095</v>
      </c>
      <c r="BF18" s="27">
        <f t="shared" ca="1" si="110"/>
        <v>9.8445335448443156</v>
      </c>
      <c r="BG18" s="27">
        <f t="shared" ca="1" si="111"/>
        <v>7.7499277200528898</v>
      </c>
      <c r="BH18" s="27">
        <f t="shared" ca="1" si="112"/>
        <v>3.6569995281583201</v>
      </c>
      <c r="BI18" s="27">
        <f t="shared" ca="1" si="113"/>
        <v>2.5095218720198553</v>
      </c>
      <c r="BJ18" s="27">
        <f t="shared" ca="1" si="114"/>
        <v>1.366007781882973</v>
      </c>
      <c r="BK18" s="27">
        <f t="shared" ca="1" si="115"/>
        <v>4.2573975943083822</v>
      </c>
      <c r="BL18" s="27">
        <f t="shared" ca="1" si="116"/>
        <v>6.5323136415368124</v>
      </c>
      <c r="BM18" s="27">
        <f t="shared" ca="1" si="117"/>
        <v>0.78906213885573717</v>
      </c>
      <c r="BN18" s="27">
        <f t="shared" ca="1" si="118"/>
        <v>0.93136894219293598</v>
      </c>
      <c r="BO18" s="27">
        <f t="shared" ca="1" si="119"/>
        <v>0.35185048927288698</v>
      </c>
      <c r="BP18" s="27">
        <f t="shared" ca="1" si="120"/>
        <v>3.4081529298269198</v>
      </c>
      <c r="BQ18" s="27">
        <f t="shared" ca="1" si="121"/>
        <v>9.5141136647784208</v>
      </c>
      <c r="BR18" s="27">
        <f t="shared" ca="1" si="122"/>
        <v>2.0485267066447026</v>
      </c>
      <c r="BS18" s="27">
        <f t="shared" ca="1" si="123"/>
        <v>1.4694932199044102</v>
      </c>
      <c r="BT18" s="27">
        <f t="shared" ca="1" si="124"/>
        <v>1.2625223438615356</v>
      </c>
      <c r="BU18" s="27">
        <f t="shared" ca="1" si="125"/>
        <v>7.0509655695763493</v>
      </c>
      <c r="BV18" s="27">
        <f t="shared" ca="1" si="126"/>
        <v>6.5609733514593209</v>
      </c>
      <c r="BW18" s="27">
        <f t="shared" ca="1" si="127"/>
        <v>2.2457922413586364</v>
      </c>
      <c r="BX18" s="27">
        <f t="shared" ca="1" si="128"/>
        <v>4.5367543918351787</v>
      </c>
      <c r="BY18" s="27">
        <f t="shared" ca="1" si="129"/>
        <v>6.3324456604584434</v>
      </c>
      <c r="BZ18" s="27">
        <f t="shared" ca="1" si="130"/>
        <v>16.474080160606924</v>
      </c>
      <c r="CA18" s="27">
        <f t="shared" ca="1" si="131"/>
        <v>6.3324456604584434</v>
      </c>
      <c r="CB18" s="27">
        <f t="shared" ca="1" si="132"/>
        <v>6.9705713943677736</v>
      </c>
      <c r="CC18" s="27">
        <f t="shared" ca="1" si="133"/>
        <v>19.723578232567387</v>
      </c>
      <c r="CD18" s="27">
        <f t="shared" ca="1" si="134"/>
        <v>6.9705713943677736</v>
      </c>
      <c r="CE18" s="27">
        <f t="shared" ca="1" si="135"/>
        <v>2.7935679752679672</v>
      </c>
    </row>
    <row r="19" spans="1:83" x14ac:dyDescent="0.25">
      <c r="A19" t="str">
        <f>Plantilla!D20</f>
        <v>Rodolfo Rinaldo Paso</v>
      </c>
      <c r="B19">
        <f>Plantilla!E20</f>
        <v>26</v>
      </c>
      <c r="C19" s="25">
        <f ca="1">Plantilla!F20</f>
        <v>42</v>
      </c>
      <c r="D19" s="42" t="str">
        <f>Plantilla!G20</f>
        <v>RAP</v>
      </c>
      <c r="E19" s="23">
        <f>Plantilla!M20</f>
        <v>43590</v>
      </c>
      <c r="F19" s="37">
        <f>Plantilla!Q20</f>
        <v>5</v>
      </c>
      <c r="G19" s="38">
        <f t="shared" si="68"/>
        <v>0.84515425472851657</v>
      </c>
      <c r="H19" s="38">
        <f t="shared" si="69"/>
        <v>0.92504826128926143</v>
      </c>
      <c r="I19" s="104">
        <f ca="1">Plantilla!N20</f>
        <v>1</v>
      </c>
      <c r="J19" s="29">
        <f>Plantilla!I20</f>
        <v>4.5999999999999996</v>
      </c>
      <c r="K19" s="36">
        <f>Plantilla!X20</f>
        <v>0</v>
      </c>
      <c r="L19" s="36">
        <f>Plantilla!Y20</f>
        <v>3</v>
      </c>
      <c r="M19" s="36">
        <f>Plantilla!Z20</f>
        <v>7</v>
      </c>
      <c r="N19" s="36">
        <f>Plantilla!AA20</f>
        <v>10</v>
      </c>
      <c r="O19" s="36">
        <f>Plantilla!AB20</f>
        <v>12.222222222222221</v>
      </c>
      <c r="P19" s="36">
        <f>Plantilla!AC20</f>
        <v>14</v>
      </c>
      <c r="Q19" s="36">
        <f>Plantilla!AD20</f>
        <v>11</v>
      </c>
      <c r="R19" s="36">
        <f t="shared" si="70"/>
        <v>3.8055555555555554</v>
      </c>
      <c r="S19" s="36">
        <f t="shared" si="71"/>
        <v>1.03</v>
      </c>
      <c r="T19" s="36">
        <f t="shared" si="72"/>
        <v>0.45</v>
      </c>
      <c r="U19" s="36">
        <f t="shared" ca="1" si="73"/>
        <v>10.888694525142636</v>
      </c>
      <c r="V19" s="36">
        <f t="shared" ca="1" si="74"/>
        <v>11.918023108608311</v>
      </c>
      <c r="W19" s="27">
        <f t="shared" ca="1" si="75"/>
        <v>2.4724501160773524</v>
      </c>
      <c r="X19" s="27">
        <f t="shared" ca="1" si="76"/>
        <v>3.7068271476012162</v>
      </c>
      <c r="Y19" s="27">
        <f t="shared" ca="1" si="77"/>
        <v>2.4724501160773524</v>
      </c>
      <c r="Z19" s="27">
        <f t="shared" ca="1" si="78"/>
        <v>2.519977388196923</v>
      </c>
      <c r="AA19" s="27">
        <f t="shared" ca="1" si="79"/>
        <v>4.8836771089087652</v>
      </c>
      <c r="AB19" s="27">
        <f t="shared" ca="1" si="80"/>
        <v>1.2599886940984615</v>
      </c>
      <c r="AC19" s="27">
        <f t="shared" ca="1" si="81"/>
        <v>2.1143151519202861</v>
      </c>
      <c r="AD19" s="27">
        <f t="shared" ca="1" si="82"/>
        <v>1.8460299471675132</v>
      </c>
      <c r="AE19" s="27">
        <f t="shared" ca="1" si="83"/>
        <v>3.5308985497410372</v>
      </c>
      <c r="AF19" s="27">
        <f t="shared" ca="1" si="84"/>
        <v>0.92301497358375661</v>
      </c>
      <c r="AG19" s="27">
        <f t="shared" ca="1" si="85"/>
        <v>3.4202156869298745</v>
      </c>
      <c r="AH19" s="27">
        <f t="shared" ca="1" si="86"/>
        <v>4.4929829401960646</v>
      </c>
      <c r="AI19" s="27">
        <f t="shared" ca="1" si="87"/>
        <v>2.0218423230882285</v>
      </c>
      <c r="AJ19" s="27">
        <f t="shared" ca="1" si="88"/>
        <v>1.4835740771877639</v>
      </c>
      <c r="AK19" s="27">
        <f t="shared" ca="1" si="89"/>
        <v>6.9876021400383532</v>
      </c>
      <c r="AL19" s="27">
        <f t="shared" ca="1" si="90"/>
        <v>3.6822925401172091</v>
      </c>
      <c r="AM19" s="27">
        <f t="shared" ca="1" si="91"/>
        <v>3.4576433931074058</v>
      </c>
      <c r="AN19" s="27">
        <f t="shared" ca="1" si="92"/>
        <v>2.1515740771877638</v>
      </c>
      <c r="AO19" s="27">
        <f t="shared" ca="1" si="93"/>
        <v>1.6384990073657242</v>
      </c>
      <c r="AP19" s="27">
        <f t="shared" ca="1" si="94"/>
        <v>1.3185928194053667</v>
      </c>
      <c r="AQ19" s="27">
        <f t="shared" ca="1" si="95"/>
        <v>2.9009042026918062</v>
      </c>
      <c r="AR19" s="27">
        <f t="shared" ca="1" si="96"/>
        <v>0.65929640970268333</v>
      </c>
      <c r="AS19" s="27">
        <f t="shared" ca="1" si="97"/>
        <v>8.3861911908098747</v>
      </c>
      <c r="AT19" s="27">
        <f t="shared" ca="1" si="98"/>
        <v>1.8337669130470282</v>
      </c>
      <c r="AU19" s="27">
        <f t="shared" ca="1" si="99"/>
        <v>4.4405840595769348</v>
      </c>
      <c r="AV19" s="27">
        <f t="shared" ca="1" si="100"/>
        <v>0.91688345652351411</v>
      </c>
      <c r="AW19" s="27">
        <f t="shared" ca="1" si="101"/>
        <v>0.92301497358375661</v>
      </c>
      <c r="AX19" s="27">
        <f t="shared" ca="1" si="102"/>
        <v>1.9534708435635062</v>
      </c>
      <c r="AY19" s="27">
        <f t="shared" ca="1" si="103"/>
        <v>0.46150748679187831</v>
      </c>
      <c r="AZ19" s="27">
        <f t="shared" ca="1" si="104"/>
        <v>8.8836771089087652</v>
      </c>
      <c r="BA19" s="27">
        <f t="shared" ca="1" si="105"/>
        <v>3.5687925307761397</v>
      </c>
      <c r="BB19" s="27">
        <f t="shared" ca="1" si="106"/>
        <v>8.1456838647865073</v>
      </c>
      <c r="BC19" s="27">
        <f t="shared" ca="1" si="107"/>
        <v>1.7843962653880698</v>
      </c>
      <c r="BD19" s="27">
        <f t="shared" ca="1" si="108"/>
        <v>1.4211500386924505</v>
      </c>
      <c r="BE19" s="27">
        <f t="shared" ca="1" si="109"/>
        <v>1.6995196339002501</v>
      </c>
      <c r="BF19" s="27">
        <f t="shared" ca="1" si="110"/>
        <v>7.8265195329486223</v>
      </c>
      <c r="BG19" s="27">
        <f t="shared" ca="1" si="111"/>
        <v>11.264588949819892</v>
      </c>
      <c r="BH19" s="27">
        <f t="shared" ca="1" si="112"/>
        <v>3.3995217388025676</v>
      </c>
      <c r="BI19" s="27">
        <f t="shared" ca="1" si="113"/>
        <v>2.3685833978207511</v>
      </c>
      <c r="BJ19" s="27">
        <f t="shared" ca="1" si="114"/>
        <v>1.2892907567519141</v>
      </c>
      <c r="BK19" s="27">
        <f t="shared" ca="1" si="115"/>
        <v>3.3846809784942398</v>
      </c>
      <c r="BL19" s="27">
        <f t="shared" ca="1" si="116"/>
        <v>10.833000459852929</v>
      </c>
      <c r="BM19" s="27">
        <f t="shared" ca="1" si="117"/>
        <v>0.73350676521881131</v>
      </c>
      <c r="BN19" s="27">
        <f t="shared" ca="1" si="118"/>
        <v>0.87906187960357773</v>
      </c>
      <c r="BO19" s="27">
        <f t="shared" ca="1" si="119"/>
        <v>0.33209004340579606</v>
      </c>
      <c r="BP19" s="27">
        <f t="shared" ca="1" si="120"/>
        <v>2.7095215182171732</v>
      </c>
      <c r="BQ19" s="27">
        <f t="shared" ca="1" si="121"/>
        <v>15.917964317612228</v>
      </c>
      <c r="BR19" s="27">
        <f t="shared" ca="1" si="122"/>
        <v>1.9042964097026833</v>
      </c>
      <c r="BS19" s="27">
        <f t="shared" ca="1" si="123"/>
        <v>1.3869642989300892</v>
      </c>
      <c r="BT19" s="27">
        <f t="shared" ca="1" si="124"/>
        <v>1.1916172145737387</v>
      </c>
      <c r="BU19" s="27">
        <f t="shared" ca="1" si="125"/>
        <v>5.6056002557214306</v>
      </c>
      <c r="BV19" s="27">
        <f t="shared" ca="1" si="126"/>
        <v>11.064779901362234</v>
      </c>
      <c r="BW19" s="27">
        <f t="shared" ca="1" si="127"/>
        <v>2.0876731010073861</v>
      </c>
      <c r="BX19" s="27">
        <f t="shared" ca="1" si="128"/>
        <v>3.6067729062169591</v>
      </c>
      <c r="BY19" s="27">
        <f t="shared" ca="1" si="129"/>
        <v>7.2549513292970218</v>
      </c>
      <c r="BZ19" s="27">
        <f t="shared" ca="1" si="130"/>
        <v>16.919687091297934</v>
      </c>
      <c r="CA19" s="27">
        <f t="shared" ca="1" si="131"/>
        <v>7.2549513292970218</v>
      </c>
      <c r="CB19" s="27">
        <f t="shared" ca="1" si="132"/>
        <v>8.7590863944057169</v>
      </c>
      <c r="CC19" s="27">
        <f t="shared" ca="1" si="133"/>
        <v>21.088753962096099</v>
      </c>
      <c r="CD19" s="27">
        <f t="shared" ca="1" si="134"/>
        <v>8.7590863944057169</v>
      </c>
      <c r="CE19" s="27">
        <f t="shared" ca="1" si="135"/>
        <v>2.2209192772271913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861</v>
      </c>
      <c r="B21" s="47" t="s">
        <v>621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862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863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864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865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866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9" priority="1" operator="greaterThan">
      <formula>7</formula>
    </cfRule>
  </conditionalFormatting>
  <conditionalFormatting sqref="W3:AI19 AK3:AM19 AO3:BD19 BF3:CE19">
    <cfRule type="cellIs" dxfId="8" priority="2" operator="greaterThan">
      <formula>12.5</formula>
    </cfRule>
  </conditionalFormatting>
  <conditionalFormatting sqref="S3:T19">
    <cfRule type="cellIs" dxfId="7" priority="3" operator="greaterThan">
      <formula>0.6</formula>
    </cfRule>
  </conditionalFormatting>
  <conditionalFormatting sqref="R3:R19">
    <cfRule type="cellIs" dxfId="6" priority="4" operator="greaterThan">
      <formula>3.2</formula>
    </cfRule>
  </conditionalFormatting>
  <conditionalFormatting sqref="U3:V19">
    <cfRule type="cellIs" dxfId="5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867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187</v>
      </c>
      <c r="C3" s="13" t="s">
        <v>850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868</v>
      </c>
      <c r="O3" s="108" t="s">
        <v>869</v>
      </c>
      <c r="P3" s="108" t="s">
        <v>870</v>
      </c>
      <c r="Q3" s="108" t="s">
        <v>845</v>
      </c>
      <c r="R3" s="108" t="s">
        <v>871</v>
      </c>
      <c r="S3" s="107" t="s">
        <v>849</v>
      </c>
      <c r="T3" s="112" t="s">
        <v>872</v>
      </c>
      <c r="U3" s="64" t="s">
        <v>585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26</v>
      </c>
      <c r="D4" s="111">
        <f ca="1">Plantilla!F4</f>
        <v>30</v>
      </c>
      <c r="E4" s="36">
        <f>Plantilla!X4</f>
        <v>15</v>
      </c>
      <c r="F4" s="36">
        <f>Plantilla!Y4</f>
        <v>12.363636363636363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15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26</v>
      </c>
      <c r="D5" s="111">
        <f ca="1">Plantilla!F5</f>
        <v>55</v>
      </c>
      <c r="E5" s="36">
        <f>Plantilla!X5</f>
        <v>6</v>
      </c>
      <c r="F5" s="36">
        <f>Plantilla!Y5</f>
        <v>5.4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Plantilla!A6</f>
        <v>#2</v>
      </c>
      <c r="B6" s="109" t="str">
        <f>Plantilla!D6</f>
        <v>Miguel Fernández</v>
      </c>
      <c r="C6" s="18">
        <f>Plantilla!E6</f>
        <v>26</v>
      </c>
      <c r="D6" s="111">
        <f ca="1">Plantilla!F6</f>
        <v>27</v>
      </c>
      <c r="E6" s="36">
        <f>Plantilla!X6</f>
        <v>0</v>
      </c>
      <c r="F6" s="36">
        <f>Plantilla!Y6</f>
        <v>15.488194444444444</v>
      </c>
      <c r="G6" s="36">
        <f>Plantilla!Z6</f>
        <v>5</v>
      </c>
      <c r="H6" s="36">
        <f>Plantilla!AA6</f>
        <v>6.5</v>
      </c>
      <c r="I6" s="36">
        <f>Plantilla!AB6</f>
        <v>8.8000000000000007</v>
      </c>
      <c r="J6" s="36">
        <f>Plantilla!AC6</f>
        <v>2</v>
      </c>
      <c r="K6" s="36">
        <f>Plantilla!AD6</f>
        <v>13.5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Plantilla!A7</f>
        <v>#13</v>
      </c>
      <c r="B7" s="109" t="str">
        <f>Plantilla!D7</f>
        <v>Iván Real Figueroa</v>
      </c>
      <c r="C7" s="18">
        <f>Plantilla!E7</f>
        <v>26</v>
      </c>
      <c r="D7" s="111">
        <f ca="1">Plantilla!F7</f>
        <v>8</v>
      </c>
      <c r="E7" s="36">
        <f>Plantilla!X7</f>
        <v>0</v>
      </c>
      <c r="F7" s="36">
        <f>Plantilla!Y7</f>
        <v>15.518750000000001</v>
      </c>
      <c r="G7" s="36">
        <f>Plantilla!Z7</f>
        <v>5</v>
      </c>
      <c r="H7" s="36">
        <f>Plantilla!AA7</f>
        <v>7.75</v>
      </c>
      <c r="I7" s="36">
        <f>Plantilla!AB7</f>
        <v>8.3333333333333339</v>
      </c>
      <c r="J7" s="36">
        <f>Plantilla!AC7</f>
        <v>1</v>
      </c>
      <c r="K7" s="36">
        <f>Plantilla!AD7</f>
        <v>13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Plantilla!A8</f>
        <v>#4</v>
      </c>
      <c r="B8" s="109" t="str">
        <f>Plantilla!D8</f>
        <v>Berto Abandero</v>
      </c>
      <c r="C8" s="18">
        <f>Plantilla!E8</f>
        <v>26</v>
      </c>
      <c r="D8" s="111">
        <f ca="1">Plantilla!F8</f>
        <v>58</v>
      </c>
      <c r="E8" s="36">
        <f>Plantilla!X8</f>
        <v>0</v>
      </c>
      <c r="F8" s="36">
        <f>Plantilla!Y8</f>
        <v>14.125</v>
      </c>
      <c r="G8" s="36">
        <f>Plantilla!Z8</f>
        <v>3</v>
      </c>
      <c r="H8" s="36">
        <f>Plantilla!AA8</f>
        <v>8</v>
      </c>
      <c r="I8" s="36">
        <f>Plantilla!AB8</f>
        <v>11.428571428571429</v>
      </c>
      <c r="J8" s="36">
        <f>Plantilla!AC8</f>
        <v>4</v>
      </c>
      <c r="K8" s="36">
        <f>Plantilla!AD8</f>
        <v>14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Plantilla!A9</f>
        <v>#14</v>
      </c>
      <c r="B9" s="109" t="str">
        <f>Plantilla!D9</f>
        <v>Guillermo Pedrajas</v>
      </c>
      <c r="C9" s="18">
        <f>Plantilla!E9</f>
        <v>26</v>
      </c>
      <c r="D9" s="111">
        <f ca="1">Plantilla!F9</f>
        <v>43</v>
      </c>
      <c r="E9" s="36">
        <f>Plantilla!X9</f>
        <v>0</v>
      </c>
      <c r="F9" s="36">
        <f>Plantilla!Y9</f>
        <v>12.381818181818183</v>
      </c>
      <c r="G9" s="36">
        <f>Plantilla!Z9</f>
        <v>11</v>
      </c>
      <c r="H9" s="36">
        <f>Plantilla!AA9</f>
        <v>4</v>
      </c>
      <c r="I9" s="36">
        <f>Plantilla!AB9</f>
        <v>11</v>
      </c>
      <c r="J9" s="36">
        <f>Plantilla!AC9</f>
        <v>4</v>
      </c>
      <c r="K9" s="36">
        <f>Plantilla!AD9</f>
        <v>13.5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Plantilla!A10</f>
        <v>#7</v>
      </c>
      <c r="B10" s="109" t="str">
        <f>Plantilla!D10</f>
        <v>Venanci Oset</v>
      </c>
      <c r="C10" s="18">
        <f>Plantilla!E10</f>
        <v>26</v>
      </c>
      <c r="D10" s="111">
        <f ca="1">Plantilla!F10</f>
        <v>86</v>
      </c>
      <c r="E10" s="36">
        <f>Plantilla!X10</f>
        <v>0</v>
      </c>
      <c r="F10" s="36">
        <f>Plantilla!Y10</f>
        <v>14.1875</v>
      </c>
      <c r="G10" s="36">
        <f>Plantilla!Z10</f>
        <v>5</v>
      </c>
      <c r="H10" s="36">
        <f>Plantilla!AA10</f>
        <v>2</v>
      </c>
      <c r="I10" s="36">
        <f>Plantilla!AB10</f>
        <v>12</v>
      </c>
      <c r="J10" s="36">
        <f>Plantilla!AC10</f>
        <v>6</v>
      </c>
      <c r="K10" s="36">
        <f>Plantilla!AD10</f>
        <v>12.5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Plantilla!A11</f>
        <v>#9</v>
      </c>
      <c r="B11" s="109" t="str">
        <f>Plantilla!D11</f>
        <v>Francesc Añigas</v>
      </c>
      <c r="C11" s="18">
        <f>Plantilla!E11</f>
        <v>26</v>
      </c>
      <c r="D11" s="111">
        <f ca="1">Plantilla!F11</f>
        <v>23</v>
      </c>
      <c r="E11" s="36">
        <f>Plantilla!X11</f>
        <v>0</v>
      </c>
      <c r="F11" s="36">
        <f>Plantilla!Y11</f>
        <v>13.583333333333334</v>
      </c>
      <c r="G11" s="36">
        <f>Plantilla!Z11</f>
        <v>4</v>
      </c>
      <c r="H11" s="36">
        <f>Plantilla!AA11</f>
        <v>13.066666666666666</v>
      </c>
      <c r="I11" s="36">
        <f>Plantilla!AB11</f>
        <v>7.75</v>
      </c>
      <c r="J11" s="36">
        <f>Plantilla!AC11</f>
        <v>7</v>
      </c>
      <c r="K11" s="36">
        <f>Plantilla!AD11</f>
        <v>14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Plantilla!A12</f>
        <v>#3</v>
      </c>
      <c r="B12" s="109" t="str">
        <f>Plantilla!D12</f>
        <v>Will Duffill</v>
      </c>
      <c r="C12" s="18">
        <f>Plantilla!E12</f>
        <v>25</v>
      </c>
      <c r="D12" s="111">
        <f ca="1">Plantilla!F12</f>
        <v>96</v>
      </c>
      <c r="E12" s="36">
        <f>Plantilla!X12</f>
        <v>0</v>
      </c>
      <c r="F12" s="36">
        <f>Plantilla!Y12</f>
        <v>13</v>
      </c>
      <c r="G12" s="36">
        <f>Plantilla!Z12</f>
        <v>3</v>
      </c>
      <c r="H12" s="36">
        <f>Plantilla!AA12</f>
        <v>13.666666666666666</v>
      </c>
      <c r="I12" s="36">
        <f>Plantilla!AB12</f>
        <v>9.6666666666666661</v>
      </c>
      <c r="J12" s="36">
        <f>Plantilla!AC12</f>
        <v>7</v>
      </c>
      <c r="K12" s="36">
        <f>Plantilla!AD12</f>
        <v>14.5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Plantilla!A13</f>
        <v>#5</v>
      </c>
      <c r="B13" s="109" t="str">
        <f>Plantilla!D13</f>
        <v>Valeri Gomis</v>
      </c>
      <c r="C13" s="18">
        <f>Plantilla!E13</f>
        <v>26</v>
      </c>
      <c r="D13" s="111">
        <f ca="1">Plantilla!F13</f>
        <v>23</v>
      </c>
      <c r="E13" s="36">
        <f>Plantilla!X13</f>
        <v>0</v>
      </c>
      <c r="F13" s="36">
        <f>Plantilla!Y13</f>
        <v>12.454545454545455</v>
      </c>
      <c r="G13" s="36">
        <f>Plantilla!Z13</f>
        <v>3</v>
      </c>
      <c r="H13" s="36">
        <f>Plantilla!AA13</f>
        <v>12.466666666666667</v>
      </c>
      <c r="I13" s="36">
        <f>Plantilla!AB13</f>
        <v>9</v>
      </c>
      <c r="J13" s="36">
        <f>Plantilla!AC13</f>
        <v>7.25</v>
      </c>
      <c r="K13" s="36">
        <f>Plantilla!AD13</f>
        <v>14.5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Plantilla!A14</f>
        <v>#8</v>
      </c>
      <c r="B14" s="109" t="str">
        <f>Plantilla!D14</f>
        <v>Enrique Cubas</v>
      </c>
      <c r="C14" s="18">
        <f>Plantilla!E14</f>
        <v>26</v>
      </c>
      <c r="D14" s="111">
        <f ca="1">Plantilla!F14</f>
        <v>19</v>
      </c>
      <c r="E14" s="36">
        <f>Plantilla!X14</f>
        <v>0</v>
      </c>
      <c r="F14" s="36">
        <f>Plantilla!Y14</f>
        <v>11.5</v>
      </c>
      <c r="G14" s="36">
        <f>Plantilla!Z14</f>
        <v>5.7</v>
      </c>
      <c r="H14" s="36">
        <f>Plantilla!AA14</f>
        <v>14.666666666666666</v>
      </c>
      <c r="I14" s="36">
        <f>Plantilla!AB14</f>
        <v>9</v>
      </c>
      <c r="J14" s="36">
        <f>Plantilla!AC14</f>
        <v>7.5</v>
      </c>
      <c r="K14" s="36">
        <f>Plantilla!AD14</f>
        <v>15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Plantilla!A15</f>
        <v>#11</v>
      </c>
      <c r="B15" s="109" t="str">
        <f>Plantilla!D15</f>
        <v>J. G. Peñuela</v>
      </c>
      <c r="C15" s="18">
        <f>Plantilla!E15</f>
        <v>26</v>
      </c>
      <c r="D15" s="111">
        <f ca="1">Plantilla!F15</f>
        <v>19</v>
      </c>
      <c r="E15" s="36">
        <f>Plantilla!X15</f>
        <v>0</v>
      </c>
      <c r="F15" s="36">
        <f>Plantilla!Y15</f>
        <v>11.8</v>
      </c>
      <c r="G15" s="36">
        <f>Plantilla!Z15</f>
        <v>5</v>
      </c>
      <c r="H15" s="36">
        <f>Plantilla!AA15</f>
        <v>14</v>
      </c>
      <c r="I15" s="36">
        <f>Plantilla!AB15</f>
        <v>8</v>
      </c>
      <c r="J15" s="36">
        <f>Plantilla!AC15</f>
        <v>8</v>
      </c>
      <c r="K15" s="36">
        <f>Plantilla!AD15</f>
        <v>14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Plantilla!A17</f>
        <v>#16</v>
      </c>
      <c r="B17" s="109" t="str">
        <f>Plantilla!D17</f>
        <v>Ryan Clarke</v>
      </c>
      <c r="C17" s="18">
        <f>Plantilla!E17</f>
        <v>30</v>
      </c>
      <c r="D17" s="111">
        <f ca="1">Plantilla!F17</f>
        <v>71</v>
      </c>
      <c r="E17" s="36">
        <f>Plantilla!X17</f>
        <v>0</v>
      </c>
      <c r="F17" s="36">
        <f>Plantilla!Y17</f>
        <v>11</v>
      </c>
      <c r="G17" s="36">
        <f>Plantilla!Z17</f>
        <v>10</v>
      </c>
      <c r="H17" s="36">
        <f>Plantilla!AA17</f>
        <v>5</v>
      </c>
      <c r="I17" s="36">
        <f>Plantilla!AB17</f>
        <v>13</v>
      </c>
      <c r="J17" s="36">
        <f>Plantilla!AC17</f>
        <v>5</v>
      </c>
      <c r="K17" s="36">
        <f>Plantilla!AD17</f>
        <v>15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#15</v>
      </c>
      <c r="B19" s="109" t="str">
        <f>Plantilla!D18</f>
        <v>Renato Galeano</v>
      </c>
      <c r="C19" s="18">
        <f>Plantilla!E18</f>
        <v>28</v>
      </c>
      <c r="D19" s="111">
        <f ca="1">Plantilla!F18</f>
        <v>110</v>
      </c>
      <c r="E19" s="36">
        <f>Plantilla!X18</f>
        <v>0</v>
      </c>
      <c r="F19" s="36">
        <f>Plantilla!Y18</f>
        <v>2</v>
      </c>
      <c r="G19" s="36">
        <f>Plantilla!Z18</f>
        <v>5</v>
      </c>
      <c r="H19" s="36">
        <f>Plantilla!AA18</f>
        <v>8</v>
      </c>
      <c r="I19" s="36">
        <f>Plantilla!AB18</f>
        <v>7</v>
      </c>
      <c r="J19" s="36">
        <f>Plantilla!AC18</f>
        <v>13</v>
      </c>
      <c r="K19" s="36">
        <f>Plantilla!AD18</f>
        <v>12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#18</v>
      </c>
      <c r="B20" s="109" t="str">
        <f>Plantilla!D19</f>
        <v>Tommaso Niscola</v>
      </c>
      <c r="C20" s="18">
        <f>Plantilla!E19</f>
        <v>31</v>
      </c>
      <c r="D20" s="111">
        <f ca="1">Plantilla!F19</f>
        <v>106</v>
      </c>
      <c r="E20" s="36">
        <f>Plantilla!X19</f>
        <v>0</v>
      </c>
      <c r="F20" s="36">
        <f>Plantilla!Y19</f>
        <v>3</v>
      </c>
      <c r="G20" s="36">
        <f>Plantilla!Z19</f>
        <v>9</v>
      </c>
      <c r="H20" s="36">
        <f>Plantilla!AA19</f>
        <v>3</v>
      </c>
      <c r="I20" s="36">
        <f>Plantilla!AB19</f>
        <v>13</v>
      </c>
      <c r="J20" s="36">
        <f>Plantilla!AC19</f>
        <v>11.95</v>
      </c>
      <c r="K20" s="36">
        <f>Plantilla!AD19</f>
        <v>20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Paso</v>
      </c>
      <c r="C21" s="18">
        <f>Plantilla!E20</f>
        <v>26</v>
      </c>
      <c r="D21" s="111">
        <f ca="1">Plantilla!F20</f>
        <v>42</v>
      </c>
      <c r="E21" s="36">
        <f>Plantilla!X20</f>
        <v>0</v>
      </c>
      <c r="F21" s="36">
        <f>Plantilla!Y20</f>
        <v>3</v>
      </c>
      <c r="G21" s="36">
        <f>Plantilla!Z20</f>
        <v>7</v>
      </c>
      <c r="H21" s="36">
        <f>Plantilla!AA20</f>
        <v>10</v>
      </c>
      <c r="I21" s="36">
        <f>Plantilla!AB20</f>
        <v>12.222222222222221</v>
      </c>
      <c r="J21" s="36">
        <f>Plantilla!AC20</f>
        <v>14</v>
      </c>
      <c r="K21" s="36">
        <f>Plantilla!AD20</f>
        <v>11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29"/>
  <sheetViews>
    <sheetView workbookViewId="0">
      <pane ySplit="2" topLeftCell="A3" activePane="bottomLeft" state="frozen"/>
      <selection pane="bottomLeft" activeCell="AA14" sqref="AA14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873</v>
      </c>
      <c r="S1" s="41" t="s">
        <v>849</v>
      </c>
      <c r="W1" s="41" t="s">
        <v>180</v>
      </c>
    </row>
    <row r="2" spans="1:37" x14ac:dyDescent="0.25">
      <c r="A2" s="430" t="s">
        <v>187</v>
      </c>
      <c r="B2" s="430" t="s">
        <v>850</v>
      </c>
      <c r="C2" s="431" t="s">
        <v>113</v>
      </c>
      <c r="D2" s="432" t="s">
        <v>469</v>
      </c>
      <c r="E2" s="433" t="s">
        <v>874</v>
      </c>
      <c r="F2" s="434" t="s">
        <v>121</v>
      </c>
      <c r="G2" s="435" t="s">
        <v>739</v>
      </c>
      <c r="H2" s="436" t="s">
        <v>154</v>
      </c>
      <c r="I2" s="436" t="s">
        <v>195</v>
      </c>
      <c r="J2" s="436" t="s">
        <v>196</v>
      </c>
      <c r="K2" s="436" t="s">
        <v>493</v>
      </c>
      <c r="L2" s="436" t="s">
        <v>198</v>
      </c>
      <c r="M2" s="436" t="s">
        <v>199</v>
      </c>
      <c r="N2" s="437" t="s">
        <v>200</v>
      </c>
      <c r="O2" s="438" t="s">
        <v>174</v>
      </c>
      <c r="P2" s="438" t="s">
        <v>859</v>
      </c>
      <c r="Q2" s="438" t="s">
        <v>860</v>
      </c>
      <c r="R2" s="439" t="s">
        <v>859</v>
      </c>
      <c r="S2" s="438" t="s">
        <v>174</v>
      </c>
      <c r="T2" s="438" t="s">
        <v>859</v>
      </c>
      <c r="U2" s="438" t="s">
        <v>860</v>
      </c>
      <c r="V2" s="439" t="s">
        <v>859</v>
      </c>
      <c r="W2" s="440" t="s">
        <v>174</v>
      </c>
      <c r="X2" s="440" t="s">
        <v>859</v>
      </c>
      <c r="Y2" s="440" t="s">
        <v>860</v>
      </c>
      <c r="Z2" s="441" t="s">
        <v>859</v>
      </c>
      <c r="AA2" s="440" t="s">
        <v>875</v>
      </c>
      <c r="AB2" s="441" t="s">
        <v>472</v>
      </c>
      <c r="AC2" s="440" t="s">
        <v>876</v>
      </c>
      <c r="AD2" s="440" t="s">
        <v>877</v>
      </c>
      <c r="AE2" s="441" t="s">
        <v>878</v>
      </c>
      <c r="AF2" s="440" t="s">
        <v>879</v>
      </c>
      <c r="AG2" s="440" t="s">
        <v>880</v>
      </c>
      <c r="AH2" s="441" t="s">
        <v>881</v>
      </c>
      <c r="AI2" s="440" t="s">
        <v>882</v>
      </c>
      <c r="AJ2" s="440" t="s">
        <v>883</v>
      </c>
      <c r="AK2" s="441" t="s">
        <v>884</v>
      </c>
    </row>
    <row r="3" spans="1:37" x14ac:dyDescent="0.25">
      <c r="A3" s="423" t="s">
        <v>885</v>
      </c>
      <c r="B3" s="278">
        <v>29</v>
      </c>
      <c r="C3" s="25">
        <v>22</v>
      </c>
      <c r="D3" s="42" t="s">
        <v>168</v>
      </c>
      <c r="E3" s="422">
        <v>3</v>
      </c>
      <c r="F3" s="424">
        <v>1</v>
      </c>
      <c r="G3" s="425">
        <v>6</v>
      </c>
      <c r="H3" s="36">
        <v>0</v>
      </c>
      <c r="I3" s="36">
        <v>5</v>
      </c>
      <c r="J3" s="36">
        <v>6</v>
      </c>
      <c r="K3" s="36">
        <v>11</v>
      </c>
      <c r="L3" s="36">
        <v>11</v>
      </c>
      <c r="M3" s="36">
        <v>11</v>
      </c>
      <c r="N3" s="426">
        <v>3</v>
      </c>
      <c r="O3" s="27">
        <f>((J3+F3+(LOG(G3)*4/3))*0.15)</f>
        <v>1.2056302500767286</v>
      </c>
      <c r="P3" s="27">
        <f>((M3+F3+(LOG(G3)*4/3))*0.552)+((K3+F3+(LOG(G3)*4/3))*0.576)+((L3+F3+(LOG(G3)*4/3))*0.195)</f>
        <v>17.248658805676747</v>
      </c>
      <c r="Q3" s="27">
        <f>((M3+F3+(LOG(G3)*4/3))*0.607)+((L3+F3+(LOG(G3)*4/3))*0.248)</f>
        <v>11.147092425437354</v>
      </c>
      <c r="R3" s="427">
        <f>((M3+F3+(LOG(G3)*4/3))*0.223)+((K3+F3+(LOG(G3)*4/3))*0)+((L3+F3+(LOG(G3)*4/3))*0)</f>
        <v>2.9073703051140702</v>
      </c>
      <c r="S3" s="27">
        <f>((J3+F3+(LOG(G3)*4/3))*0.406)</f>
        <v>3.2632392102076793</v>
      </c>
      <c r="T3" s="27">
        <f>IF(D3="TEC",((K3+F3+(LOG(G3)*4/3))*0.15)+((L3+F3+(LOG(G3)*4/3))*0.324)+((M3+F3+(LOG(G3)*4/3))*0.127),((K3+F3+(LOG(G3)*4/3))*0.144)+((L3+F3+(LOG(G3)*4/3))*0.25)+((M3+F3+(LOG(G3)*4/3))*0.127))</f>
        <v>6.7925557352665047</v>
      </c>
      <c r="U3" s="27">
        <f>IF(D3="TEC",((L3+F3+(LOG(G3)*4/3))*0.543)+((M3+F3+(LOG(G3)*4/3))*0.583),((L3+F3+(LOG(G3)*4/3))*0.543)+((M3+F3+(LOG(G3)*4/3))*0.583))</f>
        <v>14.680264410575978</v>
      </c>
      <c r="V3" s="427">
        <f>T3</f>
        <v>6.7925557352665047</v>
      </c>
      <c r="W3" s="27">
        <f>((J3+F3+(LOG(G3)*4/3))*0.25)</f>
        <v>2.0093837501278813</v>
      </c>
      <c r="X3" s="27">
        <f>((M3+F3+(LOG(G3)*4/3))*0.26)+((K3+F3+(LOG(G3)*4/3))*0.221)+((L3+F3+(LOG(G3)*4/3))*0.142)</f>
        <v>8.1223843053186808</v>
      </c>
      <c r="Y3" s="27">
        <f>((M3+F3+(LOG(G3)*4/3))*1)+((L3+F3+(LOG(G3)*4/3))*0.369)</f>
        <v>17.848385415700278</v>
      </c>
      <c r="Z3" s="427">
        <f>X3</f>
        <v>8.1223843053186808</v>
      </c>
      <c r="AA3">
        <v>4400</v>
      </c>
      <c r="AB3" s="286">
        <f>7.3*1.2</f>
        <v>8.76</v>
      </c>
      <c r="AC3" s="41">
        <v>1600</v>
      </c>
      <c r="AD3" s="41">
        <v>2000</v>
      </c>
      <c r="AE3" s="428">
        <v>3250</v>
      </c>
      <c r="AF3" s="25">
        <f>AA3+(AB3*16*(36-B3-((112-C3)/112)))-AC3</f>
        <v>3668.4914285714285</v>
      </c>
      <c r="AG3" s="25">
        <f>AA3+(AB3*16*(34-B3-((112-C3)/112)))-AD3</f>
        <v>2988.1714285714288</v>
      </c>
      <c r="AH3" s="429">
        <f>AA3+(AB3*16*(32-B3-((112-C3)/112)))-AE3</f>
        <v>1457.8514285714282</v>
      </c>
      <c r="AI3" s="25">
        <f>(AF3)/(36-B3+((112-C3)/112))</f>
        <v>470.10416475972539</v>
      </c>
      <c r="AJ3" s="25">
        <f>(AG3)/(34-B3+((112-C3)/112))</f>
        <v>514.88492307692309</v>
      </c>
      <c r="AK3" s="429">
        <f>(AH3)/(32-B3+((112-C3)/112))</f>
        <v>383.28488262910787</v>
      </c>
    </row>
    <row r="4" spans="1:37" x14ac:dyDescent="0.25">
      <c r="A4" s="460" t="s">
        <v>978</v>
      </c>
      <c r="B4" s="278">
        <v>29</v>
      </c>
      <c r="C4" s="25">
        <v>20</v>
      </c>
      <c r="D4" s="42" t="s">
        <v>168</v>
      </c>
      <c r="E4" s="422">
        <v>3</v>
      </c>
      <c r="F4" s="424">
        <v>1</v>
      </c>
      <c r="G4" s="425">
        <v>6</v>
      </c>
      <c r="H4" s="36">
        <v>0</v>
      </c>
      <c r="I4" s="36">
        <v>3</v>
      </c>
      <c r="J4" s="36">
        <v>12</v>
      </c>
      <c r="K4" s="36">
        <v>12</v>
      </c>
      <c r="L4" s="36">
        <v>9</v>
      </c>
      <c r="M4" s="36">
        <v>11</v>
      </c>
      <c r="N4" s="426">
        <v>3</v>
      </c>
      <c r="O4" s="27">
        <f>((J4+F4+(LOG(G4)*4/3))*0.15)</f>
        <v>2.1056302500767288</v>
      </c>
      <c r="P4" s="27">
        <f>((M4+F4+(LOG(G4)*4/3))*0.552)+((K4+F4+(LOG(G4)*4/3))*0.576)+((L4+F4+(LOG(G4)*4/3))*0.195)</f>
        <v>17.434658805676747</v>
      </c>
      <c r="Q4" s="27">
        <f>((M4+F4+(LOG(G4)*4/3))*0.607)+((L4+F4+(LOG(G4)*4/3))*0.248)</f>
        <v>10.651092425437353</v>
      </c>
      <c r="R4" s="427">
        <f>((M4+F4+(LOG(G4)*4/3))*0.223)+((K4+F4+(LOG(G4)*4/3))*0)+((L4+F4+(LOG(G4)*4/3))*0)</f>
        <v>2.9073703051140702</v>
      </c>
      <c r="S4" s="27">
        <f>((J4+F4+(LOG(G4)*4/3))*0.406)</f>
        <v>5.6992392102076792</v>
      </c>
      <c r="T4" s="27">
        <f>IF(D4="TEC",((K4+F4+(LOG(G4)*4/3))*0.15)+((L4+F4+(LOG(G4)*4/3))*0.324)+((M4+F4+(LOG(G4)*4/3))*0.127),((K4+F4+(LOG(G4)*4/3))*0.144)+((L4+F4+(LOG(G4)*4/3))*0.25)+((M4+F4+(LOG(G4)*4/3))*0.127))</f>
        <v>6.4365557352665048</v>
      </c>
      <c r="U4" s="27">
        <f>IF(D4="TEC",((L4+F4+(LOG(G4)*4/3))*0.543)+((M4+F4+(LOG(G4)*4/3))*0.583),((L4+F4+(LOG(G4)*4/3))*0.543)+((M4+F4+(LOG(G4)*4/3))*0.583))</f>
        <v>13.594264410575978</v>
      </c>
      <c r="V4" s="427">
        <f>T4</f>
        <v>6.4365557352665048</v>
      </c>
      <c r="W4" s="27">
        <f>((J4+F4+(LOG(G4)*4/3))*0.25)</f>
        <v>3.5093837501278813</v>
      </c>
      <c r="X4" s="27">
        <f>((M4+F4+(LOG(G4)*4/3))*0.26)+((K4+F4+(LOG(G4)*4/3))*0.221)+((L4+F4+(LOG(G4)*4/3))*0.142)</f>
        <v>8.0593843053186802</v>
      </c>
      <c r="Y4" s="27">
        <f>((M4+F4+(LOG(G4)*4/3))*1)+((L4+F4+(LOG(G4)*4/3))*0.369)</f>
        <v>17.110385415700279</v>
      </c>
      <c r="Z4" s="427">
        <f>X4</f>
        <v>8.0593843053186802</v>
      </c>
      <c r="AA4">
        <v>5300</v>
      </c>
      <c r="AB4" s="286">
        <v>16.5</v>
      </c>
      <c r="AC4" s="41">
        <v>1500</v>
      </c>
      <c r="AD4" s="41">
        <v>2600</v>
      </c>
      <c r="AE4" s="428">
        <v>3800</v>
      </c>
      <c r="AF4" s="25">
        <f>AA4+(AB4*16*(36-B4-((112-C4)/112)))-AC4</f>
        <v>5431.1428571428569</v>
      </c>
      <c r="AG4" s="25">
        <f>AA4+(AB4*16*(34-B4-((112-C4)/112)))-AD4</f>
        <v>3803.1428571428569</v>
      </c>
      <c r="AH4" s="429">
        <f>AA4+(AB4*16*(32-B4-((112-C4)/112)))-AE4</f>
        <v>2075.1428571428569</v>
      </c>
      <c r="AI4" s="25">
        <f>(AF4)/(36-B4+((112-C4)/112))</f>
        <v>694.39269406392691</v>
      </c>
      <c r="AJ4" s="25">
        <f>(AG4)/(34-B4+((112-C4)/112))</f>
        <v>653.30061349693256</v>
      </c>
      <c r="AK4" s="429">
        <f>(AH4)/(32-B4+((112-C4)/112))</f>
        <v>543.02803738317755</v>
      </c>
    </row>
    <row r="5" spans="1:37" x14ac:dyDescent="0.25">
      <c r="A5" s="457" t="s">
        <v>973</v>
      </c>
      <c r="B5" s="278">
        <v>29</v>
      </c>
      <c r="C5" s="25">
        <v>68</v>
      </c>
      <c r="D5" s="42" t="s">
        <v>178</v>
      </c>
      <c r="E5" s="422">
        <v>4</v>
      </c>
      <c r="F5" s="424">
        <v>1</v>
      </c>
      <c r="G5" s="425">
        <v>5</v>
      </c>
      <c r="H5" s="36">
        <v>0</v>
      </c>
      <c r="I5" s="36">
        <v>3</v>
      </c>
      <c r="J5" s="36">
        <v>11</v>
      </c>
      <c r="K5" s="36">
        <v>15</v>
      </c>
      <c r="L5" s="36">
        <v>7</v>
      </c>
      <c r="M5" s="36">
        <v>7</v>
      </c>
      <c r="N5" s="426">
        <v>8</v>
      </c>
      <c r="O5" s="27">
        <f>((J5+F5+(LOG(G5)*4/3))*0.15)</f>
        <v>1.9397940008672037</v>
      </c>
      <c r="P5" s="27">
        <f>((M5+F5+(LOG(G5)*4/3))*0.552)+((K5+F5+(LOG(G5)*4/3))*0.576)+((L5+F5+(LOG(G5)*4/3))*0.195)</f>
        <v>16.424983087648737</v>
      </c>
      <c r="Q5" s="27">
        <f>((M5+F5+(LOG(G5)*4/3))*0.607)+((L5+F5+(LOG(G5)*4/3))*0.248)</f>
        <v>7.6368258049430606</v>
      </c>
      <c r="R5" s="427">
        <f>((M5+F5+(LOG(G5)*4/3))*0.223)+((K5+F5+(LOG(G5)*4/3))*0)+((L5+F5+(LOG(G5)*4/3))*0)</f>
        <v>1.9918270812892429</v>
      </c>
      <c r="S5" s="27">
        <f>((J5+F5+(LOG(G5)*4/3))*0.406)</f>
        <v>5.2503757623472316</v>
      </c>
      <c r="T5" s="27">
        <f>IF(D5="TEC",((K5+F5+(LOG(G5)*4/3))*0.15)+((L5+F5+(LOG(G5)*4/3))*0.324)+((M5+F5+(LOG(G5)*4/3))*0.127),((K5+F5+(LOG(G5)*4/3))*0.144)+((L5+F5+(LOG(G5)*4/3))*0.25)+((M5+F5+(LOG(G5)*4/3))*0.127))</f>
        <v>5.8055511630120877</v>
      </c>
      <c r="U5" s="27">
        <f>IF(D5="TEC",((L5+F5+(LOG(G5)*4/3))*0.543)+((M5+F5+(LOG(G5)*4/3))*0.583),((L5+F5+(LOG(G5)*4/3))*0.543)+((M5+F5+(LOG(G5)*4/3))*0.583))</f>
        <v>10.057386966509808</v>
      </c>
      <c r="V5" s="427">
        <f>T5</f>
        <v>5.8055511630120877</v>
      </c>
      <c r="W5" s="27">
        <f>((J5+F5+(LOG(G5)*4/3))*0.25)</f>
        <v>3.2329900014453394</v>
      </c>
      <c r="X5" s="27">
        <f>((M5+F5+(LOG(G5)*4/3))*0.26)+((K5+F5+(LOG(G5)*4/3))*0.221)+((L5+F5+(LOG(G5)*4/3))*0.142)</f>
        <v>7.3326110836017868</v>
      </c>
      <c r="Y5" s="27">
        <f>((M5+F5+(LOG(G5)*4/3))*1)+((L5+F5+(LOG(G5)*4/3))*0.369)</f>
        <v>12.227853247914679</v>
      </c>
      <c r="Z5" s="427">
        <f>X5</f>
        <v>7.3326110836017868</v>
      </c>
      <c r="AA5" s="459">
        <v>3600</v>
      </c>
      <c r="AB5" s="286">
        <v>22.6</v>
      </c>
      <c r="AC5" s="41">
        <v>1300</v>
      </c>
      <c r="AD5" s="41">
        <v>1850</v>
      </c>
      <c r="AE5" s="428">
        <v>2700</v>
      </c>
      <c r="AF5" s="25">
        <f>AA5+(AB5*16*(36-B5-((112-C5)/112)))-AC5</f>
        <v>4689.1428571428569</v>
      </c>
      <c r="AG5" s="25">
        <f>AA5+(AB5*16*(34-B5-((112-C5)/112)))-AD5</f>
        <v>3415.9428571428571</v>
      </c>
      <c r="AH5" s="429">
        <f>AA5+(AB5*16*(32-B5-((112-C5)/112)))-AE5</f>
        <v>1842.7428571428572</v>
      </c>
      <c r="AI5" s="25">
        <f>(AF5)/(36-B5+((112-C5)/112))</f>
        <v>634.28019323671492</v>
      </c>
      <c r="AJ5" s="25">
        <f>(AG5)/(34-B5+((112-C5)/112))</f>
        <v>633.41986754966877</v>
      </c>
      <c r="AK5" s="429">
        <f>(AH5)/(32-B5+((112-C5)/112))</f>
        <v>543.12421052631578</v>
      </c>
    </row>
    <row r="6" spans="1:37" x14ac:dyDescent="0.25">
      <c r="A6" s="423" t="s">
        <v>889</v>
      </c>
      <c r="B6" s="448">
        <v>27</v>
      </c>
      <c r="C6" s="25">
        <v>18</v>
      </c>
      <c r="D6" s="42" t="s">
        <v>178</v>
      </c>
      <c r="E6" s="449">
        <v>4</v>
      </c>
      <c r="F6" s="450">
        <v>1</v>
      </c>
      <c r="G6" s="451">
        <v>5</v>
      </c>
      <c r="H6" s="36">
        <v>0</v>
      </c>
      <c r="I6" s="36">
        <v>4</v>
      </c>
      <c r="J6" s="36">
        <v>5</v>
      </c>
      <c r="K6" s="36">
        <v>10</v>
      </c>
      <c r="L6" s="36">
        <v>9</v>
      </c>
      <c r="M6" s="36">
        <v>11</v>
      </c>
      <c r="N6" s="452">
        <v>11</v>
      </c>
      <c r="O6" s="27">
        <f>((J6+F6+(LOG(G6)*4/3))*0.15)</f>
        <v>1.0397940008672037</v>
      </c>
      <c r="P6" s="27">
        <f>((M6+F6+(LOG(G6)*4/3))*0.552)+((K6+F6+(LOG(G6)*4/3))*0.576)+((L6+F6+(LOG(G6)*4/3))*0.195)</f>
        <v>16.142983087648737</v>
      </c>
      <c r="Q6" s="27">
        <f>((M6+F6+(LOG(G6)*4/3))*0.607)+((L6+F6+(LOG(G6)*4/3))*0.248)</f>
        <v>10.560825804943061</v>
      </c>
      <c r="R6" s="427">
        <f>((M6+F6+(LOG(G6)*4/3))*0.223)+((K6+F6+(LOG(G6)*4/3))*0)+((L6+F6+(LOG(G6)*4/3))*0)</f>
        <v>2.883827081289243</v>
      </c>
      <c r="S6" s="27">
        <f>((J6+F6+(LOG(G6)*4/3))*0.406)</f>
        <v>2.8143757623472316</v>
      </c>
      <c r="T6" s="27">
        <f>IF(D6="TEC",((K6+F6+(LOG(G6)*4/3))*0.15)+((L6+F6+(LOG(G6)*4/3))*0.324)+((M6+F6+(LOG(G6)*4/3))*0.127),((K6+F6+(LOG(G6)*4/3))*0.144)+((L6+F6+(LOG(G6)*4/3))*0.25)+((M6+F6+(LOG(G6)*4/3))*0.127))</f>
        <v>6.093551163012088</v>
      </c>
      <c r="U6" s="27">
        <f>IF(D6="TEC",((L6+F6+(LOG(G6)*4/3))*0.543)+((M6+F6+(LOG(G6)*4/3))*0.583),((L6+F6+(LOG(G6)*4/3))*0.543)+((M6+F6+(LOG(G6)*4/3))*0.583))</f>
        <v>13.475386966509809</v>
      </c>
      <c r="V6" s="427">
        <f>T6</f>
        <v>6.093551163012088</v>
      </c>
      <c r="W6" s="27">
        <f>((J6+F6+(LOG(G6)*4/3))*0.25)</f>
        <v>1.7329900014453397</v>
      </c>
      <c r="X6" s="27">
        <f>((M6+F6+(LOG(G6)*4/3))*0.26)+((K6+F6+(LOG(G6)*4/3))*0.221)+((L6+F6+(LOG(G6)*4/3))*0.142)</f>
        <v>7.5516110836017862</v>
      </c>
      <c r="Y6" s="27">
        <f>((M6+F6+(LOG(G6)*4/3))*1)+((L6+F6+(LOG(G6)*4/3))*0.369)</f>
        <v>16.96585324791468</v>
      </c>
      <c r="Z6" s="427">
        <f>X6</f>
        <v>7.5516110836017862</v>
      </c>
      <c r="AA6">
        <v>3800</v>
      </c>
      <c r="AB6" s="454">
        <v>9</v>
      </c>
      <c r="AC6" s="41">
        <v>400</v>
      </c>
      <c r="AD6" s="41">
        <v>680</v>
      </c>
      <c r="AE6" s="428">
        <v>1100</v>
      </c>
      <c r="AF6" s="25">
        <f>AA6+(AB6*16*(36-B6-((112-C6)/112)))-AC6</f>
        <v>4575.1428571428569</v>
      </c>
      <c r="AG6" s="25">
        <f>AA6+(AB6*16*(34-B6-((112-C6)/112)))-AD6</f>
        <v>4007.1428571428569</v>
      </c>
      <c r="AH6" s="429">
        <f>AA6+(AB6*16*(32-B6-((112-C6)/112)))-AE6</f>
        <v>3299.1428571428569</v>
      </c>
      <c r="AI6" s="25">
        <f>(AF6)/(36-B6+((112-C6)/112))</f>
        <v>464.98729582577135</v>
      </c>
      <c r="AJ6" s="25">
        <f>(AG6)/(34-B6+((112-C6)/112))</f>
        <v>511.16173120728928</v>
      </c>
      <c r="AK6" s="429">
        <f>(AH6)/(32-B6+((112-C6)/112))</f>
        <v>564.9908256880733</v>
      </c>
    </row>
    <row r="7" spans="1:37" x14ac:dyDescent="0.25">
      <c r="A7" s="457" t="s">
        <v>977</v>
      </c>
      <c r="B7" s="448">
        <v>28</v>
      </c>
      <c r="C7" s="25">
        <v>83</v>
      </c>
      <c r="D7" s="42" t="s">
        <v>168</v>
      </c>
      <c r="E7" s="449">
        <v>1</v>
      </c>
      <c r="F7" s="450">
        <v>1</v>
      </c>
      <c r="G7" s="451">
        <v>8</v>
      </c>
      <c r="H7" s="36">
        <v>0</v>
      </c>
      <c r="I7" s="36">
        <v>3</v>
      </c>
      <c r="J7" s="36">
        <v>13</v>
      </c>
      <c r="K7" s="36">
        <v>12</v>
      </c>
      <c r="L7" s="36">
        <v>11</v>
      </c>
      <c r="M7" s="36">
        <v>10</v>
      </c>
      <c r="N7" s="452">
        <v>1</v>
      </c>
      <c r="O7" s="27">
        <f>((J7+F7+(LOG(G7)*4/3))*0.15)</f>
        <v>2.2806179973983887</v>
      </c>
      <c r="P7" s="27">
        <f>((M7+F7+(LOG(G7)*4/3))*0.552)+((K7+F7+(LOG(G7)*4/3))*0.576)+((L7+F7+(LOG(G7)*4/3))*0.195)</f>
        <v>17.493050737053789</v>
      </c>
      <c r="Q7" s="27">
        <f>((M7+F7+(LOG(G7)*4/3))*0.607)+((L7+F7+(LOG(G7)*4/3))*0.248)</f>
        <v>10.682522585170815</v>
      </c>
      <c r="R7" s="453">
        <f>((M7+F7+(LOG(G7)*4/3))*0.223)+((K7+F7+(LOG(G7)*4/3))*0)+((L7+F7+(LOG(G7)*4/3))*0)</f>
        <v>2.7215187561322711</v>
      </c>
      <c r="S7" s="27">
        <f>((J7+F7+(LOG(G7)*4/3))*0.406)</f>
        <v>6.1728727129583056</v>
      </c>
      <c r="T7" s="27">
        <f>IF(D7="TEC",((K7+F7+(LOG(G7)*4/3))*0.15)+((L7+F7+(LOG(G7)*4/3))*0.324)+((M7+F7+(LOG(G7)*4/3))*0.127),((K7+F7+(LOG(G7)*4/3))*0.144)+((L7+F7+(LOG(G7)*4/3))*0.25)+((M7+F7+(LOG(G7)*4/3))*0.127))</f>
        <v>6.8963465109637374</v>
      </c>
      <c r="U7" s="27">
        <f>IF(D7="TEC",((L7+F7+(LOG(G7)*4/3))*0.543)+((M7+F7+(LOG(G7)*4/3))*0.583),((L7+F7+(LOG(G7)*4/3))*0.543)+((M7+F7+(LOG(G7)*4/3))*0.583))</f>
        <v>14.28483910047057</v>
      </c>
      <c r="V7" s="453">
        <f>T7</f>
        <v>6.8963465109637374</v>
      </c>
      <c r="W7" s="27">
        <f>((J7+F7+(LOG(G7)*4/3))*0.25)</f>
        <v>3.8010299956639813</v>
      </c>
      <c r="X7" s="27">
        <f>((M7+F7+(LOG(G7)*4/3))*0.26)+((K7+F7+(LOG(G7)*4/3))*0.221)+((L7+F7+(LOG(G7)*4/3))*0.142)</f>
        <v>8.1871667491946418</v>
      </c>
      <c r="Y7" s="27">
        <f>((M7+F7+(LOG(G7)*4/3))*1)+((L7+F7+(LOG(G7)*4/3))*0.369)</f>
        <v>17.07644025625596</v>
      </c>
      <c r="Z7" s="453">
        <f>X7</f>
        <v>8.1871667491946418</v>
      </c>
      <c r="AA7" s="459">
        <v>4500</v>
      </c>
      <c r="AB7" s="454">
        <v>28</v>
      </c>
      <c r="AC7" s="41">
        <v>1800</v>
      </c>
      <c r="AD7" s="41">
        <v>2750</v>
      </c>
      <c r="AE7" s="428">
        <v>3600</v>
      </c>
      <c r="AF7" s="25">
        <f>AA7+(AB7*16*(36-B7-((112-C7)/112)))-AC7</f>
        <v>6168</v>
      </c>
      <c r="AG7" s="25">
        <f>AA7+(AB7*16*(34-B7-((112-C7)/112)))-AD7</f>
        <v>4322</v>
      </c>
      <c r="AH7" s="429">
        <f>AA7+(AB7*16*(32-B7-((112-C7)/112)))-AE7</f>
        <v>2576</v>
      </c>
      <c r="AI7" s="25">
        <f>(AF7)/(36-B7+((112-C7)/112))</f>
        <v>746.82810810810815</v>
      </c>
      <c r="AJ7" s="25">
        <f>(AG7)/(34-B7+((112-C7)/112))</f>
        <v>690.53352353780315</v>
      </c>
      <c r="AK7" s="429">
        <f>(AH7)/(32-B7+((112-C7)/112))</f>
        <v>604.84696016771488</v>
      </c>
    </row>
    <row r="8" spans="1:37" x14ac:dyDescent="0.25">
      <c r="A8" s="458" t="s">
        <v>183</v>
      </c>
      <c r="B8" s="448">
        <v>29</v>
      </c>
      <c r="C8" s="25">
        <v>23</v>
      </c>
      <c r="D8" s="42" t="s">
        <v>165</v>
      </c>
      <c r="E8" s="449">
        <v>4</v>
      </c>
      <c r="F8" s="450">
        <v>1</v>
      </c>
      <c r="G8" s="451">
        <v>7</v>
      </c>
      <c r="H8" s="36">
        <v>0</v>
      </c>
      <c r="I8" s="36">
        <v>3</v>
      </c>
      <c r="J8" s="36">
        <v>9</v>
      </c>
      <c r="K8" s="36">
        <v>2</v>
      </c>
      <c r="L8" s="36">
        <v>13</v>
      </c>
      <c r="M8" s="36">
        <v>12</v>
      </c>
      <c r="N8" s="452">
        <v>17</v>
      </c>
      <c r="O8" s="27">
        <f>((J8+F8+(LOG(G8)*4/3))*0.15)</f>
        <v>1.6690196080028512</v>
      </c>
      <c r="P8" s="27">
        <f>((M8+F8+(LOG(G8)*4/3))*0.552)+((K8+F8+(LOG(G8)*4/3))*0.576)+((L8+F8+(LOG(G8)*4/3))*0.195)</f>
        <v>13.12475294258515</v>
      </c>
      <c r="Q8" s="27">
        <f>((M8+F8+(LOG(G8)*4/3))*0.607)+((L8+F8+(LOG(G8)*4/3))*0.248)</f>
        <v>12.326411765616253</v>
      </c>
      <c r="R8" s="453">
        <f>((M8+F8+(LOG(G8)*4/3))*0.223)+((K8+F8+(LOG(G8)*4/3))*0)+((L8+F8+(LOG(G8)*4/3))*0)</f>
        <v>3.1502758172309058</v>
      </c>
      <c r="S8" s="27">
        <f>((J8+F8+(LOG(G8)*4/3))*0.406)</f>
        <v>4.5174797389943846</v>
      </c>
      <c r="T8" s="27">
        <f>IF(D8="TEC",((K8+F8+(LOG(G8)*4/3))*0.15)+((L8+F8+(LOG(G8)*4/3))*0.324)+((M8+F8+(LOG(G8)*4/3))*0.127),((K8+F8+(LOG(G8)*4/3))*0.144)+((L8+F8+(LOG(G8)*4/3))*0.25)+((M8+F8+(LOG(G8)*4/3))*0.127))</f>
        <v>6.1700614384632368</v>
      </c>
      <c r="U8" s="27">
        <f>IF(D8="TEC",((L8+F8+(LOG(G8)*4/3))*0.543)+((M8+F8+(LOG(G8)*4/3))*0.583),((L8+F8+(LOG(G8)*4/3))*0.543)+((M8+F8+(LOG(G8)*4/3))*0.583))</f>
        <v>16.449773857408069</v>
      </c>
      <c r="V8" s="453">
        <f>T8</f>
        <v>6.1700614384632368</v>
      </c>
      <c r="W8" s="27">
        <f>((J8+F8+(LOG(G8)*4/3))*0.25)</f>
        <v>2.7816993466714188</v>
      </c>
      <c r="X8" s="27">
        <f>((M8+F8+(LOG(G8)*4/3))*0.26)+((K8+F8+(LOG(G8)*4/3))*0.221)+((L8+F8+(LOG(G8)*4/3))*0.142)</f>
        <v>6.7329947719051759</v>
      </c>
      <c r="Y8" s="27">
        <f>((M8+F8+(LOG(G8)*4/3))*1)+((L8+F8+(LOG(G8)*4/3))*0.369)</f>
        <v>19.708585622372688</v>
      </c>
      <c r="Z8" s="453">
        <f>X8</f>
        <v>6.7329947719051759</v>
      </c>
      <c r="AA8">
        <v>4000</v>
      </c>
      <c r="AB8" s="454">
        <f>12.1*1.2</f>
        <v>14.52</v>
      </c>
      <c r="AC8" s="41">
        <v>650</v>
      </c>
      <c r="AD8" s="41">
        <v>1500</v>
      </c>
      <c r="AE8" s="428">
        <v>2200</v>
      </c>
      <c r="AF8" s="25">
        <f>AA8+(AB8*16*(36-B8-((112-C8)/112)))-AC8</f>
        <v>4791.6285714285714</v>
      </c>
      <c r="AG8" s="25">
        <f>AA8+(AB8*16*(34-B8-((112-C8)/112)))-AD8</f>
        <v>3476.988571428572</v>
      </c>
      <c r="AH8" s="429">
        <f>AA8+(AB8*16*(32-B8-((112-C8)/112)))-AE8</f>
        <v>2312.3485714285716</v>
      </c>
      <c r="AI8" s="25">
        <f>(AF8)/(36-B8+((112-C8)/112))</f>
        <v>614.73356242840782</v>
      </c>
      <c r="AJ8" s="25">
        <f>(AG8)/(34-B8+((112-C8)/112))</f>
        <v>600.03500770416042</v>
      </c>
      <c r="AK8" s="429">
        <f>(AH8)/(32-B8+((112-C8)/112))</f>
        <v>609.37185882352946</v>
      </c>
    </row>
    <row r="9" spans="1:37" x14ac:dyDescent="0.25">
      <c r="A9" s="457" t="s">
        <v>979</v>
      </c>
      <c r="B9" s="448">
        <v>29</v>
      </c>
      <c r="C9" s="25">
        <v>33</v>
      </c>
      <c r="D9" s="42" t="s">
        <v>165</v>
      </c>
      <c r="E9" s="449">
        <v>2</v>
      </c>
      <c r="F9" s="450">
        <v>1</v>
      </c>
      <c r="G9" s="451">
        <v>8</v>
      </c>
      <c r="H9" s="36">
        <v>0</v>
      </c>
      <c r="I9" s="36">
        <v>4</v>
      </c>
      <c r="J9" s="36">
        <v>3</v>
      </c>
      <c r="K9" s="36">
        <v>12</v>
      </c>
      <c r="L9" s="36">
        <v>13</v>
      </c>
      <c r="M9" s="36">
        <v>11</v>
      </c>
      <c r="N9" s="452">
        <v>16</v>
      </c>
      <c r="O9" s="27">
        <f>((J9+F9+(LOG(G9)*4/3))*0.15)</f>
        <v>0.78061799739838877</v>
      </c>
      <c r="P9" s="27">
        <f>((M9+F9+(LOG(G9)*4/3))*0.552)+((K9+F9+(LOG(G9)*4/3))*0.576)+((L9+F9+(LOG(G9)*4/3))*0.195)</f>
        <v>18.435050737053789</v>
      </c>
      <c r="Q9" s="27">
        <f>((M9+F9+(LOG(G9)*4/3))*0.607)+((L9+F9+(LOG(G9)*4/3))*0.248)</f>
        <v>11.785522585170817</v>
      </c>
      <c r="R9" s="453">
        <f>((M9+F9+(LOG(G9)*4/3))*0.223)+((K9+F9+(LOG(G9)*4/3))*0)+((L9+F9+(LOG(G9)*4/3))*0)</f>
        <v>2.9445187561322714</v>
      </c>
      <c r="S9" s="27">
        <f>((J9+F9+(LOG(G9)*4/3))*0.406)</f>
        <v>2.1128727129583056</v>
      </c>
      <c r="T9" s="27">
        <f>IF(D9="TEC",((K9+F9+(LOG(G9)*4/3))*0.15)+((L9+F9+(LOG(G9)*4/3))*0.324)+((M9+F9+(LOG(G9)*4/3))*0.127),((K9+F9+(LOG(G9)*4/3))*0.144)+((L9+F9+(LOG(G9)*4/3))*0.25)+((M9+F9+(LOG(G9)*4/3))*0.127))</f>
        <v>7.5233465109637372</v>
      </c>
      <c r="U9" s="27">
        <f>IF(D9="TEC",((L9+F9+(LOG(G9)*4/3))*0.543)+((M9+F9+(LOG(G9)*4/3))*0.583),((L9+F9+(LOG(G9)*4/3))*0.543)+((M9+F9+(LOG(G9)*4/3))*0.583))</f>
        <v>15.953839100470573</v>
      </c>
      <c r="V9" s="453">
        <f>T9</f>
        <v>7.5233465109637372</v>
      </c>
      <c r="W9" s="27">
        <f>((J9+F9+(LOG(G9)*4/3))*0.25)</f>
        <v>1.3010299956639813</v>
      </c>
      <c r="X9" s="27">
        <f>((M9+F9+(LOG(G9)*4/3))*0.26)+((K9+F9+(LOG(G9)*4/3))*0.221)+((L9+F9+(LOG(G9)*4/3))*0.142)</f>
        <v>8.7311667491946405</v>
      </c>
      <c r="Y9" s="27">
        <f>((M9+F9+(LOG(G9)*4/3))*1)+((L9+F9+(LOG(G9)*4/3))*0.369)</f>
        <v>18.814440256255963</v>
      </c>
      <c r="Z9" s="453">
        <f>X9</f>
        <v>8.7311667491946405</v>
      </c>
      <c r="AA9" s="459">
        <v>5200</v>
      </c>
      <c r="AB9" s="454">
        <v>15</v>
      </c>
      <c r="AC9" s="41">
        <v>1400</v>
      </c>
      <c r="AD9" s="41">
        <v>2750</v>
      </c>
      <c r="AE9" s="428">
        <v>3400</v>
      </c>
      <c r="AF9" s="25">
        <f>AA9+(AB9*16*(36-B9-((112-C9)/112)))-AC9</f>
        <v>5310.7142857142853</v>
      </c>
      <c r="AG9" s="25">
        <f>AA9+(AB9*16*(34-B9-((112-C9)/112)))-AD9</f>
        <v>3480.7142857142853</v>
      </c>
      <c r="AH9" s="429">
        <f>AA9+(AB9*16*(32-B9-((112-C9)/112)))-AE9</f>
        <v>2350.7142857142862</v>
      </c>
      <c r="AI9" s="25">
        <f>(AF9)/(36-B9+((112-C9)/112))</f>
        <v>689.22363847045187</v>
      </c>
      <c r="AJ9" s="25">
        <f>(AG9)/(34-B9+((112-C9)/112))</f>
        <v>610.07824726134572</v>
      </c>
      <c r="AK9" s="429">
        <f>(AH9)/(32-B9+((112-C9)/112))</f>
        <v>634.40963855421705</v>
      </c>
    </row>
    <row r="10" spans="1:37" x14ac:dyDescent="0.25">
      <c r="A10" s="457" t="s">
        <v>975</v>
      </c>
      <c r="B10" s="448">
        <v>27</v>
      </c>
      <c r="C10" s="25">
        <v>26</v>
      </c>
      <c r="D10" s="42" t="s">
        <v>165</v>
      </c>
      <c r="E10" s="449">
        <v>0</v>
      </c>
      <c r="F10" s="450">
        <v>1</v>
      </c>
      <c r="G10" s="451">
        <v>4</v>
      </c>
      <c r="H10" s="36">
        <v>0</v>
      </c>
      <c r="I10" s="36">
        <v>8</v>
      </c>
      <c r="J10" s="36">
        <v>7</v>
      </c>
      <c r="K10" s="36">
        <v>7</v>
      </c>
      <c r="L10" s="36">
        <v>7</v>
      </c>
      <c r="M10" s="36">
        <v>14</v>
      </c>
      <c r="N10" s="452">
        <v>1</v>
      </c>
      <c r="O10" s="27">
        <f>((J10+F10+(LOG(G10)*4/3))*0.15)</f>
        <v>1.3204119982655926</v>
      </c>
      <c r="P10" s="27">
        <f>((M10+F10+(LOG(G10)*4/3))*0.552)+((K10+F10+(LOG(G10)*4/3))*0.576)+((L10+F10+(LOG(G10)*4/3))*0.195)</f>
        <v>15.510033824702527</v>
      </c>
      <c r="Q10" s="27">
        <f>((M10+F10+(LOG(G10)*4/3))*0.607)+((L10+F10+(LOG(G10)*4/3))*0.248)</f>
        <v>11.775348390113878</v>
      </c>
      <c r="R10" s="453">
        <f>((M10+F10+(LOG(G10)*4/3))*0.223)+((K10+F10+(LOG(G10)*4/3))*0)+((L10+F10+(LOG(G10)*4/3))*0)</f>
        <v>3.5240125040881809</v>
      </c>
      <c r="S10" s="27">
        <f>((J10+F10+(LOG(G10)*4/3))*0.406)</f>
        <v>3.5739151419722042</v>
      </c>
      <c r="T10" s="27">
        <f>IF(D10="TEC",((K10+F10+(LOG(G10)*4/3))*0.15)+((L10+F10+(LOG(G10)*4/3))*0.324)+((M10+F10+(LOG(G10)*4/3))*0.127),((K10+F10+(LOG(G10)*4/3))*0.144)+((L10+F10+(LOG(G10)*4/3))*0.25)+((M10+F10+(LOG(G10)*4/3))*0.127))</f>
        <v>5.4752310073091586</v>
      </c>
      <c r="U10" s="27">
        <f>IF(D10="TEC",((L10+F10+(LOG(G10)*4/3))*0.543)+((M10+F10+(LOG(G10)*4/3))*0.583),((L10+F10+(LOG(G10)*4/3))*0.543)+((M10+F10+(LOG(G10)*4/3))*0.583))</f>
        <v>13.992892733647048</v>
      </c>
      <c r="V10" s="453">
        <f>T10</f>
        <v>5.4752310073091586</v>
      </c>
      <c r="W10" s="27">
        <f>((J10+F10+(LOG(G10)*4/3))*0.25)</f>
        <v>2.2006866637759877</v>
      </c>
      <c r="X10" s="27">
        <f>((M10+F10+(LOG(G10)*4/3))*0.26)+((K10+F10+(LOG(G10)*4/3))*0.221)+((L10+F10+(LOG(G10)*4/3))*0.142)</f>
        <v>7.3041111661297613</v>
      </c>
      <c r="Y10" s="27">
        <f>((M10+F10+(LOG(G10)*4/3))*1)+((L10+F10+(LOG(G10)*4/3))*0.369)</f>
        <v>19.050960170837307</v>
      </c>
      <c r="Z10" s="453">
        <f>X10</f>
        <v>7.3041111661297613</v>
      </c>
      <c r="AA10" s="459">
        <v>4500</v>
      </c>
      <c r="AB10" s="454">
        <v>24.6</v>
      </c>
      <c r="AC10" s="41">
        <v>980</v>
      </c>
      <c r="AD10" s="41">
        <v>1600</v>
      </c>
      <c r="AE10" s="428">
        <v>2500</v>
      </c>
      <c r="AF10" s="25">
        <f>AA10+(AB10*16*(36-B10-((112-C10)/112)))-AC10</f>
        <v>6760.1714285714288</v>
      </c>
      <c r="AG10" s="25">
        <f>AA10+(AB10*16*(34-B10-((112-C10)/112)))-AD10</f>
        <v>5352.971428571429</v>
      </c>
      <c r="AH10" s="429">
        <f>AA10+(AB10*16*(32-B10-((112-C10)/112)))-AE10</f>
        <v>3665.7714285714283</v>
      </c>
      <c r="AI10" s="25">
        <f>(AF10)/(36-B10+((112-C10)/112))</f>
        <v>692.08336380255946</v>
      </c>
      <c r="AJ10" s="25">
        <f>(AG10)/(34-B10+((112-C10)/112))</f>
        <v>689.11816091954029</v>
      </c>
      <c r="AK10" s="429">
        <f>(AH10)/(32-B10+((112-C10)/112))</f>
        <v>635.55170278637763</v>
      </c>
    </row>
    <row r="11" spans="1:37" x14ac:dyDescent="0.25">
      <c r="A11" s="457" t="s">
        <v>976</v>
      </c>
      <c r="B11" s="448">
        <v>28</v>
      </c>
      <c r="C11" s="25">
        <v>58</v>
      </c>
      <c r="D11" s="42" t="s">
        <v>168</v>
      </c>
      <c r="E11" s="449">
        <v>2</v>
      </c>
      <c r="F11" s="450">
        <v>1</v>
      </c>
      <c r="G11" s="451">
        <v>13</v>
      </c>
      <c r="H11" s="36">
        <v>0</v>
      </c>
      <c r="I11" s="36">
        <v>1</v>
      </c>
      <c r="J11" s="36">
        <v>9</v>
      </c>
      <c r="K11" s="36">
        <v>14</v>
      </c>
      <c r="L11" s="36">
        <v>11</v>
      </c>
      <c r="M11" s="36">
        <v>11</v>
      </c>
      <c r="N11" s="452">
        <v>8</v>
      </c>
      <c r="O11" s="27">
        <f>((J11+F11+(LOG(G11)*4/3))*0.15)</f>
        <v>1.7227886704613673</v>
      </c>
      <c r="P11" s="27">
        <f>((M11+F11+(LOG(G11)*4/3))*0.552)+((K11+F11+(LOG(G11)*4/3))*0.576)+((L11+F11+(LOG(G11)*4/3))*0.195)</f>
        <v>19.568996073469261</v>
      </c>
      <c r="Q11" s="27">
        <f>((M11+F11+(LOG(G11)*4/3))*0.607)+((L11+F11+(LOG(G11)*4/3))*0.248)</f>
        <v>11.529895421629794</v>
      </c>
      <c r="R11" s="453">
        <f>((M11+F11+(LOG(G11)*4/3))*0.223)+((K11+F11+(LOG(G11)*4/3))*0)+((L11+F11+(LOG(G11)*4/3))*0)</f>
        <v>3.0072124900858994</v>
      </c>
      <c r="S11" s="27">
        <f>((J11+F11+(LOG(G11)*4/3))*0.406)</f>
        <v>4.6630146680487679</v>
      </c>
      <c r="T11" s="27">
        <f>IF(D11="TEC",((K11+F11+(LOG(G11)*4/3))*0.15)+((L11+F11+(LOG(G11)*4/3))*0.324)+((M11+F11+(LOG(G11)*4/3))*0.127),((K11+F11+(LOG(G11)*4/3))*0.144)+((L11+F11+(LOG(G11)*4/3))*0.25)+((M11+F11+(LOG(G11)*4/3))*0.127))</f>
        <v>7.4578193154024834</v>
      </c>
      <c r="U11" s="27">
        <f>IF(D11="TEC",((L11+F11+(LOG(G11)*4/3))*0.543)+((M11+F11+(LOG(G11)*4/3))*0.583),((L11+F11+(LOG(G11)*4/3))*0.543)+((M11+F11+(LOG(G11)*4/3))*0.583))</f>
        <v>15.184400286263331</v>
      </c>
      <c r="V11" s="453">
        <f>T11</f>
        <v>7.4578193154024834</v>
      </c>
      <c r="W11" s="27">
        <f>((J11+F11+(LOG(G11)*4/3))*0.25)</f>
        <v>2.8713144507689456</v>
      </c>
      <c r="X11" s="27">
        <f>((M11+F11+(LOG(G11)*4/3))*0.26)+((K11+F11+(LOG(G11)*4/3))*0.221)+((L11+F11+(LOG(G11)*4/3))*0.142)</f>
        <v>9.0643156113162124</v>
      </c>
      <c r="Y11" s="27">
        <f>((M11+F11+(LOG(G11)*4/3))*1)+((L11+F11+(LOG(G11)*4/3))*0.369)</f>
        <v>18.461317932410747</v>
      </c>
      <c r="Z11" s="453">
        <f>X11</f>
        <v>9.0643156113162124</v>
      </c>
      <c r="AA11">
        <v>6700</v>
      </c>
      <c r="AB11" s="454">
        <v>20.8</v>
      </c>
      <c r="AC11" s="41">
        <v>3000</v>
      </c>
      <c r="AD11" s="41">
        <v>4000</v>
      </c>
      <c r="AE11" s="455">
        <v>4900</v>
      </c>
      <c r="AF11" s="25">
        <f>AA11+(AB11*16*(36-B11-((112-C11)/112)))-AC11</f>
        <v>6201.942857142858</v>
      </c>
      <c r="AG11" s="25">
        <f>AA11+(AB11*16*(34-B11-((112-C11)/112)))-AD11</f>
        <v>4536.3428571428576</v>
      </c>
      <c r="AH11" s="456">
        <f>AA11+(AB11*16*(32-B11-((112-C11)/112)))-AE11</f>
        <v>2970.7428571428572</v>
      </c>
      <c r="AI11" s="25">
        <f>(AF11)/(36-B11+((112-C11)/112))</f>
        <v>731.17642105263167</v>
      </c>
      <c r="AJ11" s="25">
        <f>(AG11)/(34-B11+((112-C11)/112))</f>
        <v>699.82148760330585</v>
      </c>
      <c r="AK11" s="429">
        <f>(AH11)/(32-B11+((112-C11)/112))</f>
        <v>662.79521912350606</v>
      </c>
    </row>
    <row r="12" spans="1:37" x14ac:dyDescent="0.25">
      <c r="A12" s="423" t="s">
        <v>887</v>
      </c>
      <c r="B12" s="448">
        <v>29</v>
      </c>
      <c r="C12" s="25">
        <v>21</v>
      </c>
      <c r="D12" s="42" t="s">
        <v>165</v>
      </c>
      <c r="E12" s="449">
        <v>0</v>
      </c>
      <c r="F12" s="450">
        <v>1</v>
      </c>
      <c r="G12" s="451">
        <v>8</v>
      </c>
      <c r="H12" s="36">
        <v>0</v>
      </c>
      <c r="I12" s="36">
        <v>0</v>
      </c>
      <c r="J12" s="36">
        <v>6</v>
      </c>
      <c r="K12" s="36">
        <v>10</v>
      </c>
      <c r="L12" s="36">
        <v>13</v>
      </c>
      <c r="M12" s="36">
        <v>13</v>
      </c>
      <c r="N12" s="452">
        <v>3</v>
      </c>
      <c r="O12" s="27">
        <f>((J12+F12+(LOG(G12)*4/3))*0.15)</f>
        <v>1.2306179973983886</v>
      </c>
      <c r="P12" s="27">
        <f>((M12+F12+(LOG(G12)*4/3))*0.552)+((K12+F12+(LOG(G12)*4/3))*0.576)+((L12+F12+(LOG(G12)*4/3))*0.195)</f>
        <v>18.387050737053787</v>
      </c>
      <c r="Q12" s="27">
        <f>((M12+F12+(LOG(G12)*4/3))*0.607)+((L12+F12+(LOG(G12)*4/3))*0.248)</f>
        <v>12.999522585170816</v>
      </c>
      <c r="R12" s="453">
        <f>((M12+F12+(LOG(G12)*4/3))*0.223)+((K12+F12+(LOG(G12)*4/3))*0)+((L12+F12+(LOG(G12)*4/3))*0)</f>
        <v>3.3905187561322712</v>
      </c>
      <c r="S12" s="27">
        <f>((J12+F12+(LOG(G12)*4/3))*0.406)</f>
        <v>3.330872712958306</v>
      </c>
      <c r="T12" s="27">
        <f>IF(D12="TEC",((K12+F12+(LOG(G12)*4/3))*0.15)+((L12+F12+(LOG(G12)*4/3))*0.324)+((M12+F12+(LOG(G12)*4/3))*0.127),((K12+F12+(LOG(G12)*4/3))*0.144)+((L12+F12+(LOG(G12)*4/3))*0.25)+((M12+F12+(LOG(G12)*4/3))*0.127))</f>
        <v>7.4893465109637374</v>
      </c>
      <c r="U12" s="27">
        <f>IF(D12="TEC",((L12+F12+(LOG(G12)*4/3))*0.543)+((M12+F12+(LOG(G12)*4/3))*0.583),((L12+F12+(LOG(G12)*4/3))*0.543)+((M12+F12+(LOG(G12)*4/3))*0.583))</f>
        <v>17.119839100470571</v>
      </c>
      <c r="V12" s="453">
        <f>T12</f>
        <v>7.4893465109637374</v>
      </c>
      <c r="W12" s="27">
        <f>((J12+F12+(LOG(G12)*4/3))*0.25)</f>
        <v>2.0510299956639813</v>
      </c>
      <c r="X12" s="27">
        <f>((M12+F12+(LOG(G12)*4/3))*0.26)+((K12+F12+(LOG(G12)*4/3))*0.221)+((L12+F12+(LOG(G12)*4/3))*0.142)</f>
        <v>8.8091667491946417</v>
      </c>
      <c r="Y12" s="27">
        <f>((M12+F12+(LOG(G12)*4/3))*1)+((L12+F12+(LOG(G12)*4/3))*0.369)</f>
        <v>20.814440256255963</v>
      </c>
      <c r="Z12" s="453">
        <f>X12</f>
        <v>8.8091667491946417</v>
      </c>
      <c r="AA12">
        <v>5100</v>
      </c>
      <c r="AB12" s="454">
        <v>24.9</v>
      </c>
      <c r="AC12" s="41">
        <v>1650</v>
      </c>
      <c r="AD12" s="41">
        <v>2500</v>
      </c>
      <c r="AE12" s="455">
        <v>3200</v>
      </c>
      <c r="AF12" s="25">
        <f>AA12+(AB12*16*(36-B12-((112-C12)/112)))-AC12</f>
        <v>5915.1</v>
      </c>
      <c r="AG12" s="25">
        <f>AA12+(AB12*16*(34-B12-((112-C12)/112)))-AD12</f>
        <v>4268.3</v>
      </c>
      <c r="AH12" s="456">
        <f>AA12+(AB12*16*(32-B12-((112-C12)/112)))-AE12</f>
        <v>2771.5</v>
      </c>
      <c r="AI12" s="25">
        <f>(AF12)/(36-B12+((112-C12)/112))</f>
        <v>757.13280000000009</v>
      </c>
      <c r="AJ12" s="25">
        <f>(AG12)/(34-B12+((112-C12)/112))</f>
        <v>734.33118279569896</v>
      </c>
      <c r="AK12" s="456">
        <f>(AH12)/(32-B12+((112-C12)/112))</f>
        <v>726.95081967213116</v>
      </c>
    </row>
    <row r="13" spans="1:37" x14ac:dyDescent="0.25">
      <c r="A13" s="423" t="s">
        <v>886</v>
      </c>
      <c r="B13" s="448">
        <v>29</v>
      </c>
      <c r="C13" s="25">
        <v>80</v>
      </c>
      <c r="D13" s="42" t="s">
        <v>168</v>
      </c>
      <c r="E13" s="449">
        <v>4</v>
      </c>
      <c r="F13" s="450">
        <v>1</v>
      </c>
      <c r="G13" s="451">
        <v>6</v>
      </c>
      <c r="H13" s="36">
        <v>0</v>
      </c>
      <c r="I13" s="36">
        <v>2</v>
      </c>
      <c r="J13" s="36">
        <v>4</v>
      </c>
      <c r="K13" s="36">
        <v>7</v>
      </c>
      <c r="L13" s="36">
        <v>13</v>
      </c>
      <c r="M13" s="36">
        <v>12</v>
      </c>
      <c r="N13" s="452">
        <v>7</v>
      </c>
      <c r="O13" s="27">
        <f>((J13+F13+(LOG(G13)*4/3))*0.15)</f>
        <v>0.9056302500767287</v>
      </c>
      <c r="P13" s="27">
        <f>((M13+F13+(LOG(G13)*4/3))*0.552)+((K13+F13+(LOG(G13)*4/3))*0.576)+((L13+F13+(LOG(G13)*4/3))*0.195)</f>
        <v>15.886658805676749</v>
      </c>
      <c r="Q13" s="27">
        <f>((M13+F13+(LOG(G13)*4/3))*0.607)+((L13+F13+(LOG(G13)*4/3))*0.248)</f>
        <v>12.250092425437353</v>
      </c>
      <c r="R13" s="453">
        <f>((M13+F13+(LOG(G13)*4/3))*0.223)+((K13+F13+(LOG(G13)*4/3))*0)+((L13+F13+(LOG(G13)*4/3))*0)</f>
        <v>3.1303703051140701</v>
      </c>
      <c r="S13" s="27">
        <f>((J13+F13+(LOG(G13)*4/3))*0.406)</f>
        <v>2.4512392102076794</v>
      </c>
      <c r="T13" s="27">
        <f>IF(D13="TEC",((K13+F13+(LOG(G13)*4/3))*0.15)+((L13+F13+(LOG(G13)*4/3))*0.324)+((M13+F13+(LOG(G13)*4/3))*0.127),((K13+F13+(LOG(G13)*4/3))*0.144)+((L13+F13+(LOG(G13)*4/3))*0.25)+((M13+F13+(LOG(G13)*4/3))*0.127))</f>
        <v>6.843555735266504</v>
      </c>
      <c r="U13" s="27">
        <f>IF(D13="TEC",((L13+F13+(LOG(G13)*4/3))*0.543)+((M13+F13+(LOG(G13)*4/3))*0.583),((L13+F13+(LOG(G13)*4/3))*0.543)+((M13+F13+(LOG(G13)*4/3))*0.583))</f>
        <v>16.349264410575977</v>
      </c>
      <c r="V13" s="453">
        <f>T13</f>
        <v>6.843555735266504</v>
      </c>
      <c r="W13" s="27">
        <f>((J13+F13+(LOG(G13)*4/3))*0.25)</f>
        <v>1.5093837501278813</v>
      </c>
      <c r="X13" s="27">
        <f>((M13+F13+(LOG(G13)*4/3))*0.26)+((K13+F13+(LOG(G13)*4/3))*0.221)+((L13+F13+(LOG(G13)*4/3))*0.142)</f>
        <v>7.7823843053186792</v>
      </c>
      <c r="Y13" s="27">
        <f>((M13+F13+(LOG(G13)*4/3))*1)+((L13+F13+(LOG(G13)*4/3))*0.369)</f>
        <v>19.586385415700278</v>
      </c>
      <c r="Z13" s="453">
        <f>X13</f>
        <v>7.7823843053186792</v>
      </c>
      <c r="AA13">
        <v>3400</v>
      </c>
      <c r="AB13" s="454">
        <v>11.6</v>
      </c>
      <c r="AC13" s="41">
        <v>700</v>
      </c>
      <c r="AD13" s="41">
        <v>1000</v>
      </c>
      <c r="AE13" s="455">
        <v>1500</v>
      </c>
      <c r="AF13" s="25">
        <f>AA13+(AB13*16*(36-B13-((112-C13)/112)))-AC13</f>
        <v>3946.1714285714288</v>
      </c>
      <c r="AG13" s="25">
        <f>AA13+(AB13*16*(34-B13-((112-C13)/112)))-AD13</f>
        <v>3274.971428571429</v>
      </c>
      <c r="AH13" s="456">
        <f>AA13+(AB13*16*(32-B13-((112-C13)/112)))-AE13</f>
        <v>2403.7714285714287</v>
      </c>
      <c r="AI13" s="25">
        <f>(AF13)/(36-B13+((112-C13)/112))</f>
        <v>541.6313725490196</v>
      </c>
      <c r="AJ13" s="25">
        <f>(AG13)/(34-B13+((112-C13)/112))</f>
        <v>619.58918918918926</v>
      </c>
      <c r="AK13" s="456">
        <f>(AH13)/(32-B13+((112-C13)/112))</f>
        <v>731.5826086956522</v>
      </c>
    </row>
    <row r="14" spans="1:37" x14ac:dyDescent="0.25">
      <c r="A14" s="457" t="s">
        <v>974</v>
      </c>
      <c r="B14" s="278">
        <v>26</v>
      </c>
      <c r="C14" s="25">
        <v>100</v>
      </c>
      <c r="D14" s="42" t="s">
        <v>168</v>
      </c>
      <c r="E14" s="422">
        <v>3</v>
      </c>
      <c r="F14" s="424">
        <v>1</v>
      </c>
      <c r="G14" s="425">
        <v>6</v>
      </c>
      <c r="H14" s="36">
        <v>1</v>
      </c>
      <c r="I14" s="36">
        <v>4</v>
      </c>
      <c r="J14" s="36">
        <v>7</v>
      </c>
      <c r="K14" s="36">
        <v>7</v>
      </c>
      <c r="L14" s="36">
        <v>10</v>
      </c>
      <c r="M14" s="36">
        <v>14</v>
      </c>
      <c r="N14" s="426">
        <v>1</v>
      </c>
      <c r="O14" s="27">
        <f>((J14+F14+(LOG(G14)*4/3))*0.15)</f>
        <v>1.3556302500767288</v>
      </c>
      <c r="P14" s="27">
        <f>((M14+F14+(LOG(G14)*4/3))*0.552)+((K14+F14+(LOG(G14)*4/3))*0.576)+((L14+F14+(LOG(G14)*4/3))*0.195)</f>
        <v>16.405658805676747</v>
      </c>
      <c r="Q14" s="27">
        <f>((M14+F14+(LOG(G14)*4/3))*0.607)+((L14+F14+(LOG(G14)*4/3))*0.248)</f>
        <v>12.720092425437354</v>
      </c>
      <c r="R14" s="427">
        <f>((M14+F14+(LOG(G14)*4/3))*0.223)+((K14+F14+(LOG(G14)*4/3))*0)+((L14+F14+(LOG(G14)*4/3))*0)</f>
        <v>3.5763703051140703</v>
      </c>
      <c r="S14" s="27">
        <f>((J14+F14+(LOG(G14)*4/3))*0.406)</f>
        <v>3.6692392102076794</v>
      </c>
      <c r="T14" s="27">
        <f>IF(D14="TEC",((K14+F14+(LOG(G14)*4/3))*0.15)+((L14+F14+(LOG(G14)*4/3))*0.324)+((M14+F14+(LOG(G14)*4/3))*0.127),((K14+F14+(LOG(G14)*4/3))*0.144)+((L14+F14+(LOG(G14)*4/3))*0.25)+((M14+F14+(LOG(G14)*4/3))*0.127))</f>
        <v>6.3475557352665035</v>
      </c>
      <c r="U14" s="27">
        <f>IF(D14="TEC",((L14+F14+(LOG(G14)*4/3))*0.543)+((M14+F14+(LOG(G14)*4/3))*0.583),((L14+F14+(LOG(G14)*4/3))*0.543)+((M14+F14+(LOG(G14)*4/3))*0.583))</f>
        <v>15.886264410575976</v>
      </c>
      <c r="V14" s="427">
        <f>T14</f>
        <v>6.3475557352665035</v>
      </c>
      <c r="W14" s="27">
        <f>((J14+F14+(LOG(G14)*4/3))*0.25)</f>
        <v>2.2593837501278813</v>
      </c>
      <c r="X14" s="27">
        <f>((M14+F14+(LOG(G14)*4/3))*0.26)+((K14+F14+(LOG(G14)*4/3))*0.221)+((L14+F14+(LOG(G14)*4/3))*0.142)</f>
        <v>7.8763843053186804</v>
      </c>
      <c r="Y14" s="27">
        <f>((M14+F14+(LOG(G14)*4/3))*1)+((L14+F14+(LOG(G14)*4/3))*0.369)</f>
        <v>20.479385415700278</v>
      </c>
      <c r="Z14" s="427">
        <f>X14</f>
        <v>7.8763843053186804</v>
      </c>
      <c r="AA14" s="459">
        <v>5200</v>
      </c>
      <c r="AB14" s="286">
        <v>29</v>
      </c>
      <c r="AC14" s="41">
        <v>1900</v>
      </c>
      <c r="AD14" s="41">
        <v>2300</v>
      </c>
      <c r="AE14" s="428">
        <v>3000</v>
      </c>
      <c r="AF14" s="25">
        <f>AA14+(AB14*16*(36-B14-((112-C14)/112)))-AC14</f>
        <v>7890.2857142857138</v>
      </c>
      <c r="AG14" s="25">
        <f>AA14+(AB14*16*(34-B14-((112-C14)/112)))-AD14</f>
        <v>6562.2857142857138</v>
      </c>
      <c r="AH14" s="429">
        <f>AA14+(AB14*16*(32-B14-((112-C14)/112)))-AE14</f>
        <v>4934.2857142857147</v>
      </c>
      <c r="AI14" s="25">
        <f>(AF14)/(36-B14+((112-C14)/112))</f>
        <v>780.66431095406347</v>
      </c>
      <c r="AJ14" s="25">
        <f>(AG14)/(34-B14+((112-C14)/112))</f>
        <v>809.44493392070478</v>
      </c>
      <c r="AK14" s="429">
        <f>(AH14)/(32-B14+((112-C14)/112))</f>
        <v>807.95321637426912</v>
      </c>
    </row>
    <row r="15" spans="1:37" x14ac:dyDescent="0.25">
      <c r="A15" s="423" t="s">
        <v>888</v>
      </c>
      <c r="B15" s="278">
        <v>29</v>
      </c>
      <c r="C15" s="25">
        <v>13</v>
      </c>
      <c r="D15" s="42" t="s">
        <v>168</v>
      </c>
      <c r="E15" s="422">
        <v>4</v>
      </c>
      <c r="F15" s="424">
        <v>1</v>
      </c>
      <c r="G15" s="425">
        <v>5</v>
      </c>
      <c r="H15" s="36">
        <v>0</v>
      </c>
      <c r="I15" s="36">
        <v>2</v>
      </c>
      <c r="J15" s="36">
        <v>6</v>
      </c>
      <c r="K15" s="36">
        <v>11</v>
      </c>
      <c r="L15" s="36">
        <v>13</v>
      </c>
      <c r="M15" s="36">
        <v>12</v>
      </c>
      <c r="N15" s="426">
        <v>12</v>
      </c>
      <c r="O15" s="27">
        <f>((J15+F15+(LOG(G15)*4/3))*0.15)</f>
        <v>1.1897940008672037</v>
      </c>
      <c r="P15" s="27">
        <f>((M15+F15+(LOG(G15)*4/3))*0.552)+((K15+F15+(LOG(G15)*4/3))*0.576)+((L15+F15+(LOG(G15)*4/3))*0.195)</f>
        <v>18.050983087648735</v>
      </c>
      <c r="Q15" s="27">
        <f>((M15+F15+(LOG(G15)*4/3))*0.607)+((L15+F15+(LOG(G15)*4/3))*0.248)</f>
        <v>12.159825804943059</v>
      </c>
      <c r="R15" s="427">
        <f>((M15+F15+(LOG(G15)*4/3))*0.223)+((K15+F15+(LOG(G15)*4/3))*0)+((L15+F15+(LOG(G15)*4/3))*0)</f>
        <v>3.1068270812892429</v>
      </c>
      <c r="S15" s="27">
        <f>((J15+F15+(LOG(G15)*4/3))*0.406)</f>
        <v>3.2203757623472318</v>
      </c>
      <c r="T15" s="27">
        <f>IF(D15="TEC",((K15+F15+(LOG(G15)*4/3))*0.15)+((L15+F15+(LOG(G15)*4/3))*0.324)+((M15+F15+(LOG(G15)*4/3))*0.127),((K15+F15+(LOG(G15)*4/3))*0.144)+((L15+F15+(LOG(G15)*4/3))*0.25)+((M15+F15+(LOG(G15)*4/3))*0.127))</f>
        <v>7.364551163012087</v>
      </c>
      <c r="U15" s="27">
        <f>IF(D15="TEC",((L15+F15+(LOG(G15)*4/3))*0.543)+((M15+F15+(LOG(G15)*4/3))*0.583),((L15+F15+(LOG(G15)*4/3))*0.543)+((M15+F15+(LOG(G15)*4/3))*0.583))</f>
        <v>16.230386966509812</v>
      </c>
      <c r="V15" s="427">
        <f>T15</f>
        <v>7.364551163012087</v>
      </c>
      <c r="W15" s="27">
        <f>((J15+F15+(LOG(G15)*4/3))*0.25)</f>
        <v>1.9829900014453397</v>
      </c>
      <c r="X15" s="27">
        <f>((M15+F15+(LOG(G15)*4/3))*0.26)+((K15+F15+(LOG(G15)*4/3))*0.221)+((L15+F15+(LOG(G15)*4/3))*0.142)</f>
        <v>8.6006110836017857</v>
      </c>
      <c r="Y15" s="27">
        <f>((M15+F15+(LOG(G15)*4/3))*1)+((L15+F15+(LOG(G15)*4/3))*0.369)</f>
        <v>19.441853247914679</v>
      </c>
      <c r="Z15" s="427">
        <f>X15</f>
        <v>8.6006110836017857</v>
      </c>
      <c r="AA15">
        <v>5100</v>
      </c>
      <c r="AB15" s="286">
        <v>16</v>
      </c>
      <c r="AC15" s="41">
        <v>1200</v>
      </c>
      <c r="AD15" s="41">
        <v>1500</v>
      </c>
      <c r="AE15" s="428">
        <v>2500</v>
      </c>
      <c r="AF15" s="25">
        <f>AA15+(AB15*16*(36-B15-((112-C15)/112)))-AC15</f>
        <v>5465.7142857142862</v>
      </c>
      <c r="AG15" s="25">
        <f>AA15+(AB15*16*(34-B15-((112-C15)/112)))-AD15</f>
        <v>4653.7142857142862</v>
      </c>
      <c r="AH15" s="429">
        <f>AA15+(AB15*16*(32-B15-((112-C15)/112)))-AE15</f>
        <v>3141.7142857142862</v>
      </c>
      <c r="AI15" s="25">
        <f>(AF15)/(36-B15+((112-C15)/112))</f>
        <v>693.27293318233308</v>
      </c>
      <c r="AJ15" s="25">
        <f>(AG15)/(34-B15+((112-C15)/112))</f>
        <v>790.91957511380895</v>
      </c>
      <c r="AK15" s="429">
        <f>(AH15)/(32-B15+((112-C15)/112))</f>
        <v>808.9011494252876</v>
      </c>
    </row>
    <row r="16" spans="1:37" x14ac:dyDescent="0.25">
      <c r="A16" s="423" t="s">
        <v>893</v>
      </c>
      <c r="B16" s="278">
        <v>27</v>
      </c>
      <c r="C16" s="25">
        <v>72</v>
      </c>
      <c r="D16" s="42" t="s">
        <v>168</v>
      </c>
      <c r="E16" s="422">
        <v>4</v>
      </c>
      <c r="F16" s="424">
        <v>1</v>
      </c>
      <c r="G16" s="425">
        <v>6</v>
      </c>
      <c r="H16" s="36">
        <v>0</v>
      </c>
      <c r="I16" s="36">
        <v>3</v>
      </c>
      <c r="J16" s="36">
        <v>3</v>
      </c>
      <c r="K16" s="36">
        <v>6</v>
      </c>
      <c r="L16" s="36">
        <v>10</v>
      </c>
      <c r="M16" s="36">
        <v>14</v>
      </c>
      <c r="N16" s="426">
        <v>12</v>
      </c>
      <c r="O16" s="27">
        <f>((J16+F16+(LOG(G16)*4/3))*0.15)</f>
        <v>0.75563025007672879</v>
      </c>
      <c r="P16" s="27">
        <f>((M16+F16+(LOG(G16)*4/3))*0.552)+((K16+F16+(LOG(G16)*4/3))*0.576)+((L16+F16+(LOG(G16)*4/3))*0.195)</f>
        <v>15.829658805676747</v>
      </c>
      <c r="Q16" s="27">
        <f>((M16+F16+(LOG(G16)*4/3))*0.607)+((L16+F16+(LOG(G16)*4/3))*0.248)</f>
        <v>12.720092425437354</v>
      </c>
      <c r="R16" s="427">
        <f>((M16+F16+(LOG(G16)*4/3))*0.223)+((K16+F16+(LOG(G16)*4/3))*0)+((L16+F16+(LOG(G16)*4/3))*0)</f>
        <v>3.5763703051140703</v>
      </c>
      <c r="S16" s="27">
        <f>((J16+F16+(LOG(G16)*4/3))*0.406)</f>
        <v>2.0452392102076793</v>
      </c>
      <c r="T16" s="27">
        <f>IF(D16="TEC",((K16+F16+(LOG(G16)*4/3))*0.15)+((L16+F16+(LOG(G16)*4/3))*0.324)+((M16+F16+(LOG(G16)*4/3))*0.127),((K16+F16+(LOG(G16)*4/3))*0.144)+((L16+F16+(LOG(G16)*4/3))*0.25)+((M16+F16+(LOG(G16)*4/3))*0.127))</f>
        <v>6.2035557352665052</v>
      </c>
      <c r="U16" s="27">
        <f>IF(D16="TEC",((L16+F16+(LOG(G16)*4/3))*0.543)+((M16+F16+(LOG(G16)*4/3))*0.583),((L16+F16+(LOG(G16)*4/3))*0.543)+((M16+F16+(LOG(G16)*4/3))*0.583))</f>
        <v>15.886264410575976</v>
      </c>
      <c r="V16" s="427">
        <f>T16</f>
        <v>6.2035557352665052</v>
      </c>
      <c r="W16" s="27">
        <f>((J16+F16+(LOG(G16)*4/3))*0.25)</f>
        <v>1.2593837501278813</v>
      </c>
      <c r="X16" s="27">
        <f>((M16+F16+(LOG(G16)*4/3))*0.26)+((K16+F16+(LOG(G16)*4/3))*0.221)+((L16+F16+(LOG(G16)*4/3))*0.142)</f>
        <v>7.6553843053186803</v>
      </c>
      <c r="Y16" s="27">
        <f>((M16+F16+(LOG(G16)*4/3))*1)+((L16+F16+(LOG(G16)*4/3))*0.369)</f>
        <v>20.479385415700278</v>
      </c>
      <c r="Z16" s="427">
        <f>X16</f>
        <v>7.6553843053186803</v>
      </c>
      <c r="AA16">
        <v>4750</v>
      </c>
      <c r="AB16" s="286">
        <f>22.4*1.2</f>
        <v>26.88</v>
      </c>
      <c r="AC16" s="41">
        <v>900</v>
      </c>
      <c r="AD16" s="41">
        <v>1500</v>
      </c>
      <c r="AE16" s="428">
        <v>2300</v>
      </c>
      <c r="AF16" s="25">
        <f>AA16+(AB16*16*(36-B16-((112-C16)/112)))-AC16</f>
        <v>7567.119999999999</v>
      </c>
      <c r="AG16" s="25">
        <f>AA16+(AB16*16*(34-B16-((112-C16)/112)))-AD16</f>
        <v>6106.96</v>
      </c>
      <c r="AH16" s="429">
        <f>AA16+(AB16*16*(32-B16-((112-C16)/112)))-AE16</f>
        <v>4446.8</v>
      </c>
      <c r="AI16" s="25">
        <f>(AF16)/(36-B16+((112-C16)/112))</f>
        <v>808.69984732824412</v>
      </c>
      <c r="AJ16" s="25">
        <f>(AG16)/(34-B16+((112-C16)/112))</f>
        <v>830.07223300970884</v>
      </c>
      <c r="AK16" s="429">
        <f>(AH16)/(32-B16+((112-C16)/112))</f>
        <v>830.06933333333347</v>
      </c>
    </row>
    <row r="17" spans="1:39" x14ac:dyDescent="0.25">
      <c r="A17" s="423" t="s">
        <v>897</v>
      </c>
      <c r="B17" s="278">
        <v>25</v>
      </c>
      <c r="C17" s="25">
        <v>86</v>
      </c>
      <c r="D17" s="42" t="s">
        <v>178</v>
      </c>
      <c r="E17" s="422">
        <v>6</v>
      </c>
      <c r="F17" s="424">
        <v>1</v>
      </c>
      <c r="G17" s="425">
        <v>4</v>
      </c>
      <c r="H17" s="36">
        <v>0</v>
      </c>
      <c r="I17" s="36">
        <v>2</v>
      </c>
      <c r="J17" s="36">
        <v>9</v>
      </c>
      <c r="K17" s="36">
        <v>9</v>
      </c>
      <c r="L17" s="36">
        <v>8</v>
      </c>
      <c r="M17" s="36">
        <v>12</v>
      </c>
      <c r="N17" s="426">
        <v>2</v>
      </c>
      <c r="O17" s="27">
        <f>((J17+F17+(LOG(G17)*4/3))*0.15)</f>
        <v>1.6204119982655925</v>
      </c>
      <c r="P17" s="27">
        <f>((M17+F17+(LOG(G17)*4/3))*0.552)+((K17+F17+(LOG(G17)*4/3))*0.576)+((L17+F17+(LOG(G17)*4/3))*0.195)</f>
        <v>15.753033824702527</v>
      </c>
      <c r="Q17" s="27">
        <f>((M17+F17+(LOG(G17)*4/3))*0.607)+((L17+F17+(LOG(G17)*4/3))*0.248)</f>
        <v>10.809348390113877</v>
      </c>
      <c r="R17" s="427">
        <f>((M17+F17+(LOG(G17)*4/3))*0.223)+((K17+F17+(LOG(G17)*4/3))*0)+((L17+F17+(LOG(G17)*4/3))*0)</f>
        <v>3.0780125040881812</v>
      </c>
      <c r="S17" s="27">
        <f>((J17+F17+(LOG(G17)*4/3))*0.406)</f>
        <v>4.3859151419722044</v>
      </c>
      <c r="T17" s="27">
        <f>IF(D17="TEC",((K17+F17+(LOG(G17)*4/3))*0.15)+((L17+F17+(LOG(G17)*4/3))*0.324)+((M17+F17+(LOG(G17)*4/3))*0.127),((K17+F17+(LOG(G17)*4/3))*0.144)+((L17+F17+(LOG(G17)*4/3))*0.25)+((M17+F17+(LOG(G17)*4/3))*0.127))</f>
        <v>5.7592310073091575</v>
      </c>
      <c r="U17" s="27">
        <f>IF(D17="TEC",((L17+F17+(LOG(G17)*4/3))*0.543)+((M17+F17+(LOG(G17)*4/3))*0.583),((L17+F17+(LOG(G17)*4/3))*0.543)+((M17+F17+(LOG(G17)*4/3))*0.583))</f>
        <v>13.369892733647049</v>
      </c>
      <c r="V17" s="427">
        <f>T17</f>
        <v>5.7592310073091575</v>
      </c>
      <c r="W17" s="27">
        <f>((J17+F17+(LOG(G17)*4/3))*0.25)</f>
        <v>2.7006866637759877</v>
      </c>
      <c r="X17" s="27">
        <f>((M17+F17+(LOG(G17)*4/3))*0.26)+((K17+F17+(LOG(G17)*4/3))*0.221)+((L17+F17+(LOG(G17)*4/3))*0.142)</f>
        <v>7.3681111661297614</v>
      </c>
      <c r="Y17" s="27">
        <f>((M17+F17+(LOG(G17)*4/3))*1)+((L17+F17+(LOG(G17)*4/3))*0.369)</f>
        <v>17.419960170837307</v>
      </c>
      <c r="Z17" s="427">
        <f>X17</f>
        <v>7.3681111661297614</v>
      </c>
      <c r="AA17">
        <v>6600</v>
      </c>
      <c r="AB17" s="286">
        <v>11.8</v>
      </c>
      <c r="AC17" s="41">
        <v>900</v>
      </c>
      <c r="AD17" s="41">
        <v>1800</v>
      </c>
      <c r="AE17" s="428">
        <v>1820</v>
      </c>
      <c r="AF17" s="25">
        <f>AA17+(AB17*16*(36-B17-((112-C17)/112)))-AC17</f>
        <v>7732.971428571429</v>
      </c>
      <c r="AG17" s="25">
        <f>AA17+(AB17*16*(34-B17-((112-C17)/112)))-AD17</f>
        <v>6455.3714285714286</v>
      </c>
      <c r="AH17" s="429">
        <f>AA17+(AB17*16*(32-B17-((112-C17)/112)))-AE17</f>
        <v>6057.7714285714283</v>
      </c>
      <c r="AI17" s="25">
        <f>(AF17)/(36-B17+((112-C17)/112))</f>
        <v>688.46804451510332</v>
      </c>
      <c r="AJ17" s="25">
        <f>(AG17)/(34-B17+((112-C17)/112))</f>
        <v>699.22785299806571</v>
      </c>
      <c r="AK17" s="429">
        <f>(AH17)/(32-B17+((112-C17)/112))</f>
        <v>837.61777777777775</v>
      </c>
    </row>
    <row r="18" spans="1:39" x14ac:dyDescent="0.25">
      <c r="A18" s="423" t="s">
        <v>900</v>
      </c>
      <c r="B18" s="278">
        <v>23</v>
      </c>
      <c r="C18" s="25">
        <v>77</v>
      </c>
      <c r="D18" s="42" t="s">
        <v>165</v>
      </c>
      <c r="E18" s="422">
        <v>4</v>
      </c>
      <c r="F18" s="424">
        <v>1</v>
      </c>
      <c r="G18" s="425">
        <v>4</v>
      </c>
      <c r="H18" s="36">
        <v>0</v>
      </c>
      <c r="I18" s="36">
        <v>3</v>
      </c>
      <c r="J18" s="36">
        <v>5</v>
      </c>
      <c r="K18" s="36">
        <v>5</v>
      </c>
      <c r="L18" s="36">
        <v>13</v>
      </c>
      <c r="M18" s="36">
        <v>14</v>
      </c>
      <c r="N18" s="426">
        <v>4</v>
      </c>
      <c r="O18" s="27">
        <f>((J18+F18+(LOG(G18)*4/3))*0.15)</f>
        <v>1.0204119982655924</v>
      </c>
      <c r="P18" s="27">
        <f>((M18+F18+(LOG(G18)*4/3))*0.552)+((K18+F18+(LOG(G18)*4/3))*0.576)+((L18+F18+(LOG(G18)*4/3))*0.195)</f>
        <v>15.528033824702527</v>
      </c>
      <c r="Q18" s="27">
        <f>((M18+F18+(LOG(G18)*4/3))*0.607)+((L18+F18+(LOG(G18)*4/3))*0.248)</f>
        <v>13.263348390113878</v>
      </c>
      <c r="R18" s="427">
        <f>((M18+F18+(LOG(G18)*4/3))*0.223)+((K18+F18+(LOG(G18)*4/3))*0)+((L18+F18+(LOG(G18)*4/3))*0)</f>
        <v>3.5240125040881809</v>
      </c>
      <c r="S18" s="27">
        <f>((J18+F18+(LOG(G18)*4/3))*0.406)</f>
        <v>2.7619151419722039</v>
      </c>
      <c r="T18" s="27">
        <f>IF(D18="TEC",((K18+F18+(LOG(G18)*4/3))*0.15)+((L18+F18+(LOG(G18)*4/3))*0.324)+((M18+F18+(LOG(G18)*4/3))*0.127),((K18+F18+(LOG(G18)*4/3))*0.144)+((L18+F18+(LOG(G18)*4/3))*0.25)+((M18+F18+(LOG(G18)*4/3))*0.127))</f>
        <v>6.6872310073091583</v>
      </c>
      <c r="U18" s="27">
        <f>IF(D18="TEC",((L18+F18+(LOG(G18)*4/3))*0.543)+((M18+F18+(LOG(G18)*4/3))*0.583),((L18+F18+(LOG(G18)*4/3))*0.543)+((M18+F18+(LOG(G18)*4/3))*0.583))</f>
        <v>17.250892733647049</v>
      </c>
      <c r="V18" s="427">
        <f>T18</f>
        <v>6.6872310073091583</v>
      </c>
      <c r="W18" s="27">
        <f>((J18+F18+(LOG(G18)*4/3))*0.25)</f>
        <v>1.7006866637759874</v>
      </c>
      <c r="X18" s="27">
        <f>((M18+F18+(LOG(G18)*4/3))*0.26)+((K18+F18+(LOG(G18)*4/3))*0.221)+((L18+F18+(LOG(G18)*4/3))*0.142)</f>
        <v>7.7141111661297606</v>
      </c>
      <c r="Y18" s="27">
        <f>((M18+F18+(LOG(G18)*4/3))*1)+((L18+F18+(LOG(G18)*4/3))*0.369)</f>
        <v>21.264960170837309</v>
      </c>
      <c r="Z18" s="427">
        <f>X18</f>
        <v>7.7141111661297606</v>
      </c>
      <c r="AA18">
        <v>8762</v>
      </c>
      <c r="AB18" s="286">
        <v>29.3</v>
      </c>
      <c r="AC18" s="41">
        <v>1500</v>
      </c>
      <c r="AD18" s="41">
        <v>3500</v>
      </c>
      <c r="AE18" s="428">
        <v>5000</v>
      </c>
      <c r="AF18" s="25">
        <f>AA18+(AB18*16*(36-B18-((112-C18)/112)))-AC18</f>
        <v>13209.900000000001</v>
      </c>
      <c r="AG18" s="25">
        <f>AA18+(AB18*16*(34-B18-((112-C18)/112)))-AD18</f>
        <v>10272.299999999999</v>
      </c>
      <c r="AH18" s="429">
        <f>AA18+(AB18*16*(32-B18-((112-C18)/112)))-AE18</f>
        <v>7834.7000000000007</v>
      </c>
      <c r="AI18" s="25">
        <f>(AF18)/(36-B18+((112-C18)/112))</f>
        <v>992.29295774647903</v>
      </c>
      <c r="AJ18" s="25">
        <f>(AG18)/(34-B18+((112-C18)/112))</f>
        <v>908.04861878453028</v>
      </c>
      <c r="AK18" s="429">
        <f>(AH18)/(32-B18+((112-C18)/112))</f>
        <v>841.31006711409407</v>
      </c>
    </row>
    <row r="19" spans="1:39" x14ac:dyDescent="0.25">
      <c r="A19" s="423" t="s">
        <v>899</v>
      </c>
      <c r="B19" s="278">
        <v>25</v>
      </c>
      <c r="C19" s="25">
        <v>4</v>
      </c>
      <c r="D19" s="42" t="s">
        <v>168</v>
      </c>
      <c r="E19" s="422">
        <v>2</v>
      </c>
      <c r="F19" s="424">
        <v>1</v>
      </c>
      <c r="G19" s="425">
        <v>7</v>
      </c>
      <c r="H19" s="36">
        <v>0</v>
      </c>
      <c r="I19" s="36">
        <v>4</v>
      </c>
      <c r="J19" s="36">
        <v>11</v>
      </c>
      <c r="K19" s="36">
        <v>2</v>
      </c>
      <c r="L19" s="36">
        <v>11</v>
      </c>
      <c r="M19" s="36">
        <v>13</v>
      </c>
      <c r="N19" s="426">
        <v>5</v>
      </c>
      <c r="O19" s="27">
        <f>((J19+F19+(LOG(G19)*4/3))*0.15)</f>
        <v>1.9690196080028513</v>
      </c>
      <c r="P19" s="27">
        <f>((M19+F19+(LOG(G19)*4/3))*0.552)+((K19+F19+(LOG(G19)*4/3))*0.576)+((L19+F19+(LOG(G19)*4/3))*0.195)</f>
        <v>13.286752942585149</v>
      </c>
      <c r="Q19" s="27">
        <f>((M19+F19+(LOG(G19)*4/3))*0.607)+((L19+F19+(LOG(G19)*4/3))*0.248)</f>
        <v>12.437411765616252</v>
      </c>
      <c r="R19" s="427">
        <f>((M19+F19+(LOG(G19)*4/3))*0.223)+((K19+F19+(LOG(G19)*4/3))*0)+((L19+F19+(LOG(G19)*4/3))*0)</f>
        <v>3.3732758172309056</v>
      </c>
      <c r="S19" s="27">
        <f>((J19+F19+(LOG(G19)*4/3))*0.406)</f>
        <v>5.3294797389943849</v>
      </c>
      <c r="T19" s="27">
        <f>IF(D19="TEC",((K19+F19+(LOG(G19)*4/3))*0.15)+((L19+F19+(LOG(G19)*4/3))*0.324)+((M19+F19+(LOG(G19)*4/3))*0.127),((K19+F19+(LOG(G19)*4/3))*0.144)+((L19+F19+(LOG(G19)*4/3))*0.25)+((M19+F19+(LOG(G19)*4/3))*0.127))</f>
        <v>5.7970614384632366</v>
      </c>
      <c r="U19" s="27">
        <f>IF(D19="TEC",((L19+F19+(LOG(G19)*4/3))*0.543)+((M19+F19+(LOG(G19)*4/3))*0.583),((L19+F19+(LOG(G19)*4/3))*0.543)+((M19+F19+(LOG(G19)*4/3))*0.583))</f>
        <v>15.94677385740807</v>
      </c>
      <c r="V19" s="427">
        <f>T19</f>
        <v>5.7970614384632366</v>
      </c>
      <c r="W19" s="27">
        <f>((J19+F19+(LOG(G19)*4/3))*0.25)</f>
        <v>3.2816993466714188</v>
      </c>
      <c r="X19" s="27">
        <f>((M19+F19+(LOG(G19)*4/3))*0.26)+((K19+F19+(LOG(G19)*4/3))*0.221)+((L19+F19+(LOG(G19)*4/3))*0.142)</f>
        <v>6.7089947719051759</v>
      </c>
      <c r="Y19" s="27">
        <f>((M19+F19+(LOG(G19)*4/3))*1)+((L19+F19+(LOG(G19)*4/3))*0.369)</f>
        <v>19.970585622372688</v>
      </c>
      <c r="Z19" s="427">
        <f>X19</f>
        <v>6.7089947719051759</v>
      </c>
      <c r="AA19">
        <v>8100</v>
      </c>
      <c r="AB19" s="286">
        <v>22.4</v>
      </c>
      <c r="AC19" s="41">
        <v>2000</v>
      </c>
      <c r="AD19" s="41">
        <v>3000</v>
      </c>
      <c r="AE19" s="428">
        <v>3500</v>
      </c>
      <c r="AF19" s="25">
        <f>AA19+(AB19*16*(36-B19-((112-C19)/112)))-AC19</f>
        <v>9696.7999999999993</v>
      </c>
      <c r="AG19" s="25">
        <f>AA19+(AB19*16*(34-B19-((112-C19)/112)))-AD19</f>
        <v>7980</v>
      </c>
      <c r="AH19" s="429">
        <f>AA19+(AB19*16*(32-B19-((112-C19)/112)))-AE19</f>
        <v>6763.2000000000007</v>
      </c>
      <c r="AI19" s="25">
        <f>(AF19)/(36-B19+((112-C19)/112))</f>
        <v>810.47880597014921</v>
      </c>
      <c r="AJ19" s="25">
        <f>(AG19)/(34-B19+((112-C19)/112))</f>
        <v>800.86021505376345</v>
      </c>
      <c r="AK19" s="429">
        <f>(AH19)/(32-B19+((112-C19)/112))</f>
        <v>849.19103139013464</v>
      </c>
    </row>
    <row r="20" spans="1:39" x14ac:dyDescent="0.25">
      <c r="A20" s="423" t="s">
        <v>895</v>
      </c>
      <c r="B20" s="278">
        <v>27</v>
      </c>
      <c r="C20" s="25">
        <v>10</v>
      </c>
      <c r="D20" s="42" t="s">
        <v>168</v>
      </c>
      <c r="E20" s="422">
        <v>3</v>
      </c>
      <c r="F20" s="424">
        <v>1</v>
      </c>
      <c r="G20" s="425">
        <v>5</v>
      </c>
      <c r="H20" s="36">
        <v>0</v>
      </c>
      <c r="I20" s="36">
        <v>1</v>
      </c>
      <c r="J20" s="36">
        <v>4</v>
      </c>
      <c r="K20" s="36">
        <v>2</v>
      </c>
      <c r="L20" s="36">
        <v>14</v>
      </c>
      <c r="M20" s="36">
        <v>13</v>
      </c>
      <c r="N20" s="426">
        <v>2</v>
      </c>
      <c r="O20" s="27">
        <f>((J20+F20+(LOG(G20)*4/3))*0.15)</f>
        <v>0.88979400086720373</v>
      </c>
      <c r="P20" s="27">
        <f>((M20+F20+(LOG(G20)*4/3))*0.552)+((K20+F20+(LOG(G20)*4/3))*0.576)+((L20+F20+(LOG(G20)*4/3))*0.195)</f>
        <v>13.613983087648737</v>
      </c>
      <c r="Q20" s="27">
        <f>((M20+F20+(LOG(G20)*4/3))*0.607)+((L20+F20+(LOG(G20)*4/3))*0.248)</f>
        <v>13.014825804943062</v>
      </c>
      <c r="R20" s="427">
        <f>((M20+F20+(LOG(G20)*4/3))*0.223)+((K20+F20+(LOG(G20)*4/3))*0)+((L20+F20+(LOG(G20)*4/3))*0)</f>
        <v>3.3298270812892428</v>
      </c>
      <c r="S20" s="27">
        <f>((J20+F20+(LOG(G20)*4/3))*0.406)</f>
        <v>2.4083757623472319</v>
      </c>
      <c r="T20" s="27">
        <f>IF(D20="TEC",((K20+F20+(LOG(G20)*4/3))*0.15)+((L20+F20+(LOG(G20)*4/3))*0.324)+((M20+F20+(LOG(G20)*4/3))*0.127),((K20+F20+(LOG(G20)*4/3))*0.144)+((L20+F20+(LOG(G20)*4/3))*0.25)+((M20+F20+(LOG(G20)*4/3))*0.127))</f>
        <v>6.4455511630120874</v>
      </c>
      <c r="U20" s="27">
        <f>IF(D20="TEC",((L20+F20+(LOG(G20)*4/3))*0.543)+((M20+F20+(LOG(G20)*4/3))*0.583),((L20+F20+(LOG(G20)*4/3))*0.543)+((M20+F20+(LOG(G20)*4/3))*0.583))</f>
        <v>17.35638696650981</v>
      </c>
      <c r="V20" s="427">
        <f>T20</f>
        <v>6.4455511630120874</v>
      </c>
      <c r="W20" s="27">
        <f>((J20+F20+(LOG(G20)*4/3))*0.25)</f>
        <v>1.4829900014453397</v>
      </c>
      <c r="X20" s="27">
        <f>((M20+F20+(LOG(G20)*4/3))*0.26)+((K20+F20+(LOG(G20)*4/3))*0.221)+((L20+F20+(LOG(G20)*4/3))*0.142)</f>
        <v>7.013611083601786</v>
      </c>
      <c r="Y20" s="27">
        <f>((M20+F20+(LOG(G20)*4/3))*1)+((L20+F20+(LOG(G20)*4/3))*0.369)</f>
        <v>20.810853247914679</v>
      </c>
      <c r="Z20" s="427">
        <f>X20</f>
        <v>7.013611083601786</v>
      </c>
      <c r="AA20">
        <v>5500</v>
      </c>
      <c r="AB20" s="286">
        <v>23.2</v>
      </c>
      <c r="AC20" s="41">
        <v>1200</v>
      </c>
      <c r="AD20" s="41">
        <v>1500</v>
      </c>
      <c r="AE20" s="428">
        <v>1900</v>
      </c>
      <c r="AF20" s="25">
        <f>AA20+(AB20*16*(36-B20-((112-C20)/112)))-AC20</f>
        <v>7302.7428571428572</v>
      </c>
      <c r="AG20" s="25">
        <f>AA20+(AB20*16*(34-B20-((112-C20)/112)))-AD20</f>
        <v>6260.3428571428576</v>
      </c>
      <c r="AH20" s="429">
        <f>AA20+(AB20*16*(32-B20-((112-C20)/112)))-AE20</f>
        <v>5117.9428571428571</v>
      </c>
      <c r="AI20" s="25">
        <f>(AF20)/(36-B20+((112-C20)/112))</f>
        <v>736.85333333333324</v>
      </c>
      <c r="AJ20" s="25">
        <f>(AG20)/(34-B20+((112-C20)/112))</f>
        <v>791.37516930022582</v>
      </c>
      <c r="AK20" s="429">
        <f>(AH20)/(32-B20+((112-C20)/112))</f>
        <v>865.87552870090633</v>
      </c>
    </row>
    <row r="21" spans="1:39" x14ac:dyDescent="0.25">
      <c r="A21" s="423" t="s">
        <v>890</v>
      </c>
      <c r="B21" s="278">
        <v>29</v>
      </c>
      <c r="C21" s="25">
        <v>20</v>
      </c>
      <c r="D21" s="42" t="s">
        <v>165</v>
      </c>
      <c r="E21" s="422">
        <v>5</v>
      </c>
      <c r="F21" s="424">
        <v>1</v>
      </c>
      <c r="G21" s="425">
        <v>7</v>
      </c>
      <c r="H21" s="36">
        <v>0</v>
      </c>
      <c r="I21" s="36">
        <v>4</v>
      </c>
      <c r="J21" s="36">
        <v>2</v>
      </c>
      <c r="K21" s="36">
        <v>2</v>
      </c>
      <c r="L21" s="36">
        <v>16</v>
      </c>
      <c r="M21" s="36">
        <v>12</v>
      </c>
      <c r="N21" s="426">
        <v>16</v>
      </c>
      <c r="O21" s="27">
        <f>((J21+F21+(LOG(G21)*4/3))*0.15)</f>
        <v>0.61901960800285127</v>
      </c>
      <c r="P21" s="27">
        <f>((M21+F21+(LOG(G21)*4/3))*0.552)+((K21+F21+(LOG(G21)*4/3))*0.576)+((L21+F21+(LOG(G21)*4/3))*0.195)</f>
        <v>13.709752942585149</v>
      </c>
      <c r="Q21" s="27">
        <f>((M21+F21+(LOG(G21)*4/3))*0.607)+((L21+F21+(LOG(G21)*4/3))*0.248)</f>
        <v>13.070411765616253</v>
      </c>
      <c r="R21" s="427">
        <f>((M21+F21+(LOG(G21)*4/3))*0.223)+((K21+F21+(LOG(G21)*4/3))*0)+((L21+F21+(LOG(G21)*4/3))*0)</f>
        <v>3.1502758172309058</v>
      </c>
      <c r="S21" s="27">
        <f>((J21+F21+(LOG(G21)*4/3))*0.406)</f>
        <v>1.6754797389943843</v>
      </c>
      <c r="T21" s="27">
        <f>IF(D21="TEC",((K21+F21+(LOG(G21)*4/3))*0.15)+((L21+F21+(LOG(G21)*4/3))*0.324)+((M21+F21+(LOG(G21)*4/3))*0.127),((K21+F21+(LOG(G21)*4/3))*0.144)+((L21+F21+(LOG(G21)*4/3))*0.25)+((M21+F21+(LOG(G21)*4/3))*0.127))</f>
        <v>6.9200614384632368</v>
      </c>
      <c r="U21" s="27">
        <f>IF(D21="TEC",((L21+F21+(LOG(G21)*4/3))*0.543)+((M21+F21+(LOG(G21)*4/3))*0.583),((L21+F21+(LOG(G21)*4/3))*0.543)+((M21+F21+(LOG(G21)*4/3))*0.583))</f>
        <v>18.078773857408073</v>
      </c>
      <c r="V21" s="427">
        <f>T21</f>
        <v>6.9200614384632368</v>
      </c>
      <c r="W21" s="27">
        <f>((J21+F21+(LOG(G21)*4/3))*0.25)</f>
        <v>1.0316993466714188</v>
      </c>
      <c r="X21" s="27">
        <f>((M21+F21+(LOG(G21)*4/3))*0.26)+((K21+F21+(LOG(G21)*4/3))*0.221)+((L21+F21+(LOG(G21)*4/3))*0.142)</f>
        <v>7.1589947719051761</v>
      </c>
      <c r="Y21" s="27">
        <f>((M21+F21+(LOG(G21)*4/3))*1)+((L21+F21+(LOG(G21)*4/3))*0.369)</f>
        <v>20.815585622372691</v>
      </c>
      <c r="Z21" s="427">
        <f>X21</f>
        <v>7.1589947719051761</v>
      </c>
      <c r="AA21">
        <v>3290</v>
      </c>
      <c r="AB21" s="286">
        <v>36.1</v>
      </c>
      <c r="AC21" s="41">
        <v>850</v>
      </c>
      <c r="AD21" s="41">
        <v>950</v>
      </c>
      <c r="AE21" s="428">
        <v>1200</v>
      </c>
      <c r="AF21" s="25">
        <f>AA21+(AB21*16*(36-B21-((112-C21)/112)))-AC21</f>
        <v>6008.7428571428572</v>
      </c>
      <c r="AG21" s="25">
        <f>AA21+(AB21*16*(34-B21-((112-C21)/112)))-AD21</f>
        <v>4753.5428571428574</v>
      </c>
      <c r="AH21" s="429">
        <f>AA21+(AB21*16*(32-B21-((112-C21)/112)))-AE21</f>
        <v>3348.3428571428576</v>
      </c>
      <c r="AI21" s="25">
        <f>(AF21)/(36-B21+((112-C21)/112))</f>
        <v>768.24109589041097</v>
      </c>
      <c r="AJ21" s="25">
        <f>(AG21)/(34-B21+((112-C21)/112))</f>
        <v>816.55950920245402</v>
      </c>
      <c r="AK21" s="429">
        <f>(AH21)/(32-B21+((112-C21)/112))</f>
        <v>876.20186915887871</v>
      </c>
    </row>
    <row r="22" spans="1:39" x14ac:dyDescent="0.25">
      <c r="A22" s="423" t="s">
        <v>894</v>
      </c>
      <c r="B22" s="278">
        <v>27</v>
      </c>
      <c r="C22" s="25">
        <v>103</v>
      </c>
      <c r="D22" s="42" t="s">
        <v>178</v>
      </c>
      <c r="E22" s="422">
        <v>3</v>
      </c>
      <c r="F22" s="424">
        <v>1</v>
      </c>
      <c r="G22" s="425">
        <v>6</v>
      </c>
      <c r="H22" s="36">
        <v>0</v>
      </c>
      <c r="I22" s="36">
        <v>4</v>
      </c>
      <c r="J22" s="36">
        <v>9</v>
      </c>
      <c r="K22" s="36">
        <v>1</v>
      </c>
      <c r="L22" s="36">
        <v>14</v>
      </c>
      <c r="M22" s="36">
        <v>12</v>
      </c>
      <c r="N22" s="426">
        <v>1</v>
      </c>
      <c r="O22" s="27">
        <f>((J22+F22+(LOG(G22)*4/3))*0.15)</f>
        <v>1.6556302500767288</v>
      </c>
      <c r="P22" s="27">
        <f>((M22+F22+(LOG(G22)*4/3))*0.552)+((K22+F22+(LOG(G22)*4/3))*0.576)+((L22+F22+(LOG(G22)*4/3))*0.195)</f>
        <v>12.62565880567675</v>
      </c>
      <c r="Q22" s="27">
        <f>((M22+F22+(LOG(G22)*4/3))*0.607)+((L22+F22+(LOG(G22)*4/3))*0.248)</f>
        <v>12.498092425437354</v>
      </c>
      <c r="R22" s="427">
        <f>((M22+F22+(LOG(G22)*4/3))*0.223)+((K22+F22+(LOG(G22)*4/3))*0)+((L22+F22+(LOG(G22)*4/3))*0)</f>
        <v>3.1303703051140701</v>
      </c>
      <c r="S22" s="27">
        <f>((J22+F22+(LOG(G22)*4/3))*0.406)</f>
        <v>4.4812392102076792</v>
      </c>
      <c r="T22" s="27">
        <f>IF(D22="TEC",((K22+F22+(LOG(G22)*4/3))*0.15)+((L22+F22+(LOG(G22)*4/3))*0.324)+((M22+F22+(LOG(G22)*4/3))*0.127),((K22+F22+(LOG(G22)*4/3))*0.144)+((L22+F22+(LOG(G22)*4/3))*0.25)+((M22+F22+(LOG(G22)*4/3))*0.127))</f>
        <v>6.229555735266505</v>
      </c>
      <c r="U22" s="27">
        <f>IF(D22="TEC",((L22+F22+(LOG(G22)*4/3))*0.543)+((M22+F22+(LOG(G22)*4/3))*0.583),((L22+F22+(LOG(G22)*4/3))*0.543)+((M22+F22+(LOG(G22)*4/3))*0.583))</f>
        <v>16.892264410575976</v>
      </c>
      <c r="V22" s="427">
        <f>T22</f>
        <v>6.229555735266505</v>
      </c>
      <c r="W22" s="27">
        <f>((J22+F22+(LOG(G22)*4/3))*0.25)</f>
        <v>2.7593837501278813</v>
      </c>
      <c r="X22" s="27">
        <f>((M22+F22+(LOG(G22)*4/3))*0.26)+((K22+F22+(LOG(G22)*4/3))*0.221)+((L22+F22+(LOG(G22)*4/3))*0.142)</f>
        <v>6.5983843053186799</v>
      </c>
      <c r="Y22" s="27">
        <f>((M22+F22+(LOG(G22)*4/3))*1)+((L22+F22+(LOG(G22)*4/3))*0.369)</f>
        <v>19.955385415700277</v>
      </c>
      <c r="Z22" s="427">
        <f>X22</f>
        <v>6.5983843053186799</v>
      </c>
      <c r="AA22">
        <v>5280</v>
      </c>
      <c r="AB22" s="286">
        <v>17.5</v>
      </c>
      <c r="AC22" s="41">
        <v>880</v>
      </c>
      <c r="AD22" s="41">
        <v>1100</v>
      </c>
      <c r="AE22" s="428">
        <v>2200</v>
      </c>
      <c r="AF22" s="25">
        <f>AA22+(AB22*16*(36-B22-((112-C22)/112)))-AC22</f>
        <v>6897.5</v>
      </c>
      <c r="AG22" s="25">
        <f>AA22+(AB22*16*(34-B22-((112-C22)/112)))-AD22</f>
        <v>6117.5</v>
      </c>
      <c r="AH22" s="429">
        <f>AA22+(AB22*16*(32-B22-((112-C22)/112)))-AE22</f>
        <v>4457.5</v>
      </c>
      <c r="AI22" s="25">
        <f>(AF22)/(36-B22+((112-C22)/112))</f>
        <v>759.60668633235014</v>
      </c>
      <c r="AJ22" s="25">
        <f>(AG22)/(34-B22+((112-C22)/112))</f>
        <v>864.01008827238331</v>
      </c>
      <c r="AK22" s="429">
        <f>(AH22)/(32-B22+((112-C22)/112))</f>
        <v>877.39894551845339</v>
      </c>
    </row>
    <row r="23" spans="1:39" x14ac:dyDescent="0.25">
      <c r="A23" s="457" t="s">
        <v>980</v>
      </c>
      <c r="B23" s="278">
        <v>27</v>
      </c>
      <c r="C23" s="25">
        <v>47</v>
      </c>
      <c r="D23" s="42" t="s">
        <v>168</v>
      </c>
      <c r="E23" s="422">
        <v>3</v>
      </c>
      <c r="F23" s="424">
        <v>1</v>
      </c>
      <c r="G23" s="425">
        <v>7</v>
      </c>
      <c r="H23" s="36">
        <v>0</v>
      </c>
      <c r="I23" s="36">
        <v>5</v>
      </c>
      <c r="J23" s="36">
        <v>5</v>
      </c>
      <c r="K23" s="36">
        <v>7</v>
      </c>
      <c r="L23" s="36">
        <v>11</v>
      </c>
      <c r="M23" s="36">
        <v>13</v>
      </c>
      <c r="N23" s="426">
        <v>8</v>
      </c>
      <c r="O23" s="27">
        <f>((J23+F23+(LOG(G23)*4/3))*0.15)</f>
        <v>1.0690196080028513</v>
      </c>
      <c r="P23" s="27">
        <f>((M23+F23+(LOG(G23)*4/3))*0.552)+((K23+F23+(LOG(G23)*4/3))*0.576)+((L23+F23+(LOG(G23)*4/3))*0.195)</f>
        <v>16.166752942585148</v>
      </c>
      <c r="Q23" s="27">
        <f>((M23+F23+(LOG(G23)*4/3))*0.607)+((L23+F23+(LOG(G23)*4/3))*0.248)</f>
        <v>12.437411765616252</v>
      </c>
      <c r="R23" s="427">
        <f>((M23+F23+(LOG(G23)*4/3))*0.223)+((K23+F23+(LOG(G23)*4/3))*0)+((L23+F23+(LOG(G23)*4/3))*0)</f>
        <v>3.3732758172309056</v>
      </c>
      <c r="S23" s="27">
        <f>((J23+F23+(LOG(G23)*4/3))*0.406)</f>
        <v>2.8934797389943845</v>
      </c>
      <c r="T23" s="27">
        <f>IF(D23="TEC",((K23+F23+(LOG(G23)*4/3))*0.15)+((L23+F23+(LOG(G23)*4/3))*0.324)+((M23+F23+(LOG(G23)*4/3))*0.127),((K23+F23+(LOG(G23)*4/3))*0.144)+((L23+F23+(LOG(G23)*4/3))*0.25)+((M23+F23+(LOG(G23)*4/3))*0.127))</f>
        <v>6.5170614384632373</v>
      </c>
      <c r="U23" s="27">
        <f>IF(D23="TEC",((L23+F23+(LOG(G23)*4/3))*0.543)+((M23+F23+(LOG(G23)*4/3))*0.583),((L23+F23+(LOG(G23)*4/3))*0.543)+((M23+F23+(LOG(G23)*4/3))*0.583))</f>
        <v>15.94677385740807</v>
      </c>
      <c r="V23" s="427">
        <f>T23</f>
        <v>6.5170614384632373</v>
      </c>
      <c r="W23" s="27">
        <f>((J23+F23+(LOG(G23)*4/3))*0.25)</f>
        <v>1.7816993466714188</v>
      </c>
      <c r="X23" s="27">
        <f>((M23+F23+(LOG(G23)*4/3))*0.26)+((K23+F23+(LOG(G23)*4/3))*0.221)+((L23+F23+(LOG(G23)*4/3))*0.142)</f>
        <v>7.8139947719051754</v>
      </c>
      <c r="Y23" s="27">
        <f>((M23+F23+(LOG(G23)*4/3))*1)+((L23+F23+(LOG(G23)*4/3))*0.369)</f>
        <v>19.970585622372688</v>
      </c>
      <c r="Z23" s="427">
        <f>X23</f>
        <v>7.8139947719051754</v>
      </c>
      <c r="AA23">
        <v>5400</v>
      </c>
      <c r="AB23" s="286">
        <v>24.7</v>
      </c>
      <c r="AC23" s="41">
        <v>950</v>
      </c>
      <c r="AD23" s="41">
        <v>1600</v>
      </c>
      <c r="AE23" s="428">
        <v>2250</v>
      </c>
      <c r="AF23" s="25">
        <f>AA23+(AB23*16*(36-B23-((112-C23)/112)))-AC23</f>
        <v>7777.442857142858</v>
      </c>
      <c r="AG23" s="25">
        <f>AA23+(AB23*16*(34-B23-((112-C23)/112)))-AD23</f>
        <v>6337.0428571428565</v>
      </c>
      <c r="AH23" s="429">
        <f>AA23+(AB23*16*(32-B23-((112-C23)/112)))-AE23</f>
        <v>4896.6428571428569</v>
      </c>
      <c r="AI23" s="25">
        <f>(AF23)/(36-B23+((112-C23)/112))</f>
        <v>811.81136999068042</v>
      </c>
      <c r="AJ23" s="25">
        <f>(AG23)/(34-B23+((112-C23)/112))</f>
        <v>835.98209658421661</v>
      </c>
      <c r="AK23" s="429">
        <f>(AH23)/(32-B23+((112-C23)/112))</f>
        <v>877.47839999999985</v>
      </c>
      <c r="AL23" s="354"/>
      <c r="AM23" s="354"/>
    </row>
    <row r="24" spans="1:39" x14ac:dyDescent="0.25">
      <c r="A24" s="423" t="s">
        <v>902</v>
      </c>
      <c r="B24" s="278">
        <v>23</v>
      </c>
      <c r="C24" s="25">
        <v>59</v>
      </c>
      <c r="D24" s="42" t="s">
        <v>165</v>
      </c>
      <c r="E24" s="422">
        <v>4</v>
      </c>
      <c r="F24" s="424">
        <v>1</v>
      </c>
      <c r="G24" s="425">
        <v>1</v>
      </c>
      <c r="H24" s="36">
        <v>0</v>
      </c>
      <c r="I24" s="36">
        <v>2</v>
      </c>
      <c r="J24" s="36">
        <v>6</v>
      </c>
      <c r="K24" s="36">
        <v>3</v>
      </c>
      <c r="L24" s="36">
        <v>11</v>
      </c>
      <c r="M24" s="36">
        <v>14</v>
      </c>
      <c r="N24" s="426">
        <v>8</v>
      </c>
      <c r="O24" s="27">
        <f>((J24+F24+(LOG(G24)*4/3))*0.15)</f>
        <v>1.05</v>
      </c>
      <c r="P24" s="27">
        <f>((M24+F24+(LOG(G24)*4/3))*0.552)+((K24+F24+(LOG(G24)*4/3))*0.576)+((L24+F24+(LOG(G24)*4/3))*0.195)</f>
        <v>12.924000000000001</v>
      </c>
      <c r="Q24" s="27">
        <f>((M24+F24+(LOG(G24)*4/3))*0.607)+((L24+F24+(LOG(G24)*4/3))*0.248)</f>
        <v>12.081</v>
      </c>
      <c r="R24" s="427">
        <f>((M24+F24+(LOG(G24)*4/3))*0.223)+((K24+F24+(LOG(G24)*4/3))*0)+((L24+F24+(LOG(G24)*4/3))*0)</f>
        <v>3.3450000000000002</v>
      </c>
      <c r="S24" s="27">
        <f>((J24+F24+(LOG(G24)*4/3))*0.406)</f>
        <v>2.8420000000000001</v>
      </c>
      <c r="T24" s="27">
        <f>IF(D24="TEC",((K24+F24+(LOG(G24)*4/3))*0.15)+((L24+F24+(LOG(G24)*4/3))*0.324)+((M24+F24+(LOG(G24)*4/3))*0.127),((K24+F24+(LOG(G24)*4/3))*0.144)+((L24+F24+(LOG(G24)*4/3))*0.25)+((M24+F24+(LOG(G24)*4/3))*0.127))</f>
        <v>5.4809999999999999</v>
      </c>
      <c r="U24" s="27">
        <f>IF(D24="TEC",((L24+F24+(LOG(G24)*4/3))*0.543)+((M24+F24+(LOG(G24)*4/3))*0.583),((L24+F24+(LOG(G24)*4/3))*0.543)+((M24+F24+(LOG(G24)*4/3))*0.583))</f>
        <v>15.260999999999999</v>
      </c>
      <c r="V24" s="427">
        <f>T24</f>
        <v>5.4809999999999999</v>
      </c>
      <c r="W24" s="27">
        <f>((J24+F24+(LOG(G24)*4/3))*0.25)</f>
        <v>1.75</v>
      </c>
      <c r="X24" s="27">
        <f>((M24+F24+(LOG(G24)*4/3))*0.26)+((K24+F24+(LOG(G24)*4/3))*0.221)+((L24+F24+(LOG(G24)*4/3))*0.142)</f>
        <v>6.4880000000000004</v>
      </c>
      <c r="Y24" s="27">
        <f>((M24+F24+(LOG(G24)*4/3))*1)+((L24+F24+(LOG(G24)*4/3))*0.369)</f>
        <v>19.428000000000001</v>
      </c>
      <c r="Z24" s="427">
        <f>X24</f>
        <v>6.4880000000000004</v>
      </c>
      <c r="AA24">
        <v>7250</v>
      </c>
      <c r="AB24" s="286">
        <v>26.1</v>
      </c>
      <c r="AC24" s="41">
        <v>1300</v>
      </c>
      <c r="AD24" s="41">
        <v>1600</v>
      </c>
      <c r="AE24" s="428">
        <v>2000</v>
      </c>
      <c r="AF24" s="25">
        <f>AA24+(AB24*16*(36-B24-((112-C24)/112)))-AC24</f>
        <v>11181.185714285715</v>
      </c>
      <c r="AG24" s="25">
        <f>AA24+(AB24*16*(34-B24-((112-C24)/112)))-AD24</f>
        <v>10045.985714285714</v>
      </c>
      <c r="AH24" s="429">
        <f>AA24+(AB24*16*(32-B24-((112-C24)/112)))-AE24</f>
        <v>8810.7857142857138</v>
      </c>
      <c r="AI24" s="25">
        <f>(AF24)/(36-B24+((112-C24)/112))</f>
        <v>829.88257123923131</v>
      </c>
      <c r="AJ24" s="25">
        <f>(AG24)/(34-B24+((112-C24)/112))</f>
        <v>875.60342412451359</v>
      </c>
      <c r="AK24" s="429">
        <f>(AH24)/(32-B24+((112-C24)/112))</f>
        <v>930.07351555136654</v>
      </c>
    </row>
    <row r="25" spans="1:39" x14ac:dyDescent="0.25">
      <c r="A25" s="423" t="s">
        <v>898</v>
      </c>
      <c r="B25" s="278">
        <v>27</v>
      </c>
      <c r="C25" s="25">
        <v>38</v>
      </c>
      <c r="D25" s="42" t="s">
        <v>165</v>
      </c>
      <c r="E25" s="422">
        <v>2</v>
      </c>
      <c r="F25" s="424">
        <v>1</v>
      </c>
      <c r="G25" s="425">
        <v>6</v>
      </c>
      <c r="H25" s="36">
        <v>0</v>
      </c>
      <c r="I25" s="36">
        <v>3</v>
      </c>
      <c r="J25" s="36">
        <v>14</v>
      </c>
      <c r="K25" s="36">
        <v>9</v>
      </c>
      <c r="L25" s="36">
        <v>2</v>
      </c>
      <c r="M25" s="36">
        <v>13</v>
      </c>
      <c r="N25" s="426">
        <v>15</v>
      </c>
      <c r="O25" s="27">
        <f>((J25+F25+(LOG(G25)*4/3))*0.15)</f>
        <v>2.4056302500767286</v>
      </c>
      <c r="P25" s="27">
        <f>((M25+F25+(LOG(G25)*4/3))*0.552)+((K25+F25+(LOG(G25)*4/3))*0.576)+((L25+F25+(LOG(G25)*4/3))*0.195)</f>
        <v>15.44565880567675</v>
      </c>
      <c r="Q25" s="27">
        <f>((M25+F25+(LOG(G25)*4/3))*0.607)+((L25+F25+(LOG(G25)*4/3))*0.248)</f>
        <v>10.129092425437353</v>
      </c>
      <c r="R25" s="427">
        <f>((M25+F25+(LOG(G25)*4/3))*0.223)+((K25+F25+(LOG(G25)*4/3))*0)+((L25+F25+(LOG(G25)*4/3))*0)</f>
        <v>3.35337030511407</v>
      </c>
      <c r="S25" s="27">
        <f>((J25+F25+(LOG(G25)*4/3))*0.406)</f>
        <v>6.5112392102076795</v>
      </c>
      <c r="T25" s="27">
        <f>IF(D25="TEC",((K25+F25+(LOG(G25)*4/3))*0.15)+((L25+F25+(LOG(G25)*4/3))*0.324)+((M25+F25+(LOG(G25)*4/3))*0.127),((K25+F25+(LOG(G25)*4/3))*0.144)+((L25+F25+(LOG(G25)*4/3))*0.25)+((M25+F25+(LOG(G25)*4/3))*0.127))</f>
        <v>4.508555735266504</v>
      </c>
      <c r="U25" s="27">
        <f>IF(D25="TEC",((L25+F25+(LOG(G25)*4/3))*0.543)+((M25+F25+(LOG(G25)*4/3))*0.583),((L25+F25+(LOG(G25)*4/3))*0.543)+((M25+F25+(LOG(G25)*4/3))*0.583))</f>
        <v>10.959264410575978</v>
      </c>
      <c r="V25" s="427">
        <f>T25</f>
        <v>4.508555735266504</v>
      </c>
      <c r="W25" s="27">
        <f>((J25+F25+(LOG(G25)*4/3))*0.25)</f>
        <v>4.0093837501278813</v>
      </c>
      <c r="X25" s="27">
        <f>((M25+F25+(LOG(G25)*4/3))*0.26)+((K25+F25+(LOG(G25)*4/3))*0.221)+((L25+F25+(LOG(G25)*4/3))*0.142)</f>
        <v>6.9223843053186807</v>
      </c>
      <c r="Y25" s="27">
        <f>((M25+F25+(LOG(G25)*4/3))*1)+((L25+F25+(LOG(G25)*4/3))*0.369)</f>
        <v>16.527385415700277</v>
      </c>
      <c r="Z25" s="427">
        <f>X25</f>
        <v>6.9223843053186807</v>
      </c>
      <c r="AA25">
        <v>6000</v>
      </c>
      <c r="AB25" s="286">
        <f>32.8*1.2</f>
        <v>39.359999999999992</v>
      </c>
      <c r="AC25" s="41">
        <v>500</v>
      </c>
      <c r="AD25" s="41">
        <v>1400</v>
      </c>
      <c r="AE25" s="428">
        <v>2400</v>
      </c>
      <c r="AF25" s="25">
        <f>AA25+(AB25*16*(36-B25-((112-C25)/112)))-AC25</f>
        <v>10751.74857142857</v>
      </c>
      <c r="AG25" s="25">
        <f>AA25+(AB25*16*(34-B25-((112-C25)/112)))-AD25</f>
        <v>8592.2285714285717</v>
      </c>
      <c r="AH25" s="429">
        <f>AA25+(AB25*16*(32-B25-((112-C25)/112)))-AE25</f>
        <v>6332.7085714285713</v>
      </c>
      <c r="AI25" s="25">
        <f>(AF25)/(36-B25+((112-C25)/112))</f>
        <v>1112.9351571164509</v>
      </c>
      <c r="AJ25" s="25">
        <f>(AG25)/(34-B25+((112-C25)/112))</f>
        <v>1121.5962703962705</v>
      </c>
      <c r="AK25" s="429">
        <f>(AH25)/(32-B25+((112-C25)/112))</f>
        <v>1118.7119242902208</v>
      </c>
    </row>
    <row r="26" spans="1:39" x14ac:dyDescent="0.25">
      <c r="A26" s="423" t="s">
        <v>891</v>
      </c>
      <c r="B26" s="278">
        <v>29</v>
      </c>
      <c r="C26" s="25">
        <v>83</v>
      </c>
      <c r="D26" s="42" t="s">
        <v>168</v>
      </c>
      <c r="E26" s="422">
        <v>3</v>
      </c>
      <c r="F26" s="424">
        <v>1</v>
      </c>
      <c r="G26" s="425">
        <v>7</v>
      </c>
      <c r="H26" s="36">
        <v>0</v>
      </c>
      <c r="I26" s="36">
        <v>1</v>
      </c>
      <c r="J26" s="36">
        <v>13</v>
      </c>
      <c r="K26" s="36">
        <v>6</v>
      </c>
      <c r="L26" s="36">
        <v>12</v>
      </c>
      <c r="M26" s="36">
        <v>12</v>
      </c>
      <c r="N26" s="426">
        <v>13</v>
      </c>
      <c r="O26" s="27">
        <f>((J26+F26+(LOG(G26)*4/3))*0.15)</f>
        <v>2.2690196080028513</v>
      </c>
      <c r="P26" s="27">
        <f>((M26+F26+(LOG(G26)*4/3))*0.552)+((K26+F26+(LOG(G26)*4/3))*0.576)+((L26+F26+(LOG(G26)*4/3))*0.195)</f>
        <v>15.233752942585149</v>
      </c>
      <c r="Q26" s="27">
        <f>((M26+F26+(LOG(G26)*4/3))*0.607)+((L26+F26+(LOG(G26)*4/3))*0.248)</f>
        <v>12.078411765616252</v>
      </c>
      <c r="R26" s="427">
        <f>((M26+F26+(LOG(G26)*4/3))*0.223)+((K26+F26+(LOG(G26)*4/3))*0)+((L26+F26+(LOG(G26)*4/3))*0)</f>
        <v>3.1502758172309058</v>
      </c>
      <c r="S26" s="27">
        <f>((J26+F26+(LOG(G26)*4/3))*0.406)</f>
        <v>6.1414797389943843</v>
      </c>
      <c r="T26" s="27">
        <f>IF(D26="TEC",((K26+F26+(LOG(G26)*4/3))*0.15)+((L26+F26+(LOG(G26)*4/3))*0.324)+((M26+F26+(LOG(G26)*4/3))*0.127),((K26+F26+(LOG(G26)*4/3))*0.144)+((L26+F26+(LOG(G26)*4/3))*0.25)+((M26+F26+(LOG(G26)*4/3))*0.127))</f>
        <v>6.4960614384632365</v>
      </c>
      <c r="U26" s="27">
        <f>IF(D26="TEC",((L26+F26+(LOG(G26)*4/3))*0.543)+((M26+F26+(LOG(G26)*4/3))*0.583),((L26+F26+(LOG(G26)*4/3))*0.543)+((M26+F26+(LOG(G26)*4/3))*0.583))</f>
        <v>15.906773857408069</v>
      </c>
      <c r="V26" s="427">
        <f>T26</f>
        <v>6.4960614384632365</v>
      </c>
      <c r="W26" s="27">
        <f>((J26+F26+(LOG(G26)*4/3))*0.25)</f>
        <v>3.7816993466714188</v>
      </c>
      <c r="X26" s="27">
        <f>((M26+F26+(LOG(G26)*4/3))*0.26)+((K26+F26+(LOG(G26)*4/3))*0.221)+((L26+F26+(LOG(G26)*4/3))*0.142)</f>
        <v>7.474994771905175</v>
      </c>
      <c r="Y26" s="27">
        <f>((M26+F26+(LOG(G26)*4/3))*1)+((L26+F26+(LOG(G26)*4/3))*0.369)</f>
        <v>19.339585622372688</v>
      </c>
      <c r="Z26" s="427">
        <f>X26</f>
        <v>7.474994771905175</v>
      </c>
      <c r="AA26">
        <v>7100</v>
      </c>
      <c r="AB26" s="286">
        <v>23.9</v>
      </c>
      <c r="AC26" s="41">
        <v>1650</v>
      </c>
      <c r="AD26" s="41">
        <v>2700</v>
      </c>
      <c r="AE26" s="428">
        <v>4000</v>
      </c>
      <c r="AF26" s="25">
        <f>AA26+(AB26*16*(36-B26-((112-C26)/112)))-AC26</f>
        <v>8027.7857142857138</v>
      </c>
      <c r="AG26" s="25">
        <f>AA26+(AB26*16*(34-B26-((112-C26)/112)))-AD26</f>
        <v>6212.9857142857145</v>
      </c>
      <c r="AH26" s="429">
        <f>AA26+(AB26*16*(32-B26-((112-C26)/112)))-AE26</f>
        <v>4148.1857142857143</v>
      </c>
      <c r="AI26" s="25">
        <f>(AF26)/(36-B26+((112-C26)/112))</f>
        <v>1105.9188191881919</v>
      </c>
      <c r="AJ26" s="25">
        <f>(AG26)/(34-B26+((112-C26)/112))</f>
        <v>1181.416638370119</v>
      </c>
      <c r="AK26" s="429">
        <f>(AH26)/(32-B26+((112-C26)/112))</f>
        <v>1272.8679452054794</v>
      </c>
    </row>
    <row r="27" spans="1:39" x14ac:dyDescent="0.25">
      <c r="A27" s="423" t="s">
        <v>896</v>
      </c>
      <c r="B27" s="278">
        <v>28</v>
      </c>
      <c r="C27" s="25">
        <v>77</v>
      </c>
      <c r="D27" s="42" t="s">
        <v>168</v>
      </c>
      <c r="E27" s="422">
        <v>4</v>
      </c>
      <c r="F27" s="424">
        <v>1</v>
      </c>
      <c r="G27" s="425">
        <v>9</v>
      </c>
      <c r="H27" s="36">
        <v>0</v>
      </c>
      <c r="I27" s="36">
        <v>4</v>
      </c>
      <c r="J27" s="36">
        <v>9</v>
      </c>
      <c r="K27" s="36">
        <v>14</v>
      </c>
      <c r="L27" s="36">
        <v>13</v>
      </c>
      <c r="M27" s="36">
        <v>13</v>
      </c>
      <c r="N27" s="426">
        <v>2</v>
      </c>
      <c r="O27" s="27">
        <f>((J27+F27+(LOG(G27)*4/3))*0.15)</f>
        <v>1.690848501887865</v>
      </c>
      <c r="P27" s="27">
        <f>((M27+F27+(LOG(G27)*4/3))*0.552)+((K27+F27+(LOG(G27)*4/3))*0.576)+((L27+F27+(LOG(G27)*4/3))*0.195)</f>
        <v>20.781283786650967</v>
      </c>
      <c r="Q27" s="27">
        <f>((M27+F27+(LOG(G27)*4/3))*0.607)+((L27+F27+(LOG(G27)*4/3))*0.248)</f>
        <v>13.057836460760829</v>
      </c>
      <c r="R27" s="427">
        <f>((M27+F27+(LOG(G27)*4/3))*0.223)+((K27+F27+(LOG(G27)*4/3))*0)+((L27+F27+(LOG(G27)*4/3))*0)</f>
        <v>3.4057281061399594</v>
      </c>
      <c r="S27" s="27">
        <f>((J27+F27+(LOG(G27)*4/3))*0.406)</f>
        <v>4.5765632784431549</v>
      </c>
      <c r="T27" s="27">
        <f>IF(D27="TEC",((K27+F27+(LOG(G27)*4/3))*0.15)+((L27+F27+(LOG(G27)*4/3))*0.324)+((M27+F27+(LOG(G27)*4/3))*0.127),((K27+F27+(LOG(G27)*4/3))*0.144)+((L27+F27+(LOG(G27)*4/3))*0.25)+((M27+F27+(LOG(G27)*4/3))*0.127))</f>
        <v>8.1008804632238505</v>
      </c>
      <c r="U27" s="27">
        <f>IF(D27="TEC",((L27+F27+(LOG(G27)*4/3))*0.543)+((M27+F27+(LOG(G27)*4/3))*0.583),((L27+F27+(LOG(G27)*4/3))*0.543)+((M27+F27+(LOG(G27)*4/3))*0.583))</f>
        <v>17.196636087504906</v>
      </c>
      <c r="V27" s="427">
        <f>T27</f>
        <v>8.1008804632238505</v>
      </c>
      <c r="W27" s="27">
        <f>((J27+F27+(LOG(G27)*4/3))*0.25)</f>
        <v>2.8180808364797749</v>
      </c>
      <c r="X27" s="27">
        <f>((M27+F27+(LOG(G27)*4/3))*0.26)+((K27+F27+(LOG(G27)*4/3))*0.221)+((L27+F27+(LOG(G27)*4/3))*0.142)</f>
        <v>9.7356574445075985</v>
      </c>
      <c r="Y27" s="27">
        <f>((M27+F27+(LOG(G27)*4/3))*1)+((L27+F27+(LOG(G27)*4/3))*0.369)</f>
        <v>20.907810660563246</v>
      </c>
      <c r="Z27" s="427">
        <f>X27</f>
        <v>9.7356574445075985</v>
      </c>
      <c r="AA27">
        <v>9900</v>
      </c>
      <c r="AB27" s="286">
        <f>23.2*1.2</f>
        <v>27.84</v>
      </c>
      <c r="AC27" s="41">
        <v>2500</v>
      </c>
      <c r="AD27" s="41">
        <v>4500</v>
      </c>
      <c r="AE27" s="428">
        <v>6000</v>
      </c>
      <c r="AF27" s="25">
        <f>AA27+(AB27*16*(36-B27-((112-C27)/112)))-AC27</f>
        <v>10824.32</v>
      </c>
      <c r="AG27" s="25">
        <f>AA27+(AB27*16*(34-B27-((112-C27)/112)))-AD27</f>
        <v>7933.4400000000005</v>
      </c>
      <c r="AH27" s="429">
        <f>AA27+(AB27*16*(32-B27-((112-C27)/112)))-AE27</f>
        <v>5542.5599999999995</v>
      </c>
      <c r="AI27" s="25">
        <f>(AF27)/(36-B27+((112-C27)/112))</f>
        <v>1302.1738345864662</v>
      </c>
      <c r="AJ27" s="25">
        <f>(AG27)/(34-B27+((112-C27)/112))</f>
        <v>1256.7825742574257</v>
      </c>
      <c r="AK27" s="429">
        <f>(AH27)/(32-B27+((112-C27)/112))</f>
        <v>1285.2313043478259</v>
      </c>
    </row>
    <row r="28" spans="1:39" x14ac:dyDescent="0.25">
      <c r="A28" s="423" t="s">
        <v>892</v>
      </c>
      <c r="B28" s="278">
        <v>29</v>
      </c>
      <c r="C28" s="25">
        <v>67</v>
      </c>
      <c r="D28" s="42" t="s">
        <v>168</v>
      </c>
      <c r="E28" s="422">
        <v>2</v>
      </c>
      <c r="F28" s="424">
        <v>1</v>
      </c>
      <c r="G28" s="425">
        <v>7</v>
      </c>
      <c r="H28" s="36">
        <v>0</v>
      </c>
      <c r="I28" s="36">
        <v>3</v>
      </c>
      <c r="J28" s="36">
        <v>4</v>
      </c>
      <c r="K28" s="36">
        <v>9</v>
      </c>
      <c r="L28" s="36">
        <v>12</v>
      </c>
      <c r="M28" s="36">
        <v>14</v>
      </c>
      <c r="N28" s="426">
        <v>9</v>
      </c>
      <c r="O28" s="27">
        <f>((J28+F28+(LOG(G28)*4/3))*0.15)</f>
        <v>0.91901960800285121</v>
      </c>
      <c r="P28" s="27">
        <f>((M28+F28+(LOG(G28)*4/3))*0.552)+((K28+F28+(LOG(G28)*4/3))*0.576)+((L28+F28+(LOG(G28)*4/3))*0.195)</f>
        <v>18.065752942585149</v>
      </c>
      <c r="Q28" s="27">
        <f>((M28+F28+(LOG(G28)*4/3))*0.607)+((L28+F28+(LOG(G28)*4/3))*0.248)</f>
        <v>13.292411765616253</v>
      </c>
      <c r="R28" s="427">
        <f>((M28+F28+(LOG(G28)*4/3))*0.223)+((K28+F28+(LOG(G28)*4/3))*0)+((L28+F28+(LOG(G28)*4/3))*0)</f>
        <v>3.5962758172309059</v>
      </c>
      <c r="S28" s="27">
        <f>((J28+F28+(LOG(G28)*4/3))*0.406)</f>
        <v>2.4874797389943843</v>
      </c>
      <c r="T28" s="27">
        <f>IF(D28="TEC",((K28+F28+(LOG(G28)*4/3))*0.15)+((L28+F28+(LOG(G28)*4/3))*0.324)+((M28+F28+(LOG(G28)*4/3))*0.127),((K28+F28+(LOG(G28)*4/3))*0.144)+((L28+F28+(LOG(G28)*4/3))*0.25)+((M28+F28+(LOG(G28)*4/3))*0.127))</f>
        <v>7.1820614384632364</v>
      </c>
      <c r="U28" s="27">
        <f>IF(D28="TEC",((L28+F28+(LOG(G28)*4/3))*0.543)+((M28+F28+(LOG(G28)*4/3))*0.583),((L28+F28+(LOG(G28)*4/3))*0.543)+((M28+F28+(LOG(G28)*4/3))*0.583))</f>
        <v>17.072773857408073</v>
      </c>
      <c r="V28" s="427">
        <f>T28</f>
        <v>7.1820614384632364</v>
      </c>
      <c r="W28" s="27">
        <f>((J28+F28+(LOG(G28)*4/3))*0.25)</f>
        <v>1.5316993466714188</v>
      </c>
      <c r="X28" s="27">
        <f>((M28+F28+(LOG(G28)*4/3))*0.26)+((K28+F28+(LOG(G28)*4/3))*0.221)+((L28+F28+(LOG(G28)*4/3))*0.142)</f>
        <v>8.6579947719051766</v>
      </c>
      <c r="Y28" s="27">
        <f>((M28+F28+(LOG(G28)*4/3))*1)+((L28+F28+(LOG(G28)*4/3))*0.369)</f>
        <v>21.339585622372692</v>
      </c>
      <c r="Z28" s="427">
        <f>X28</f>
        <v>8.6579947719051766</v>
      </c>
      <c r="AA28">
        <v>6250</v>
      </c>
      <c r="AB28" s="286">
        <v>26.3</v>
      </c>
      <c r="AC28" s="41">
        <v>2000</v>
      </c>
      <c r="AD28" s="41">
        <v>2700</v>
      </c>
      <c r="AE28" s="428">
        <v>2900</v>
      </c>
      <c r="AF28" s="25">
        <f>AA28+(AB28*16*(36-B28-((112-C28)/112)))-AC28</f>
        <v>7026.528571428571</v>
      </c>
      <c r="AG28" s="25">
        <f>AA28+(AB28*16*(34-B28-((112-C28)/112)))-AD28</f>
        <v>5484.9285714285716</v>
      </c>
      <c r="AH28" s="429">
        <f>AA28+(AB28*16*(32-B28-((112-C28)/112)))-AE28</f>
        <v>4443.3285714285712</v>
      </c>
      <c r="AI28" s="25">
        <f>(AF28)/(36-B28+((112-C28)/112))</f>
        <v>949.30180940892637</v>
      </c>
      <c r="AJ28" s="25">
        <f>(AG28)/(34-B28+((112-C28)/112))</f>
        <v>1015.3917355371901</v>
      </c>
      <c r="AK28" s="429">
        <f>(AH28)/(32-B28+((112-C28)/112))</f>
        <v>1306.1753280839894</v>
      </c>
    </row>
    <row r="29" spans="1:39" x14ac:dyDescent="0.25">
      <c r="A29" s="423" t="s">
        <v>901</v>
      </c>
      <c r="B29" s="278">
        <v>26</v>
      </c>
      <c r="C29" s="25">
        <v>92</v>
      </c>
      <c r="D29" s="42" t="s">
        <v>168</v>
      </c>
      <c r="E29" s="422">
        <v>3</v>
      </c>
      <c r="F29" s="424">
        <v>1</v>
      </c>
      <c r="G29" s="425">
        <v>5</v>
      </c>
      <c r="H29" s="36">
        <v>0</v>
      </c>
      <c r="I29" s="36">
        <v>4</v>
      </c>
      <c r="J29" s="36">
        <v>3</v>
      </c>
      <c r="K29" s="36">
        <v>3</v>
      </c>
      <c r="L29" s="36">
        <v>14</v>
      </c>
      <c r="M29" s="36">
        <v>14</v>
      </c>
      <c r="N29" s="426">
        <v>3</v>
      </c>
      <c r="O29" s="27">
        <f>((J29+F29+(LOG(G29)*4/3))*0.15)</f>
        <v>0.73979400086720382</v>
      </c>
      <c r="P29" s="27">
        <f>((M29+F29+(LOG(G29)*4/3))*0.552)+((K29+F29+(LOG(G29)*4/3))*0.576)+((L29+F29+(LOG(G29)*4/3))*0.195)</f>
        <v>14.741983087648737</v>
      </c>
      <c r="Q29" s="27">
        <f>((M29+F29+(LOG(G29)*4/3))*0.607)+((L29+F29+(LOG(G29)*4/3))*0.248)</f>
        <v>13.621825804943061</v>
      </c>
      <c r="R29" s="427">
        <f>((M29+F29+(LOG(G29)*4/3))*0.223)+((K29+F29+(LOG(G29)*4/3))*0)+((L29+F29+(LOG(G29)*4/3))*0)</f>
        <v>3.5528270812892426</v>
      </c>
      <c r="S29" s="27">
        <f>((J29+F29+(LOG(G29)*4/3))*0.406)</f>
        <v>2.0023757623472318</v>
      </c>
      <c r="T29" s="27">
        <f>IF(D29="TEC",((K29+F29+(LOG(G29)*4/3))*0.15)+((L29+F29+(LOG(G29)*4/3))*0.324)+((M29+F29+(LOG(G29)*4/3))*0.127),((K29+F29+(LOG(G29)*4/3))*0.144)+((L29+F29+(LOG(G29)*4/3))*0.25)+((M29+F29+(LOG(G29)*4/3))*0.127))</f>
        <v>6.7165511630120882</v>
      </c>
      <c r="U29" s="27">
        <f>IF(D29="TEC",((L29+F29+(LOG(G29)*4/3))*0.543)+((M29+F29+(LOG(G29)*4/3))*0.583),((L29+F29+(LOG(G29)*4/3))*0.543)+((M29+F29+(LOG(G29)*4/3))*0.583))</f>
        <v>17.939386966509808</v>
      </c>
      <c r="V29" s="427">
        <f>T29</f>
        <v>6.7165511630120882</v>
      </c>
      <c r="W29" s="27">
        <f>((J29+F29+(LOG(G29)*4/3))*0.25)</f>
        <v>1.2329900014453397</v>
      </c>
      <c r="X29" s="27">
        <f>((M29+F29+(LOG(G29)*4/3))*0.26)+((K29+F29+(LOG(G29)*4/3))*0.221)+((L29+F29+(LOG(G29)*4/3))*0.142)</f>
        <v>7.4946110836017859</v>
      </c>
      <c r="Y29" s="27">
        <f>((M29+F29+(LOG(G29)*4/3))*1)+((L29+F29+(LOG(G29)*4/3))*0.369)</f>
        <v>21.810853247914679</v>
      </c>
      <c r="Z29" s="427">
        <f>X29</f>
        <v>7.4946110836017859</v>
      </c>
      <c r="AA29">
        <v>6450</v>
      </c>
      <c r="AB29" s="286">
        <v>35.4</v>
      </c>
      <c r="AC29" s="41">
        <v>2800</v>
      </c>
      <c r="AD29" s="41">
        <v>1800</v>
      </c>
      <c r="AE29" s="428">
        <v>1600</v>
      </c>
      <c r="AF29" s="25">
        <f>AA29+(AB29*16*(36-B29-((112-C29)/112)))-AC29</f>
        <v>9212.8571428571413</v>
      </c>
      <c r="AG29" s="25">
        <f>AA29+(AB29*16*(34-B29-((112-C29)/112)))-AD29</f>
        <v>9080.057142857142</v>
      </c>
      <c r="AH29" s="429">
        <f>AA29+(AB29*16*(32-B29-((112-C29)/112)))-AE29</f>
        <v>8147.2571428571428</v>
      </c>
      <c r="AI29" s="25">
        <f>(AF29)/(36-B29+((112-C29)/112))</f>
        <v>905.12280701754366</v>
      </c>
      <c r="AJ29" s="25">
        <f>(AG29)/(34-B29+((112-C29)/112))</f>
        <v>1110.2253275109169</v>
      </c>
      <c r="AK29" s="429">
        <f>(AH29)/(32-B29+((112-C29)/112))</f>
        <v>1318.6312138728324</v>
      </c>
    </row>
  </sheetData>
  <sortState xmlns:xlrd2="http://schemas.microsoft.com/office/spreadsheetml/2017/richdata2" ref="A3:AK29">
    <sortCondition ref="AK11"/>
  </sortState>
  <conditionalFormatting sqref="G3:G29">
    <cfRule type="cellIs" dxfId="4" priority="5" operator="greaterThan">
      <formula>7</formula>
    </cfRule>
  </conditionalFormatting>
  <conditionalFormatting sqref="O3:O29 S3:S29 W3:W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9 R3:R29 T3:T29 V3:V29 X3:X29 Z3:Z2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9 U3:U29 Y3:Y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29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29">
    <cfRule type="colorScale" priority="47">
      <colorScale>
        <cfvo type="min"/>
        <cfvo type="max"/>
        <color rgb="FFFCFCFF"/>
        <color rgb="FFF8696B"/>
      </colorScale>
    </cfRule>
  </conditionalFormatting>
  <conditionalFormatting sqref="AF3:AH29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AI3:AK29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838</v>
      </c>
    </row>
    <row r="2" spans="1:22" x14ac:dyDescent="0.25">
      <c r="A2" s="31" t="s">
        <v>187</v>
      </c>
      <c r="B2" s="31" t="s">
        <v>850</v>
      </c>
      <c r="C2" s="31" t="s">
        <v>113</v>
      </c>
      <c r="D2" s="51" t="s">
        <v>469</v>
      </c>
      <c r="E2" s="31" t="s">
        <v>875</v>
      </c>
      <c r="F2" s="40" t="s">
        <v>121</v>
      </c>
      <c r="G2" s="39" t="s">
        <v>472</v>
      </c>
      <c r="H2" s="32" t="s">
        <v>739</v>
      </c>
      <c r="I2" s="32" t="s">
        <v>154</v>
      </c>
      <c r="J2" s="32" t="s">
        <v>195</v>
      </c>
      <c r="K2" s="32" t="s">
        <v>196</v>
      </c>
      <c r="L2" s="32" t="s">
        <v>493</v>
      </c>
      <c r="M2" s="32" t="s">
        <v>198</v>
      </c>
      <c r="N2" s="32" t="s">
        <v>199</v>
      </c>
      <c r="O2" s="32" t="s">
        <v>200</v>
      </c>
      <c r="P2" s="34" t="s">
        <v>857</v>
      </c>
      <c r="Q2" s="34" t="s">
        <v>858</v>
      </c>
      <c r="R2" s="32" t="s">
        <v>903</v>
      </c>
      <c r="S2" s="32" t="s">
        <v>904</v>
      </c>
      <c r="T2" s="32" t="s">
        <v>905</v>
      </c>
      <c r="U2" s="32" t="s">
        <v>906</v>
      </c>
      <c r="V2" s="32" t="s">
        <v>606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31230</v>
      </c>
      <c r="H3" s="29">
        <f>Plantilla!I4</f>
        <v>8</v>
      </c>
      <c r="I3" s="36">
        <f>Plantilla!X4</f>
        <v>15</v>
      </c>
      <c r="J3" s="36">
        <f>Plantilla!Y4</f>
        <v>12.363636363636363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15</v>
      </c>
      <c r="P3" s="27">
        <f t="shared" ref="P3:P10" ca="1" si="0">((I3+F3+(LOG(H3)*4/3))*0.597)+((J3+F3+(LOG(H3)*4/3))*0.276)</f>
        <v>14.291560381222258</v>
      </c>
      <c r="Q3" s="27">
        <f t="shared" ref="Q3:Q10" ca="1" si="1">((I3+F3+(LOG(H3)*4/3))*0.866)+((J3+F3+(LOG(H3)*4/3))*0.425)</f>
        <v>21.090064352154254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1190</v>
      </c>
      <c r="H4" s="29">
        <f>Plantilla!I5</f>
        <v>2</v>
      </c>
      <c r="I4" s="36">
        <f>Plantilla!X5</f>
        <v>6</v>
      </c>
      <c r="J4" s="36">
        <f>Plantilla!Y5</f>
        <v>5.4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6.2957989149528748</v>
      </c>
      <c r="Q4" s="27">
        <f t="shared" ca="1" si="1"/>
        <v>9.3001729658695993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907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908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909</v>
      </c>
      <c r="B7">
        <v>23</v>
      </c>
      <c r="C7">
        <v>18</v>
      </c>
      <c r="D7" t="s">
        <v>165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910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838</v>
      </c>
    </row>
    <row r="2" spans="1:21" x14ac:dyDescent="0.25">
      <c r="A2" s="31" t="s">
        <v>187</v>
      </c>
      <c r="B2" s="31" t="s">
        <v>850</v>
      </c>
      <c r="C2" s="31" t="s">
        <v>113</v>
      </c>
      <c r="D2" s="51" t="s">
        <v>469</v>
      </c>
      <c r="E2" s="31" t="s">
        <v>875</v>
      </c>
      <c r="F2" s="39" t="s">
        <v>852</v>
      </c>
      <c r="G2" s="39" t="s">
        <v>125</v>
      </c>
      <c r="H2" s="39" t="s">
        <v>126</v>
      </c>
      <c r="I2" s="39" t="s">
        <v>472</v>
      </c>
      <c r="J2" s="40" t="s">
        <v>121</v>
      </c>
      <c r="K2" s="32" t="s">
        <v>739</v>
      </c>
      <c r="L2" s="32" t="s">
        <v>154</v>
      </c>
      <c r="M2" s="32" t="s">
        <v>195</v>
      </c>
      <c r="N2" s="32" t="s">
        <v>196</v>
      </c>
      <c r="O2" s="32" t="s">
        <v>493</v>
      </c>
      <c r="P2" s="32" t="s">
        <v>198</v>
      </c>
      <c r="Q2" s="32" t="s">
        <v>199</v>
      </c>
      <c r="R2" s="32" t="s">
        <v>200</v>
      </c>
      <c r="S2" s="34" t="s">
        <v>857</v>
      </c>
      <c r="T2" s="34" t="s">
        <v>858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8</v>
      </c>
      <c r="L3" s="36">
        <f>Plantilla!X4</f>
        <v>15</v>
      </c>
      <c r="M3" s="36">
        <f>Plantilla!Y4</f>
        <v>12.363636363636363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15</v>
      </c>
      <c r="S3" s="27">
        <f t="shared" ref="S3:S10" ca="1" si="0">((L3+J3+(LOG(K3)*4/3))*0.597)+((M3+J3+(LOG(K3)*4/3))*0.276)</f>
        <v>14.291560381222258</v>
      </c>
      <c r="T3" s="27">
        <f t="shared" ref="T3:T10" ca="1" si="1">((L3+J3+(LOG(K3)*4/3))*0.866)+((M3+J3+(LOG(K3)*4/3))*0.425)</f>
        <v>21.090064352154254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5</v>
      </c>
      <c r="G4" s="38">
        <f>(F4/7)^0.5</f>
        <v>0.84515425472851657</v>
      </c>
      <c r="H4" s="38">
        <f>IF(F4=7,1,((F4+0.99)/7)^0.5)</f>
        <v>0.92504826128926143</v>
      </c>
      <c r="I4" s="38"/>
      <c r="J4" s="104">
        <f ca="1">Plantilla!N5</f>
        <v>1</v>
      </c>
      <c r="K4" s="29">
        <f>Plantilla!I5</f>
        <v>2</v>
      </c>
      <c r="L4" s="36">
        <f>Plantilla!X5</f>
        <v>6</v>
      </c>
      <c r="M4" s="36">
        <f>Plantilla!Y5</f>
        <v>5.4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6.2957989149528748</v>
      </c>
      <c r="T4" s="27">
        <f t="shared" ca="1" si="1"/>
        <v>9.3001729658695993</v>
      </c>
    </row>
    <row r="5" spans="1:21" x14ac:dyDescent="0.25">
      <c r="A5" t="s">
        <v>911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912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913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914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915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916</v>
      </c>
      <c r="B10">
        <v>21</v>
      </c>
      <c r="C10">
        <v>82</v>
      </c>
      <c r="D10" t="s">
        <v>917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G13" sqref="G13"/>
    </sheetView>
  </sheetViews>
  <sheetFormatPr baseColWidth="10" defaultColWidth="9.140625" defaultRowHeight="15" x14ac:dyDescent="0.25"/>
  <cols>
    <col min="1" max="1" width="3.5703125" style="406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5703125" bestFit="1" customWidth="1"/>
    <col min="23" max="23" width="7.5703125" bestFit="1" customWidth="1"/>
    <col min="24" max="30" width="6.42578125" bestFit="1" customWidth="1"/>
    <col min="31" max="31" width="7" bestFit="1" customWidth="1"/>
    <col min="32" max="33" width="8.5703125" bestFit="1" customWidth="1"/>
    <col min="34" max="34" width="6.5703125" bestFit="1" customWidth="1"/>
    <col min="35" max="40" width="7" bestFit="1" customWidth="1"/>
    <col min="41" max="41" width="7.5703125" bestFit="1" customWidth="1"/>
    <col min="42" max="43" width="3.42578125" bestFit="1" customWidth="1"/>
    <col min="44" max="44" width="3.5703125" bestFit="1" customWidth="1"/>
    <col min="45" max="45" width="5.28515625" bestFit="1" customWidth="1"/>
    <col min="46" max="46" width="7.140625" bestFit="1" customWidth="1"/>
    <col min="47" max="53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44067</v>
      </c>
      <c r="I2" s="24">
        <f>AVERAGE(I4:I20)</f>
        <v>6.2176470588235295</v>
      </c>
      <c r="J2" s="24"/>
      <c r="N2" s="27">
        <f ca="1">AVERAGE(N4:N20)</f>
        <v>1.0245271806071161</v>
      </c>
      <c r="O2" s="24">
        <f>AVERAGE(O4:O20)</f>
        <v>6.6705882352941179</v>
      </c>
      <c r="Q2" s="24">
        <f>AVERAGE(Q4:Q20)</f>
        <v>5.5882352941176467</v>
      </c>
      <c r="R2" s="2">
        <f>AVERAGE(R4:R20)</f>
        <v>0.89083470375646467</v>
      </c>
      <c r="S2" s="2">
        <f>AVERAGE(S4:S20)</f>
        <v>0.95930249020022185</v>
      </c>
      <c r="T2" s="28">
        <f>SUM(T4:T20)</f>
        <v>2537680</v>
      </c>
      <c r="U2" s="28">
        <f>SUM(U4:U20)</f>
        <v>24310</v>
      </c>
      <c r="V2" s="28">
        <f>SUM(V4:V20)</f>
        <v>340546</v>
      </c>
      <c r="W2" s="29">
        <f>T2/V2</f>
        <v>7.451797994984525</v>
      </c>
      <c r="AD2" s="27">
        <f>AVERAGE(AD5:AD20)</f>
        <v>13.78125</v>
      </c>
      <c r="AE2" s="25">
        <f>AVERAGE(AE5:AE20)</f>
        <v>151.67500000000001</v>
      </c>
      <c r="AF2" s="25"/>
      <c r="AG2" s="25">
        <f>AVERAGE(AG5:AG20)</f>
        <v>1948.8333333333333</v>
      </c>
      <c r="AH2" s="24"/>
      <c r="AO2" s="24"/>
      <c r="AP2" s="24"/>
      <c r="AQ2" s="24"/>
      <c r="AR2" s="24"/>
    </row>
    <row r="3" spans="1:46" x14ac:dyDescent="0.25">
      <c r="A3" s="405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137</v>
      </c>
      <c r="AF3" s="13" t="s">
        <v>138</v>
      </c>
      <c r="AG3" s="13" t="s">
        <v>139</v>
      </c>
      <c r="AH3" s="17" t="s">
        <v>140</v>
      </c>
      <c r="AI3" s="17" t="s">
        <v>141</v>
      </c>
      <c r="AJ3" s="17" t="s">
        <v>142</v>
      </c>
      <c r="AK3" s="17" t="s">
        <v>143</v>
      </c>
      <c r="AL3" s="17" t="s">
        <v>144</v>
      </c>
      <c r="AM3" s="17" t="s">
        <v>145</v>
      </c>
      <c r="AN3" s="17" t="s">
        <v>146</v>
      </c>
      <c r="AO3" s="17" t="s">
        <v>147</v>
      </c>
      <c r="AP3" s="13" t="s">
        <v>148</v>
      </c>
      <c r="AQ3" s="13" t="s">
        <v>149</v>
      </c>
      <c r="AR3" s="13" t="s">
        <v>150</v>
      </c>
      <c r="AS3" s="13" t="s">
        <v>151</v>
      </c>
      <c r="AT3" s="26" t="s">
        <v>152</v>
      </c>
    </row>
    <row r="4" spans="1:46" x14ac:dyDescent="0.25">
      <c r="A4" s="407" t="s">
        <v>153</v>
      </c>
      <c r="B4" s="49" t="s">
        <v>154</v>
      </c>
      <c r="C4" s="359">
        <f t="shared" ref="C4:C20" ca="1" si="0">((36*112)-(E4*112)-(F4))/112</f>
        <v>9.7321428571428577</v>
      </c>
      <c r="D4" s="95" t="s">
        <v>9</v>
      </c>
      <c r="E4" s="4">
        <v>26</v>
      </c>
      <c r="F4" s="5">
        <f ca="1">$D$2-$D$1-1097-112-112-112-112-112-112</f>
        <v>30</v>
      </c>
      <c r="G4" s="6"/>
      <c r="H4" s="7">
        <v>4</v>
      </c>
      <c r="I4" s="8">
        <v>8</v>
      </c>
      <c r="J4" s="21">
        <f t="shared" ref="J4:J20" si="1">LOG(I4)*4/3</f>
        <v>1.2041199826559248</v>
      </c>
      <c r="K4" s="9">
        <f t="shared" ref="K4:K20" si="2">(H4)*(H4)*(I4)</f>
        <v>128</v>
      </c>
      <c r="L4" s="9">
        <f t="shared" ref="L4:L20" si="3">(H4+1)*(H4+1)*I4</f>
        <v>200</v>
      </c>
      <c r="M4" s="62">
        <v>43415</v>
      </c>
      <c r="N4" s="63">
        <f t="shared" ref="N4:N13" ca="1" si="4">IF((TODAY()-M4)&gt;335,1,((TODAY()-M4)^0.64)/(336^0.64))</f>
        <v>1</v>
      </c>
      <c r="O4" s="19">
        <v>6.8</v>
      </c>
      <c r="P4" s="20">
        <f t="shared" ref="P4:P20" si="5">O4*10+19</f>
        <v>87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71720</v>
      </c>
      <c r="U4" s="10">
        <f t="shared" ref="U4:U20" si="8">T4-AT4</f>
        <v>4580</v>
      </c>
      <c r="V4" s="10">
        <v>31230</v>
      </c>
      <c r="W4" s="11">
        <f t="shared" ref="W4:W20" si="9">T4/V4</f>
        <v>2.2965097662504004</v>
      </c>
      <c r="X4" s="442">
        <v>15</v>
      </c>
      <c r="Y4" s="21">
        <f>12+4/11</f>
        <v>12.363636363636363</v>
      </c>
      <c r="Z4" s="442">
        <v>0</v>
      </c>
      <c r="AA4" s="21">
        <v>1</v>
      </c>
      <c r="AB4" s="442">
        <v>1</v>
      </c>
      <c r="AC4" s="21">
        <v>1</v>
      </c>
      <c r="AD4" s="442">
        <v>15</v>
      </c>
      <c r="AE4" s="12">
        <f>Planning!V3</f>
        <v>130.5</v>
      </c>
      <c r="AF4" s="12">
        <v>1299</v>
      </c>
      <c r="AG4" s="12">
        <v>1566</v>
      </c>
      <c r="AH4" s="11">
        <f t="shared" ref="AH4:AH20" ca="1" si="10">(((Y4+LOG(I4)*4/3+N4)+(AB4+LOG(I4)*4/3+N4)*2)/8)*(Q4/7)^0.5</f>
        <v>2.4274998747547518</v>
      </c>
      <c r="AI4" s="22">
        <f t="shared" ref="AI4:AI20" ca="1" si="11">(Y4+J4+N4)*(Q4/7)^0.5</f>
        <v>13.487121633986545</v>
      </c>
      <c r="AJ4" s="22">
        <f t="shared" ref="AJ4:AJ20" ca="1" si="12">(Y4+J4+N4)*(IF(Q4=7,(Q4/7)^0.5,((Q4+1)/7)^0.5))</f>
        <v>14.567756346292288</v>
      </c>
      <c r="AK4" s="22">
        <f t="shared" ref="AK4:AK20" ca="1" si="13">(Z4+N4+(LOG(I4)*4/3))*(Q4/7)^0.5</f>
        <v>2.0406185822531828</v>
      </c>
      <c r="AL4" s="22">
        <f t="shared" ref="AL4:AL20" ca="1" si="14">(Z4+N4+(LOG(I4)*4/3))*(IF(Q4=7,(Q4/7)^0.5,((Q4+1)/7)^0.5))</f>
        <v>2.204119982655925</v>
      </c>
      <c r="AM4" s="22">
        <f t="shared" ref="AM4:AM20" ca="1" si="15">(AD4+1+(LOG(I4)*4/3)+N4)*(Q4/7)^0.5</f>
        <v>16.853740178614004</v>
      </c>
      <c r="AN4" s="22">
        <f t="shared" ref="AN4:AN20" ca="1" si="16">(AD4+1+N4+(LOG(I4)*4/3))*(IF(Q4=7,(Q4/7)^0.5,((Q4+1)/7)^0.5))</f>
        <v>18.204119982655925</v>
      </c>
      <c r="AO4" s="11">
        <f t="shared" ref="AO4:AO20" ca="1" si="17">(AD4+LOG(I4)*4/3+N4)*0.7+(AC4+LOG(I4)*4/3+N4)*0.3</f>
        <v>13.004119982655924</v>
      </c>
      <c r="AP4" s="20">
        <v>1</v>
      </c>
      <c r="AQ4" s="20">
        <v>3</v>
      </c>
      <c r="AR4" s="20">
        <v>2</v>
      </c>
      <c r="AS4" s="57">
        <f t="shared" ref="AS4:AS20" si="18">IF(AQ4=4,IF(AR4=0,0.137+0.0697,0.137+0.02),IF(AQ4=3,IF(AR4=0,0.0958+0.0697,0.0958+0.02),IF(AQ4=2,IF(AR4=0,0.0415+0.0697,0.0415+0.02),IF(AQ4=1,IF(AR4=0,0.0294+0.0697,0.0294+0.02),IF(AQ4=0,IF(AR4=0,0.0063+0.0697,0.0063+0.02))))))</f>
        <v>0.1158</v>
      </c>
      <c r="AT4" s="10">
        <v>67140</v>
      </c>
    </row>
    <row r="5" spans="1:46" x14ac:dyDescent="0.25">
      <c r="A5" s="407" t="s">
        <v>155</v>
      </c>
      <c r="B5" s="49" t="s">
        <v>154</v>
      </c>
      <c r="C5" s="359">
        <f t="shared" ca="1" si="0"/>
        <v>9.5089285714285712</v>
      </c>
      <c r="D5" s="345" t="s">
        <v>65</v>
      </c>
      <c r="E5" s="4">
        <v>26</v>
      </c>
      <c r="F5" s="5">
        <f ca="1">$D$2-$D$1-880+32-112-112-112-112-112-112-112-112</f>
        <v>55</v>
      </c>
      <c r="G5" s="6"/>
      <c r="H5" s="91">
        <v>5</v>
      </c>
      <c r="I5" s="8">
        <v>2</v>
      </c>
      <c r="J5" s="21">
        <f t="shared" si="1"/>
        <v>0.40137332755197491</v>
      </c>
      <c r="K5" s="9">
        <f t="shared" si="2"/>
        <v>50</v>
      </c>
      <c r="L5" s="9">
        <f t="shared" si="3"/>
        <v>72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5</v>
      </c>
      <c r="R5" s="57">
        <f t="shared" si="6"/>
        <v>0.84515425472851657</v>
      </c>
      <c r="S5" s="57">
        <f t="shared" si="7"/>
        <v>0.92504826128926143</v>
      </c>
      <c r="T5" s="10">
        <v>2910</v>
      </c>
      <c r="U5" s="10">
        <f t="shared" si="8"/>
        <v>-450</v>
      </c>
      <c r="V5" s="10">
        <v>1190</v>
      </c>
      <c r="W5" s="11">
        <f t="shared" si="9"/>
        <v>2.4453781512605044</v>
      </c>
      <c r="X5" s="442">
        <v>6</v>
      </c>
      <c r="Y5" s="21">
        <f>5+2/5</f>
        <v>5.4</v>
      </c>
      <c r="Z5" s="442">
        <v>0</v>
      </c>
      <c r="AA5" s="21">
        <v>3</v>
      </c>
      <c r="AB5" s="442">
        <v>1</v>
      </c>
      <c r="AC5" s="21">
        <v>1</v>
      </c>
      <c r="AD5" s="442">
        <v>4</v>
      </c>
      <c r="AE5" s="12">
        <f>7.5+10+1.5+1.5+5</f>
        <v>25.5</v>
      </c>
      <c r="AF5" s="12">
        <v>324</v>
      </c>
      <c r="AG5" s="12"/>
      <c r="AH5" s="11">
        <f t="shared" ca="1" si="10"/>
        <v>1.2259089219652319</v>
      </c>
      <c r="AI5" s="22">
        <f t="shared" ca="1" si="11"/>
        <v>5.7482096057776007</v>
      </c>
      <c r="AJ5" s="22">
        <f t="shared" ca="1" si="12"/>
        <v>6.2968481327045405</v>
      </c>
      <c r="AK5" s="22">
        <f t="shared" ca="1" si="13"/>
        <v>1.1843766302436107</v>
      </c>
      <c r="AL5" s="22">
        <f t="shared" ca="1" si="14"/>
        <v>1.2974195939327617</v>
      </c>
      <c r="AM5" s="22">
        <f t="shared" ca="1" si="15"/>
        <v>5.4101479038861937</v>
      </c>
      <c r="AN5" s="22">
        <f t="shared" ca="1" si="16"/>
        <v>5.9265200927955188</v>
      </c>
      <c r="AO5" s="11">
        <f t="shared" ca="1" si="17"/>
        <v>4.5013733275519749</v>
      </c>
      <c r="AP5" s="20">
        <v>3</v>
      </c>
      <c r="AQ5" s="20">
        <v>0</v>
      </c>
      <c r="AR5" s="20">
        <v>2</v>
      </c>
      <c r="AS5" s="57">
        <f t="shared" si="18"/>
        <v>2.63E-2</v>
      </c>
      <c r="AT5" s="10">
        <v>3360</v>
      </c>
    </row>
    <row r="6" spans="1:46" x14ac:dyDescent="0.25">
      <c r="A6" s="407" t="s">
        <v>156</v>
      </c>
      <c r="B6" s="49" t="s">
        <v>157</v>
      </c>
      <c r="C6" s="359">
        <f t="shared" ca="1" si="0"/>
        <v>9.7589285714285712</v>
      </c>
      <c r="D6" s="95" t="s">
        <v>158</v>
      </c>
      <c r="E6" s="4">
        <v>26</v>
      </c>
      <c r="F6" s="5">
        <f ca="1">$D$2-$D$1-1100-112-112-112-112-112-112</f>
        <v>27</v>
      </c>
      <c r="G6" s="6"/>
      <c r="H6" s="91">
        <v>5</v>
      </c>
      <c r="I6" s="8">
        <v>4.5999999999999996</v>
      </c>
      <c r="J6" s="21">
        <f t="shared" si="1"/>
        <v>0.8836771089087655</v>
      </c>
      <c r="K6" s="9">
        <f t="shared" si="2"/>
        <v>114.99999999999999</v>
      </c>
      <c r="L6" s="9">
        <f t="shared" si="3"/>
        <v>165.6</v>
      </c>
      <c r="M6" s="62">
        <v>43395</v>
      </c>
      <c r="N6" s="63">
        <f t="shared" ca="1" si="4"/>
        <v>1</v>
      </c>
      <c r="O6" s="19">
        <v>6.9</v>
      </c>
      <c r="P6" s="20">
        <f t="shared" si="5"/>
        <v>88</v>
      </c>
      <c r="Q6" s="20">
        <v>5</v>
      </c>
      <c r="R6" s="57">
        <f t="shared" si="6"/>
        <v>0.84515425472851657</v>
      </c>
      <c r="S6" s="57">
        <f t="shared" si="7"/>
        <v>0.92504826128926143</v>
      </c>
      <c r="T6" s="10">
        <v>165090</v>
      </c>
      <c r="U6" s="10">
        <f t="shared" si="8"/>
        <v>13410</v>
      </c>
      <c r="V6" s="10">
        <v>34490</v>
      </c>
      <c r="W6" s="11">
        <f t="shared" si="9"/>
        <v>4.786604812989272</v>
      </c>
      <c r="X6" s="442">
        <v>0</v>
      </c>
      <c r="Y6" s="21">
        <f>15+6/16+1/16*131/90+1/16*32/90</f>
        <v>15.488194444444444</v>
      </c>
      <c r="Z6" s="442">
        <v>5</v>
      </c>
      <c r="AA6" s="21">
        <f>6+1.5/3</f>
        <v>6.5</v>
      </c>
      <c r="AB6" s="442">
        <f>8+4/5</f>
        <v>8.8000000000000007</v>
      </c>
      <c r="AC6" s="21">
        <v>2</v>
      </c>
      <c r="AD6" s="442">
        <f>13+1/2</f>
        <v>13.5</v>
      </c>
      <c r="AE6" s="12">
        <f>Planning!V4</f>
        <v>160.80000000000001</v>
      </c>
      <c r="AF6" s="12">
        <v>1524</v>
      </c>
      <c r="AG6" s="12">
        <v>1860</v>
      </c>
      <c r="AH6" s="11">
        <f t="shared" ca="1" si="10"/>
        <v>4.0925776856741933</v>
      </c>
      <c r="AI6" s="22">
        <f t="shared" ca="1" si="11"/>
        <v>14.681911155913749</v>
      </c>
      <c r="AJ6" s="22">
        <f t="shared" ca="1" si="12"/>
        <v>16.083227854761414</v>
      </c>
      <c r="AK6" s="22">
        <f t="shared" ca="1" si="13"/>
        <v>5.8177689967715374</v>
      </c>
      <c r="AL6" s="22">
        <f t="shared" ca="1" si="14"/>
        <v>6.3730466277719415</v>
      </c>
      <c r="AM6" s="22">
        <f t="shared" ca="1" si="15"/>
        <v>13.846734416692444</v>
      </c>
      <c r="AN6" s="22">
        <f t="shared" ca="1" si="16"/>
        <v>15.168337575611181</v>
      </c>
      <c r="AO6" s="11">
        <f t="shared" ca="1" si="17"/>
        <v>11.933677108908764</v>
      </c>
      <c r="AP6" s="20">
        <v>1</v>
      </c>
      <c r="AQ6" s="20">
        <v>2</v>
      </c>
      <c r="AR6" s="20">
        <v>1</v>
      </c>
      <c r="AS6" s="57">
        <f t="shared" si="18"/>
        <v>6.1499999999999999E-2</v>
      </c>
      <c r="AT6" s="10">
        <v>151680</v>
      </c>
    </row>
    <row r="7" spans="1:46" x14ac:dyDescent="0.25">
      <c r="A7" s="407" t="s">
        <v>159</v>
      </c>
      <c r="B7" s="49" t="s">
        <v>157</v>
      </c>
      <c r="C7" s="359">
        <f t="shared" ca="1" si="0"/>
        <v>9.9285714285714288</v>
      </c>
      <c r="D7" s="95" t="s">
        <v>27</v>
      </c>
      <c r="E7" s="4">
        <v>26</v>
      </c>
      <c r="F7" s="5">
        <f ca="1">$D$2-$D$1-1102-17-112-112-112-112-112-112</f>
        <v>8</v>
      </c>
      <c r="G7" s="6"/>
      <c r="H7" s="7">
        <v>4</v>
      </c>
      <c r="I7" s="8">
        <v>5.5</v>
      </c>
      <c r="J7" s="21">
        <f t="shared" si="1"/>
        <v>0.98715025265899181</v>
      </c>
      <c r="K7" s="9">
        <f t="shared" si="2"/>
        <v>88</v>
      </c>
      <c r="L7" s="9">
        <f t="shared" si="3"/>
        <v>137.5</v>
      </c>
      <c r="M7" s="62">
        <v>43410</v>
      </c>
      <c r="N7" s="63">
        <f t="shared" ca="1" si="4"/>
        <v>1</v>
      </c>
      <c r="O7" s="19">
        <v>7</v>
      </c>
      <c r="P7" s="20">
        <f t="shared" si="5"/>
        <v>89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177790</v>
      </c>
      <c r="U7" s="10">
        <f t="shared" si="8"/>
        <v>2110</v>
      </c>
      <c r="V7" s="10">
        <v>35040</v>
      </c>
      <c r="W7" s="11">
        <f t="shared" si="9"/>
        <v>5.0739155251141552</v>
      </c>
      <c r="X7" s="442">
        <v>0</v>
      </c>
      <c r="Y7" s="21">
        <f>15+7/16+1.3/16</f>
        <v>15.518750000000001</v>
      </c>
      <c r="Z7" s="442">
        <v>5</v>
      </c>
      <c r="AA7" s="21">
        <f>7+3/4</f>
        <v>7.75</v>
      </c>
      <c r="AB7" s="442">
        <f>8+2/6</f>
        <v>8.3333333333333339</v>
      </c>
      <c r="AC7" s="21">
        <v>1</v>
      </c>
      <c r="AD7" s="442">
        <v>13</v>
      </c>
      <c r="AE7" s="12">
        <f>Planning!V6</f>
        <v>160.5</v>
      </c>
      <c r="AF7" s="12">
        <v>1501</v>
      </c>
      <c r="AG7" s="12">
        <v>1944</v>
      </c>
      <c r="AH7" s="11">
        <f t="shared" ca="1" si="10"/>
        <v>4.4146420756367339</v>
      </c>
      <c r="AI7" s="22">
        <f t="shared" ca="1" si="11"/>
        <v>16.207314318525082</v>
      </c>
      <c r="AJ7" s="22">
        <f t="shared" ca="1" si="12"/>
        <v>17.505900252658993</v>
      </c>
      <c r="AK7" s="22">
        <f t="shared" ca="1" si="13"/>
        <v>6.4688441440425564</v>
      </c>
      <c r="AL7" s="22">
        <f t="shared" ca="1" si="14"/>
        <v>6.9871502526589921</v>
      </c>
      <c r="AM7" s="22">
        <f t="shared" ca="1" si="15"/>
        <v>14.801225041995519</v>
      </c>
      <c r="AN7" s="22">
        <f t="shared" ca="1" si="16"/>
        <v>15.987150252658992</v>
      </c>
      <c r="AO7" s="11">
        <f t="shared" ca="1" si="17"/>
        <v>11.387150252658991</v>
      </c>
      <c r="AP7" s="20">
        <v>3</v>
      </c>
      <c r="AQ7" s="20">
        <v>2</v>
      </c>
      <c r="AR7" s="20">
        <v>2</v>
      </c>
      <c r="AS7" s="57">
        <f t="shared" si="18"/>
        <v>6.1499999999999999E-2</v>
      </c>
      <c r="AT7" s="10">
        <v>175680</v>
      </c>
    </row>
    <row r="8" spans="1:46" x14ac:dyDescent="0.25">
      <c r="A8" s="407" t="s">
        <v>160</v>
      </c>
      <c r="B8" s="49" t="s">
        <v>157</v>
      </c>
      <c r="C8" s="359">
        <f t="shared" ca="1" si="0"/>
        <v>9.4821428571428577</v>
      </c>
      <c r="D8" s="95" t="s">
        <v>68</v>
      </c>
      <c r="E8" s="4">
        <v>26</v>
      </c>
      <c r="F8" s="5">
        <f ca="1">$D$2-$D$1-1069-112-112-112-112-112-112</f>
        <v>58</v>
      </c>
      <c r="G8" s="6"/>
      <c r="H8" s="7">
        <v>1</v>
      </c>
      <c r="I8" s="8">
        <v>6.1</v>
      </c>
      <c r="J8" s="21">
        <f t="shared" si="1"/>
        <v>1.0471064466810227</v>
      </c>
      <c r="K8" s="9">
        <f t="shared" si="2"/>
        <v>6.1</v>
      </c>
      <c r="L8" s="9">
        <f t="shared" si="3"/>
        <v>24.4</v>
      </c>
      <c r="M8" s="62">
        <v>43383</v>
      </c>
      <c r="N8" s="63">
        <f t="shared" ca="1" si="4"/>
        <v>1</v>
      </c>
      <c r="O8" s="19">
        <v>6.9</v>
      </c>
      <c r="P8" s="20">
        <f t="shared" si="5"/>
        <v>88</v>
      </c>
      <c r="Q8" s="20">
        <v>5</v>
      </c>
      <c r="R8" s="57">
        <f t="shared" si="6"/>
        <v>0.84515425472851657</v>
      </c>
      <c r="S8" s="57">
        <f t="shared" si="7"/>
        <v>0.92504826128926143</v>
      </c>
      <c r="T8" s="10">
        <v>164320</v>
      </c>
      <c r="U8" s="10">
        <f t="shared" si="8"/>
        <v>-12810</v>
      </c>
      <c r="V8" s="10">
        <v>22400</v>
      </c>
      <c r="W8" s="11">
        <f t="shared" si="9"/>
        <v>7.3357142857142854</v>
      </c>
      <c r="X8" s="442">
        <v>0</v>
      </c>
      <c r="Y8" s="21">
        <f>14+2/16</f>
        <v>14.125</v>
      </c>
      <c r="Z8" s="442">
        <v>3</v>
      </c>
      <c r="AA8" s="21">
        <v>8</v>
      </c>
      <c r="AB8" s="442">
        <f>11+3/7</f>
        <v>11.428571428571429</v>
      </c>
      <c r="AC8" s="21">
        <v>4</v>
      </c>
      <c r="AD8" s="442">
        <v>14</v>
      </c>
      <c r="AE8" s="12">
        <f>Planning!V5</f>
        <v>161.5</v>
      </c>
      <c r="AF8" s="12">
        <v>1629</v>
      </c>
      <c r="AG8" s="12">
        <v>1861</v>
      </c>
      <c r="AH8" s="11">
        <f t="shared" ca="1" si="10"/>
        <v>4.5557471943220031</v>
      </c>
      <c r="AI8" s="22">
        <f t="shared" ca="1" si="11"/>
        <v>13.667924571334936</v>
      </c>
      <c r="AJ8" s="22">
        <f t="shared" ca="1" si="12"/>
        <v>14.972461203998545</v>
      </c>
      <c r="AK8" s="22">
        <f t="shared" ca="1" si="13"/>
        <v>4.2655834874801908</v>
      </c>
      <c r="AL8" s="22">
        <f t="shared" ca="1" si="14"/>
        <v>4.6727125940289111</v>
      </c>
      <c r="AM8" s="22">
        <f t="shared" ca="1" si="15"/>
        <v>14.407434544222392</v>
      </c>
      <c r="AN8" s="22">
        <f t="shared" ca="1" si="16"/>
        <v>15.782553791299531</v>
      </c>
      <c r="AO8" s="11">
        <f t="shared" ca="1" si="17"/>
        <v>13.04710644668102</v>
      </c>
      <c r="AP8" s="20">
        <v>0</v>
      </c>
      <c r="AQ8" s="20">
        <v>3</v>
      </c>
      <c r="AR8" s="20">
        <v>2</v>
      </c>
      <c r="AS8" s="57">
        <f t="shared" si="18"/>
        <v>0.1158</v>
      </c>
      <c r="AT8" s="10">
        <v>177130</v>
      </c>
    </row>
    <row r="9" spans="1:46" x14ac:dyDescent="0.25">
      <c r="A9" s="407" t="s">
        <v>161</v>
      </c>
      <c r="B9" s="49" t="s">
        <v>157</v>
      </c>
      <c r="C9" s="359">
        <f t="shared" ca="1" si="0"/>
        <v>9.6160714285714288</v>
      </c>
      <c r="D9" s="95" t="s">
        <v>49</v>
      </c>
      <c r="E9" s="4">
        <v>26</v>
      </c>
      <c r="F9" s="5">
        <f ca="1">$D$2-$D$1-880+55-112-112-14-21-112-112-112-112-112-112</f>
        <v>43</v>
      </c>
      <c r="G9" s="6"/>
      <c r="H9" s="7">
        <v>4</v>
      </c>
      <c r="I9" s="8">
        <v>6.5</v>
      </c>
      <c r="J9" s="21">
        <f t="shared" si="1"/>
        <v>1.0838844755238075</v>
      </c>
      <c r="K9" s="9">
        <f t="shared" si="2"/>
        <v>104</v>
      </c>
      <c r="L9" s="9">
        <f t="shared" si="3"/>
        <v>162.5</v>
      </c>
      <c r="M9" s="62">
        <v>43419</v>
      </c>
      <c r="N9" s="63">
        <f t="shared" ca="1" si="4"/>
        <v>1</v>
      </c>
      <c r="O9" s="19">
        <v>6.9</v>
      </c>
      <c r="P9" s="20">
        <f t="shared" si="5"/>
        <v>88</v>
      </c>
      <c r="Q9" s="20">
        <v>7</v>
      </c>
      <c r="R9" s="57">
        <f t="shared" si="6"/>
        <v>1</v>
      </c>
      <c r="S9" s="57">
        <f t="shared" si="7"/>
        <v>1</v>
      </c>
      <c r="T9" s="10">
        <v>171640</v>
      </c>
      <c r="U9" s="10">
        <f t="shared" si="8"/>
        <v>-1030</v>
      </c>
      <c r="V9" s="10">
        <v>12870</v>
      </c>
      <c r="W9" s="11">
        <f t="shared" si="9"/>
        <v>13.336441336441336</v>
      </c>
      <c r="X9" s="442">
        <v>0</v>
      </c>
      <c r="Y9" s="21">
        <f>12+4.2/11</f>
        <v>12.381818181818183</v>
      </c>
      <c r="Z9" s="442">
        <v>11</v>
      </c>
      <c r="AA9" s="21">
        <v>4</v>
      </c>
      <c r="AB9" s="442">
        <f>11+0/6</f>
        <v>11</v>
      </c>
      <c r="AC9" s="21">
        <v>4</v>
      </c>
      <c r="AD9" s="442">
        <f>13+1/2</f>
        <v>13.5</v>
      </c>
      <c r="AE9" s="12">
        <f>Planning!V7</f>
        <v>159.5</v>
      </c>
      <c r="AF9" s="12">
        <v>1635</v>
      </c>
      <c r="AG9" s="12">
        <v>1950</v>
      </c>
      <c r="AH9" s="11">
        <f t="shared" ca="1" si="10"/>
        <v>5.0791839510487007</v>
      </c>
      <c r="AI9" s="22">
        <f t="shared" ca="1" si="11"/>
        <v>14.465702657341991</v>
      </c>
      <c r="AJ9" s="22">
        <f t="shared" ca="1" si="12"/>
        <v>14.465702657341991</v>
      </c>
      <c r="AK9" s="22">
        <f t="shared" ca="1" si="13"/>
        <v>13.083884475523808</v>
      </c>
      <c r="AL9" s="22">
        <f t="shared" ca="1" si="14"/>
        <v>13.083884475523808</v>
      </c>
      <c r="AM9" s="22">
        <f t="shared" ca="1" si="15"/>
        <v>16.58388447552381</v>
      </c>
      <c r="AN9" s="22">
        <f t="shared" ca="1" si="16"/>
        <v>16.583884475523806</v>
      </c>
      <c r="AO9" s="11">
        <f t="shared" ca="1" si="17"/>
        <v>12.733884475523807</v>
      </c>
      <c r="AP9" s="20">
        <v>0</v>
      </c>
      <c r="AQ9" s="20">
        <v>2</v>
      </c>
      <c r="AR9" s="20">
        <v>2</v>
      </c>
      <c r="AS9" s="57">
        <f t="shared" si="18"/>
        <v>6.1499999999999999E-2</v>
      </c>
      <c r="AT9" s="10">
        <v>172670</v>
      </c>
    </row>
    <row r="10" spans="1:46" x14ac:dyDescent="0.25">
      <c r="A10" s="407" t="s">
        <v>162</v>
      </c>
      <c r="B10" s="49" t="s">
        <v>157</v>
      </c>
      <c r="C10" s="359">
        <f t="shared" ca="1" si="0"/>
        <v>9.2321428571428577</v>
      </c>
      <c r="D10" s="95" t="s">
        <v>64</v>
      </c>
      <c r="E10" s="4">
        <v>26</v>
      </c>
      <c r="F10" s="5">
        <f ca="1">$D$2-$D$1-1377-112-112-112</f>
        <v>86</v>
      </c>
      <c r="G10" s="6"/>
      <c r="H10" s="7">
        <v>2</v>
      </c>
      <c r="I10" s="8">
        <v>6.2</v>
      </c>
      <c r="J10" s="21">
        <f t="shared" si="1"/>
        <v>1.0565222526643385</v>
      </c>
      <c r="K10" s="9">
        <f t="shared" si="2"/>
        <v>24.8</v>
      </c>
      <c r="L10" s="9">
        <f t="shared" si="3"/>
        <v>55.800000000000004</v>
      </c>
      <c r="M10" s="62">
        <v>43706</v>
      </c>
      <c r="N10" s="63">
        <f t="shared" ca="1" si="4"/>
        <v>1</v>
      </c>
      <c r="O10" s="19">
        <v>6.7</v>
      </c>
      <c r="P10" s="20">
        <f t="shared" si="5"/>
        <v>86</v>
      </c>
      <c r="Q10" s="20">
        <v>4</v>
      </c>
      <c r="R10" s="57">
        <f t="shared" si="6"/>
        <v>0.7559289460184544</v>
      </c>
      <c r="S10" s="57">
        <f t="shared" si="7"/>
        <v>0.84430867747355465</v>
      </c>
      <c r="T10" s="10">
        <v>153390</v>
      </c>
      <c r="U10" s="10">
        <f t="shared" si="8"/>
        <v>-19440</v>
      </c>
      <c r="V10" s="10">
        <v>21410</v>
      </c>
      <c r="W10" s="11">
        <f t="shared" si="9"/>
        <v>7.1644091546006541</v>
      </c>
      <c r="X10" s="442">
        <v>0</v>
      </c>
      <c r="Y10" s="21">
        <f>14+3/16</f>
        <v>14.1875</v>
      </c>
      <c r="Z10" s="442">
        <v>5</v>
      </c>
      <c r="AA10" s="21">
        <v>2</v>
      </c>
      <c r="AB10" s="442">
        <f>12+0/9</f>
        <v>12</v>
      </c>
      <c r="AC10" s="21">
        <v>6</v>
      </c>
      <c r="AD10" s="442">
        <f>12.5</f>
        <v>12.5</v>
      </c>
      <c r="AE10" s="12">
        <f>Planning!V8</f>
        <v>159</v>
      </c>
      <c r="AF10" s="12">
        <v>1448</v>
      </c>
      <c r="AG10" s="12">
        <v>1792</v>
      </c>
      <c r="AH10" s="11">
        <f t="shared" ca="1" si="10"/>
        <v>4.1913488403549843</v>
      </c>
      <c r="AI10" s="22">
        <f t="shared" ca="1" si="11"/>
        <v>12.279326620556871</v>
      </c>
      <c r="AJ10" s="22">
        <f t="shared" ca="1" si="12"/>
        <v>13.728704520743966</v>
      </c>
      <c r="AK10" s="22">
        <f t="shared" ca="1" si="13"/>
        <v>5.3342294290123231</v>
      </c>
      <c r="AL10" s="22">
        <f t="shared" ca="1" si="14"/>
        <v>5.9638498054257223</v>
      </c>
      <c r="AM10" s="22">
        <f t="shared" ca="1" si="15"/>
        <v>11.759625470169185</v>
      </c>
      <c r="AN10" s="22">
        <f t="shared" ca="1" si="16"/>
        <v>13.147660970618112</v>
      </c>
      <c r="AO10" s="11">
        <f t="shared" ca="1" si="17"/>
        <v>12.606522252664337</v>
      </c>
      <c r="AP10" s="20">
        <v>2</v>
      </c>
      <c r="AQ10" s="20">
        <v>2</v>
      </c>
      <c r="AR10" s="20">
        <v>1</v>
      </c>
      <c r="AS10" s="57">
        <f t="shared" si="18"/>
        <v>6.1499999999999999E-2</v>
      </c>
      <c r="AT10" s="10">
        <v>172830</v>
      </c>
    </row>
    <row r="11" spans="1:46" x14ac:dyDescent="0.25">
      <c r="A11" s="407" t="s">
        <v>163</v>
      </c>
      <c r="B11" s="49" t="s">
        <v>164</v>
      </c>
      <c r="C11" s="359">
        <f t="shared" ca="1" si="0"/>
        <v>9.7946428571428577</v>
      </c>
      <c r="D11" s="95" t="s">
        <v>20</v>
      </c>
      <c r="E11" s="4">
        <v>26</v>
      </c>
      <c r="F11" s="5">
        <f ca="1">$D$2-$D$1-880-112-112-112-112-112-112-112-112</f>
        <v>23</v>
      </c>
      <c r="G11" s="6" t="s">
        <v>165</v>
      </c>
      <c r="H11" s="91">
        <v>5</v>
      </c>
      <c r="I11" s="8">
        <v>7</v>
      </c>
      <c r="J11" s="21">
        <f t="shared" si="1"/>
        <v>1.1267973866856758</v>
      </c>
      <c r="K11" s="9">
        <f t="shared" si="2"/>
        <v>175</v>
      </c>
      <c r="L11" s="9">
        <f t="shared" si="3"/>
        <v>252</v>
      </c>
      <c r="M11" s="62">
        <v>43137</v>
      </c>
      <c r="N11" s="63">
        <f t="shared" ca="1" si="4"/>
        <v>1</v>
      </c>
      <c r="O11" s="19">
        <v>7</v>
      </c>
      <c r="P11" s="20">
        <f t="shared" si="5"/>
        <v>89</v>
      </c>
      <c r="Q11" s="20">
        <v>5</v>
      </c>
      <c r="R11" s="57">
        <f t="shared" si="6"/>
        <v>0.84515425472851657</v>
      </c>
      <c r="S11" s="57">
        <f t="shared" si="7"/>
        <v>0.92504826128926143</v>
      </c>
      <c r="T11" s="10">
        <v>192610</v>
      </c>
      <c r="U11" s="10">
        <f t="shared" si="8"/>
        <v>3120</v>
      </c>
      <c r="V11" s="10">
        <v>20710</v>
      </c>
      <c r="W11" s="11">
        <f t="shared" si="9"/>
        <v>9.3003380009657164</v>
      </c>
      <c r="X11" s="442">
        <v>0</v>
      </c>
      <c r="Y11" s="21">
        <f>13+7/12</f>
        <v>13.583333333333334</v>
      </c>
      <c r="Z11" s="442">
        <v>4</v>
      </c>
      <c r="AA11" s="21">
        <f>13+0.5/7.5</f>
        <v>13.066666666666666</v>
      </c>
      <c r="AB11" s="442">
        <f>7+3/4</f>
        <v>7.75</v>
      </c>
      <c r="AC11" s="21">
        <f>5.25+0.25+0.25+0.25+0.25+0.25+0.25+0.25</f>
        <v>7</v>
      </c>
      <c r="AD11" s="442">
        <v>14</v>
      </c>
      <c r="AE11" s="12">
        <f>Planning!V9</f>
        <v>169.5</v>
      </c>
      <c r="AF11" s="12">
        <v>1683</v>
      </c>
      <c r="AG11" s="12">
        <v>1967</v>
      </c>
      <c r="AH11" s="11">
        <f t="shared" ca="1" si="10"/>
        <v>3.7465398111578776</v>
      </c>
      <c r="AI11" s="22">
        <f t="shared" ca="1" si="11"/>
        <v>13.277483820365239</v>
      </c>
      <c r="AJ11" s="22">
        <f t="shared" ca="1" si="12"/>
        <v>14.544754790647824</v>
      </c>
      <c r="AK11" s="22">
        <f t="shared" ca="1" si="13"/>
        <v>5.178088879216955</v>
      </c>
      <c r="AL11" s="22">
        <f t="shared" ca="1" si="14"/>
        <v>5.6723121678275392</v>
      </c>
      <c r="AM11" s="22">
        <f t="shared" ca="1" si="15"/>
        <v>14.474785681230639</v>
      </c>
      <c r="AN11" s="22">
        <f t="shared" ca="1" si="16"/>
        <v>15.856333265325606</v>
      </c>
      <c r="AO11" s="11">
        <f t="shared" ca="1" si="17"/>
        <v>14.026797386685674</v>
      </c>
      <c r="AP11" s="20">
        <v>1</v>
      </c>
      <c r="AQ11" s="20">
        <v>2</v>
      </c>
      <c r="AR11" s="20">
        <v>3</v>
      </c>
      <c r="AS11" s="57">
        <f t="shared" si="18"/>
        <v>6.1499999999999999E-2</v>
      </c>
      <c r="AT11" s="10">
        <v>189490</v>
      </c>
    </row>
    <row r="12" spans="1:46" x14ac:dyDescent="0.25">
      <c r="A12" s="407" t="s">
        <v>166</v>
      </c>
      <c r="B12" s="49" t="s">
        <v>164</v>
      </c>
      <c r="C12" s="359">
        <f t="shared" ca="1" si="0"/>
        <v>10.142857142857142</v>
      </c>
      <c r="D12" s="95" t="s">
        <v>167</v>
      </c>
      <c r="E12" s="4">
        <v>25</v>
      </c>
      <c r="F12" s="5">
        <f ca="1">$D$2-$D$1-1479-112-112</f>
        <v>96</v>
      </c>
      <c r="G12" s="6" t="s">
        <v>168</v>
      </c>
      <c r="H12" s="7">
        <v>3</v>
      </c>
      <c r="I12" s="8">
        <v>7</v>
      </c>
      <c r="J12" s="21">
        <f t="shared" si="1"/>
        <v>1.1267973866856758</v>
      </c>
      <c r="K12" s="9">
        <f t="shared" si="2"/>
        <v>63</v>
      </c>
      <c r="L12" s="9">
        <f t="shared" si="3"/>
        <v>112</v>
      </c>
      <c r="M12" s="62">
        <v>43122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229960</v>
      </c>
      <c r="U12" s="10">
        <f t="shared" si="8"/>
        <v>13900</v>
      </c>
      <c r="V12" s="10">
        <v>15490</v>
      </c>
      <c r="W12" s="11">
        <f t="shared" si="9"/>
        <v>14.845706907682375</v>
      </c>
      <c r="X12" s="442">
        <v>0</v>
      </c>
      <c r="Y12" s="21">
        <f>13+0/13</f>
        <v>13</v>
      </c>
      <c r="Z12" s="442">
        <v>3</v>
      </c>
      <c r="AA12" s="21">
        <f>13+5/7.5</f>
        <v>13.666666666666666</v>
      </c>
      <c r="AB12" s="442">
        <f>9+4/6</f>
        <v>9.6666666666666661</v>
      </c>
      <c r="AC12" s="21">
        <f>4.25+0.25+0.25+0.25+0.25+0.25+0.25+0.25+0.25+0.25+0.25+0.25</f>
        <v>7</v>
      </c>
      <c r="AD12" s="442">
        <f>14+1/2</f>
        <v>14.5</v>
      </c>
      <c r="AE12" s="12">
        <f>Planning!V14</f>
        <v>172.5</v>
      </c>
      <c r="AF12" s="12">
        <v>1742</v>
      </c>
      <c r="AG12" s="12">
        <v>2111</v>
      </c>
      <c r="AH12" s="11">
        <f t="shared" ca="1" si="10"/>
        <v>4.4802431498572286</v>
      </c>
      <c r="AI12" s="22">
        <f t="shared" ca="1" si="11"/>
        <v>14.004693065780502</v>
      </c>
      <c r="AJ12" s="22">
        <f t="shared" ca="1" si="12"/>
        <v>15.126797386685675</v>
      </c>
      <c r="AK12" s="22">
        <f t="shared" ca="1" si="13"/>
        <v>4.7464920680549874</v>
      </c>
      <c r="AL12" s="22">
        <f t="shared" ca="1" si="14"/>
        <v>5.1267973866856753</v>
      </c>
      <c r="AM12" s="22">
        <f t="shared" ca="1" si="15"/>
        <v>16.319243315211882</v>
      </c>
      <c r="AN12" s="22">
        <f t="shared" ca="1" si="16"/>
        <v>17.626797386685677</v>
      </c>
      <c r="AO12" s="11">
        <f t="shared" ca="1" si="17"/>
        <v>14.376797386685674</v>
      </c>
      <c r="AP12" s="20">
        <v>2</v>
      </c>
      <c r="AQ12" s="20">
        <v>0</v>
      </c>
      <c r="AR12" s="20">
        <v>2</v>
      </c>
      <c r="AS12" s="57">
        <f t="shared" si="18"/>
        <v>2.63E-2</v>
      </c>
      <c r="AT12" s="10">
        <v>216060</v>
      </c>
    </row>
    <row r="13" spans="1:46" x14ac:dyDescent="0.25">
      <c r="A13" s="407" t="s">
        <v>169</v>
      </c>
      <c r="B13" s="49" t="s">
        <v>164</v>
      </c>
      <c r="C13" s="359">
        <f t="shared" ca="1" si="0"/>
        <v>9.7946428571428577</v>
      </c>
      <c r="D13" s="95" t="s">
        <v>31</v>
      </c>
      <c r="E13" s="4">
        <v>26</v>
      </c>
      <c r="F13" s="5">
        <f ca="1">$D$2-$D$1-880-112-112-112-112-112-112-112-112</f>
        <v>23</v>
      </c>
      <c r="G13" s="6" t="s">
        <v>165</v>
      </c>
      <c r="H13" s="30">
        <v>6</v>
      </c>
      <c r="I13" s="8">
        <v>7</v>
      </c>
      <c r="J13" s="21">
        <f t="shared" si="1"/>
        <v>1.1267973866856758</v>
      </c>
      <c r="K13" s="9">
        <f t="shared" si="2"/>
        <v>252</v>
      </c>
      <c r="L13" s="9">
        <f t="shared" si="3"/>
        <v>343</v>
      </c>
      <c r="M13" s="62">
        <v>43051</v>
      </c>
      <c r="N13" s="63">
        <f t="shared" ca="1" si="4"/>
        <v>1</v>
      </c>
      <c r="O13" s="19">
        <v>7</v>
      </c>
      <c r="P13" s="20">
        <f t="shared" si="5"/>
        <v>89</v>
      </c>
      <c r="Q13" s="20">
        <v>4</v>
      </c>
      <c r="R13" s="57">
        <f t="shared" si="6"/>
        <v>0.7559289460184544</v>
      </c>
      <c r="S13" s="57">
        <f t="shared" si="7"/>
        <v>0.84430867747355465</v>
      </c>
      <c r="T13" s="10">
        <v>140700</v>
      </c>
      <c r="U13" s="10">
        <f t="shared" si="8"/>
        <v>-11170</v>
      </c>
      <c r="V13" s="10">
        <v>12690</v>
      </c>
      <c r="W13" s="11">
        <f t="shared" si="9"/>
        <v>11.087470449172576</v>
      </c>
      <c r="X13" s="442">
        <v>0</v>
      </c>
      <c r="Y13" s="21">
        <f>12+5/11</f>
        <v>12.454545454545455</v>
      </c>
      <c r="Z13" s="442">
        <v>3</v>
      </c>
      <c r="AA13" s="21">
        <f>12+3.5/7.5</f>
        <v>12.466666666666667</v>
      </c>
      <c r="AB13" s="442">
        <f>9+0/6</f>
        <v>9</v>
      </c>
      <c r="AC13" s="21">
        <f>3.34+0.34+0.33+0.33+0.33+0.33+0.33+0.33+0.33+0.26+0.25+0.25+0.25+0.25</f>
        <v>7.25</v>
      </c>
      <c r="AD13" s="442">
        <f>14+1/2</f>
        <v>14.5</v>
      </c>
      <c r="AE13" s="12">
        <f>Planning!V10</f>
        <v>161</v>
      </c>
      <c r="AF13" s="12">
        <v>1570</v>
      </c>
      <c r="AG13" s="12">
        <v>1930</v>
      </c>
      <c r="AH13" s="11">
        <f t="shared" ca="1" si="10"/>
        <v>3.4805744459577466</v>
      </c>
      <c r="AI13" s="22">
        <f t="shared" ca="1" si="11"/>
        <v>11.022459125505584</v>
      </c>
      <c r="AJ13" s="22">
        <f t="shared" ca="1" si="12"/>
        <v>12.323483941921687</v>
      </c>
      <c r="AK13" s="22">
        <f t="shared" ca="1" si="13"/>
        <v>3.8754945449674687</v>
      </c>
      <c r="AL13" s="22">
        <f t="shared" ca="1" si="14"/>
        <v>4.3329346244884386</v>
      </c>
      <c r="AM13" s="22">
        <f t="shared" ca="1" si="15"/>
        <v>13.324606370198151</v>
      </c>
      <c r="AN13" s="22">
        <f t="shared" ca="1" si="16"/>
        <v>14.897362808594897</v>
      </c>
      <c r="AO13" s="11">
        <f t="shared" ca="1" si="17"/>
        <v>14.451797386685673</v>
      </c>
      <c r="AP13" s="20">
        <v>2</v>
      </c>
      <c r="AQ13" s="20">
        <v>2</v>
      </c>
      <c r="AR13" s="20">
        <v>1</v>
      </c>
      <c r="AS13" s="57">
        <f t="shared" si="18"/>
        <v>6.1499999999999999E-2</v>
      </c>
      <c r="AT13" s="10">
        <v>151870</v>
      </c>
    </row>
    <row r="14" spans="1:46" x14ac:dyDescent="0.25">
      <c r="A14" s="407" t="s">
        <v>170</v>
      </c>
      <c r="B14" s="49" t="s">
        <v>164</v>
      </c>
      <c r="C14" s="359">
        <f t="shared" ca="1" si="0"/>
        <v>9.8303571428571423</v>
      </c>
      <c r="D14" s="95" t="s">
        <v>14</v>
      </c>
      <c r="E14" s="4">
        <v>26</v>
      </c>
      <c r="F14" s="5">
        <f ca="1">$D$2-$D$1-880-4-112-112-112-112-112-112-112-112</f>
        <v>19</v>
      </c>
      <c r="G14" s="6" t="s">
        <v>168</v>
      </c>
      <c r="H14" s="7">
        <v>1</v>
      </c>
      <c r="I14" s="8">
        <v>7.3</v>
      </c>
      <c r="J14" s="21">
        <f t="shared" si="1"/>
        <v>1.1510971468272746</v>
      </c>
      <c r="K14" s="9">
        <f t="shared" si="2"/>
        <v>7.3</v>
      </c>
      <c r="L14" s="9">
        <f t="shared" si="3"/>
        <v>29.2</v>
      </c>
      <c r="M14" s="62">
        <v>43046</v>
      </c>
      <c r="N14" s="63">
        <v>1.5</v>
      </c>
      <c r="O14" s="19">
        <v>7</v>
      </c>
      <c r="P14" s="20">
        <f t="shared" si="5"/>
        <v>89</v>
      </c>
      <c r="Q14" s="20">
        <v>6</v>
      </c>
      <c r="R14" s="57">
        <f t="shared" si="6"/>
        <v>0.92582009977255142</v>
      </c>
      <c r="S14" s="57">
        <f t="shared" si="7"/>
        <v>0.99928545900129484</v>
      </c>
      <c r="T14" s="10">
        <v>231520</v>
      </c>
      <c r="U14" s="10">
        <f t="shared" si="8"/>
        <v>20760</v>
      </c>
      <c r="V14" s="10">
        <v>20760</v>
      </c>
      <c r="W14" s="11">
        <f t="shared" si="9"/>
        <v>11.152215799614643</v>
      </c>
      <c r="X14" s="442">
        <v>0</v>
      </c>
      <c r="Y14" s="21">
        <f>11+5/10</f>
        <v>11.5</v>
      </c>
      <c r="Z14" s="442">
        <v>5.7</v>
      </c>
      <c r="AA14" s="21">
        <f>14+6/9</f>
        <v>14.666666666666666</v>
      </c>
      <c r="AB14" s="442">
        <f>9+0/6</f>
        <v>9</v>
      </c>
      <c r="AC14" s="21">
        <f>4.25+0.34+0.33+0.33+0.25+0.25+0.25+0.25+0.25+0.25+0.25+0.25+0.25</f>
        <v>7.5</v>
      </c>
      <c r="AD14" s="442">
        <v>15</v>
      </c>
      <c r="AE14" s="12">
        <f>Planning!V13</f>
        <v>173</v>
      </c>
      <c r="AF14" s="12">
        <v>1619</v>
      </c>
      <c r="AG14" s="12">
        <v>2048</v>
      </c>
      <c r="AH14" s="11">
        <f t="shared" si="10"/>
        <v>4.3343762522796654</v>
      </c>
      <c r="AI14" s="22">
        <f t="shared" si="11"/>
        <v>13.101370172366694</v>
      </c>
      <c r="AJ14" s="22">
        <f t="shared" si="12"/>
        <v>14.151097146827274</v>
      </c>
      <c r="AK14" s="22">
        <f t="shared" si="13"/>
        <v>7.7316135936858972</v>
      </c>
      <c r="AL14" s="22">
        <f t="shared" si="14"/>
        <v>8.351097146827275</v>
      </c>
      <c r="AM14" s="22">
        <f t="shared" si="15"/>
        <v>17.267560621343179</v>
      </c>
      <c r="AN14" s="22">
        <f t="shared" si="16"/>
        <v>18.651097146827276</v>
      </c>
      <c r="AO14" s="11">
        <f t="shared" si="17"/>
        <v>15.401097146827274</v>
      </c>
      <c r="AP14" s="20">
        <v>4</v>
      </c>
      <c r="AQ14" s="20">
        <v>3</v>
      </c>
      <c r="AR14" s="20">
        <v>2</v>
      </c>
      <c r="AS14" s="57">
        <f t="shared" si="18"/>
        <v>0.1158</v>
      </c>
      <c r="AT14" s="10">
        <v>210760</v>
      </c>
    </row>
    <row r="15" spans="1:46" x14ac:dyDescent="0.25">
      <c r="A15" s="407" t="s">
        <v>171</v>
      </c>
      <c r="B15" s="49" t="s">
        <v>164</v>
      </c>
      <c r="C15" s="359">
        <f t="shared" ca="1" si="0"/>
        <v>9.8303571428571423</v>
      </c>
      <c r="D15" s="95" t="s">
        <v>172</v>
      </c>
      <c r="E15" s="4">
        <v>26</v>
      </c>
      <c r="F15" s="5">
        <f ca="1">$D$2-$D$1-880-4-112-112-112-112-112-112-112-112</f>
        <v>19</v>
      </c>
      <c r="G15" s="6" t="s">
        <v>165</v>
      </c>
      <c r="H15" s="30">
        <v>6</v>
      </c>
      <c r="I15" s="8">
        <v>6.5</v>
      </c>
      <c r="J15" s="21">
        <f t="shared" si="1"/>
        <v>1.0838844755238075</v>
      </c>
      <c r="K15" s="9">
        <f t="shared" si="2"/>
        <v>234</v>
      </c>
      <c r="L15" s="9">
        <f t="shared" si="3"/>
        <v>318.5</v>
      </c>
      <c r="M15" s="62">
        <v>43054</v>
      </c>
      <c r="N15" s="63">
        <f t="shared" ref="N15:N20" ca="1" si="19">IF((TODAY()-M15)&gt;335,1,((TODAY()-M15)^0.64)/(336^0.64))</f>
        <v>1</v>
      </c>
      <c r="O15" s="19">
        <v>7</v>
      </c>
      <c r="P15" s="20">
        <f t="shared" si="5"/>
        <v>89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10">
        <v>190760</v>
      </c>
      <c r="U15" s="10">
        <f t="shared" si="8"/>
        <v>12330</v>
      </c>
      <c r="V15" s="10">
        <v>15810</v>
      </c>
      <c r="W15" s="11">
        <f t="shared" si="9"/>
        <v>12.065781151170146</v>
      </c>
      <c r="X15" s="442">
        <v>0</v>
      </c>
      <c r="Y15" s="21">
        <f>11+8/10</f>
        <v>11.8</v>
      </c>
      <c r="Z15" s="442">
        <v>5</v>
      </c>
      <c r="AA15" s="21">
        <f>14+0/9</f>
        <v>14</v>
      </c>
      <c r="AB15" s="442">
        <v>8</v>
      </c>
      <c r="AC15" s="21">
        <v>8</v>
      </c>
      <c r="AD15" s="442">
        <v>14</v>
      </c>
      <c r="AE15" s="12">
        <f>Planning!V15</f>
        <v>163.5</v>
      </c>
      <c r="AF15" s="12">
        <v>1662</v>
      </c>
      <c r="AG15" s="12">
        <v>1942</v>
      </c>
      <c r="AH15" s="11">
        <f t="shared" ca="1" si="10"/>
        <v>3.9407131466010874</v>
      </c>
      <c r="AI15" s="22">
        <f t="shared" ca="1" si="11"/>
        <v>12.85397931036003</v>
      </c>
      <c r="AJ15" s="22">
        <f t="shared" ca="1" si="12"/>
        <v>13.883884475523809</v>
      </c>
      <c r="AK15" s="22">
        <f t="shared" ca="1" si="13"/>
        <v>6.558402631906679</v>
      </c>
      <c r="AL15" s="22">
        <f t="shared" ca="1" si="14"/>
        <v>7.0838844755238073</v>
      </c>
      <c r="AM15" s="22">
        <f t="shared" ca="1" si="15"/>
        <v>15.816603629632192</v>
      </c>
      <c r="AN15" s="22">
        <f t="shared" ca="1" si="16"/>
        <v>17.083884475523806</v>
      </c>
      <c r="AO15" s="11">
        <f t="shared" ca="1" si="17"/>
        <v>14.283884475523809</v>
      </c>
      <c r="AP15" s="20">
        <v>2</v>
      </c>
      <c r="AQ15" s="20">
        <v>2</v>
      </c>
      <c r="AR15" s="20">
        <v>1</v>
      </c>
      <c r="AS15" s="57">
        <f t="shared" si="18"/>
        <v>6.1499999999999999E-2</v>
      </c>
      <c r="AT15" s="10">
        <v>178430</v>
      </c>
    </row>
    <row r="16" spans="1:46" x14ac:dyDescent="0.25">
      <c r="A16" s="407" t="s">
        <v>173</v>
      </c>
      <c r="B16" s="49" t="s">
        <v>174</v>
      </c>
      <c r="C16" s="359">
        <f t="shared" ca="1" si="0"/>
        <v>10.0625</v>
      </c>
      <c r="D16" s="95" t="s">
        <v>175</v>
      </c>
      <c r="E16" s="4">
        <v>25</v>
      </c>
      <c r="F16" s="5">
        <f ca="1">$D$2-$D$1-1470-112-112</f>
        <v>105</v>
      </c>
      <c r="G16" s="6" t="s">
        <v>168</v>
      </c>
      <c r="H16" s="7">
        <v>2</v>
      </c>
      <c r="I16" s="8">
        <v>4.5</v>
      </c>
      <c r="J16" s="21">
        <f t="shared" si="1"/>
        <v>0.87095001836712493</v>
      </c>
      <c r="K16" s="9">
        <f t="shared" si="2"/>
        <v>18</v>
      </c>
      <c r="L16" s="9">
        <f t="shared" si="3"/>
        <v>40.5</v>
      </c>
      <c r="M16" s="62">
        <v>43744</v>
      </c>
      <c r="N16" s="63">
        <f t="shared" ca="1" si="19"/>
        <v>0.97506255066494929</v>
      </c>
      <c r="O16" s="19">
        <v>7</v>
      </c>
      <c r="P16" s="20">
        <f t="shared" si="5"/>
        <v>89</v>
      </c>
      <c r="Q16" s="20">
        <v>6</v>
      </c>
      <c r="R16" s="57">
        <f t="shared" si="6"/>
        <v>0.92582009977255142</v>
      </c>
      <c r="S16" s="57">
        <f t="shared" si="7"/>
        <v>0.99928545900129484</v>
      </c>
      <c r="T16" s="10">
        <v>108600</v>
      </c>
      <c r="U16" s="10">
        <f t="shared" si="8"/>
        <v>9020</v>
      </c>
      <c r="V16" s="10">
        <v>13548</v>
      </c>
      <c r="W16" s="11">
        <f t="shared" si="9"/>
        <v>8.0159433126660762</v>
      </c>
      <c r="X16" s="442">
        <v>0</v>
      </c>
      <c r="Y16" s="21">
        <f>12+6.5/11</f>
        <v>12.590909090909092</v>
      </c>
      <c r="Z16" s="442">
        <v>9</v>
      </c>
      <c r="AA16" s="21">
        <v>4</v>
      </c>
      <c r="AB16" s="442">
        <f>8+4/6</f>
        <v>8.6666666666666661</v>
      </c>
      <c r="AC16" s="21">
        <v>4</v>
      </c>
      <c r="AD16" s="442">
        <v>20</v>
      </c>
      <c r="AE16" s="12">
        <f>Planning!V11</f>
        <v>156</v>
      </c>
      <c r="AF16" s="12">
        <v>1511</v>
      </c>
      <c r="AG16" s="12">
        <v>1973</v>
      </c>
      <c r="AH16" s="11">
        <f t="shared" ca="1" si="10"/>
        <v>4.1039614661697641</v>
      </c>
      <c r="AI16" s="22">
        <f t="shared" ca="1" si="11"/>
        <v>13.365992251615239</v>
      </c>
      <c r="AJ16" s="22">
        <f t="shared" ca="1" si="12"/>
        <v>14.436921659941166</v>
      </c>
      <c r="AK16" s="22">
        <f t="shared" ca="1" si="13"/>
        <v>10.041456438795622</v>
      </c>
      <c r="AL16" s="22">
        <f t="shared" ca="1" si="14"/>
        <v>10.846012569032075</v>
      </c>
      <c r="AM16" s="22">
        <f t="shared" ca="1" si="15"/>
        <v>21.151297636066239</v>
      </c>
      <c r="AN16" s="22">
        <f t="shared" ca="1" si="16"/>
        <v>22.846012569032073</v>
      </c>
      <c r="AO16" s="11">
        <f t="shared" ca="1" si="17"/>
        <v>17.046012569032072</v>
      </c>
      <c r="AP16" s="20">
        <v>0</v>
      </c>
      <c r="AQ16" s="20">
        <v>3</v>
      </c>
      <c r="AR16" s="20">
        <v>2</v>
      </c>
      <c r="AS16" s="57">
        <f t="shared" si="18"/>
        <v>0.1158</v>
      </c>
      <c r="AT16" s="10">
        <v>99580</v>
      </c>
    </row>
    <row r="17" spans="1:46" x14ac:dyDescent="0.25">
      <c r="A17" s="407" t="s">
        <v>176</v>
      </c>
      <c r="B17" s="49" t="s">
        <v>174</v>
      </c>
      <c r="C17" s="359">
        <f t="shared" ca="1" si="0"/>
        <v>5.3660714285714288</v>
      </c>
      <c r="D17" s="345" t="s">
        <v>177</v>
      </c>
      <c r="E17" s="4">
        <v>30</v>
      </c>
      <c r="F17" s="5">
        <f ca="1">$D$2-$D$1-1600-16-112</f>
        <v>71</v>
      </c>
      <c r="G17" s="6" t="s">
        <v>178</v>
      </c>
      <c r="H17" s="7">
        <v>1</v>
      </c>
      <c r="I17" s="8">
        <v>7.5</v>
      </c>
      <c r="J17" s="21">
        <f t="shared" si="1"/>
        <v>1.1667483511889334</v>
      </c>
      <c r="K17" s="9">
        <f t="shared" si="2"/>
        <v>7.5</v>
      </c>
      <c r="L17" s="9">
        <f t="shared" si="3"/>
        <v>30</v>
      </c>
      <c r="M17" s="62">
        <v>43415</v>
      </c>
      <c r="N17" s="63">
        <f t="shared" ca="1" si="19"/>
        <v>1</v>
      </c>
      <c r="O17" s="19">
        <v>5.8</v>
      </c>
      <c r="P17" s="20">
        <f t="shared" si="5"/>
        <v>77</v>
      </c>
      <c r="Q17" s="20">
        <v>7</v>
      </c>
      <c r="R17" s="57">
        <f t="shared" si="6"/>
        <v>1</v>
      </c>
      <c r="S17" s="57">
        <f t="shared" si="7"/>
        <v>1</v>
      </c>
      <c r="T17" s="10">
        <v>137130</v>
      </c>
      <c r="U17" s="10">
        <f t="shared" si="8"/>
        <v>-1480</v>
      </c>
      <c r="V17" s="10">
        <v>16236</v>
      </c>
      <c r="W17" s="11">
        <f t="shared" si="9"/>
        <v>8.4460458240946039</v>
      </c>
      <c r="X17" s="442">
        <v>0</v>
      </c>
      <c r="Y17" s="21">
        <v>11</v>
      </c>
      <c r="Z17" s="442">
        <v>10</v>
      </c>
      <c r="AA17" s="21">
        <v>5</v>
      </c>
      <c r="AB17" s="442">
        <v>13</v>
      </c>
      <c r="AC17" s="21">
        <v>5</v>
      </c>
      <c r="AD17" s="442">
        <v>15</v>
      </c>
      <c r="AE17" s="12">
        <f>46+33+5.5+52+8+18</f>
        <v>162.5</v>
      </c>
      <c r="AF17" s="12">
        <v>1720</v>
      </c>
      <c r="AG17" s="12"/>
      <c r="AH17" s="11">
        <f t="shared" ca="1" si="10"/>
        <v>5.43753063169585</v>
      </c>
      <c r="AI17" s="22">
        <f t="shared" ca="1" si="11"/>
        <v>13.166748351188934</v>
      </c>
      <c r="AJ17" s="22">
        <f t="shared" ca="1" si="12"/>
        <v>13.166748351188934</v>
      </c>
      <c r="AK17" s="22">
        <f t="shared" ca="1" si="13"/>
        <v>12.166748351188934</v>
      </c>
      <c r="AL17" s="22">
        <f t="shared" ca="1" si="14"/>
        <v>12.166748351188934</v>
      </c>
      <c r="AM17" s="22">
        <f t="shared" ca="1" si="15"/>
        <v>18.166748351188932</v>
      </c>
      <c r="AN17" s="22">
        <f t="shared" ca="1" si="16"/>
        <v>18.166748351188932</v>
      </c>
      <c r="AO17" s="11">
        <f t="shared" ca="1" si="17"/>
        <v>14.16674835118893</v>
      </c>
      <c r="AP17" s="20">
        <v>2</v>
      </c>
      <c r="AQ17" s="20">
        <v>3</v>
      </c>
      <c r="AR17" s="20">
        <v>0</v>
      </c>
      <c r="AS17" s="57">
        <f t="shared" si="18"/>
        <v>0.16549999999999998</v>
      </c>
      <c r="AT17" s="10">
        <v>138610</v>
      </c>
    </row>
    <row r="18" spans="1:46" x14ac:dyDescent="0.25">
      <c r="A18" s="407" t="s">
        <v>179</v>
      </c>
      <c r="B18" s="49" t="s">
        <v>180</v>
      </c>
      <c r="C18" s="359">
        <f t="shared" ca="1" si="0"/>
        <v>7.0178571428571432</v>
      </c>
      <c r="D18" s="345" t="s">
        <v>181</v>
      </c>
      <c r="E18" s="4">
        <v>28</v>
      </c>
      <c r="F18" s="5">
        <f ca="1">$D$2-$D$1-1700+11</f>
        <v>110</v>
      </c>
      <c r="G18" s="6" t="s">
        <v>168</v>
      </c>
      <c r="H18" s="7">
        <v>1</v>
      </c>
      <c r="I18" s="8">
        <v>7</v>
      </c>
      <c r="J18" s="21">
        <f t="shared" si="1"/>
        <v>1.1267973866856758</v>
      </c>
      <c r="K18" s="9">
        <f t="shared" si="2"/>
        <v>7</v>
      </c>
      <c r="L18" s="9">
        <f t="shared" si="3"/>
        <v>28</v>
      </c>
      <c r="M18" s="62">
        <v>43687</v>
      </c>
      <c r="N18" s="63">
        <f t="shared" ca="1" si="19"/>
        <v>1</v>
      </c>
      <c r="O18" s="19">
        <v>6</v>
      </c>
      <c r="P18" s="20">
        <f t="shared" si="5"/>
        <v>79</v>
      </c>
      <c r="Q18" s="20">
        <v>6</v>
      </c>
      <c r="R18" s="57">
        <f t="shared" si="6"/>
        <v>0.92582009977255142</v>
      </c>
      <c r="S18" s="57">
        <f t="shared" si="7"/>
        <v>0.99928545900129484</v>
      </c>
      <c r="T18" s="10">
        <v>78180</v>
      </c>
      <c r="U18" s="10">
        <f t="shared" si="8"/>
        <v>-2620</v>
      </c>
      <c r="V18" s="10">
        <v>23508</v>
      </c>
      <c r="W18" s="11">
        <f t="shared" si="9"/>
        <v>3.3256763654925985</v>
      </c>
      <c r="X18" s="442">
        <v>0</v>
      </c>
      <c r="Y18" s="21">
        <v>2</v>
      </c>
      <c r="Z18" s="442">
        <v>5</v>
      </c>
      <c r="AA18" s="21">
        <v>8</v>
      </c>
      <c r="AB18" s="442">
        <v>7</v>
      </c>
      <c r="AC18" s="21">
        <v>13</v>
      </c>
      <c r="AD18" s="442">
        <v>12</v>
      </c>
      <c r="AE18" s="12">
        <f>9+14.5+14+59+12</f>
        <v>108.5</v>
      </c>
      <c r="AF18" s="12">
        <v>1191</v>
      </c>
      <c r="AG18" s="12"/>
      <c r="AH18" s="11">
        <f t="shared" ca="1" si="10"/>
        <v>2.5900271128216033</v>
      </c>
      <c r="AI18" s="22">
        <f t="shared" ca="1" si="11"/>
        <v>3.8206719682824364</v>
      </c>
      <c r="AJ18" s="22">
        <f t="shared" ca="1" si="12"/>
        <v>4.1267973866856753</v>
      </c>
      <c r="AK18" s="22">
        <f t="shared" ca="1" si="13"/>
        <v>6.5981322676000902</v>
      </c>
      <c r="AL18" s="22">
        <f t="shared" ca="1" si="14"/>
        <v>7.1267973866856753</v>
      </c>
      <c r="AM18" s="22">
        <f t="shared" ca="1" si="15"/>
        <v>14.004693065780502</v>
      </c>
      <c r="AN18" s="22">
        <f t="shared" ca="1" si="16"/>
        <v>15.126797386685675</v>
      </c>
      <c r="AO18" s="11">
        <f t="shared" ca="1" si="17"/>
        <v>14.426797386685674</v>
      </c>
      <c r="AP18" s="20">
        <v>2</v>
      </c>
      <c r="AQ18" s="20">
        <v>1</v>
      </c>
      <c r="AR18" s="20">
        <v>1</v>
      </c>
      <c r="AS18" s="57">
        <f t="shared" si="18"/>
        <v>4.9399999999999999E-2</v>
      </c>
      <c r="AT18" s="10">
        <v>80800</v>
      </c>
    </row>
    <row r="19" spans="1:46" x14ac:dyDescent="0.25">
      <c r="A19" s="407" t="s">
        <v>182</v>
      </c>
      <c r="B19" s="49" t="s">
        <v>180</v>
      </c>
      <c r="C19" s="359">
        <f t="shared" ca="1" si="0"/>
        <v>4.0535714285714288</v>
      </c>
      <c r="D19" s="345" t="s">
        <v>183</v>
      </c>
      <c r="E19" s="4">
        <v>31</v>
      </c>
      <c r="F19" s="5">
        <f ca="1">$D$2-$D$1-1469-112-112</f>
        <v>106</v>
      </c>
      <c r="G19" s="6" t="s">
        <v>165</v>
      </c>
      <c r="H19" s="7">
        <v>4</v>
      </c>
      <c r="I19" s="8">
        <v>8.4</v>
      </c>
      <c r="J19" s="21">
        <f t="shared" si="1"/>
        <v>1.2323723814158423</v>
      </c>
      <c r="K19" s="9">
        <f t="shared" si="2"/>
        <v>134.4</v>
      </c>
      <c r="L19" s="9">
        <f t="shared" si="3"/>
        <v>210</v>
      </c>
      <c r="M19" s="62">
        <v>43761</v>
      </c>
      <c r="N19" s="63">
        <f t="shared" ca="1" si="19"/>
        <v>0.94189951965602514</v>
      </c>
      <c r="O19" s="19">
        <v>5.5</v>
      </c>
      <c r="P19" s="20">
        <f t="shared" si="5"/>
        <v>74</v>
      </c>
      <c r="Q19" s="20">
        <v>6</v>
      </c>
      <c r="R19" s="57">
        <f t="shared" si="6"/>
        <v>0.92582009977255142</v>
      </c>
      <c r="S19" s="57">
        <f t="shared" si="7"/>
        <v>0.99928545900129484</v>
      </c>
      <c r="T19" s="10">
        <v>79330</v>
      </c>
      <c r="U19" s="10">
        <f t="shared" si="8"/>
        <v>-6250</v>
      </c>
      <c r="V19" s="10">
        <v>13656</v>
      </c>
      <c r="W19" s="11">
        <f t="shared" si="9"/>
        <v>5.8091681312243706</v>
      </c>
      <c r="X19" s="442">
        <v>0</v>
      </c>
      <c r="Y19" s="21">
        <v>3</v>
      </c>
      <c r="Z19" s="442">
        <v>9</v>
      </c>
      <c r="AA19" s="21">
        <v>3</v>
      </c>
      <c r="AB19" s="442">
        <v>13</v>
      </c>
      <c r="AC19" s="21">
        <v>11.95</v>
      </c>
      <c r="AD19" s="442">
        <v>20</v>
      </c>
      <c r="AE19" s="12">
        <f>0+3+26+0+52+49+37</f>
        <v>167</v>
      </c>
      <c r="AF19" s="12">
        <v>1690</v>
      </c>
      <c r="AG19" s="12"/>
      <c r="AH19" s="11">
        <f t="shared" ca="1" si="10"/>
        <v>4.1109670973191283</v>
      </c>
      <c r="AI19" s="22">
        <f t="shared" ca="1" si="11"/>
        <v>4.7904449277006664</v>
      </c>
      <c r="AJ19" s="22">
        <f t="shared" ca="1" si="12"/>
        <v>5.1742719010718679</v>
      </c>
      <c r="AK19" s="22">
        <f t="shared" ca="1" si="13"/>
        <v>10.345365526335975</v>
      </c>
      <c r="AL19" s="22">
        <f t="shared" ca="1" si="14"/>
        <v>11.174271901071869</v>
      </c>
      <c r="AM19" s="22">
        <f t="shared" ca="1" si="15"/>
        <v>21.455206723606594</v>
      </c>
      <c r="AN19" s="22">
        <f t="shared" ca="1" si="16"/>
        <v>23.174271901071869</v>
      </c>
      <c r="AO19" s="11">
        <f t="shared" ca="1" si="17"/>
        <v>19.75927190107187</v>
      </c>
      <c r="AP19" s="20">
        <v>4</v>
      </c>
      <c r="AQ19" s="20">
        <v>2</v>
      </c>
      <c r="AR19" s="20">
        <v>2</v>
      </c>
      <c r="AS19" s="57">
        <f t="shared" si="18"/>
        <v>6.1499999999999999E-2</v>
      </c>
      <c r="AT19" s="10">
        <v>85580</v>
      </c>
    </row>
    <row r="20" spans="1:46" x14ac:dyDescent="0.25">
      <c r="A20" s="407" t="s">
        <v>184</v>
      </c>
      <c r="B20" s="49" t="s">
        <v>180</v>
      </c>
      <c r="C20" s="359">
        <f t="shared" ca="1" si="0"/>
        <v>9.625</v>
      </c>
      <c r="D20" s="345" t="s">
        <v>918</v>
      </c>
      <c r="E20" s="4">
        <v>26</v>
      </c>
      <c r="F20" s="5">
        <f ca="1">$D$2-$D$1-1600-45-112</f>
        <v>42</v>
      </c>
      <c r="G20" s="6" t="s">
        <v>168</v>
      </c>
      <c r="H20" s="7">
        <v>1</v>
      </c>
      <c r="I20" s="8">
        <v>4.5999999999999996</v>
      </c>
      <c r="J20" s="21">
        <f t="shared" si="1"/>
        <v>0.8836771089087655</v>
      </c>
      <c r="K20" s="9">
        <f t="shared" si="2"/>
        <v>4.5999999999999996</v>
      </c>
      <c r="L20" s="9">
        <f t="shared" si="3"/>
        <v>18.399999999999999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5</v>
      </c>
      <c r="R20" s="57">
        <f t="shared" si="6"/>
        <v>0.84515425472851657</v>
      </c>
      <c r="S20" s="57">
        <f t="shared" si="7"/>
        <v>0.92504826128926143</v>
      </c>
      <c r="T20" s="10">
        <v>242030</v>
      </c>
      <c r="U20" s="10">
        <f t="shared" si="8"/>
        <v>330</v>
      </c>
      <c r="V20" s="10">
        <v>29508</v>
      </c>
      <c r="W20" s="11">
        <f t="shared" si="9"/>
        <v>8.2021824589941712</v>
      </c>
      <c r="X20" s="442">
        <v>0</v>
      </c>
      <c r="Y20" s="21">
        <v>3</v>
      </c>
      <c r="Z20" s="442">
        <v>7</v>
      </c>
      <c r="AA20" s="21">
        <v>10</v>
      </c>
      <c r="AB20" s="442">
        <f>12+2/9</f>
        <v>12.222222222222221</v>
      </c>
      <c r="AC20" s="21">
        <v>14</v>
      </c>
      <c r="AD20" s="442">
        <v>11</v>
      </c>
      <c r="AE20" s="12">
        <f>3+16+22.5+45+70+7+1+2</f>
        <v>166.5</v>
      </c>
      <c r="AF20" s="12">
        <v>1756</v>
      </c>
      <c r="AG20" s="12">
        <v>2008</v>
      </c>
      <c r="AH20" s="11">
        <f t="shared" ca="1" si="10"/>
        <v>3.4963477700336854</v>
      </c>
      <c r="AI20" s="22">
        <f t="shared" ca="1" si="11"/>
        <v>4.1274604873145035</v>
      </c>
      <c r="AJ20" s="22">
        <f t="shared" ca="1" si="12"/>
        <v>4.5214064282268387</v>
      </c>
      <c r="AK20" s="22">
        <f t="shared" ca="1" si="13"/>
        <v>7.5080775062285703</v>
      </c>
      <c r="AL20" s="22">
        <f t="shared" ca="1" si="14"/>
        <v>8.2246868273170435</v>
      </c>
      <c r="AM20" s="22">
        <f t="shared" ca="1" si="15"/>
        <v>11.733848779871153</v>
      </c>
      <c r="AN20" s="22">
        <f t="shared" ca="1" si="16"/>
        <v>12.853787326179802</v>
      </c>
      <c r="AO20" s="11">
        <f t="shared" ca="1" si="17"/>
        <v>13.783677108908766</v>
      </c>
      <c r="AP20" s="20">
        <v>1</v>
      </c>
      <c r="AQ20" s="20">
        <v>0</v>
      </c>
      <c r="AR20" s="20">
        <v>1</v>
      </c>
      <c r="AS20" s="57">
        <f t="shared" si="18"/>
        <v>2.63E-2</v>
      </c>
      <c r="AT20" s="10">
        <v>241700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  <c r="AG24" s="44"/>
    </row>
    <row r="25" spans="1:46" x14ac:dyDescent="0.25">
      <c r="D25" s="61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AT4:AT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{03105D79-DB1A-B35A-C11F-A85F207DD432}</x14:id>
        </ext>
      </extLst>
    </cfRule>
  </conditionalFormatting>
  <conditionalFormatting sqref="X4:A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X4:AD20">
    <cfRule type="cellIs" dxfId="56" priority="3" operator="greaterThan">
      <formula>10</formula>
    </cfRule>
  </conditionalFormatting>
  <conditionalFormatting sqref="W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5 W7:W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7">
      <colorScale>
        <cfvo type="min"/>
        <cfvo type="max"/>
        <color rgb="FFFFEF9C"/>
        <color rgb="FF63BE7B"/>
      </colorScale>
    </cfRule>
  </conditionalFormatting>
  <conditionalFormatting sqref="T4:T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M4:AN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3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L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AE4:AE2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S4:AS20">
    <cfRule type="colorScale" priority="22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ignoredErrors>
    <ignoredError sqref="F12" formula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05D79-DB1A-B35A-C11F-A85F207DD4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W4:W5 W7:W20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AF4:AG20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185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186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187</v>
      </c>
      <c r="B2" s="118" t="s">
        <v>188</v>
      </c>
      <c r="C2" s="118" t="s">
        <v>113</v>
      </c>
      <c r="D2" s="119" t="s">
        <v>189</v>
      </c>
      <c r="E2" s="118" t="s">
        <v>190</v>
      </c>
      <c r="F2" s="119" t="s">
        <v>191</v>
      </c>
      <c r="G2" s="120" t="s">
        <v>192</v>
      </c>
      <c r="H2" s="119" t="s">
        <v>193</v>
      </c>
      <c r="I2" s="119" t="s">
        <v>115</v>
      </c>
      <c r="J2" s="118" t="s">
        <v>154</v>
      </c>
      <c r="K2" s="118" t="s">
        <v>194</v>
      </c>
      <c r="L2" s="121" t="s">
        <v>195</v>
      </c>
      <c r="M2" s="121" t="s">
        <v>194</v>
      </c>
      <c r="N2" s="118" t="s">
        <v>196</v>
      </c>
      <c r="O2" s="118" t="s">
        <v>194</v>
      </c>
      <c r="P2" s="121" t="s">
        <v>197</v>
      </c>
      <c r="Q2" s="121" t="s">
        <v>194</v>
      </c>
      <c r="R2" s="118" t="s">
        <v>198</v>
      </c>
      <c r="S2" s="118" t="s">
        <v>194</v>
      </c>
      <c r="T2" s="121" t="s">
        <v>199</v>
      </c>
      <c r="U2" s="121" t="s">
        <v>194</v>
      </c>
      <c r="V2" s="118" t="s">
        <v>200</v>
      </c>
      <c r="W2" s="118" t="s">
        <v>194</v>
      </c>
      <c r="X2" s="122" t="s">
        <v>201</v>
      </c>
      <c r="Y2" s="122" t="s">
        <v>202</v>
      </c>
      <c r="Z2" s="119" t="s">
        <v>203</v>
      </c>
      <c r="AA2" s="119" t="s">
        <v>200</v>
      </c>
      <c r="AB2" s="119" t="s">
        <v>204</v>
      </c>
      <c r="AC2" s="123" t="s">
        <v>205</v>
      </c>
      <c r="AD2" s="123" t="s">
        <v>206</v>
      </c>
      <c r="AE2" s="123" t="s">
        <v>207</v>
      </c>
      <c r="AF2" s="123" t="s">
        <v>208</v>
      </c>
      <c r="AG2" s="123" t="s">
        <v>209</v>
      </c>
      <c r="AH2" s="123" t="s">
        <v>210</v>
      </c>
      <c r="AI2" s="120" t="s">
        <v>211</v>
      </c>
      <c r="AK2" s="203" t="s">
        <v>187</v>
      </c>
      <c r="AL2" s="203" t="s">
        <v>188</v>
      </c>
      <c r="AM2" s="203" t="s">
        <v>113</v>
      </c>
      <c r="AN2" s="228" t="s">
        <v>189</v>
      </c>
      <c r="AO2" s="230" t="s">
        <v>154</v>
      </c>
      <c r="AP2" s="230" t="s">
        <v>212</v>
      </c>
      <c r="AQ2" s="230" t="s">
        <v>195</v>
      </c>
      <c r="AR2" s="230" t="s">
        <v>213</v>
      </c>
      <c r="AS2" s="230" t="s">
        <v>196</v>
      </c>
      <c r="AT2" s="230" t="s">
        <v>214</v>
      </c>
      <c r="AU2" s="230" t="s">
        <v>197</v>
      </c>
      <c r="AV2" s="230" t="s">
        <v>215</v>
      </c>
      <c r="AW2" s="230" t="s">
        <v>199</v>
      </c>
      <c r="AX2" s="230" t="s">
        <v>216</v>
      </c>
      <c r="AY2" s="230" t="s">
        <v>198</v>
      </c>
      <c r="AZ2" s="230" t="s">
        <v>217</v>
      </c>
      <c r="BA2" s="230" t="s">
        <v>200</v>
      </c>
      <c r="BB2" s="230" t="s">
        <v>218</v>
      </c>
      <c r="BC2" s="230" t="s">
        <v>219</v>
      </c>
    </row>
    <row r="3" spans="1:56" x14ac:dyDescent="0.25">
      <c r="A3" s="124" t="s">
        <v>220</v>
      </c>
      <c r="B3" s="125">
        <v>16</v>
      </c>
      <c r="C3" s="126">
        <f ca="1">A33-2100-6-93-112+6-36-112-112-12-112</f>
        <v>380</v>
      </c>
      <c r="D3" s="127" t="s">
        <v>165</v>
      </c>
      <c r="E3" s="128">
        <f ca="1">F3-TODAY()</f>
        <v>-268</v>
      </c>
      <c r="F3" s="129">
        <v>43799</v>
      </c>
      <c r="G3" s="180" t="s">
        <v>221</v>
      </c>
      <c r="H3" s="157" t="s">
        <v>222</v>
      </c>
      <c r="I3" s="130" t="s">
        <v>223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7">
        <v>5.99</v>
      </c>
      <c r="R3" s="132">
        <v>4</v>
      </c>
      <c r="S3" s="133">
        <v>4.99</v>
      </c>
      <c r="T3" s="132">
        <v>6</v>
      </c>
      <c r="U3" s="357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224</v>
      </c>
      <c r="AK3" s="209" t="s">
        <v>225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226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227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228</v>
      </c>
      <c r="B5" s="143"/>
      <c r="C5" s="143"/>
      <c r="D5" s="144"/>
      <c r="E5" s="143"/>
      <c r="F5" s="145"/>
      <c r="G5" s="146"/>
      <c r="H5" s="145"/>
      <c r="I5" s="145"/>
      <c r="J5" s="147" t="s">
        <v>229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230</v>
      </c>
      <c r="AD5" s="148"/>
      <c r="AE5" s="148"/>
      <c r="AF5" s="148"/>
      <c r="AG5" s="148"/>
      <c r="AH5" s="148"/>
      <c r="AI5" s="149"/>
      <c r="AK5" s="209" t="s">
        <v>231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187</v>
      </c>
      <c r="B6" s="150" t="s">
        <v>188</v>
      </c>
      <c r="C6" s="150" t="s">
        <v>113</v>
      </c>
      <c r="D6" s="151" t="s">
        <v>189</v>
      </c>
      <c r="E6" s="150" t="s">
        <v>190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154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200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232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233</v>
      </c>
      <c r="B7" s="125">
        <v>16</v>
      </c>
      <c r="C7" s="126">
        <f ca="1">A33-2700+25</f>
        <v>394</v>
      </c>
      <c r="D7" s="127"/>
      <c r="E7" s="128">
        <f ca="1">F7-TODAY()</f>
        <v>-240</v>
      </c>
      <c r="F7" s="129">
        <v>43827</v>
      </c>
      <c r="G7" s="130"/>
      <c r="H7" s="130"/>
      <c r="I7" s="130" t="s">
        <v>223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234</v>
      </c>
      <c r="AK7" s="209" t="s">
        <v>235</v>
      </c>
      <c r="AL7" s="209">
        <v>17</v>
      </c>
      <c r="AM7" s="211">
        <v>1723</v>
      </c>
      <c r="AN7" s="229" t="s">
        <v>236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237</v>
      </c>
      <c r="B8" s="125">
        <v>16</v>
      </c>
      <c r="C8" s="126">
        <f ca="1">A32-43375-230-112</f>
        <v>350</v>
      </c>
      <c r="D8" s="127"/>
      <c r="E8" s="128">
        <f ca="1">F8-TODAY()</f>
        <v>-238</v>
      </c>
      <c r="F8" s="129">
        <v>43829</v>
      </c>
      <c r="G8" s="180" t="s">
        <v>221</v>
      </c>
      <c r="H8" s="130" t="s">
        <v>222</v>
      </c>
      <c r="I8" s="130" t="s">
        <v>223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1">
        <v>5</v>
      </c>
      <c r="S8" s="357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224</v>
      </c>
      <c r="AK8" s="209" t="s">
        <v>238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239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240</v>
      </c>
      <c r="AL9" s="209">
        <v>17</v>
      </c>
      <c r="AM9" s="211">
        <v>1729</v>
      </c>
      <c r="AN9" s="229" t="s">
        <v>194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228</v>
      </c>
      <c r="B10" s="167"/>
      <c r="C10" s="167"/>
      <c r="D10" s="168"/>
      <c r="E10" s="167"/>
      <c r="F10" s="169"/>
      <c r="G10" s="170"/>
      <c r="H10" s="169"/>
      <c r="I10" s="169"/>
      <c r="J10" s="171" t="s">
        <v>229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230</v>
      </c>
      <c r="AD10" s="172"/>
      <c r="AE10" s="172"/>
      <c r="AF10" s="172"/>
      <c r="AG10" s="172"/>
      <c r="AH10" s="172"/>
      <c r="AI10" s="173"/>
      <c r="AK10" s="209" t="s">
        <v>241</v>
      </c>
      <c r="AL10" s="209">
        <v>17</v>
      </c>
      <c r="AM10" s="211">
        <v>1764</v>
      </c>
      <c r="AN10" s="229" t="s">
        <v>242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187</v>
      </c>
      <c r="B11" s="174" t="s">
        <v>188</v>
      </c>
      <c r="C11" s="174" t="s">
        <v>113</v>
      </c>
      <c r="D11" s="175" t="s">
        <v>189</v>
      </c>
      <c r="E11" s="174" t="s">
        <v>190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154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200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243</v>
      </c>
      <c r="AL11" s="209">
        <v>17</v>
      </c>
      <c r="AM11" s="211">
        <v>1789</v>
      </c>
      <c r="AN11" s="229" t="s">
        <v>244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245</v>
      </c>
      <c r="B12" s="125">
        <v>16</v>
      </c>
      <c r="C12" s="126">
        <f ca="1">86+A33-2516-112-112</f>
        <v>415</v>
      </c>
      <c r="D12" s="127" t="s">
        <v>165</v>
      </c>
      <c r="E12" s="128">
        <f t="shared" ref="E12:E17" ca="1" si="4">F12-TODAY()</f>
        <v>-303</v>
      </c>
      <c r="F12" s="129">
        <v>43764</v>
      </c>
      <c r="G12" s="162" t="s">
        <v>246</v>
      </c>
      <c r="H12" s="131" t="s">
        <v>247</v>
      </c>
      <c r="I12" s="130" t="s">
        <v>223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224</v>
      </c>
      <c r="AK12" s="209" t="s">
        <v>248</v>
      </c>
      <c r="AL12" s="209">
        <v>17</v>
      </c>
      <c r="AM12" s="211">
        <v>0</v>
      </c>
      <c r="AN12" s="229" t="s">
        <v>244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249</v>
      </c>
      <c r="B13" s="125">
        <v>16</v>
      </c>
      <c r="C13" s="126">
        <f ca="1">A32-43400+6-112-110-112</f>
        <v>339</v>
      </c>
      <c r="D13" s="127" t="s">
        <v>165</v>
      </c>
      <c r="E13" s="128">
        <f t="shared" ca="1" si="4"/>
        <v>-227</v>
      </c>
      <c r="F13" s="129">
        <v>43840</v>
      </c>
      <c r="G13" s="162" t="s">
        <v>246</v>
      </c>
      <c r="H13" s="157" t="s">
        <v>222</v>
      </c>
      <c r="I13" s="130" t="s">
        <v>223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224</v>
      </c>
      <c r="AK13" s="209" t="s">
        <v>250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251</v>
      </c>
      <c r="B14" s="125">
        <v>15</v>
      </c>
      <c r="C14" s="126">
        <f ca="1">-2679+A33</f>
        <v>390</v>
      </c>
      <c r="D14" s="127"/>
      <c r="E14" s="128">
        <f t="shared" ca="1" si="4"/>
        <v>-166</v>
      </c>
      <c r="F14" s="129">
        <v>43901</v>
      </c>
      <c r="G14" s="162" t="s">
        <v>246</v>
      </c>
      <c r="H14" s="131" t="s">
        <v>252</v>
      </c>
      <c r="I14" s="130" t="s">
        <v>223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253</v>
      </c>
      <c r="AL14" s="209">
        <v>16</v>
      </c>
      <c r="AM14" s="211">
        <v>1807</v>
      </c>
      <c r="AN14" s="229" t="s">
        <v>244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254</v>
      </c>
      <c r="B15" s="125">
        <v>17</v>
      </c>
      <c r="C15" s="126">
        <f ca="1">A33-2100-6-93-112+2-62-112-112-112</f>
        <v>362</v>
      </c>
      <c r="D15" s="127" t="s">
        <v>178</v>
      </c>
      <c r="E15" s="128">
        <f t="shared" ca="1" si="4"/>
        <v>-362</v>
      </c>
      <c r="F15" s="129">
        <v>43705</v>
      </c>
      <c r="G15" s="180"/>
      <c r="H15" s="131" t="s">
        <v>255</v>
      </c>
      <c r="I15" s="130" t="s">
        <v>223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234</v>
      </c>
      <c r="AK15" s="209" t="s">
        <v>256</v>
      </c>
      <c r="AL15" s="209">
        <v>18</v>
      </c>
      <c r="AM15" s="211">
        <v>1778</v>
      </c>
      <c r="AN15" s="229" t="s">
        <v>194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257</v>
      </c>
      <c r="B16" s="125">
        <v>17</v>
      </c>
      <c r="C16" s="126">
        <f ca="1">A33-2100-5-93-112+6-36-112-112-12-112</f>
        <v>381</v>
      </c>
      <c r="D16" s="127"/>
      <c r="E16" s="128">
        <f t="shared" ca="1" si="4"/>
        <v>-381</v>
      </c>
      <c r="F16" s="129">
        <v>43686</v>
      </c>
      <c r="G16" s="130"/>
      <c r="H16" s="131" t="s">
        <v>252</v>
      </c>
      <c r="I16" s="130" t="s">
        <v>223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234</v>
      </c>
      <c r="AK16" s="209" t="s">
        <v>258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259</v>
      </c>
      <c r="B17" s="125">
        <v>17</v>
      </c>
      <c r="C17" s="126">
        <f ca="1">A33-2100-6-116+4-112-112-6-112-112</f>
        <v>397</v>
      </c>
      <c r="D17" s="127"/>
      <c r="E17" s="128">
        <f t="shared" ca="1" si="4"/>
        <v>-397</v>
      </c>
      <c r="F17" s="129">
        <v>43670</v>
      </c>
      <c r="G17" s="162" t="s">
        <v>246</v>
      </c>
      <c r="H17" s="131" t="s">
        <v>252</v>
      </c>
      <c r="I17" s="130" t="s">
        <v>223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234</v>
      </c>
      <c r="AK17" s="209" t="s">
        <v>260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228</v>
      </c>
      <c r="B18" s="181"/>
      <c r="C18" s="181"/>
      <c r="D18" s="182"/>
      <c r="E18" s="181"/>
      <c r="F18" s="183"/>
      <c r="G18" s="184"/>
      <c r="H18" s="183"/>
      <c r="I18" s="183"/>
      <c r="J18" s="185" t="s">
        <v>229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230</v>
      </c>
      <c r="AD18" s="186"/>
      <c r="AE18" s="186"/>
      <c r="AF18" s="186"/>
      <c r="AG18" s="186"/>
      <c r="AH18" s="186"/>
      <c r="AI18" s="187"/>
      <c r="AK18" s="209" t="s">
        <v>261</v>
      </c>
      <c r="AL18" s="209">
        <v>17</v>
      </c>
      <c r="AM18" s="211">
        <v>1733</v>
      </c>
      <c r="AN18" s="229" t="s">
        <v>262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187</v>
      </c>
      <c r="B19" s="188" t="s">
        <v>188</v>
      </c>
      <c r="C19" s="188" t="s">
        <v>113</v>
      </c>
      <c r="D19" s="189" t="s">
        <v>189</v>
      </c>
      <c r="E19" s="188" t="s">
        <v>190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154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200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263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337</v>
      </c>
      <c r="D20" s="127"/>
      <c r="E20" s="128">
        <f t="shared" ref="E20:E25" ca="1" si="9">F20-TODAY()</f>
        <v>-44067</v>
      </c>
      <c r="F20" s="129"/>
      <c r="G20" s="157"/>
      <c r="H20" s="130" t="s">
        <v>222</v>
      </c>
      <c r="I20" s="130" t="s">
        <v>223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264</v>
      </c>
      <c r="AL20" s="209">
        <v>17</v>
      </c>
      <c r="AM20" s="211">
        <v>1585</v>
      </c>
      <c r="AN20" s="229" t="s">
        <v>242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265</v>
      </c>
      <c r="B21" s="125">
        <v>16</v>
      </c>
      <c r="C21" s="156">
        <f ca="1">A33-2700</f>
        <v>369</v>
      </c>
      <c r="D21" s="127"/>
      <c r="E21" s="128">
        <f t="shared" ca="1" si="9"/>
        <v>-212</v>
      </c>
      <c r="F21" s="129">
        <v>43855</v>
      </c>
      <c r="G21" s="157"/>
      <c r="H21" s="130" t="s">
        <v>222</v>
      </c>
      <c r="I21" s="130" t="s">
        <v>223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266</v>
      </c>
      <c r="AL21" s="209">
        <v>16</v>
      </c>
      <c r="AM21" s="211">
        <v>1687</v>
      </c>
      <c r="AN21" s="229" t="s">
        <v>236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267</v>
      </c>
      <c r="B22" s="125">
        <v>16</v>
      </c>
      <c r="C22" s="126">
        <f ca="1">A33-2679</f>
        <v>390</v>
      </c>
      <c r="D22" s="127"/>
      <c r="E22" s="128">
        <f t="shared" ca="1" si="9"/>
        <v>-247</v>
      </c>
      <c r="F22" s="129">
        <v>43820</v>
      </c>
      <c r="G22" s="130"/>
      <c r="H22" s="157" t="s">
        <v>222</v>
      </c>
      <c r="I22" s="130" t="s">
        <v>223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224</v>
      </c>
      <c r="AK22" s="209" t="s">
        <v>268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269</v>
      </c>
      <c r="B23" s="125">
        <v>16</v>
      </c>
      <c r="C23" s="126">
        <f ca="1">A33-2100-6-116+4-112-112-113-112</f>
        <v>402</v>
      </c>
      <c r="D23" s="127" t="s">
        <v>270</v>
      </c>
      <c r="E23" s="128">
        <f t="shared" ca="1" si="9"/>
        <v>-290</v>
      </c>
      <c r="F23" s="129">
        <v>43777</v>
      </c>
      <c r="G23" s="157"/>
      <c r="H23" s="131" t="s">
        <v>247</v>
      </c>
      <c r="I23" s="130" t="s">
        <v>223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234</v>
      </c>
      <c r="AK23" s="209" t="s">
        <v>271</v>
      </c>
      <c r="AL23" s="209">
        <v>18</v>
      </c>
      <c r="AM23" s="211">
        <v>1648</v>
      </c>
      <c r="AN23" s="229" t="s">
        <v>244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272</v>
      </c>
      <c r="B24" s="125">
        <v>18</v>
      </c>
      <c r="C24" s="126">
        <f ca="1">A33-2150+2-112+7-112-78-112-112</f>
        <v>402</v>
      </c>
      <c r="D24" s="127" t="s">
        <v>202</v>
      </c>
      <c r="E24" s="128">
        <f t="shared" ca="1" si="9"/>
        <v>0</v>
      </c>
      <c r="F24" s="129">
        <f ca="1">TODAY()</f>
        <v>44067</v>
      </c>
      <c r="G24" s="162" t="s">
        <v>246</v>
      </c>
      <c r="H24" s="157" t="s">
        <v>222</v>
      </c>
      <c r="I24" s="130" t="s">
        <v>223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234</v>
      </c>
      <c r="AK24" s="209" t="s">
        <v>273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274</v>
      </c>
      <c r="B25" s="125">
        <v>18</v>
      </c>
      <c r="C25" s="126">
        <f ca="1">A33-2150+2-112+7-112-72-112-112</f>
        <v>408</v>
      </c>
      <c r="D25" s="127"/>
      <c r="E25" s="128">
        <f t="shared" ca="1" si="9"/>
        <v>0</v>
      </c>
      <c r="F25" s="129">
        <f ca="1">TODAY()</f>
        <v>44067</v>
      </c>
      <c r="G25" s="180" t="s">
        <v>221</v>
      </c>
      <c r="H25" s="157" t="s">
        <v>222</v>
      </c>
      <c r="I25" s="130" t="s">
        <v>223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224</v>
      </c>
      <c r="AK25" s="209" t="s">
        <v>275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276</v>
      </c>
      <c r="B26" s="125">
        <v>17</v>
      </c>
      <c r="C26" s="126">
        <f ca="1">88+A33-2516-112-112</f>
        <v>417</v>
      </c>
      <c r="D26" s="127"/>
      <c r="E26" s="128">
        <v>0</v>
      </c>
      <c r="F26" s="129">
        <v>43650</v>
      </c>
      <c r="G26" s="162" t="s">
        <v>246</v>
      </c>
      <c r="H26" s="131" t="s">
        <v>252</v>
      </c>
      <c r="I26" s="130" t="s">
        <v>223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234</v>
      </c>
      <c r="AK26" s="209" t="s">
        <v>277</v>
      </c>
      <c r="AL26" s="209">
        <v>16</v>
      </c>
      <c r="AM26" s="211">
        <v>1566</v>
      </c>
      <c r="AN26" s="229" t="s">
        <v>244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278</v>
      </c>
      <c r="B27" s="125">
        <v>18</v>
      </c>
      <c r="C27" s="126">
        <f ca="1">A32-43400+6-112-112-112</f>
        <v>337</v>
      </c>
      <c r="D27" s="127"/>
      <c r="E27" s="128">
        <f ca="1">F27-TODAY()</f>
        <v>0</v>
      </c>
      <c r="F27" s="129">
        <f ca="1">TODAY()</f>
        <v>44067</v>
      </c>
      <c r="G27" s="157" t="s">
        <v>246</v>
      </c>
      <c r="H27" s="130" t="s">
        <v>222</v>
      </c>
      <c r="I27" s="130" t="s">
        <v>223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224</v>
      </c>
      <c r="AK27" s="209" t="s">
        <v>279</v>
      </c>
      <c r="AL27" s="209">
        <v>19</v>
      </c>
      <c r="AM27" s="211">
        <v>1449</v>
      </c>
      <c r="AN27" s="229" t="s">
        <v>236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280</v>
      </c>
      <c r="B28" s="125">
        <v>18</v>
      </c>
      <c r="C28" s="126">
        <f ca="1">A33-2100-6-93-112+6-36-112-112-112</f>
        <v>392</v>
      </c>
      <c r="D28" s="127"/>
      <c r="E28" s="128">
        <f ca="1">F28-TODAY()</f>
        <v>0</v>
      </c>
      <c r="F28" s="129">
        <f ca="1">TODAY()</f>
        <v>44067</v>
      </c>
      <c r="G28" s="157" t="s">
        <v>281</v>
      </c>
      <c r="H28" s="130" t="s">
        <v>222</v>
      </c>
      <c r="I28" s="130" t="s">
        <v>223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234</v>
      </c>
      <c r="AK28" s="209" t="s">
        <v>282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283</v>
      </c>
      <c r="AL29" s="209">
        <v>18</v>
      </c>
      <c r="AM29" s="211">
        <v>1507</v>
      </c>
      <c r="AN29" s="229" t="s">
        <v>194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284</v>
      </c>
      <c r="AL30" s="209">
        <v>19</v>
      </c>
      <c r="AM30" s="211">
        <v>1392</v>
      </c>
      <c r="AN30" s="229" t="s">
        <v>285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286</v>
      </c>
      <c r="B31" s="125"/>
      <c r="C31" s="125"/>
      <c r="D31" s="130"/>
      <c r="E31" s="125"/>
      <c r="F31" s="130"/>
      <c r="G31" s="462"/>
      <c r="H31" s="462"/>
      <c r="I31" s="462"/>
      <c r="J31" s="462"/>
      <c r="K31" s="462"/>
      <c r="L31" s="462"/>
      <c r="M31" s="462"/>
      <c r="N31" s="462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287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288</v>
      </c>
    </row>
    <row r="32" spans="1:56" x14ac:dyDescent="0.25">
      <c r="A32" s="198">
        <f ca="1">TODAY()</f>
        <v>44067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289</v>
      </c>
      <c r="AL32" s="209">
        <v>17</v>
      </c>
      <c r="AM32" s="211">
        <v>1357</v>
      </c>
      <c r="AN32" s="229" t="s">
        <v>242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3069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290</v>
      </c>
      <c r="AL33" s="209">
        <v>17</v>
      </c>
      <c r="AM33" s="211">
        <v>1358</v>
      </c>
      <c r="AN33" s="229" t="s">
        <v>236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288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291</v>
      </c>
      <c r="AL34" s="209">
        <v>17</v>
      </c>
      <c r="AM34" s="211">
        <v>1417</v>
      </c>
      <c r="AN34" s="229" t="s">
        <v>262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288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292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2658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293</v>
      </c>
      <c r="AL36" s="209">
        <v>17</v>
      </c>
      <c r="AM36" s="211">
        <v>1312</v>
      </c>
      <c r="AN36" s="229" t="s">
        <v>285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294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295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288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296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297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298</v>
      </c>
      <c r="AL41" s="209">
        <v>17</v>
      </c>
      <c r="AM41" s="211">
        <v>1269</v>
      </c>
      <c r="AN41" s="229" t="s">
        <v>236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299</v>
      </c>
      <c r="AL42" s="209">
        <v>17</v>
      </c>
      <c r="AM42" s="211">
        <v>1213</v>
      </c>
      <c r="AN42" s="229" t="s">
        <v>236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300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301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302</v>
      </c>
      <c r="AL45" s="209">
        <v>16</v>
      </c>
      <c r="AM45" s="211">
        <v>1228</v>
      </c>
      <c r="AN45" s="229" t="s">
        <v>242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303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304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305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306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307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308</v>
      </c>
      <c r="AL51" s="209">
        <v>18</v>
      </c>
      <c r="AM51" s="211">
        <v>1024</v>
      </c>
      <c r="AN51" s="229" t="s">
        <v>194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309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310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311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312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313</v>
      </c>
      <c r="AL56" s="209">
        <v>17</v>
      </c>
      <c r="AM56" s="211">
        <v>914</v>
      </c>
      <c r="AN56" s="229" t="s">
        <v>244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314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315</v>
      </c>
      <c r="AL58" s="209">
        <v>19</v>
      </c>
      <c r="AM58" s="211">
        <v>909</v>
      </c>
      <c r="AN58" s="229" t="s">
        <v>262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316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317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318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319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320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321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322</v>
      </c>
      <c r="AL65" s="209">
        <v>17</v>
      </c>
      <c r="AM65" s="211">
        <v>804</v>
      </c>
      <c r="AN65" s="229" t="s">
        <v>244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323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324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325</v>
      </c>
      <c r="AL68" s="209">
        <v>16</v>
      </c>
      <c r="AM68" s="211">
        <v>883</v>
      </c>
      <c r="AN68" s="229" t="s">
        <v>244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326</v>
      </c>
      <c r="AL69" s="209">
        <v>17</v>
      </c>
      <c r="AM69" s="211">
        <v>787</v>
      </c>
      <c r="AN69" s="229" t="s">
        <v>327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328</v>
      </c>
      <c r="AL70" s="209">
        <v>17</v>
      </c>
      <c r="AM70" s="211">
        <v>812</v>
      </c>
      <c r="AN70" s="229" t="s">
        <v>194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329</v>
      </c>
      <c r="AL71" s="209">
        <v>17</v>
      </c>
      <c r="AM71" s="211">
        <v>-1523</v>
      </c>
      <c r="AN71" s="229" t="s">
        <v>236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330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331</v>
      </c>
      <c r="AL73" s="209">
        <v>18</v>
      </c>
      <c r="AM73" s="211">
        <v>770</v>
      </c>
      <c r="AN73" s="229" t="s">
        <v>236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332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333</v>
      </c>
      <c r="AL75" s="209">
        <v>16</v>
      </c>
      <c r="AM75" s="211">
        <v>745</v>
      </c>
      <c r="AN75" s="229" t="s">
        <v>236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334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335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336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337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338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339</v>
      </c>
      <c r="AL81" s="209">
        <v>16</v>
      </c>
      <c r="AM81" s="211">
        <v>581</v>
      </c>
      <c r="AN81" s="229" t="s">
        <v>340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341</v>
      </c>
      <c r="AL82" s="209">
        <v>17</v>
      </c>
      <c r="AM82" s="211">
        <v>473</v>
      </c>
      <c r="AN82" s="229" t="s">
        <v>340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342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343</v>
      </c>
      <c r="AL84" s="209">
        <v>18</v>
      </c>
      <c r="AM84" s="211">
        <v>539</v>
      </c>
      <c r="AN84" s="229" t="s">
        <v>202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344</v>
      </c>
      <c r="AL85" s="209">
        <v>18</v>
      </c>
      <c r="AM85" s="211">
        <v>-1718</v>
      </c>
      <c r="AN85" s="229" t="s">
        <v>244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345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346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347</v>
      </c>
      <c r="AL88" s="209">
        <v>16</v>
      </c>
      <c r="AM88" s="211">
        <v>467</v>
      </c>
      <c r="AN88" s="229" t="s">
        <v>178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348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349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168</v>
      </c>
      <c r="AO91" s="221"/>
      <c r="AP91" s="213">
        <v>1.99</v>
      </c>
      <c r="AQ91" s="233">
        <v>2</v>
      </c>
      <c r="AR91" s="214">
        <v>2.99</v>
      </c>
      <c r="AS91" s="234" t="s">
        <v>350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351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352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353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354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355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356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357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358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359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360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361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362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178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363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165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364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365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366</v>
      </c>
      <c r="AL107" s="209">
        <v>18</v>
      </c>
      <c r="AM107" s="211">
        <f>[1]Jugadores!AM33-2150+2-112</f>
        <v>-2260</v>
      </c>
      <c r="AN107" s="229" t="s">
        <v>202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367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368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369</v>
      </c>
      <c r="AL110" s="209">
        <v>16</v>
      </c>
      <c r="AM110" s="211">
        <f>-1500+[1]Jugadores!AM33-770+30-112</f>
        <v>-2352</v>
      </c>
      <c r="AN110" s="229" t="s">
        <v>165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370</v>
      </c>
      <c r="AL111" s="209">
        <v>16</v>
      </c>
      <c r="AM111" s="211">
        <f>-1500+[1]Jugadores!AM33-770-112</f>
        <v>-2382</v>
      </c>
      <c r="AN111" s="229" t="s">
        <v>270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371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372</v>
      </c>
      <c r="AL113" s="209">
        <v>16</v>
      </c>
      <c r="AM113" s="211">
        <f>[1]Jugadores!AM33-2100-6-93+31-112-26-44-112</f>
        <v>-2462</v>
      </c>
      <c r="AN113" s="229" t="s">
        <v>270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373</v>
      </c>
      <c r="AL114" s="209">
        <v>18</v>
      </c>
      <c r="AM114" s="211">
        <f>88+[1]Jugadores!AM33-2254-112-112+6-112-112</f>
        <v>-2608</v>
      </c>
      <c r="AN114" s="229" t="s">
        <v>202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374</v>
      </c>
      <c r="AL115" s="209">
        <v>16</v>
      </c>
      <c r="AM115" s="211">
        <f>88+[1]Jugadores!AM33-2254-112-112+6-112</f>
        <v>-2496</v>
      </c>
      <c r="AN115" s="229" t="s">
        <v>165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375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376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377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378</v>
      </c>
      <c r="AL119" s="221">
        <v>17</v>
      </c>
      <c r="AM119" s="349">
        <v>10</v>
      </c>
      <c r="AN119" s="350" t="s">
        <v>202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379</v>
      </c>
      <c r="AL120" s="221">
        <v>17</v>
      </c>
      <c r="AM120" s="355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6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55" priority="1" stopIfTrue="1" operator="lessThan">
      <formula>1</formula>
    </cfRule>
  </conditionalFormatting>
  <conditionalFormatting sqref="E13">
    <cfRule type="cellIs" dxfId="54" priority="2" stopIfTrue="1" operator="between">
      <formula>1</formula>
      <formula>50</formula>
    </cfRule>
  </conditionalFormatting>
  <conditionalFormatting sqref="E13">
    <cfRule type="cellIs" dxfId="53" priority="3" stopIfTrue="1" operator="greaterThan">
      <formula>50</formula>
    </cfRule>
  </conditionalFormatting>
  <conditionalFormatting sqref="AC13:AH13">
    <cfRule type="cellIs" dxfId="52" priority="4" stopIfTrue="1" operator="between">
      <formula>4</formula>
      <formula>5</formula>
    </cfRule>
  </conditionalFormatting>
  <conditionalFormatting sqref="AC13:AH13">
    <cfRule type="cellIs" dxfId="51" priority="5" stopIfTrue="1" operator="lessThan">
      <formula>4</formula>
    </cfRule>
  </conditionalFormatting>
  <conditionalFormatting sqref="AC13:AH13">
    <cfRule type="cellIs" dxfId="50" priority="6" stopIfTrue="1" operator="greaterThan">
      <formula>5</formula>
    </cfRule>
  </conditionalFormatting>
  <conditionalFormatting sqref="BC31:BC43">
    <cfRule type="cellIs" dxfId="49" priority="7" stopIfTrue="1" operator="lessThan">
      <formula>4</formula>
    </cfRule>
  </conditionalFormatting>
  <conditionalFormatting sqref="BC31:BC43">
    <cfRule type="cellIs" dxfId="48" priority="8" stopIfTrue="1" operator="greaterThan">
      <formula>6.4</formula>
    </cfRule>
  </conditionalFormatting>
  <conditionalFormatting sqref="BC31:BC43">
    <cfRule type="cellIs" dxfId="47" priority="9" stopIfTrue="1" operator="lessThan">
      <formula>4</formula>
    </cfRule>
  </conditionalFormatting>
  <conditionalFormatting sqref="BC31:BC43">
    <cfRule type="cellIs" dxfId="46" priority="10" stopIfTrue="1" operator="greaterThan">
      <formula>6.4</formula>
    </cfRule>
  </conditionalFormatting>
  <conditionalFormatting sqref="BC31:BC43">
    <cfRule type="cellIs" dxfId="45" priority="11" stopIfTrue="1" operator="lessThan">
      <formula>4</formula>
    </cfRule>
  </conditionalFormatting>
  <conditionalFormatting sqref="BC31:BC43">
    <cfRule type="cellIs" dxfId="44" priority="12" stopIfTrue="1" operator="greaterThan">
      <formula>6.4</formula>
    </cfRule>
  </conditionalFormatting>
  <conditionalFormatting sqref="BC31:BC43">
    <cfRule type="cellIs" dxfId="43" priority="13" stopIfTrue="1" operator="lessThan">
      <formula>4</formula>
    </cfRule>
  </conditionalFormatting>
  <conditionalFormatting sqref="BC31:BC43">
    <cfRule type="cellIs" dxfId="42" priority="14" stopIfTrue="1" operator="greaterThan">
      <formula>6.4</formula>
    </cfRule>
  </conditionalFormatting>
  <conditionalFormatting sqref="BC31:BC43">
    <cfRule type="cellIs" dxfId="41" priority="15" stopIfTrue="1" operator="lessThan">
      <formula>4</formula>
    </cfRule>
  </conditionalFormatting>
  <conditionalFormatting sqref="BC31:BC43">
    <cfRule type="cellIs" dxfId="40" priority="16" stopIfTrue="1" operator="greaterThan">
      <formula>6.4</formula>
    </cfRule>
  </conditionalFormatting>
  <conditionalFormatting sqref="BC31:BC43">
    <cfRule type="cellIs" dxfId="39" priority="17" stopIfTrue="1" operator="lessThan">
      <formula>4</formula>
    </cfRule>
  </conditionalFormatting>
  <conditionalFormatting sqref="BC31:BC43">
    <cfRule type="cellIs" dxfId="38" priority="18" stopIfTrue="1" operator="greaterThan">
      <formula>6.4</formula>
    </cfRule>
  </conditionalFormatting>
  <conditionalFormatting sqref="BC31:BC43">
    <cfRule type="cellIs" dxfId="37" priority="19" stopIfTrue="1" operator="lessThan">
      <formula>4</formula>
    </cfRule>
  </conditionalFormatting>
  <conditionalFormatting sqref="BC31:BC43">
    <cfRule type="cellIs" dxfId="36" priority="20" stopIfTrue="1" operator="greaterThan">
      <formula>6.4</formula>
    </cfRule>
  </conditionalFormatting>
  <conditionalFormatting sqref="AC15:AH15">
    <cfRule type="cellIs" dxfId="35" priority="21" stopIfTrue="1" operator="between">
      <formula>4</formula>
      <formula>5</formula>
    </cfRule>
  </conditionalFormatting>
  <conditionalFormatting sqref="AC15:AH15">
    <cfRule type="cellIs" dxfId="34" priority="22" stopIfTrue="1" operator="lessThan">
      <formula>4</formula>
    </cfRule>
  </conditionalFormatting>
  <conditionalFormatting sqref="AC15:AH15">
    <cfRule type="cellIs" dxfId="33" priority="23" stopIfTrue="1" operator="greaterThan">
      <formula>5</formula>
    </cfRule>
  </conditionalFormatting>
  <conditionalFormatting sqref="AC12:AH12">
    <cfRule type="cellIs" dxfId="32" priority="24" stopIfTrue="1" operator="between">
      <formula>4</formula>
      <formula>5</formula>
    </cfRule>
  </conditionalFormatting>
  <conditionalFormatting sqref="AC12:AH12">
    <cfRule type="cellIs" dxfId="31" priority="25" stopIfTrue="1" operator="lessThan">
      <formula>4</formula>
    </cfRule>
  </conditionalFormatting>
  <conditionalFormatting sqref="AC12:AH12">
    <cfRule type="cellIs" dxfId="30" priority="26" stopIfTrue="1" operator="greaterThan">
      <formula>5</formula>
    </cfRule>
  </conditionalFormatting>
  <conditionalFormatting sqref="E3 E7:E8 E12:E17 E20:E28">
    <cfRule type="cellIs" dxfId="29" priority="27" stopIfTrue="1" operator="lessThan">
      <formula>1</formula>
    </cfRule>
  </conditionalFormatting>
  <conditionalFormatting sqref="E3 E7:E8 E12:E17 E20:E28">
    <cfRule type="cellIs" dxfId="28" priority="28" stopIfTrue="1" operator="between">
      <formula>1</formula>
      <formula>50</formula>
    </cfRule>
  </conditionalFormatting>
  <conditionalFormatting sqref="E3 E7:E8 E12:E17 E20:E28">
    <cfRule type="cellIs" dxfId="27" priority="29" stopIfTrue="1" operator="greaterThan">
      <formula>50</formula>
    </cfRule>
  </conditionalFormatting>
  <conditionalFormatting sqref="AC3:AH3 AC7:AH8 AC12:AH17 AC20:AH28">
    <cfRule type="cellIs" dxfId="26" priority="30" stopIfTrue="1" operator="between">
      <formula>4</formula>
      <formula>5</formula>
    </cfRule>
  </conditionalFormatting>
  <conditionalFormatting sqref="AC3:AH3 AC7:AH8 AC12:AH17 AC20:AH28">
    <cfRule type="cellIs" dxfId="25" priority="31" stopIfTrue="1" operator="lessThan">
      <formula>4</formula>
    </cfRule>
  </conditionalFormatting>
  <conditionalFormatting sqref="AC3:AH3 AC7:AH8 AC12:AH17 AC20:AH28">
    <cfRule type="cellIs" dxfId="24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2" t="s">
        <v>380</v>
      </c>
      <c r="B1" s="402" t="s">
        <v>381</v>
      </c>
      <c r="C1" s="402" t="s">
        <v>382</v>
      </c>
      <c r="D1" s="402" t="s">
        <v>383</v>
      </c>
      <c r="E1" s="402" t="s">
        <v>384</v>
      </c>
      <c r="F1" s="402" t="s">
        <v>385</v>
      </c>
      <c r="G1" s="402" t="s">
        <v>386</v>
      </c>
      <c r="H1" s="402" t="s">
        <v>127</v>
      </c>
      <c r="I1" s="402" t="s">
        <v>387</v>
      </c>
      <c r="J1" s="402" t="s">
        <v>388</v>
      </c>
      <c r="K1" s="402" t="s">
        <v>389</v>
      </c>
      <c r="L1" s="402" t="s">
        <v>390</v>
      </c>
      <c r="M1" s="402" t="s">
        <v>391</v>
      </c>
      <c r="N1" s="402" t="s">
        <v>392</v>
      </c>
      <c r="O1" s="402" t="s">
        <v>393</v>
      </c>
      <c r="P1" s="402" t="s">
        <v>202</v>
      </c>
      <c r="Q1" s="402" t="s">
        <v>178</v>
      </c>
      <c r="R1" s="402" t="s">
        <v>168</v>
      </c>
      <c r="S1" s="402" t="s">
        <v>270</v>
      </c>
      <c r="T1" s="402" t="s">
        <v>165</v>
      </c>
      <c r="U1" s="402" t="s">
        <v>394</v>
      </c>
      <c r="V1" s="402" t="s">
        <v>395</v>
      </c>
      <c r="W1" s="402" t="s">
        <v>396</v>
      </c>
    </row>
    <row r="2" spans="1:23" x14ac:dyDescent="0.25">
      <c r="A2" s="42" t="s">
        <v>397</v>
      </c>
      <c r="B2" s="113">
        <v>41884</v>
      </c>
      <c r="C2" s="42" t="s">
        <v>398</v>
      </c>
      <c r="D2" s="42" t="s">
        <v>399</v>
      </c>
      <c r="E2" s="403">
        <v>47129110</v>
      </c>
      <c r="F2" s="403">
        <v>36220760</v>
      </c>
      <c r="G2" s="42">
        <v>115</v>
      </c>
      <c r="H2" s="404">
        <v>1109350</v>
      </c>
      <c r="I2" s="403">
        <v>294908</v>
      </c>
      <c r="J2" s="404">
        <v>1036370</v>
      </c>
      <c r="K2" s="403">
        <v>264270</v>
      </c>
      <c r="L2" s="42">
        <v>5.5</v>
      </c>
      <c r="M2" s="42">
        <v>6.5</v>
      </c>
      <c r="N2" s="42">
        <v>5.5</v>
      </c>
      <c r="O2" s="42" t="s">
        <v>400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401</v>
      </c>
      <c r="W2" s="42" t="s">
        <v>402</v>
      </c>
    </row>
    <row r="3" spans="1:23" x14ac:dyDescent="0.25">
      <c r="A3" s="42" t="s">
        <v>403</v>
      </c>
      <c r="B3" s="113">
        <v>39559</v>
      </c>
      <c r="C3" s="42" t="s">
        <v>404</v>
      </c>
      <c r="D3" s="42" t="s">
        <v>405</v>
      </c>
      <c r="E3" s="403">
        <v>256348598</v>
      </c>
      <c r="F3" s="403">
        <v>272162542</v>
      </c>
      <c r="G3" s="42">
        <v>482</v>
      </c>
      <c r="H3" s="404">
        <v>1213540</v>
      </c>
      <c r="I3" s="403">
        <v>226018</v>
      </c>
      <c r="J3" s="404">
        <v>1085590</v>
      </c>
      <c r="K3" s="403">
        <v>181988</v>
      </c>
      <c r="L3" s="42">
        <v>5.75</v>
      </c>
      <c r="M3" s="42">
        <v>6.75</v>
      </c>
      <c r="N3" s="42">
        <v>4.5</v>
      </c>
      <c r="O3" s="42" t="s">
        <v>406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407</v>
      </c>
      <c r="W3" s="42" t="s">
        <v>408</v>
      </c>
    </row>
    <row r="4" spans="1:23" x14ac:dyDescent="0.25">
      <c r="A4" s="42" t="s">
        <v>409</v>
      </c>
      <c r="B4" s="113">
        <v>42028</v>
      </c>
      <c r="C4" s="42" t="s">
        <v>410</v>
      </c>
      <c r="D4" s="42" t="s">
        <v>411</v>
      </c>
      <c r="E4" s="403">
        <v>90598139</v>
      </c>
      <c r="F4" s="403">
        <v>95834988</v>
      </c>
      <c r="G4" s="42">
        <v>246</v>
      </c>
      <c r="H4" s="404">
        <v>1323480</v>
      </c>
      <c r="I4" s="403">
        <v>367712</v>
      </c>
      <c r="J4" s="404">
        <v>1200260</v>
      </c>
      <c r="K4" s="403">
        <v>313134</v>
      </c>
      <c r="L4" s="42">
        <v>6</v>
      </c>
      <c r="M4" s="42">
        <v>6</v>
      </c>
      <c r="N4" s="42">
        <v>5.5</v>
      </c>
      <c r="O4" s="42" t="s">
        <v>412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413</v>
      </c>
      <c r="W4" s="42" t="s">
        <v>414</v>
      </c>
    </row>
    <row r="5" spans="1:23" x14ac:dyDescent="0.25">
      <c r="A5" s="42" t="s">
        <v>415</v>
      </c>
      <c r="B5" s="113">
        <v>39638</v>
      </c>
      <c r="C5" s="42" t="s">
        <v>410</v>
      </c>
      <c r="D5" s="42" t="s">
        <v>416</v>
      </c>
      <c r="E5" s="403">
        <v>101904410</v>
      </c>
      <c r="F5" s="403">
        <v>106728274</v>
      </c>
      <c r="G5" s="42">
        <v>369</v>
      </c>
      <c r="H5" s="404">
        <v>1091490</v>
      </c>
      <c r="I5" s="403">
        <v>314820</v>
      </c>
      <c r="J5" s="404">
        <v>1035660</v>
      </c>
      <c r="K5" s="403">
        <v>295298</v>
      </c>
      <c r="L5" s="42">
        <v>5.25</v>
      </c>
      <c r="M5" s="42">
        <v>5</v>
      </c>
      <c r="N5" s="42">
        <v>6.25</v>
      </c>
      <c r="O5" s="42" t="s">
        <v>417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418</v>
      </c>
      <c r="W5" s="42" t="s">
        <v>419</v>
      </c>
    </row>
    <row r="6" spans="1:23" x14ac:dyDescent="0.25">
      <c r="A6" s="42" t="s">
        <v>420</v>
      </c>
      <c r="B6" s="113">
        <v>38176</v>
      </c>
      <c r="C6" s="42" t="s">
        <v>421</v>
      </c>
      <c r="D6" s="42" t="s">
        <v>405</v>
      </c>
      <c r="E6" s="403">
        <v>114552212</v>
      </c>
      <c r="F6" s="403">
        <v>106068085</v>
      </c>
      <c r="G6" s="42">
        <v>332</v>
      </c>
      <c r="H6" s="404">
        <v>613770</v>
      </c>
      <c r="I6" s="403">
        <v>214342</v>
      </c>
      <c r="J6" s="404">
        <v>594970</v>
      </c>
      <c r="K6" s="403">
        <v>196056</v>
      </c>
      <c r="L6" s="42">
        <v>5.75</v>
      </c>
      <c r="M6" s="42">
        <v>6.5</v>
      </c>
      <c r="N6" s="42">
        <v>5.25</v>
      </c>
      <c r="O6" s="42" t="s">
        <v>422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423</v>
      </c>
      <c r="W6" s="42" t="s">
        <v>424</v>
      </c>
    </row>
    <row r="7" spans="1:23" x14ac:dyDescent="0.25">
      <c r="A7" s="42" t="s">
        <v>425</v>
      </c>
      <c r="B7" s="113">
        <v>37938</v>
      </c>
      <c r="C7" s="42" t="s">
        <v>426</v>
      </c>
      <c r="D7" s="42" t="s">
        <v>405</v>
      </c>
      <c r="E7" s="403">
        <v>152808114</v>
      </c>
      <c r="F7" s="403">
        <v>152569289</v>
      </c>
      <c r="G7" s="42">
        <v>454</v>
      </c>
      <c r="H7" s="404">
        <v>735430</v>
      </c>
      <c r="I7" s="403">
        <v>218146</v>
      </c>
      <c r="J7" s="404">
        <v>656840</v>
      </c>
      <c r="K7" s="403">
        <v>183738</v>
      </c>
      <c r="L7" s="42">
        <v>6.25</v>
      </c>
      <c r="M7" s="42">
        <v>6.5</v>
      </c>
      <c r="N7" s="42">
        <v>5.5</v>
      </c>
      <c r="O7" s="42" t="s">
        <v>427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428</v>
      </c>
      <c r="W7" s="42">
        <v>352</v>
      </c>
    </row>
    <row r="8" spans="1:23" x14ac:dyDescent="0.25">
      <c r="A8" s="42" t="s">
        <v>429</v>
      </c>
      <c r="B8" s="113">
        <v>40968</v>
      </c>
      <c r="C8" s="42" t="s">
        <v>421</v>
      </c>
      <c r="D8" s="42" t="s">
        <v>430</v>
      </c>
      <c r="E8" s="403">
        <v>37248599</v>
      </c>
      <c r="F8" s="403">
        <v>18434858</v>
      </c>
      <c r="G8" s="42">
        <v>83</v>
      </c>
      <c r="H8" s="404">
        <v>926910</v>
      </c>
      <c r="I8" s="403">
        <v>175590</v>
      </c>
      <c r="J8" s="404">
        <v>811840</v>
      </c>
      <c r="K8" s="403">
        <v>152758</v>
      </c>
      <c r="L8" s="42">
        <v>6</v>
      </c>
      <c r="M8" s="42">
        <v>5.75</v>
      </c>
      <c r="N8" s="42">
        <v>5.75</v>
      </c>
      <c r="O8" s="42" t="s">
        <v>431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432</v>
      </c>
      <c r="W8" s="42" t="s">
        <v>402</v>
      </c>
    </row>
    <row r="9" spans="1:23" x14ac:dyDescent="0.25">
      <c r="A9" s="42" t="s">
        <v>433</v>
      </c>
      <c r="B9" s="113">
        <v>40792</v>
      </c>
      <c r="C9" s="42" t="s">
        <v>426</v>
      </c>
      <c r="D9" s="42" t="s">
        <v>434</v>
      </c>
      <c r="E9" s="403">
        <v>276071009</v>
      </c>
      <c r="F9" s="403">
        <v>299255460</v>
      </c>
      <c r="G9" s="42">
        <v>893</v>
      </c>
      <c r="H9" s="404">
        <v>1389140</v>
      </c>
      <c r="I9" s="403">
        <v>226850</v>
      </c>
      <c r="J9" s="404">
        <v>1203640</v>
      </c>
      <c r="K9" s="403">
        <v>176410</v>
      </c>
      <c r="L9" s="42">
        <v>5.25</v>
      </c>
      <c r="M9" s="42">
        <v>6.25</v>
      </c>
      <c r="N9" s="42">
        <v>4.5</v>
      </c>
      <c r="O9" s="42" t="s">
        <v>435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436</v>
      </c>
      <c r="W9" s="42" t="s">
        <v>437</v>
      </c>
    </row>
    <row r="11" spans="1:23" x14ac:dyDescent="0.25">
      <c r="A11" s="402" t="s">
        <v>438</v>
      </c>
      <c r="B11" s="402" t="s">
        <v>381</v>
      </c>
      <c r="C11" s="402" t="s">
        <v>382</v>
      </c>
      <c r="D11" s="402" t="s">
        <v>383</v>
      </c>
      <c r="E11" s="402" t="s">
        <v>384</v>
      </c>
      <c r="F11" s="402" t="s">
        <v>385</v>
      </c>
      <c r="G11" s="402" t="s">
        <v>386</v>
      </c>
      <c r="H11" s="402" t="s">
        <v>127</v>
      </c>
      <c r="I11" s="402" t="s">
        <v>387</v>
      </c>
      <c r="J11" s="402" t="s">
        <v>388</v>
      </c>
      <c r="K11" s="402" t="s">
        <v>389</v>
      </c>
      <c r="L11" s="402" t="s">
        <v>390</v>
      </c>
      <c r="M11" s="402" t="s">
        <v>391</v>
      </c>
      <c r="N11" s="402" t="s">
        <v>392</v>
      </c>
      <c r="O11" s="402" t="s">
        <v>393</v>
      </c>
      <c r="P11" s="402" t="s">
        <v>202</v>
      </c>
      <c r="Q11" s="402" t="s">
        <v>178</v>
      </c>
      <c r="R11" s="402" t="s">
        <v>168</v>
      </c>
      <c r="S11" s="402" t="s">
        <v>270</v>
      </c>
      <c r="T11" s="402" t="s">
        <v>165</v>
      </c>
      <c r="U11" s="402" t="s">
        <v>394</v>
      </c>
      <c r="V11" s="402" t="s">
        <v>395</v>
      </c>
      <c r="W11" s="402" t="s">
        <v>396</v>
      </c>
    </row>
    <row r="12" spans="1:23" x14ac:dyDescent="0.25">
      <c r="A12" s="42" t="s">
        <v>439</v>
      </c>
      <c r="B12" s="113">
        <v>42188</v>
      </c>
      <c r="C12" s="42" t="s">
        <v>440</v>
      </c>
      <c r="D12" s="42" t="s">
        <v>441</v>
      </c>
      <c r="E12" s="403">
        <v>82460995</v>
      </c>
      <c r="F12" s="403">
        <v>96298020</v>
      </c>
      <c r="G12" s="42">
        <v>203</v>
      </c>
      <c r="H12" s="404">
        <v>815450</v>
      </c>
      <c r="I12" s="403">
        <v>255716</v>
      </c>
      <c r="J12" s="404">
        <v>694460</v>
      </c>
      <c r="K12" s="403">
        <v>181616</v>
      </c>
      <c r="L12" s="42">
        <v>5.5</v>
      </c>
      <c r="M12" s="42">
        <v>6.25</v>
      </c>
      <c r="N12" s="42">
        <v>5.5</v>
      </c>
      <c r="O12" s="42" t="s">
        <v>400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428</v>
      </c>
      <c r="W12" s="42" t="s">
        <v>442</v>
      </c>
    </row>
    <row r="13" spans="1:23" x14ac:dyDescent="0.25">
      <c r="A13" s="42" t="s">
        <v>443</v>
      </c>
      <c r="B13" s="113">
        <v>41373</v>
      </c>
      <c r="C13" s="42" t="s">
        <v>444</v>
      </c>
      <c r="D13" s="42" t="s">
        <v>445</v>
      </c>
      <c r="E13" s="403">
        <v>60889118</v>
      </c>
      <c r="F13" s="403">
        <v>48697720</v>
      </c>
      <c r="G13" s="42">
        <v>89</v>
      </c>
      <c r="H13" s="404">
        <v>1177340</v>
      </c>
      <c r="I13" s="403">
        <v>300932</v>
      </c>
      <c r="J13" s="404">
        <v>1140440</v>
      </c>
      <c r="K13" s="403">
        <v>291780</v>
      </c>
      <c r="L13" s="42">
        <v>5.75</v>
      </c>
      <c r="M13" s="42">
        <v>6.25</v>
      </c>
      <c r="N13" s="42">
        <v>6.5</v>
      </c>
      <c r="O13" s="42" t="s">
        <v>412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446</v>
      </c>
      <c r="W13" s="42">
        <v>352</v>
      </c>
    </row>
    <row r="14" spans="1:23" x14ac:dyDescent="0.25">
      <c r="A14" s="42" t="s">
        <v>447</v>
      </c>
      <c r="B14" s="113">
        <v>40967</v>
      </c>
      <c r="C14" s="42" t="s">
        <v>440</v>
      </c>
      <c r="D14" s="42" t="s">
        <v>411</v>
      </c>
      <c r="E14" s="403">
        <v>82442500</v>
      </c>
      <c r="F14" s="403">
        <v>87332141</v>
      </c>
      <c r="G14" s="42">
        <v>178</v>
      </c>
      <c r="H14" s="404">
        <v>777010</v>
      </c>
      <c r="I14" s="403">
        <v>290792</v>
      </c>
      <c r="J14" s="404">
        <v>723210</v>
      </c>
      <c r="K14" s="403">
        <v>261158</v>
      </c>
      <c r="L14" s="42">
        <v>5.5</v>
      </c>
      <c r="M14" s="42">
        <v>5.75</v>
      </c>
      <c r="N14" s="42">
        <v>6.75</v>
      </c>
      <c r="O14" s="42" t="s">
        <v>448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423</v>
      </c>
      <c r="W14" s="42">
        <v>352</v>
      </c>
    </row>
    <row r="15" spans="1:23" x14ac:dyDescent="0.25">
      <c r="A15" s="42" t="s">
        <v>449</v>
      </c>
      <c r="B15" s="113">
        <v>38761</v>
      </c>
      <c r="C15" s="42" t="s">
        <v>450</v>
      </c>
      <c r="D15" s="42" t="s">
        <v>451</v>
      </c>
      <c r="E15" s="403">
        <v>338220879</v>
      </c>
      <c r="F15" s="403">
        <v>354040033</v>
      </c>
      <c r="G15" s="42">
        <v>1243</v>
      </c>
      <c r="H15" s="404">
        <v>643900</v>
      </c>
      <c r="I15" s="403">
        <v>150312</v>
      </c>
      <c r="J15" s="404">
        <v>556130</v>
      </c>
      <c r="K15" s="403">
        <v>111082</v>
      </c>
      <c r="L15" s="42">
        <v>6</v>
      </c>
      <c r="M15" s="42">
        <v>6.25</v>
      </c>
      <c r="N15" s="42">
        <v>6.25</v>
      </c>
      <c r="O15" s="42" t="s">
        <v>452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418</v>
      </c>
      <c r="W15" s="42" t="s">
        <v>453</v>
      </c>
    </row>
    <row r="16" spans="1:23" x14ac:dyDescent="0.25">
      <c r="A16" s="42" t="s">
        <v>454</v>
      </c>
      <c r="B16" s="113">
        <v>42114</v>
      </c>
      <c r="C16" s="42" t="s">
        <v>440</v>
      </c>
      <c r="D16" s="42" t="s">
        <v>455</v>
      </c>
      <c r="E16" s="403">
        <v>46709570</v>
      </c>
      <c r="F16" s="403">
        <v>37113808</v>
      </c>
      <c r="G16" s="42">
        <v>218</v>
      </c>
      <c r="H16" s="404">
        <v>829470</v>
      </c>
      <c r="I16" s="403">
        <v>182412</v>
      </c>
      <c r="J16" s="404">
        <v>756500</v>
      </c>
      <c r="K16" s="403">
        <v>160334</v>
      </c>
      <c r="L16" s="42">
        <v>5.25</v>
      </c>
      <c r="M16" s="42">
        <v>6.5</v>
      </c>
      <c r="N16" s="42">
        <v>5</v>
      </c>
      <c r="O16" s="42" t="s">
        <v>456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457</v>
      </c>
      <c r="W16" s="42" t="s">
        <v>458</v>
      </c>
    </row>
    <row r="17" spans="1:23" x14ac:dyDescent="0.25">
      <c r="A17" s="42" t="s">
        <v>459</v>
      </c>
      <c r="B17" s="113">
        <v>42081</v>
      </c>
      <c r="C17" s="42" t="s">
        <v>460</v>
      </c>
      <c r="D17" s="42" t="s">
        <v>441</v>
      </c>
      <c r="E17" s="403">
        <v>65518666</v>
      </c>
      <c r="F17" s="403">
        <v>79171407</v>
      </c>
      <c r="G17" s="42">
        <v>144</v>
      </c>
      <c r="H17" s="404">
        <v>1116530</v>
      </c>
      <c r="I17" s="403">
        <v>355742</v>
      </c>
      <c r="J17" s="404">
        <v>1052690</v>
      </c>
      <c r="K17" s="403">
        <v>319518</v>
      </c>
      <c r="L17" s="42">
        <v>5.25</v>
      </c>
      <c r="M17" s="42">
        <v>6.25</v>
      </c>
      <c r="N17" s="42">
        <v>5.75</v>
      </c>
      <c r="O17" s="42" t="s">
        <v>461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462</v>
      </c>
      <c r="W17" s="42" t="s">
        <v>463</v>
      </c>
    </row>
    <row r="18" spans="1:23" x14ac:dyDescent="0.25">
      <c r="A18" s="42" t="s">
        <v>464</v>
      </c>
      <c r="B18" s="113">
        <v>42987</v>
      </c>
      <c r="C18" s="42" t="s">
        <v>426</v>
      </c>
      <c r="D18" s="42" t="s">
        <v>465</v>
      </c>
      <c r="E18" s="403">
        <v>12127780</v>
      </c>
      <c r="F18" s="403">
        <v>10570244</v>
      </c>
      <c r="G18" s="42">
        <v>41</v>
      </c>
      <c r="H18" s="404">
        <v>485360</v>
      </c>
      <c r="I18" s="403">
        <v>114784</v>
      </c>
      <c r="J18" s="404">
        <v>416940</v>
      </c>
      <c r="K18" s="403">
        <v>101762</v>
      </c>
      <c r="L18" s="42">
        <v>6</v>
      </c>
      <c r="M18" s="42">
        <v>6.5</v>
      </c>
      <c r="N18" s="42">
        <v>3.5</v>
      </c>
      <c r="O18" s="42" t="s">
        <v>466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467</v>
      </c>
      <c r="W18" s="42">
        <v>343</v>
      </c>
    </row>
    <row r="19" spans="1:23" x14ac:dyDescent="0.25">
      <c r="A19" s="42" t="s">
        <v>433</v>
      </c>
      <c r="B19" s="113">
        <v>40792</v>
      </c>
      <c r="C19" s="42" t="s">
        <v>426</v>
      </c>
      <c r="D19" s="42" t="s">
        <v>434</v>
      </c>
      <c r="E19" s="403">
        <v>276071009</v>
      </c>
      <c r="F19" s="403">
        <v>299255460</v>
      </c>
      <c r="G19" s="42">
        <v>893</v>
      </c>
      <c r="H19" s="404">
        <v>1389140</v>
      </c>
      <c r="I19" s="403">
        <v>226850</v>
      </c>
      <c r="J19" s="404">
        <v>1203640</v>
      </c>
      <c r="K19" s="403">
        <v>176410</v>
      </c>
      <c r="L19" s="42">
        <v>5.25</v>
      </c>
      <c r="M19" s="42">
        <v>6.25</v>
      </c>
      <c r="N19" s="42">
        <v>4.5</v>
      </c>
      <c r="O19" s="42" t="s">
        <v>435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436</v>
      </c>
      <c r="W19" s="42" t="s">
        <v>437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H20" sqref="H20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256448</v>
      </c>
      <c r="AH1" s="77">
        <f>SUM(AH3:AH15)</f>
        <v>192063.48</v>
      </c>
    </row>
    <row r="2" spans="1:45" x14ac:dyDescent="0.25">
      <c r="A2" s="96" t="s">
        <v>468</v>
      </c>
      <c r="B2" s="96" t="s">
        <v>109</v>
      </c>
      <c r="C2" s="96" t="s">
        <v>469</v>
      </c>
      <c r="D2" s="96" t="s">
        <v>111</v>
      </c>
      <c r="E2" s="96" t="s">
        <v>470</v>
      </c>
      <c r="F2" s="96" t="s">
        <v>471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472</v>
      </c>
      <c r="O2" s="96" t="s">
        <v>473</v>
      </c>
      <c r="P2" s="96" t="s">
        <v>474</v>
      </c>
      <c r="Q2" s="96" t="s">
        <v>475</v>
      </c>
      <c r="R2" s="96" t="s">
        <v>476</v>
      </c>
      <c r="S2" s="96" t="s">
        <v>477</v>
      </c>
      <c r="T2" s="96" t="s">
        <v>478</v>
      </c>
      <c r="U2" s="96" t="s">
        <v>479</v>
      </c>
      <c r="V2" s="96" t="s">
        <v>480</v>
      </c>
      <c r="X2" s="13" t="s">
        <v>468</v>
      </c>
      <c r="Y2" s="13" t="s">
        <v>470</v>
      </c>
      <c r="Z2" s="13" t="s">
        <v>471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472</v>
      </c>
      <c r="AI2" s="13" t="s">
        <v>473</v>
      </c>
      <c r="AJ2" s="13" t="s">
        <v>474</v>
      </c>
      <c r="AK2" s="13" t="s">
        <v>475</v>
      </c>
      <c r="AL2" s="13" t="s">
        <v>476</v>
      </c>
      <c r="AM2" s="13" t="s">
        <v>477</v>
      </c>
      <c r="AN2" s="13" t="s">
        <v>478</v>
      </c>
      <c r="AO2" s="13" t="s">
        <v>479</v>
      </c>
      <c r="AP2" s="13" t="s">
        <v>480</v>
      </c>
    </row>
    <row r="3" spans="1:45" x14ac:dyDescent="0.25">
      <c r="A3" t="s">
        <v>153</v>
      </c>
      <c r="B3" s="18" t="s">
        <v>154</v>
      </c>
      <c r="C3" s="6"/>
      <c r="D3" s="6" t="s">
        <v>481</v>
      </c>
      <c r="E3" s="6">
        <f>Plantilla!E4</f>
        <v>26</v>
      </c>
      <c r="F3" s="20">
        <f ca="1">Plantilla!F4</f>
        <v>30</v>
      </c>
      <c r="G3" s="89">
        <f>Plantilla!X4</f>
        <v>15</v>
      </c>
      <c r="H3" s="89">
        <f>Plantilla!Y4</f>
        <v>12.363636363636363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15</v>
      </c>
      <c r="N3" s="37">
        <f>Plantilla!V4</f>
        <v>31230</v>
      </c>
      <c r="O3" s="42">
        <v>51.5</v>
      </c>
      <c r="P3" s="42">
        <v>61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8">
        <f t="shared" ref="V3:V15" si="0">SUM(O3:U3)</f>
        <v>130.5</v>
      </c>
      <c r="X3" t="s">
        <v>153</v>
      </c>
      <c r="Y3" s="6">
        <f>E3</f>
        <v>26</v>
      </c>
      <c r="Z3" s="6">
        <f ca="1">F3+(7*$AR$8)</f>
        <v>30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15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61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8">
        <f t="shared" ref="AP3:AP15" si="9">SUM(AI3:AO3)</f>
        <v>130.5</v>
      </c>
    </row>
    <row r="4" spans="1:45" x14ac:dyDescent="0.25">
      <c r="A4" t="s">
        <v>156</v>
      </c>
      <c r="B4" s="18" t="s">
        <v>195</v>
      </c>
      <c r="C4" s="6"/>
      <c r="D4" s="6" t="s">
        <v>482</v>
      </c>
      <c r="E4" s="6">
        <f>Plantilla!E6</f>
        <v>26</v>
      </c>
      <c r="F4" s="20">
        <f ca="1">Plantilla!F6</f>
        <v>27</v>
      </c>
      <c r="G4" s="89">
        <f>Plantilla!X6</f>
        <v>0</v>
      </c>
      <c r="H4" s="89">
        <f>Plantilla!Y6</f>
        <v>15.488194444444444</v>
      </c>
      <c r="I4" s="89">
        <f>Plantilla!Z6</f>
        <v>5</v>
      </c>
      <c r="J4" s="89">
        <f>Plantilla!AA6</f>
        <v>6.5</v>
      </c>
      <c r="K4" s="89">
        <f>Plantilla!AB6</f>
        <v>8.8000000000000007</v>
      </c>
      <c r="L4" s="89">
        <f>Plantilla!AC6</f>
        <v>2</v>
      </c>
      <c r="M4" s="89">
        <f>Plantilla!AD6</f>
        <v>13.5</v>
      </c>
      <c r="N4" s="37">
        <f>Plantilla!V6</f>
        <v>34490</v>
      </c>
      <c r="O4" s="42">
        <v>0</v>
      </c>
      <c r="P4" s="42">
        <f>104.3</f>
        <v>104.3</v>
      </c>
      <c r="Q4" s="42">
        <v>9</v>
      </c>
      <c r="R4" s="42">
        <v>10.5</v>
      </c>
      <c r="S4" s="42">
        <v>22</v>
      </c>
      <c r="T4" s="42">
        <v>0</v>
      </c>
      <c r="U4" s="42">
        <v>15</v>
      </c>
      <c r="V4" s="358">
        <f t="shared" si="0"/>
        <v>160.80000000000001</v>
      </c>
      <c r="X4" t="s">
        <v>156</v>
      </c>
      <c r="Y4" s="6">
        <f>E4</f>
        <v>26</v>
      </c>
      <c r="Z4" s="6">
        <f ca="1">F4+(7*$AR$8)</f>
        <v>27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5</v>
      </c>
      <c r="AD4" s="55">
        <f>5+2/10</f>
        <v>5.2</v>
      </c>
      <c r="AE4" s="55">
        <f t="shared" ref="AE4:AE15" si="11">K4</f>
        <v>8.8000000000000007</v>
      </c>
      <c r="AF4" s="55">
        <f t="shared" ref="AF4:AF15" si="12">L4</f>
        <v>2</v>
      </c>
      <c r="AG4" s="55">
        <f t="shared" ref="AG4:AG15" si="13">M4</f>
        <v>13.5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9</v>
      </c>
      <c r="AL4" s="42">
        <f t="shared" si="5"/>
        <v>10.5</v>
      </c>
      <c r="AM4" s="42">
        <f t="shared" si="6"/>
        <v>22</v>
      </c>
      <c r="AN4" s="42">
        <f t="shared" si="7"/>
        <v>0</v>
      </c>
      <c r="AO4" s="42">
        <f t="shared" si="8"/>
        <v>15</v>
      </c>
      <c r="AP4" s="358">
        <f t="shared" si="9"/>
        <v>160.80000000000001</v>
      </c>
    </row>
    <row r="5" spans="1:45" x14ac:dyDescent="0.25">
      <c r="A5" t="s">
        <v>166</v>
      </c>
      <c r="B5" s="18" t="s">
        <v>195</v>
      </c>
      <c r="C5" s="6"/>
      <c r="D5" s="6" t="s">
        <v>483</v>
      </c>
      <c r="E5" s="6">
        <f>Plantilla!E8</f>
        <v>26</v>
      </c>
      <c r="F5" s="20">
        <f ca="1">Plantilla!F8</f>
        <v>58</v>
      </c>
      <c r="G5" s="89">
        <f>Plantilla!X8</f>
        <v>0</v>
      </c>
      <c r="H5" s="89">
        <f>Plantilla!Y8</f>
        <v>14.125</v>
      </c>
      <c r="I5" s="89">
        <f>Plantilla!Z8</f>
        <v>3</v>
      </c>
      <c r="J5" s="89">
        <f>Plantilla!AA8</f>
        <v>8</v>
      </c>
      <c r="K5" s="89">
        <f>Plantilla!AB8</f>
        <v>11.428571428571429</v>
      </c>
      <c r="L5" s="89">
        <f>Plantilla!AC8</f>
        <v>4</v>
      </c>
      <c r="M5" s="89">
        <f>Plantilla!AD8</f>
        <v>14</v>
      </c>
      <c r="N5" s="37">
        <f>Plantilla!V8</f>
        <v>22400</v>
      </c>
      <c r="O5" s="42">
        <v>0</v>
      </c>
      <c r="P5" s="42">
        <v>82</v>
      </c>
      <c r="Q5" s="42">
        <v>3</v>
      </c>
      <c r="R5" s="42">
        <v>14.5</v>
      </c>
      <c r="S5" s="42">
        <f>36+5</f>
        <v>41</v>
      </c>
      <c r="T5" s="42">
        <v>5</v>
      </c>
      <c r="U5" s="42">
        <v>16</v>
      </c>
      <c r="V5" s="358">
        <f t="shared" si="0"/>
        <v>161.5</v>
      </c>
      <c r="X5" t="s">
        <v>166</v>
      </c>
      <c r="Y5" s="6">
        <f>E5</f>
        <v>26</v>
      </c>
      <c r="Z5" s="6">
        <f ca="1">F5+(7*$AR$8)</f>
        <v>58</v>
      </c>
      <c r="AA5" s="55">
        <f t="shared" si="1"/>
        <v>0</v>
      </c>
      <c r="AB5" s="55">
        <f>13+5/12</f>
        <v>13.416666666666666</v>
      </c>
      <c r="AC5" s="55">
        <f t="shared" si="10"/>
        <v>3</v>
      </c>
      <c r="AD5" s="55">
        <f>7+1/12</f>
        <v>7.083333333333333</v>
      </c>
      <c r="AE5" s="55">
        <f t="shared" si="11"/>
        <v>11.428571428571429</v>
      </c>
      <c r="AF5" s="55">
        <f t="shared" si="12"/>
        <v>4</v>
      </c>
      <c r="AG5" s="55">
        <f t="shared" si="13"/>
        <v>14</v>
      </c>
      <c r="AH5" s="37">
        <f>(195+13000+190)*1.008</f>
        <v>13492.08</v>
      </c>
      <c r="AI5" s="42">
        <f t="shared" si="2"/>
        <v>0</v>
      </c>
      <c r="AJ5" s="42">
        <f t="shared" si="3"/>
        <v>82</v>
      </c>
      <c r="AK5" s="42">
        <f t="shared" si="4"/>
        <v>3</v>
      </c>
      <c r="AL5" s="42">
        <f t="shared" si="5"/>
        <v>14.5</v>
      </c>
      <c r="AM5" s="42">
        <f t="shared" si="6"/>
        <v>41</v>
      </c>
      <c r="AN5" s="42">
        <f t="shared" si="7"/>
        <v>5</v>
      </c>
      <c r="AO5" s="42">
        <f t="shared" si="8"/>
        <v>16</v>
      </c>
      <c r="AP5" s="358">
        <f t="shared" si="9"/>
        <v>161.5</v>
      </c>
    </row>
    <row r="6" spans="1:45" x14ac:dyDescent="0.25">
      <c r="A6" t="s">
        <v>160</v>
      </c>
      <c r="B6" s="18" t="s">
        <v>195</v>
      </c>
      <c r="C6" s="6"/>
      <c r="D6" s="6" t="s">
        <v>484</v>
      </c>
      <c r="E6" s="6">
        <f>Plantilla!E7</f>
        <v>26</v>
      </c>
      <c r="F6" s="20">
        <f ca="1">Plantilla!F7</f>
        <v>8</v>
      </c>
      <c r="G6" s="89">
        <f>Plantilla!X7</f>
        <v>0</v>
      </c>
      <c r="H6" s="89">
        <f>Plantilla!Y7</f>
        <v>15.518750000000001</v>
      </c>
      <c r="I6" s="89">
        <f>Plantilla!Z7</f>
        <v>5</v>
      </c>
      <c r="J6" s="89">
        <f>Plantilla!AA7</f>
        <v>7.75</v>
      </c>
      <c r="K6" s="89">
        <f>Plantilla!AB7</f>
        <v>8.3333333333333339</v>
      </c>
      <c r="L6" s="89">
        <f>Plantilla!AC7</f>
        <v>1</v>
      </c>
      <c r="M6" s="89">
        <f>Plantilla!AD7</f>
        <v>13</v>
      </c>
      <c r="N6" s="37">
        <f>Plantilla!V7</f>
        <v>35040</v>
      </c>
      <c r="O6" s="42">
        <v>0</v>
      </c>
      <c r="P6" s="42">
        <v>104</v>
      </c>
      <c r="Q6" s="42">
        <v>9</v>
      </c>
      <c r="R6" s="42">
        <v>13.5</v>
      </c>
      <c r="S6" s="42">
        <v>20</v>
      </c>
      <c r="T6" s="42">
        <v>0</v>
      </c>
      <c r="U6" s="42">
        <v>14</v>
      </c>
      <c r="V6" s="358">
        <f t="shared" si="0"/>
        <v>160.5</v>
      </c>
      <c r="X6" t="s">
        <v>160</v>
      </c>
      <c r="Y6" s="6">
        <f>E6</f>
        <v>26</v>
      </c>
      <c r="Z6" s="6">
        <f ca="1">F6+(7*$AR$8)</f>
        <v>8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7.75</v>
      </c>
      <c r="AE6" s="55">
        <f t="shared" si="11"/>
        <v>8.3333333333333339</v>
      </c>
      <c r="AF6" s="55">
        <f t="shared" si="12"/>
        <v>1</v>
      </c>
      <c r="AG6" s="55">
        <f t="shared" si="13"/>
        <v>13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104</v>
      </c>
      <c r="AK6" s="42">
        <f t="shared" si="4"/>
        <v>9</v>
      </c>
      <c r="AL6" s="42">
        <f t="shared" si="5"/>
        <v>13.5</v>
      </c>
      <c r="AM6" s="42">
        <f t="shared" si="6"/>
        <v>20</v>
      </c>
      <c r="AN6" s="42">
        <f t="shared" si="7"/>
        <v>0</v>
      </c>
      <c r="AO6" s="42">
        <f t="shared" si="8"/>
        <v>14</v>
      </c>
      <c r="AP6" s="358">
        <f t="shared" si="9"/>
        <v>160.5</v>
      </c>
    </row>
    <row r="7" spans="1:45" x14ac:dyDescent="0.25">
      <c r="A7" t="s">
        <v>169</v>
      </c>
      <c r="B7" s="18" t="s">
        <v>195</v>
      </c>
      <c r="C7" s="6"/>
      <c r="D7" s="6" t="s">
        <v>485</v>
      </c>
      <c r="E7" s="6">
        <f>Plantilla!E9</f>
        <v>26</v>
      </c>
      <c r="F7" s="20">
        <f ca="1">Plantilla!F9</f>
        <v>43</v>
      </c>
      <c r="G7" s="89">
        <f>Plantilla!X9</f>
        <v>0</v>
      </c>
      <c r="H7" s="89">
        <f>Plantilla!Y9</f>
        <v>12.381818181818183</v>
      </c>
      <c r="I7" s="89">
        <f>Plantilla!Z9</f>
        <v>11</v>
      </c>
      <c r="J7" s="89">
        <f>Plantilla!AA9</f>
        <v>4</v>
      </c>
      <c r="K7" s="89">
        <f>Plantilla!AB9</f>
        <v>11</v>
      </c>
      <c r="L7" s="89">
        <f>Plantilla!AC9</f>
        <v>4</v>
      </c>
      <c r="M7" s="89">
        <f>Plantilla!AD9</f>
        <v>13.5</v>
      </c>
      <c r="N7" s="37">
        <f>Plantilla!V9</f>
        <v>12870</v>
      </c>
      <c r="O7" s="42">
        <v>0</v>
      </c>
      <c r="P7" s="42">
        <v>60</v>
      </c>
      <c r="Q7" s="42">
        <v>40</v>
      </c>
      <c r="R7" s="42">
        <v>3.5</v>
      </c>
      <c r="S7" s="42">
        <v>36</v>
      </c>
      <c r="T7" s="42">
        <v>5</v>
      </c>
      <c r="U7" s="42">
        <v>15</v>
      </c>
      <c r="V7" s="358">
        <f t="shared" si="0"/>
        <v>159.5</v>
      </c>
      <c r="X7" t="s">
        <v>169</v>
      </c>
      <c r="Y7" s="6">
        <f>E7</f>
        <v>26</v>
      </c>
      <c r="Z7" s="6">
        <f ca="1">F7+(7*$AR$8)</f>
        <v>43</v>
      </c>
      <c r="AA7" s="55">
        <f t="shared" si="1"/>
        <v>0</v>
      </c>
      <c r="AB7" s="55">
        <f>11+7/10</f>
        <v>11.7</v>
      </c>
      <c r="AC7" s="55">
        <f t="shared" si="10"/>
        <v>11</v>
      </c>
      <c r="AD7" s="55">
        <f>J7</f>
        <v>4</v>
      </c>
      <c r="AE7" s="55">
        <f t="shared" si="11"/>
        <v>11</v>
      </c>
      <c r="AF7" s="55">
        <f t="shared" si="12"/>
        <v>4</v>
      </c>
      <c r="AG7" s="55">
        <f t="shared" si="13"/>
        <v>13.5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40</v>
      </c>
      <c r="AL7" s="42">
        <f t="shared" si="5"/>
        <v>3.5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8">
        <f t="shared" si="9"/>
        <v>159.5</v>
      </c>
      <c r="AR7" s="90" t="s">
        <v>137</v>
      </c>
      <c r="AS7" s="90" t="s">
        <v>486</v>
      </c>
    </row>
    <row r="8" spans="1:45" x14ac:dyDescent="0.25">
      <c r="A8" t="s">
        <v>173</v>
      </c>
      <c r="B8" s="18" t="s">
        <v>195</v>
      </c>
      <c r="C8" s="6"/>
      <c r="D8" s="6" t="s">
        <v>487</v>
      </c>
      <c r="E8" s="6">
        <f>Plantilla!E10</f>
        <v>26</v>
      </c>
      <c r="F8" s="20">
        <f ca="1">Plantilla!F10</f>
        <v>86</v>
      </c>
      <c r="G8" s="89">
        <f>Plantilla!X10</f>
        <v>0</v>
      </c>
      <c r="H8" s="89">
        <f>Plantilla!Y10</f>
        <v>14.1875</v>
      </c>
      <c r="I8" s="89">
        <f>Plantilla!Z10</f>
        <v>5</v>
      </c>
      <c r="J8" s="89">
        <f>Plantilla!AA10</f>
        <v>2</v>
      </c>
      <c r="K8" s="89">
        <f>Plantilla!AB10</f>
        <v>12</v>
      </c>
      <c r="L8" s="89">
        <f>Plantilla!AC10</f>
        <v>6</v>
      </c>
      <c r="M8" s="89">
        <f>Plantilla!AD10</f>
        <v>12.5</v>
      </c>
      <c r="N8" s="37">
        <f>Plantilla!V10</f>
        <v>21410</v>
      </c>
      <c r="O8" s="42">
        <v>0</v>
      </c>
      <c r="P8" s="42">
        <v>82</v>
      </c>
      <c r="Q8" s="42">
        <v>9</v>
      </c>
      <c r="R8" s="42">
        <v>0</v>
      </c>
      <c r="S8" s="42">
        <v>43</v>
      </c>
      <c r="T8" s="42">
        <v>12</v>
      </c>
      <c r="U8" s="42">
        <v>13</v>
      </c>
      <c r="V8" s="358">
        <f t="shared" si="0"/>
        <v>159</v>
      </c>
      <c r="X8" t="s">
        <v>173</v>
      </c>
      <c r="Y8" s="6">
        <f>E8+1</f>
        <v>27</v>
      </c>
      <c r="Z8" s="6">
        <f ca="1">F8+(7*$AR$8)-112</f>
        <v>-26</v>
      </c>
      <c r="AA8" s="55">
        <f t="shared" si="1"/>
        <v>0</v>
      </c>
      <c r="AB8" s="55">
        <f>H8</f>
        <v>14.1875</v>
      </c>
      <c r="AC8" s="55">
        <f t="shared" si="10"/>
        <v>5</v>
      </c>
      <c r="AD8" s="55">
        <f>J8</f>
        <v>2</v>
      </c>
      <c r="AE8" s="55">
        <f t="shared" si="11"/>
        <v>12</v>
      </c>
      <c r="AF8" s="55">
        <f t="shared" si="12"/>
        <v>6</v>
      </c>
      <c r="AG8" s="55">
        <f t="shared" si="13"/>
        <v>12.5</v>
      </c>
      <c r="AH8" s="37"/>
      <c r="AI8" s="42">
        <f t="shared" si="2"/>
        <v>0</v>
      </c>
      <c r="AJ8" s="42">
        <f t="shared" si="3"/>
        <v>82</v>
      </c>
      <c r="AK8" s="42">
        <f t="shared" si="4"/>
        <v>9</v>
      </c>
      <c r="AL8" s="42">
        <f t="shared" si="5"/>
        <v>0</v>
      </c>
      <c r="AM8" s="42">
        <f t="shared" si="6"/>
        <v>43</v>
      </c>
      <c r="AN8" s="42">
        <f t="shared" si="7"/>
        <v>12</v>
      </c>
      <c r="AO8" s="42">
        <f t="shared" si="8"/>
        <v>13</v>
      </c>
      <c r="AP8" s="358">
        <f t="shared" si="9"/>
        <v>159</v>
      </c>
      <c r="AQ8" s="90" t="s">
        <v>195</v>
      </c>
      <c r="AR8" s="54">
        <v>0</v>
      </c>
      <c r="AS8" s="97">
        <f>AR8/16</f>
        <v>0</v>
      </c>
    </row>
    <row r="9" spans="1:45" x14ac:dyDescent="0.25">
      <c r="A9" t="s">
        <v>162</v>
      </c>
      <c r="B9" s="18" t="s">
        <v>195</v>
      </c>
      <c r="C9" s="6" t="s">
        <v>165</v>
      </c>
      <c r="D9" s="6" t="s">
        <v>488</v>
      </c>
      <c r="E9" s="6">
        <f>Plantilla!E11</f>
        <v>26</v>
      </c>
      <c r="F9" s="20">
        <f ca="1">Plantilla!F11</f>
        <v>23</v>
      </c>
      <c r="G9" s="89">
        <f>Plantilla!X11</f>
        <v>0</v>
      </c>
      <c r="H9" s="89">
        <f>Plantilla!Y11</f>
        <v>13.583333333333334</v>
      </c>
      <c r="I9" s="89">
        <f>Plantilla!Z11</f>
        <v>4</v>
      </c>
      <c r="J9" s="89">
        <f>Plantilla!AA11</f>
        <v>13.066666666666666</v>
      </c>
      <c r="K9" s="89">
        <f>Plantilla!AB11</f>
        <v>7.75</v>
      </c>
      <c r="L9" s="89">
        <f>Plantilla!AC11</f>
        <v>7</v>
      </c>
      <c r="M9" s="89">
        <f>Plantilla!AD11</f>
        <v>14</v>
      </c>
      <c r="N9" s="37">
        <f>Plantilla!V11</f>
        <v>20710</v>
      </c>
      <c r="O9" s="42">
        <v>0</v>
      </c>
      <c r="P9" s="42">
        <v>75</v>
      </c>
      <c r="Q9" s="42">
        <v>6</v>
      </c>
      <c r="R9" s="42">
        <v>39.5</v>
      </c>
      <c r="S9" s="42">
        <v>17</v>
      </c>
      <c r="T9" s="42">
        <v>16</v>
      </c>
      <c r="U9" s="42">
        <v>16</v>
      </c>
      <c r="V9" s="358">
        <f t="shared" si="0"/>
        <v>169.5</v>
      </c>
      <c r="X9" t="s">
        <v>162</v>
      </c>
      <c r="Y9" s="6">
        <f>E9</f>
        <v>26</v>
      </c>
      <c r="Z9" s="6">
        <f ca="1">F9+(7*$AR$8)</f>
        <v>23</v>
      </c>
      <c r="AA9" s="55">
        <f t="shared" si="1"/>
        <v>0</v>
      </c>
      <c r="AB9" s="55">
        <f>12+10/11</f>
        <v>12.909090909090908</v>
      </c>
      <c r="AC9" s="55">
        <f t="shared" si="10"/>
        <v>4</v>
      </c>
      <c r="AD9" s="55">
        <v>12.5</v>
      </c>
      <c r="AE9" s="55">
        <f t="shared" si="11"/>
        <v>7.75</v>
      </c>
      <c r="AF9" s="55">
        <f t="shared" si="12"/>
        <v>7</v>
      </c>
      <c r="AG9" s="55">
        <f t="shared" si="13"/>
        <v>14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75</v>
      </c>
      <c r="AK9" s="42">
        <f t="shared" si="4"/>
        <v>6</v>
      </c>
      <c r="AL9" s="42">
        <f t="shared" si="5"/>
        <v>39.5</v>
      </c>
      <c r="AM9" s="42">
        <f t="shared" si="6"/>
        <v>17</v>
      </c>
      <c r="AN9" s="42">
        <f t="shared" si="7"/>
        <v>16</v>
      </c>
      <c r="AO9" s="42">
        <f t="shared" si="8"/>
        <v>16</v>
      </c>
      <c r="AP9" s="358">
        <f t="shared" si="9"/>
        <v>169.5</v>
      </c>
      <c r="AR9" s="98"/>
      <c r="AS9" s="98"/>
    </row>
    <row r="10" spans="1:45" x14ac:dyDescent="0.25">
      <c r="A10" t="s">
        <v>170</v>
      </c>
      <c r="B10" s="18" t="s">
        <v>195</v>
      </c>
      <c r="C10" s="6" t="s">
        <v>165</v>
      </c>
      <c r="D10" s="6" t="s">
        <v>489</v>
      </c>
      <c r="E10" s="6">
        <f>Plantilla!E13</f>
        <v>26</v>
      </c>
      <c r="F10" s="20">
        <f ca="1">Plantilla!F13</f>
        <v>23</v>
      </c>
      <c r="G10" s="89">
        <f>Plantilla!X13</f>
        <v>0</v>
      </c>
      <c r="H10" s="89">
        <f>Plantilla!Y13</f>
        <v>12.454545454545455</v>
      </c>
      <c r="I10" s="89">
        <f>Plantilla!Z13</f>
        <v>3</v>
      </c>
      <c r="J10" s="89">
        <f>Plantilla!AA13</f>
        <v>12.466666666666667</v>
      </c>
      <c r="K10" s="89">
        <f>Plantilla!AB13</f>
        <v>9</v>
      </c>
      <c r="L10" s="89">
        <f>Plantilla!AC13</f>
        <v>7.25</v>
      </c>
      <c r="M10" s="89">
        <f>Plantilla!AD13</f>
        <v>14.5</v>
      </c>
      <c r="N10" s="37">
        <f>Plantilla!V13</f>
        <v>12690</v>
      </c>
      <c r="O10" s="42">
        <v>0</v>
      </c>
      <c r="P10" s="42">
        <v>61</v>
      </c>
      <c r="Q10" s="42">
        <v>3</v>
      </c>
      <c r="R10" s="29">
        <v>40</v>
      </c>
      <c r="S10" s="42">
        <v>23</v>
      </c>
      <c r="T10" s="42">
        <v>17</v>
      </c>
      <c r="U10" s="42">
        <v>17</v>
      </c>
      <c r="V10" s="358">
        <f t="shared" si="0"/>
        <v>161</v>
      </c>
      <c r="X10" t="s">
        <v>170</v>
      </c>
      <c r="Y10" s="6">
        <f>E10</f>
        <v>26</v>
      </c>
      <c r="Z10" s="6">
        <f ca="1">F10+(7*$AR$8)</f>
        <v>23</v>
      </c>
      <c r="AA10" s="55">
        <f t="shared" si="1"/>
        <v>0</v>
      </c>
      <c r="AB10" s="55">
        <v>12</v>
      </c>
      <c r="AC10" s="55">
        <f t="shared" si="10"/>
        <v>3</v>
      </c>
      <c r="AD10" s="55">
        <v>11.9</v>
      </c>
      <c r="AE10" s="55">
        <f t="shared" si="11"/>
        <v>9</v>
      </c>
      <c r="AF10" s="55">
        <f t="shared" si="12"/>
        <v>7.25</v>
      </c>
      <c r="AG10" s="55">
        <f t="shared" si="13"/>
        <v>14.5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61</v>
      </c>
      <c r="AK10" s="42">
        <f t="shared" si="4"/>
        <v>3</v>
      </c>
      <c r="AL10" s="29">
        <f t="shared" si="5"/>
        <v>40</v>
      </c>
      <c r="AM10" s="42">
        <f t="shared" si="6"/>
        <v>23</v>
      </c>
      <c r="AN10" s="42">
        <f t="shared" si="7"/>
        <v>17</v>
      </c>
      <c r="AO10" s="42">
        <f t="shared" si="8"/>
        <v>17</v>
      </c>
      <c r="AP10" s="358">
        <f t="shared" si="9"/>
        <v>161</v>
      </c>
      <c r="AR10" s="98"/>
      <c r="AS10" s="98"/>
    </row>
    <row r="11" spans="1:45" x14ac:dyDescent="0.25">
      <c r="A11" t="s">
        <v>163</v>
      </c>
      <c r="B11" s="18" t="s">
        <v>490</v>
      </c>
      <c r="C11" s="6" t="s">
        <v>168</v>
      </c>
      <c r="D11" s="6" t="s">
        <v>491</v>
      </c>
      <c r="E11" s="6">
        <f>Plantilla!E16</f>
        <v>25</v>
      </c>
      <c r="F11" s="20">
        <f ca="1">Plantilla!F16</f>
        <v>105</v>
      </c>
      <c r="G11" s="89">
        <f>Plantilla!X16</f>
        <v>0</v>
      </c>
      <c r="H11" s="89">
        <f>Plantilla!Y16</f>
        <v>12.590909090909092</v>
      </c>
      <c r="I11" s="89">
        <f>Plantilla!Z16</f>
        <v>9</v>
      </c>
      <c r="J11" s="89">
        <f>Plantilla!AA16</f>
        <v>4</v>
      </c>
      <c r="K11" s="89">
        <f>Plantilla!AB16</f>
        <v>8.6666666666666661</v>
      </c>
      <c r="L11" s="89">
        <f>Plantilla!AC16</f>
        <v>4</v>
      </c>
      <c r="M11" s="89">
        <f>Plantilla!AD16</f>
        <v>20</v>
      </c>
      <c r="N11" s="37">
        <f>Plantilla!V16</f>
        <v>13548</v>
      </c>
      <c r="O11" s="42">
        <v>0</v>
      </c>
      <c r="P11" s="42">
        <v>61.5</v>
      </c>
      <c r="Q11" s="42">
        <v>26</v>
      </c>
      <c r="R11" s="42">
        <v>3.5</v>
      </c>
      <c r="S11" s="42">
        <v>22</v>
      </c>
      <c r="T11" s="42">
        <v>5</v>
      </c>
      <c r="U11" s="42">
        <v>38</v>
      </c>
      <c r="V11" s="358">
        <f t="shared" si="0"/>
        <v>156</v>
      </c>
      <c r="X11" t="s">
        <v>163</v>
      </c>
      <c r="Y11" s="6">
        <f>E11</f>
        <v>25</v>
      </c>
      <c r="Z11" s="6">
        <f ca="1">F11+(7*$AR$8)</f>
        <v>105</v>
      </c>
      <c r="AA11" s="55">
        <f t="shared" si="1"/>
        <v>0</v>
      </c>
      <c r="AB11" s="55">
        <f>H11+2/10</f>
        <v>12.790909090909091</v>
      </c>
      <c r="AC11" s="55">
        <f t="shared" si="10"/>
        <v>9</v>
      </c>
      <c r="AD11" s="55">
        <f>J11</f>
        <v>4</v>
      </c>
      <c r="AE11" s="55">
        <f t="shared" si="11"/>
        <v>8.6666666666666661</v>
      </c>
      <c r="AF11" s="55">
        <f t="shared" si="12"/>
        <v>4</v>
      </c>
      <c r="AG11" s="55">
        <f t="shared" si="13"/>
        <v>20</v>
      </c>
      <c r="AH11" s="37">
        <f>N11</f>
        <v>13548</v>
      </c>
      <c r="AI11" s="42">
        <f t="shared" si="2"/>
        <v>0</v>
      </c>
      <c r="AJ11" s="42">
        <f t="shared" si="3"/>
        <v>61.5</v>
      </c>
      <c r="AK11" s="42">
        <f t="shared" si="4"/>
        <v>26</v>
      </c>
      <c r="AL11" s="42">
        <f t="shared" si="5"/>
        <v>3.5</v>
      </c>
      <c r="AM11" s="42">
        <f t="shared" si="6"/>
        <v>22</v>
      </c>
      <c r="AN11" s="42">
        <f t="shared" si="7"/>
        <v>5</v>
      </c>
      <c r="AO11" s="42">
        <f t="shared" si="8"/>
        <v>38</v>
      </c>
      <c r="AP11" s="358">
        <f t="shared" si="9"/>
        <v>156</v>
      </c>
    </row>
    <row r="12" spans="1:45" x14ac:dyDescent="0.25">
      <c r="A12" t="s">
        <v>492</v>
      </c>
      <c r="B12" s="18" t="s">
        <v>490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8">
        <f t="shared" si="0"/>
        <v>0</v>
      </c>
      <c r="X12" t="s">
        <v>492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8">
        <f t="shared" si="9"/>
        <v>0</v>
      </c>
    </row>
    <row r="13" spans="1:45" x14ac:dyDescent="0.25">
      <c r="A13" t="s">
        <v>171</v>
      </c>
      <c r="B13" s="18" t="s">
        <v>493</v>
      </c>
      <c r="C13" s="6" t="s">
        <v>168</v>
      </c>
      <c r="D13" s="6" t="s">
        <v>494</v>
      </c>
      <c r="E13" s="6">
        <f>Plantilla!E14</f>
        <v>26</v>
      </c>
      <c r="F13" s="20">
        <f ca="1">Plantilla!F14</f>
        <v>19</v>
      </c>
      <c r="G13" s="89">
        <f>Plantilla!X14</f>
        <v>0</v>
      </c>
      <c r="H13" s="89">
        <f>Plantilla!Y14</f>
        <v>11.5</v>
      </c>
      <c r="I13" s="89">
        <f>Plantilla!Z14</f>
        <v>5.7</v>
      </c>
      <c r="J13" s="89">
        <f>Plantilla!AA14</f>
        <v>14.666666666666666</v>
      </c>
      <c r="K13" s="89">
        <f>Plantilla!AB14</f>
        <v>9</v>
      </c>
      <c r="L13" s="89">
        <f>Plantilla!AC14</f>
        <v>7.5</v>
      </c>
      <c r="M13" s="89">
        <f>Plantilla!AD14</f>
        <v>15</v>
      </c>
      <c r="N13" s="37">
        <f>Plantilla!V14</f>
        <v>20760</v>
      </c>
      <c r="O13" s="42">
        <v>0</v>
      </c>
      <c r="P13" s="42">
        <v>51</v>
      </c>
      <c r="Q13" s="42">
        <v>10.5</v>
      </c>
      <c r="R13" s="42">
        <v>52.5</v>
      </c>
      <c r="S13" s="42">
        <v>23</v>
      </c>
      <c r="T13" s="42">
        <v>18</v>
      </c>
      <c r="U13" s="42">
        <v>18</v>
      </c>
      <c r="V13" s="358">
        <f t="shared" si="0"/>
        <v>173</v>
      </c>
      <c r="X13" t="s">
        <v>171</v>
      </c>
      <c r="Y13" s="6">
        <f>E13</f>
        <v>26</v>
      </c>
      <c r="Z13" s="6">
        <f ca="1">F13+(7*$AR$8)</f>
        <v>19</v>
      </c>
      <c r="AA13" s="55">
        <f t="shared" si="1"/>
        <v>0</v>
      </c>
      <c r="AB13" s="55">
        <f>10+6/9</f>
        <v>10.666666666666666</v>
      </c>
      <c r="AC13" s="55">
        <f t="shared" si="10"/>
        <v>5.7</v>
      </c>
      <c r="AD13" s="55">
        <v>14</v>
      </c>
      <c r="AE13" s="55">
        <f t="shared" si="11"/>
        <v>9</v>
      </c>
      <c r="AF13" s="55">
        <f t="shared" si="12"/>
        <v>7.5</v>
      </c>
      <c r="AG13" s="55">
        <f t="shared" si="13"/>
        <v>15</v>
      </c>
      <c r="AH13" s="37">
        <f>(11610+300+145+150+1200)*1.016</f>
        <v>13619.48</v>
      </c>
      <c r="AI13" s="42">
        <f t="shared" si="2"/>
        <v>0</v>
      </c>
      <c r="AJ13" s="42">
        <f>P13+$AR$8</f>
        <v>51</v>
      </c>
      <c r="AK13" s="42">
        <f t="shared" si="4"/>
        <v>10.5</v>
      </c>
      <c r="AL13" s="42">
        <f t="shared" si="5"/>
        <v>52.5</v>
      </c>
      <c r="AM13" s="42">
        <f t="shared" si="6"/>
        <v>23</v>
      </c>
      <c r="AN13" s="42">
        <f t="shared" si="7"/>
        <v>18</v>
      </c>
      <c r="AO13" s="42">
        <f t="shared" si="8"/>
        <v>18</v>
      </c>
      <c r="AP13" s="358">
        <f t="shared" si="9"/>
        <v>173</v>
      </c>
    </row>
    <row r="14" spans="1:45" x14ac:dyDescent="0.25">
      <c r="A14" t="s">
        <v>495</v>
      </c>
      <c r="B14" s="18" t="s">
        <v>493</v>
      </c>
      <c r="C14" s="6" t="s">
        <v>168</v>
      </c>
      <c r="D14" s="6" t="s">
        <v>496</v>
      </c>
      <c r="E14" s="6">
        <f>Plantilla!E12</f>
        <v>25</v>
      </c>
      <c r="F14" s="20">
        <f ca="1">Plantilla!F12</f>
        <v>96</v>
      </c>
      <c r="G14" s="89">
        <f>Plantilla!X12</f>
        <v>0</v>
      </c>
      <c r="H14" s="89">
        <f>Plantilla!Y12</f>
        <v>13</v>
      </c>
      <c r="I14" s="89">
        <f>Plantilla!Z12</f>
        <v>3</v>
      </c>
      <c r="J14" s="89">
        <f>Plantilla!AA12</f>
        <v>13.666666666666666</v>
      </c>
      <c r="K14" s="89">
        <f>Plantilla!AB12</f>
        <v>9.6666666666666661</v>
      </c>
      <c r="L14" s="89">
        <f>Plantilla!AC12</f>
        <v>7</v>
      </c>
      <c r="M14" s="89">
        <f>Plantilla!AD12</f>
        <v>14.5</v>
      </c>
      <c r="N14" s="37">
        <f>Plantilla!V12</f>
        <v>15490</v>
      </c>
      <c r="O14" s="42">
        <v>0</v>
      </c>
      <c r="P14" s="42">
        <v>67</v>
      </c>
      <c r="Q14" s="42">
        <v>3</v>
      </c>
      <c r="R14" s="42">
        <v>44.5</v>
      </c>
      <c r="S14" s="42">
        <f>23+2</f>
        <v>25</v>
      </c>
      <c r="T14" s="42">
        <v>16</v>
      </c>
      <c r="U14" s="42">
        <v>17</v>
      </c>
      <c r="V14" s="358">
        <f t="shared" si="0"/>
        <v>172.5</v>
      </c>
      <c r="X14" t="s">
        <v>495</v>
      </c>
      <c r="Y14" s="6">
        <f>E14+1</f>
        <v>26</v>
      </c>
      <c r="Z14" s="6">
        <f ca="1">F14+(7*$AR$8)-112</f>
        <v>-16</v>
      </c>
      <c r="AA14" s="55">
        <f t="shared" si="1"/>
        <v>0</v>
      </c>
      <c r="AB14" s="55">
        <f>12+2/11</f>
        <v>12.181818181818182</v>
      </c>
      <c r="AC14" s="55">
        <f t="shared" si="10"/>
        <v>3</v>
      </c>
      <c r="AD14" s="55">
        <f>12+5/6</f>
        <v>12.833333333333334</v>
      </c>
      <c r="AE14" s="55">
        <f t="shared" si="11"/>
        <v>9.6666666666666661</v>
      </c>
      <c r="AF14" s="55">
        <f t="shared" si="12"/>
        <v>7</v>
      </c>
      <c r="AG14" s="55">
        <f t="shared" si="13"/>
        <v>14.5</v>
      </c>
      <c r="AH14" s="37">
        <f>(7000+165+125+245+3505)*1.012</f>
        <v>11172.48</v>
      </c>
      <c r="AI14" s="42">
        <f t="shared" si="2"/>
        <v>0</v>
      </c>
      <c r="AJ14" s="42">
        <f>P14+$AR$8</f>
        <v>67</v>
      </c>
      <c r="AK14" s="42">
        <f t="shared" si="4"/>
        <v>3</v>
      </c>
      <c r="AL14" s="42">
        <f t="shared" si="5"/>
        <v>44.5</v>
      </c>
      <c r="AM14" s="42">
        <f t="shared" si="6"/>
        <v>25</v>
      </c>
      <c r="AN14" s="42">
        <f t="shared" si="7"/>
        <v>16</v>
      </c>
      <c r="AO14" s="42">
        <f t="shared" si="8"/>
        <v>17</v>
      </c>
      <c r="AP14" s="358">
        <f t="shared" si="9"/>
        <v>172.5</v>
      </c>
    </row>
    <row r="15" spans="1:45" x14ac:dyDescent="0.25">
      <c r="A15" t="s">
        <v>159</v>
      </c>
      <c r="B15" s="18" t="s">
        <v>493</v>
      </c>
      <c r="C15" s="6" t="s">
        <v>165</v>
      </c>
      <c r="D15" s="6" t="s">
        <v>497</v>
      </c>
      <c r="E15" s="6">
        <f>Plantilla!E15</f>
        <v>26</v>
      </c>
      <c r="F15" s="20">
        <f ca="1">Plantilla!F15</f>
        <v>19</v>
      </c>
      <c r="G15" s="89">
        <f>Plantilla!X15</f>
        <v>0</v>
      </c>
      <c r="H15" s="89">
        <f>Plantilla!Y15</f>
        <v>11.8</v>
      </c>
      <c r="I15" s="89">
        <f>Plantilla!Z15</f>
        <v>5</v>
      </c>
      <c r="J15" s="89">
        <f>Plantilla!AA15</f>
        <v>14</v>
      </c>
      <c r="K15" s="89">
        <f>Plantilla!AB15</f>
        <v>8</v>
      </c>
      <c r="L15" s="89">
        <f>Plantilla!AC15</f>
        <v>8</v>
      </c>
      <c r="M15" s="89">
        <f>Plantilla!AD15</f>
        <v>14</v>
      </c>
      <c r="N15" s="37">
        <f>Plantilla!V15</f>
        <v>15810</v>
      </c>
      <c r="O15" s="42">
        <v>0</v>
      </c>
      <c r="P15" s="42">
        <v>54</v>
      </c>
      <c r="Q15" s="42">
        <v>9</v>
      </c>
      <c r="R15" s="42">
        <v>45.5</v>
      </c>
      <c r="S15" s="42">
        <v>18</v>
      </c>
      <c r="T15" s="42">
        <v>21</v>
      </c>
      <c r="U15" s="42">
        <v>16</v>
      </c>
      <c r="V15" s="358">
        <f t="shared" si="0"/>
        <v>163.5</v>
      </c>
      <c r="X15" t="s">
        <v>159</v>
      </c>
      <c r="Y15" s="6">
        <f>E15</f>
        <v>26</v>
      </c>
      <c r="Z15" s="6">
        <f ca="1">F15+(7*$AR$8)</f>
        <v>19</v>
      </c>
      <c r="AA15" s="55">
        <f t="shared" si="1"/>
        <v>0</v>
      </c>
      <c r="AB15" s="55">
        <f>11+1/10</f>
        <v>11.1</v>
      </c>
      <c r="AC15" s="55">
        <f t="shared" si="10"/>
        <v>5</v>
      </c>
      <c r="AD15" s="55">
        <f>13+2/6</f>
        <v>13.333333333333334</v>
      </c>
      <c r="AE15" s="55">
        <f t="shared" si="11"/>
        <v>8</v>
      </c>
      <c r="AF15" s="55">
        <f t="shared" si="12"/>
        <v>8</v>
      </c>
      <c r="AG15" s="55">
        <f t="shared" si="13"/>
        <v>14</v>
      </c>
      <c r="AH15" s="37">
        <f>(9000+135+135+350+3900)*1.012</f>
        <v>13682.24</v>
      </c>
      <c r="AI15" s="42">
        <f t="shared" si="2"/>
        <v>0</v>
      </c>
      <c r="AJ15" s="42">
        <f>P15+$AR$8</f>
        <v>54</v>
      </c>
      <c r="AK15" s="42">
        <f t="shared" si="4"/>
        <v>9</v>
      </c>
      <c r="AL15" s="42">
        <f t="shared" si="5"/>
        <v>45.5</v>
      </c>
      <c r="AM15" s="42">
        <f t="shared" si="6"/>
        <v>18</v>
      </c>
      <c r="AN15" s="42">
        <f t="shared" si="7"/>
        <v>21</v>
      </c>
      <c r="AO15" s="42">
        <f t="shared" si="8"/>
        <v>16</v>
      </c>
      <c r="AP15" s="358">
        <f t="shared" si="9"/>
        <v>163.5</v>
      </c>
    </row>
    <row r="16" spans="1:45" x14ac:dyDescent="0.25">
      <c r="N16" s="77">
        <f>SUM(N18:N30)</f>
        <v>207709.18000000002</v>
      </c>
      <c r="AH16" s="77">
        <f>SUM(AH18:AH30)</f>
        <v>236304.655</v>
      </c>
    </row>
    <row r="17" spans="1:45" x14ac:dyDescent="0.25">
      <c r="A17" s="13" t="s">
        <v>468</v>
      </c>
      <c r="B17" s="13" t="s">
        <v>109</v>
      </c>
      <c r="C17" s="13" t="s">
        <v>469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472</v>
      </c>
      <c r="O17" s="13" t="s">
        <v>473</v>
      </c>
      <c r="P17" s="13" t="s">
        <v>474</v>
      </c>
      <c r="Q17" s="13" t="s">
        <v>475</v>
      </c>
      <c r="R17" s="13" t="s">
        <v>476</v>
      </c>
      <c r="S17" s="13" t="s">
        <v>477</v>
      </c>
      <c r="T17" s="13" t="s">
        <v>478</v>
      </c>
      <c r="U17" s="13" t="s">
        <v>479</v>
      </c>
      <c r="V17" s="13" t="s">
        <v>480</v>
      </c>
      <c r="X17" s="13" t="s">
        <v>468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472</v>
      </c>
      <c r="AI17" s="13" t="s">
        <v>473</v>
      </c>
      <c r="AJ17" s="13" t="s">
        <v>474</v>
      </c>
      <c r="AK17" s="13" t="s">
        <v>475</v>
      </c>
      <c r="AL17" s="13" t="s">
        <v>476</v>
      </c>
      <c r="AM17" s="13" t="s">
        <v>477</v>
      </c>
      <c r="AN17" s="13" t="s">
        <v>478</v>
      </c>
      <c r="AO17" s="13" t="s">
        <v>479</v>
      </c>
      <c r="AP17" s="13" t="s">
        <v>480</v>
      </c>
    </row>
    <row r="18" spans="1:45" x14ac:dyDescent="0.25">
      <c r="A18" t="s">
        <v>153</v>
      </c>
      <c r="B18" s="18" t="s">
        <v>154</v>
      </c>
      <c r="C18" s="6"/>
      <c r="D18" s="6" t="str">
        <f>D3</f>
        <v>C. Fonteboa</v>
      </c>
      <c r="E18" s="6">
        <f t="shared" ref="E18:E26" si="14">Y3</f>
        <v>26</v>
      </c>
      <c r="F18" s="6">
        <f t="shared" ref="F18:F26" ca="1" si="15">Z3</f>
        <v>30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15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61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8">
        <f t="shared" ref="V18:V30" si="31">SUM(O18:U18)</f>
        <v>130.5</v>
      </c>
      <c r="X18" t="s">
        <v>153</v>
      </c>
      <c r="Y18" s="6">
        <f>E18+2</f>
        <v>28</v>
      </c>
      <c r="Z18" s="6">
        <f ca="1">F18+(($AR$22+$AR$23)*7)-112-112</f>
        <v>9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61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8">
        <f t="shared" ref="AP18:AP30" si="35">SUM(AI18:AO18)</f>
        <v>145.5</v>
      </c>
    </row>
    <row r="19" spans="1:45" x14ac:dyDescent="0.25">
      <c r="A19" t="s">
        <v>156</v>
      </c>
      <c r="B19" s="18" t="s">
        <v>195</v>
      </c>
      <c r="C19" s="6"/>
      <c r="D19" s="6" t="str">
        <f>D4</f>
        <v>M. Fernandez</v>
      </c>
      <c r="E19" s="6">
        <f t="shared" si="14"/>
        <v>26</v>
      </c>
      <c r="F19" s="6">
        <f t="shared" ca="1" si="15"/>
        <v>27</v>
      </c>
      <c r="G19" s="55">
        <f t="shared" si="16"/>
        <v>0</v>
      </c>
      <c r="H19" s="55">
        <f t="shared" si="17"/>
        <v>15.166666666666666</v>
      </c>
      <c r="I19" s="55">
        <f t="shared" si="18"/>
        <v>5</v>
      </c>
      <c r="J19" s="55">
        <f t="shared" si="19"/>
        <v>5.2</v>
      </c>
      <c r="K19" s="55">
        <f t="shared" si="20"/>
        <v>8.8000000000000007</v>
      </c>
      <c r="L19" s="55">
        <f t="shared" si="21"/>
        <v>2</v>
      </c>
      <c r="M19" s="55">
        <f t="shared" si="22"/>
        <v>13.5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9</v>
      </c>
      <c r="R19" s="42">
        <f t="shared" si="27"/>
        <v>10.5</v>
      </c>
      <c r="S19" s="42">
        <f t="shared" si="28"/>
        <v>22</v>
      </c>
      <c r="T19" s="42">
        <f t="shared" si="29"/>
        <v>0</v>
      </c>
      <c r="U19" s="42">
        <f t="shared" si="30"/>
        <v>15</v>
      </c>
      <c r="V19" s="358">
        <f t="shared" si="31"/>
        <v>160.80000000000001</v>
      </c>
      <c r="X19" t="s">
        <v>156</v>
      </c>
      <c r="Y19" s="6">
        <f>E19+2</f>
        <v>28</v>
      </c>
      <c r="Z19" s="6">
        <f ca="1">F19+(($AR$22+$AR$23)*7)-112-112</f>
        <v>6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5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2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9</v>
      </c>
      <c r="AL19" s="42">
        <f t="shared" ref="AL19:AL30" si="44">R19</f>
        <v>10.5</v>
      </c>
      <c r="AM19" s="42">
        <f t="shared" ref="AM19:AM30" si="45">S19+$AR$22</f>
        <v>36</v>
      </c>
      <c r="AN19" s="42">
        <f t="shared" ref="AN19:AN30" si="46">T19</f>
        <v>0</v>
      </c>
      <c r="AO19" s="42">
        <f t="shared" si="34"/>
        <v>30</v>
      </c>
      <c r="AP19" s="358">
        <f t="shared" si="35"/>
        <v>189.8</v>
      </c>
    </row>
    <row r="20" spans="1:45" x14ac:dyDescent="0.25">
      <c r="A20" t="s">
        <v>166</v>
      </c>
      <c r="B20" s="18" t="s">
        <v>195</v>
      </c>
      <c r="C20" s="6"/>
      <c r="D20" s="6" t="str">
        <f>D5</f>
        <v>B. Abandero</v>
      </c>
      <c r="E20" s="6">
        <f t="shared" si="14"/>
        <v>26</v>
      </c>
      <c r="F20" s="6">
        <f t="shared" ca="1" si="15"/>
        <v>58</v>
      </c>
      <c r="G20" s="55">
        <f t="shared" si="16"/>
        <v>0</v>
      </c>
      <c r="H20" s="55">
        <f t="shared" si="17"/>
        <v>13.416666666666666</v>
      </c>
      <c r="I20" s="55">
        <f t="shared" si="18"/>
        <v>3</v>
      </c>
      <c r="J20" s="55">
        <f t="shared" si="19"/>
        <v>7.083333333333333</v>
      </c>
      <c r="K20" s="55">
        <f t="shared" si="20"/>
        <v>11.428571428571429</v>
      </c>
      <c r="L20" s="55">
        <f t="shared" si="21"/>
        <v>4</v>
      </c>
      <c r="M20" s="55">
        <f t="shared" si="22"/>
        <v>14</v>
      </c>
      <c r="N20" s="37">
        <f t="shared" si="23"/>
        <v>13492.08</v>
      </c>
      <c r="O20" s="42">
        <f t="shared" si="24"/>
        <v>0</v>
      </c>
      <c r="P20" s="42">
        <f t="shared" si="25"/>
        <v>82</v>
      </c>
      <c r="Q20" s="42">
        <f t="shared" si="26"/>
        <v>3</v>
      </c>
      <c r="R20" s="42">
        <f t="shared" si="27"/>
        <v>14.5</v>
      </c>
      <c r="S20" s="42">
        <f t="shared" si="28"/>
        <v>41</v>
      </c>
      <c r="T20" s="42">
        <f t="shared" si="29"/>
        <v>5</v>
      </c>
      <c r="U20" s="42">
        <f t="shared" si="30"/>
        <v>16</v>
      </c>
      <c r="V20" s="358">
        <f t="shared" si="31"/>
        <v>161.5</v>
      </c>
      <c r="X20" t="s">
        <v>166</v>
      </c>
      <c r="Y20" s="6">
        <f>E20+2</f>
        <v>28</v>
      </c>
      <c r="Z20" s="6">
        <f ca="1">F20+(($AR$22+$AR$23)*7)-112-112</f>
        <v>37</v>
      </c>
      <c r="AA20" s="55">
        <f t="shared" si="36"/>
        <v>0</v>
      </c>
      <c r="AB20" s="55">
        <f t="shared" si="37"/>
        <v>13.416666666666666</v>
      </c>
      <c r="AC20" s="55">
        <f t="shared" si="38"/>
        <v>3</v>
      </c>
      <c r="AD20" s="55">
        <f t="shared" si="39"/>
        <v>7.083333333333333</v>
      </c>
      <c r="AE20" s="55">
        <v>12</v>
      </c>
      <c r="AF20" s="55">
        <f t="shared" si="40"/>
        <v>4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82</v>
      </c>
      <c r="AK20" s="42">
        <f t="shared" si="43"/>
        <v>3</v>
      </c>
      <c r="AL20" s="42">
        <f t="shared" si="44"/>
        <v>14.5</v>
      </c>
      <c r="AM20" s="42">
        <f t="shared" si="45"/>
        <v>55</v>
      </c>
      <c r="AN20" s="42">
        <f t="shared" si="46"/>
        <v>5</v>
      </c>
      <c r="AO20" s="42">
        <f t="shared" si="34"/>
        <v>31</v>
      </c>
      <c r="AP20" s="358">
        <f t="shared" si="35"/>
        <v>190.5</v>
      </c>
      <c r="AQ20" s="90"/>
    </row>
    <row r="21" spans="1:45" x14ac:dyDescent="0.25">
      <c r="A21" t="s">
        <v>160</v>
      </c>
      <c r="B21" s="18" t="s">
        <v>195</v>
      </c>
      <c r="C21" s="6"/>
      <c r="D21" s="6" t="str">
        <f>D6</f>
        <v>I. R. Figueroa</v>
      </c>
      <c r="E21" s="6">
        <f t="shared" si="14"/>
        <v>26</v>
      </c>
      <c r="F21" s="6">
        <f t="shared" ca="1" si="15"/>
        <v>8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7.75</v>
      </c>
      <c r="K21" s="55">
        <f t="shared" si="20"/>
        <v>8.3333333333333339</v>
      </c>
      <c r="L21" s="55">
        <f t="shared" si="21"/>
        <v>1</v>
      </c>
      <c r="M21" s="55">
        <f t="shared" si="22"/>
        <v>13</v>
      </c>
      <c r="N21" s="37">
        <f t="shared" si="23"/>
        <v>28513.599999999999</v>
      </c>
      <c r="O21" s="42">
        <f t="shared" si="24"/>
        <v>0</v>
      </c>
      <c r="P21" s="42">
        <f t="shared" si="25"/>
        <v>104</v>
      </c>
      <c r="Q21" s="42">
        <f t="shared" si="26"/>
        <v>9</v>
      </c>
      <c r="R21" s="42">
        <f t="shared" si="27"/>
        <v>13.5</v>
      </c>
      <c r="S21" s="42">
        <f t="shared" si="28"/>
        <v>20</v>
      </c>
      <c r="T21" s="42">
        <f t="shared" si="29"/>
        <v>0</v>
      </c>
      <c r="U21" s="42">
        <f t="shared" si="30"/>
        <v>14</v>
      </c>
      <c r="V21" s="358">
        <f t="shared" si="31"/>
        <v>160.5</v>
      </c>
      <c r="X21" t="s">
        <v>160</v>
      </c>
      <c r="Y21" s="6">
        <f>E21+2</f>
        <v>28</v>
      </c>
      <c r="Z21" s="6">
        <f ca="1">F21+(($AR$22+$AR$23)*7)-112-112</f>
        <v>-13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7.75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104</v>
      </c>
      <c r="AK21" s="42">
        <f t="shared" si="43"/>
        <v>9</v>
      </c>
      <c r="AL21" s="42">
        <f t="shared" si="44"/>
        <v>13.5</v>
      </c>
      <c r="AM21" s="42">
        <f t="shared" si="45"/>
        <v>34</v>
      </c>
      <c r="AN21" s="42">
        <f t="shared" si="46"/>
        <v>0</v>
      </c>
      <c r="AO21" s="42">
        <f t="shared" si="34"/>
        <v>29</v>
      </c>
      <c r="AP21" s="358">
        <f t="shared" si="35"/>
        <v>189.5</v>
      </c>
      <c r="AQ21" s="90"/>
      <c r="AR21" s="90" t="s">
        <v>137</v>
      </c>
      <c r="AS21" s="90" t="s">
        <v>486</v>
      </c>
    </row>
    <row r="22" spans="1:45" x14ac:dyDescent="0.25">
      <c r="A22" t="s">
        <v>169</v>
      </c>
      <c r="B22" s="18" t="s">
        <v>195</v>
      </c>
      <c r="C22" s="6"/>
      <c r="D22" s="6" t="str">
        <f>D7</f>
        <v>G. Pedrajas</v>
      </c>
      <c r="E22" s="6">
        <f t="shared" si="14"/>
        <v>26</v>
      </c>
      <c r="F22" s="6">
        <f t="shared" ca="1" si="15"/>
        <v>43</v>
      </c>
      <c r="G22" s="55">
        <f t="shared" si="16"/>
        <v>0</v>
      </c>
      <c r="H22" s="55">
        <f t="shared" si="17"/>
        <v>11.7</v>
      </c>
      <c r="I22" s="55">
        <f t="shared" si="18"/>
        <v>11</v>
      </c>
      <c r="J22" s="55">
        <f t="shared" si="19"/>
        <v>4</v>
      </c>
      <c r="K22" s="55">
        <f t="shared" si="20"/>
        <v>11</v>
      </c>
      <c r="L22" s="55">
        <f t="shared" si="21"/>
        <v>4</v>
      </c>
      <c r="M22" s="55">
        <f t="shared" si="22"/>
        <v>13.5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40</v>
      </c>
      <c r="R22" s="42">
        <f t="shared" si="27"/>
        <v>3.5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8">
        <f t="shared" si="31"/>
        <v>159.5</v>
      </c>
      <c r="X22" t="s">
        <v>169</v>
      </c>
      <c r="Y22" s="6">
        <f>E22+2</f>
        <v>28</v>
      </c>
      <c r="Z22" s="6">
        <f ca="1">F22+(($AR$22+$AR$23)*7)-112-112</f>
        <v>22</v>
      </c>
      <c r="AA22" s="55">
        <f t="shared" si="36"/>
        <v>0</v>
      </c>
      <c r="AB22" s="55">
        <f t="shared" si="37"/>
        <v>11.7</v>
      </c>
      <c r="AC22" s="55">
        <f t="shared" si="38"/>
        <v>11</v>
      </c>
      <c r="AD22" s="55">
        <f t="shared" si="39"/>
        <v>4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40</v>
      </c>
      <c r="AL22" s="42">
        <f t="shared" si="44"/>
        <v>3.5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8">
        <f t="shared" si="35"/>
        <v>188.5</v>
      </c>
      <c r="AQ22" s="90" t="s">
        <v>498</v>
      </c>
      <c r="AR22" s="54">
        <v>14</v>
      </c>
      <c r="AS22" s="97">
        <f>AR22/16</f>
        <v>0.875</v>
      </c>
    </row>
    <row r="23" spans="1:45" x14ac:dyDescent="0.25">
      <c r="A23" t="s">
        <v>173</v>
      </c>
      <c r="B23" s="18" t="s">
        <v>195</v>
      </c>
      <c r="C23" s="6"/>
      <c r="D23" s="6" t="s">
        <v>487</v>
      </c>
      <c r="E23" s="6">
        <f t="shared" si="14"/>
        <v>27</v>
      </c>
      <c r="F23" s="6">
        <f t="shared" ca="1" si="15"/>
        <v>-26</v>
      </c>
      <c r="G23" s="55">
        <f t="shared" si="16"/>
        <v>0</v>
      </c>
      <c r="H23" s="55">
        <f t="shared" si="17"/>
        <v>14.1875</v>
      </c>
      <c r="I23" s="55">
        <f t="shared" si="18"/>
        <v>5</v>
      </c>
      <c r="J23" s="55">
        <f t="shared" si="19"/>
        <v>2</v>
      </c>
      <c r="K23" s="55">
        <f t="shared" si="20"/>
        <v>12</v>
      </c>
      <c r="L23" s="55">
        <f t="shared" si="21"/>
        <v>6</v>
      </c>
      <c r="M23" s="55">
        <f t="shared" si="22"/>
        <v>12.5</v>
      </c>
      <c r="N23" s="37">
        <f t="shared" si="23"/>
        <v>0</v>
      </c>
      <c r="O23" s="42">
        <f t="shared" si="24"/>
        <v>0</v>
      </c>
      <c r="P23" s="42">
        <f t="shared" si="25"/>
        <v>82</v>
      </c>
      <c r="Q23" s="42">
        <f t="shared" si="26"/>
        <v>9</v>
      </c>
      <c r="R23" s="42">
        <f t="shared" si="27"/>
        <v>0</v>
      </c>
      <c r="S23" s="42">
        <f t="shared" si="28"/>
        <v>43</v>
      </c>
      <c r="T23" s="42">
        <f t="shared" si="29"/>
        <v>12</v>
      </c>
      <c r="U23" s="42">
        <f t="shared" si="30"/>
        <v>13</v>
      </c>
      <c r="V23" s="358">
        <f t="shared" si="31"/>
        <v>159</v>
      </c>
      <c r="X23" t="s">
        <v>173</v>
      </c>
      <c r="Y23" s="6">
        <f>E23+1</f>
        <v>28</v>
      </c>
      <c r="Z23" s="6">
        <f ca="1">F23+(($AR$22+$AR$23)*7)-112</f>
        <v>65</v>
      </c>
      <c r="AA23" s="55">
        <f t="shared" si="36"/>
        <v>0</v>
      </c>
      <c r="AB23" s="55">
        <f t="shared" si="37"/>
        <v>14.1875</v>
      </c>
      <c r="AC23" s="55">
        <f t="shared" si="38"/>
        <v>5</v>
      </c>
      <c r="AD23" s="55">
        <f t="shared" si="39"/>
        <v>2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82</v>
      </c>
      <c r="AK23" s="42">
        <f t="shared" si="43"/>
        <v>9</v>
      </c>
      <c r="AL23" s="42">
        <f t="shared" si="44"/>
        <v>0</v>
      </c>
      <c r="AM23" s="42">
        <f t="shared" si="45"/>
        <v>57</v>
      </c>
      <c r="AN23" s="42">
        <f t="shared" si="46"/>
        <v>12</v>
      </c>
      <c r="AO23" s="42">
        <f t="shared" si="34"/>
        <v>28</v>
      </c>
      <c r="AP23" s="358">
        <f t="shared" si="35"/>
        <v>188</v>
      </c>
      <c r="AQ23" s="90" t="s">
        <v>200</v>
      </c>
      <c r="AR23" s="54">
        <v>15</v>
      </c>
      <c r="AS23" s="97">
        <f>AR23/16</f>
        <v>0.9375</v>
      </c>
    </row>
    <row r="24" spans="1:45" x14ac:dyDescent="0.25">
      <c r="A24" t="s">
        <v>162</v>
      </c>
      <c r="B24" s="18" t="s">
        <v>195</v>
      </c>
      <c r="C24" s="6" t="s">
        <v>165</v>
      </c>
      <c r="D24" s="6" t="s">
        <v>488</v>
      </c>
      <c r="E24" s="6">
        <f t="shared" si="14"/>
        <v>26</v>
      </c>
      <c r="F24" s="6">
        <f t="shared" ca="1" si="15"/>
        <v>23</v>
      </c>
      <c r="G24" s="55">
        <f t="shared" si="16"/>
        <v>0</v>
      </c>
      <c r="H24" s="55">
        <f t="shared" si="17"/>
        <v>12.909090909090908</v>
      </c>
      <c r="I24" s="55">
        <f t="shared" si="18"/>
        <v>4</v>
      </c>
      <c r="J24" s="55">
        <f t="shared" si="19"/>
        <v>12.5</v>
      </c>
      <c r="K24" s="55">
        <f t="shared" si="20"/>
        <v>7.75</v>
      </c>
      <c r="L24" s="55">
        <f t="shared" si="21"/>
        <v>7</v>
      </c>
      <c r="M24" s="55">
        <f t="shared" si="22"/>
        <v>14</v>
      </c>
      <c r="N24" s="37">
        <f t="shared" si="23"/>
        <v>16606.920000000002</v>
      </c>
      <c r="O24" s="42">
        <f t="shared" si="24"/>
        <v>0</v>
      </c>
      <c r="P24" s="42">
        <f t="shared" si="25"/>
        <v>75</v>
      </c>
      <c r="Q24" s="42">
        <f t="shared" si="26"/>
        <v>6</v>
      </c>
      <c r="R24" s="42">
        <f t="shared" si="27"/>
        <v>39.5</v>
      </c>
      <c r="S24" s="42">
        <f t="shared" si="28"/>
        <v>17</v>
      </c>
      <c r="T24" s="42">
        <f t="shared" si="29"/>
        <v>16</v>
      </c>
      <c r="U24" s="42">
        <f t="shared" si="30"/>
        <v>16</v>
      </c>
      <c r="V24" s="358">
        <f t="shared" si="31"/>
        <v>169.5</v>
      </c>
      <c r="X24" t="s">
        <v>162</v>
      </c>
      <c r="Y24" s="6">
        <f>E24+2</f>
        <v>28</v>
      </c>
      <c r="Z24" s="6">
        <f ca="1">F24+(($AR$22+$AR$23)*7)-112-112</f>
        <v>2</v>
      </c>
      <c r="AA24" s="55">
        <f t="shared" si="36"/>
        <v>0</v>
      </c>
      <c r="AB24" s="55">
        <f t="shared" si="37"/>
        <v>12.909090909090908</v>
      </c>
      <c r="AC24" s="55">
        <f t="shared" si="38"/>
        <v>4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75</v>
      </c>
      <c r="AK24" s="42">
        <f t="shared" si="43"/>
        <v>6</v>
      </c>
      <c r="AL24" s="42">
        <f t="shared" si="44"/>
        <v>39.5</v>
      </c>
      <c r="AM24" s="42">
        <f t="shared" si="45"/>
        <v>31</v>
      </c>
      <c r="AN24" s="42">
        <f t="shared" si="46"/>
        <v>16</v>
      </c>
      <c r="AO24" s="42">
        <f t="shared" si="34"/>
        <v>31</v>
      </c>
      <c r="AP24" s="358">
        <f t="shared" si="35"/>
        <v>198.5</v>
      </c>
      <c r="AQ24" s="90"/>
    </row>
    <row r="25" spans="1:45" x14ac:dyDescent="0.25">
      <c r="A25" t="s">
        <v>170</v>
      </c>
      <c r="B25" s="18" t="s">
        <v>195</v>
      </c>
      <c r="C25" s="6" t="s">
        <v>165</v>
      </c>
      <c r="D25" s="6" t="s">
        <v>489</v>
      </c>
      <c r="E25" s="6">
        <f t="shared" si="14"/>
        <v>26</v>
      </c>
      <c r="F25" s="6">
        <f t="shared" ca="1" si="15"/>
        <v>23</v>
      </c>
      <c r="G25" s="55">
        <f t="shared" si="16"/>
        <v>0</v>
      </c>
      <c r="H25" s="55">
        <f t="shared" si="17"/>
        <v>12</v>
      </c>
      <c r="I25" s="55">
        <f t="shared" si="18"/>
        <v>3</v>
      </c>
      <c r="J25" s="55">
        <f t="shared" si="19"/>
        <v>11.9</v>
      </c>
      <c r="K25" s="55">
        <f t="shared" si="20"/>
        <v>9</v>
      </c>
      <c r="L25" s="55">
        <f t="shared" si="21"/>
        <v>7.25</v>
      </c>
      <c r="M25" s="55">
        <f t="shared" si="22"/>
        <v>14.5</v>
      </c>
      <c r="N25" s="37">
        <f t="shared" si="23"/>
        <v>16606.920000000002</v>
      </c>
      <c r="O25" s="42">
        <f t="shared" si="24"/>
        <v>0</v>
      </c>
      <c r="P25" s="42">
        <f t="shared" si="25"/>
        <v>61</v>
      </c>
      <c r="Q25" s="42">
        <f t="shared" si="26"/>
        <v>3</v>
      </c>
      <c r="R25" s="29">
        <f t="shared" si="27"/>
        <v>40</v>
      </c>
      <c r="S25" s="42">
        <f t="shared" si="28"/>
        <v>23</v>
      </c>
      <c r="T25" s="42">
        <f t="shared" si="29"/>
        <v>17</v>
      </c>
      <c r="U25" s="42">
        <f t="shared" si="30"/>
        <v>17</v>
      </c>
      <c r="V25" s="358">
        <f t="shared" si="31"/>
        <v>161</v>
      </c>
      <c r="X25" t="s">
        <v>170</v>
      </c>
      <c r="Y25" s="6">
        <f>E25+2</f>
        <v>28</v>
      </c>
      <c r="Z25" s="6">
        <f ca="1">F25+(($AR$22+$AR$23)*7)-112-112</f>
        <v>2</v>
      </c>
      <c r="AA25" s="55">
        <f t="shared" si="36"/>
        <v>0</v>
      </c>
      <c r="AB25" s="55">
        <f t="shared" si="37"/>
        <v>12</v>
      </c>
      <c r="AC25" s="55">
        <f t="shared" si="38"/>
        <v>3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61</v>
      </c>
      <c r="AK25" s="42">
        <f t="shared" si="43"/>
        <v>3</v>
      </c>
      <c r="AL25" s="29">
        <f t="shared" si="44"/>
        <v>40</v>
      </c>
      <c r="AM25" s="42">
        <f t="shared" si="45"/>
        <v>37</v>
      </c>
      <c r="AN25" s="42">
        <f t="shared" si="46"/>
        <v>17</v>
      </c>
      <c r="AO25" s="42">
        <f t="shared" si="34"/>
        <v>32</v>
      </c>
      <c r="AP25" s="358">
        <f t="shared" si="35"/>
        <v>190</v>
      </c>
      <c r="AQ25" s="90"/>
    </row>
    <row r="26" spans="1:45" x14ac:dyDescent="0.25">
      <c r="A26" t="s">
        <v>163</v>
      </c>
      <c r="B26" s="18" t="s">
        <v>490</v>
      </c>
      <c r="C26" s="6" t="s">
        <v>168</v>
      </c>
      <c r="D26" s="6" t="str">
        <f>D11</f>
        <v>J. Gräbitz</v>
      </c>
      <c r="E26" s="6">
        <f t="shared" si="14"/>
        <v>25</v>
      </c>
      <c r="F26" s="6">
        <f t="shared" ca="1" si="15"/>
        <v>105</v>
      </c>
      <c r="G26" s="55">
        <f t="shared" si="16"/>
        <v>0</v>
      </c>
      <c r="H26" s="55">
        <f t="shared" si="17"/>
        <v>12.790909090909091</v>
      </c>
      <c r="I26" s="55">
        <f t="shared" si="18"/>
        <v>9</v>
      </c>
      <c r="J26" s="55">
        <f t="shared" si="19"/>
        <v>4</v>
      </c>
      <c r="K26" s="55">
        <f t="shared" si="20"/>
        <v>8.6666666666666661</v>
      </c>
      <c r="L26" s="55">
        <f t="shared" si="21"/>
        <v>4</v>
      </c>
      <c r="M26" s="55">
        <f t="shared" si="22"/>
        <v>20</v>
      </c>
      <c r="N26" s="37">
        <f t="shared" si="23"/>
        <v>13548</v>
      </c>
      <c r="O26" s="42">
        <f t="shared" si="24"/>
        <v>0</v>
      </c>
      <c r="P26" s="42">
        <f t="shared" si="25"/>
        <v>61.5</v>
      </c>
      <c r="Q26" s="42">
        <f t="shared" si="26"/>
        <v>26</v>
      </c>
      <c r="R26" s="42">
        <f t="shared" si="27"/>
        <v>3.5</v>
      </c>
      <c r="S26" s="42">
        <f t="shared" si="28"/>
        <v>22</v>
      </c>
      <c r="T26" s="42">
        <f t="shared" si="29"/>
        <v>5</v>
      </c>
      <c r="U26" s="42">
        <f t="shared" si="30"/>
        <v>38</v>
      </c>
      <c r="V26" s="358">
        <f t="shared" si="31"/>
        <v>156</v>
      </c>
      <c r="X26" t="s">
        <v>163</v>
      </c>
      <c r="Y26" s="6">
        <f>E26+2</f>
        <v>27</v>
      </c>
      <c r="Z26" s="6">
        <f ca="1">F26+(($AR$22+$AR$23)*7)-112-112</f>
        <v>84</v>
      </c>
      <c r="AA26" s="55">
        <f t="shared" si="36"/>
        <v>0</v>
      </c>
      <c r="AB26" s="55">
        <f t="shared" si="37"/>
        <v>12.790909090909091</v>
      </c>
      <c r="AC26" s="55">
        <f t="shared" si="38"/>
        <v>9</v>
      </c>
      <c r="AD26" s="55">
        <f t="shared" si="39"/>
        <v>4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61.5</v>
      </c>
      <c r="AK26" s="42">
        <f t="shared" si="43"/>
        <v>26</v>
      </c>
      <c r="AL26" s="42">
        <f t="shared" si="44"/>
        <v>3.5</v>
      </c>
      <c r="AM26" s="42">
        <f t="shared" si="45"/>
        <v>36</v>
      </c>
      <c r="AN26" s="42">
        <f t="shared" si="46"/>
        <v>5</v>
      </c>
      <c r="AO26" s="42">
        <f>U26+AR23</f>
        <v>53</v>
      </c>
      <c r="AP26" s="358">
        <f t="shared" si="35"/>
        <v>185</v>
      </c>
    </row>
    <row r="27" spans="1:45" x14ac:dyDescent="0.25">
      <c r="A27" t="s">
        <v>492</v>
      </c>
      <c r="B27" s="18" t="s">
        <v>490</v>
      </c>
      <c r="C27" s="6" t="s">
        <v>499</v>
      </c>
      <c r="D27" s="6" t="s">
        <v>500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8">
        <f t="shared" si="31"/>
        <v>126</v>
      </c>
      <c r="X27" t="s">
        <v>492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8">
        <f t="shared" si="35"/>
        <v>155</v>
      </c>
    </row>
    <row r="28" spans="1:45" x14ac:dyDescent="0.25">
      <c r="A28" t="s">
        <v>171</v>
      </c>
      <c r="B28" s="18" t="s">
        <v>493</v>
      </c>
      <c r="C28" s="6" t="s">
        <v>168</v>
      </c>
      <c r="D28" s="6" t="s">
        <v>494</v>
      </c>
      <c r="E28" s="6">
        <f t="shared" ref="E28:F30" si="47">Y13</f>
        <v>26</v>
      </c>
      <c r="F28" s="6">
        <f t="shared" ca="1" si="47"/>
        <v>19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5.7</v>
      </c>
      <c r="J28" s="55">
        <f t="shared" si="48"/>
        <v>14</v>
      </c>
      <c r="K28" s="55">
        <f t="shared" si="48"/>
        <v>9</v>
      </c>
      <c r="L28" s="55">
        <f t="shared" si="48"/>
        <v>7.5</v>
      </c>
      <c r="M28" s="55">
        <f t="shared" si="48"/>
        <v>15</v>
      </c>
      <c r="N28" s="37">
        <f t="shared" si="48"/>
        <v>13619.48</v>
      </c>
      <c r="O28" s="42">
        <f>AI13</f>
        <v>0</v>
      </c>
      <c r="P28" s="42">
        <f t="shared" ref="P28:U30" si="49">AJ13</f>
        <v>51</v>
      </c>
      <c r="Q28" s="42">
        <f t="shared" si="49"/>
        <v>10.5</v>
      </c>
      <c r="R28" s="42">
        <f t="shared" si="49"/>
        <v>52.5</v>
      </c>
      <c r="S28" s="42">
        <f t="shared" si="49"/>
        <v>23</v>
      </c>
      <c r="T28" s="42">
        <f t="shared" si="49"/>
        <v>18</v>
      </c>
      <c r="U28" s="42">
        <f t="shared" si="49"/>
        <v>18</v>
      </c>
      <c r="V28" s="358">
        <f t="shared" si="31"/>
        <v>173</v>
      </c>
      <c r="X28" t="s">
        <v>171</v>
      </c>
      <c r="Y28" s="6">
        <f>E28+2</f>
        <v>28</v>
      </c>
      <c r="Z28" s="6">
        <f ca="1">F28+(($AR$22+$AR$23)*7)-112-112</f>
        <v>-2</v>
      </c>
      <c r="AA28" s="55">
        <f t="shared" si="36"/>
        <v>0</v>
      </c>
      <c r="AB28" s="55">
        <f t="shared" si="37"/>
        <v>10.666666666666666</v>
      </c>
      <c r="AC28" s="55">
        <f t="shared" si="38"/>
        <v>5.7</v>
      </c>
      <c r="AD28" s="55">
        <f t="shared" si="39"/>
        <v>14</v>
      </c>
      <c r="AE28" s="55">
        <f>9+1/7</f>
        <v>9.1428571428571423</v>
      </c>
      <c r="AF28" s="55">
        <f t="shared" si="40"/>
        <v>7.5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51</v>
      </c>
      <c r="AK28" s="42">
        <f t="shared" si="43"/>
        <v>10.5</v>
      </c>
      <c r="AL28" s="42">
        <f t="shared" si="44"/>
        <v>52.5</v>
      </c>
      <c r="AM28" s="42">
        <f t="shared" si="45"/>
        <v>37</v>
      </c>
      <c r="AN28" s="42">
        <f t="shared" si="46"/>
        <v>18</v>
      </c>
      <c r="AO28" s="42">
        <f>U28+$AR$23</f>
        <v>33</v>
      </c>
      <c r="AP28" s="358">
        <f t="shared" si="35"/>
        <v>202</v>
      </c>
    </row>
    <row r="29" spans="1:45" x14ac:dyDescent="0.25">
      <c r="A29" t="s">
        <v>495</v>
      </c>
      <c r="B29" s="18" t="s">
        <v>493</v>
      </c>
      <c r="C29" s="6" t="s">
        <v>168</v>
      </c>
      <c r="D29" s="6" t="s">
        <v>496</v>
      </c>
      <c r="E29" s="6">
        <f t="shared" si="47"/>
        <v>26</v>
      </c>
      <c r="F29" s="6">
        <f t="shared" ca="1" si="47"/>
        <v>-16</v>
      </c>
      <c r="G29" s="55">
        <f>AA14</f>
        <v>0</v>
      </c>
      <c r="H29" s="55">
        <f t="shared" si="48"/>
        <v>12.181818181818182</v>
      </c>
      <c r="I29" s="55">
        <f t="shared" si="48"/>
        <v>3</v>
      </c>
      <c r="J29" s="55">
        <f t="shared" si="48"/>
        <v>12.833333333333334</v>
      </c>
      <c r="K29" s="55">
        <f t="shared" si="48"/>
        <v>9.6666666666666661</v>
      </c>
      <c r="L29" s="55">
        <f t="shared" si="48"/>
        <v>7</v>
      </c>
      <c r="M29" s="55">
        <f t="shared" si="48"/>
        <v>14.5</v>
      </c>
      <c r="N29" s="37">
        <f t="shared" si="48"/>
        <v>11172.48</v>
      </c>
      <c r="O29" s="42">
        <f>AI14</f>
        <v>0</v>
      </c>
      <c r="P29" s="42">
        <f t="shared" si="49"/>
        <v>67</v>
      </c>
      <c r="Q29" s="42">
        <f t="shared" si="49"/>
        <v>3</v>
      </c>
      <c r="R29" s="42">
        <f t="shared" si="49"/>
        <v>44.5</v>
      </c>
      <c r="S29" s="42">
        <f t="shared" si="49"/>
        <v>25</v>
      </c>
      <c r="T29" s="42">
        <f t="shared" si="49"/>
        <v>16</v>
      </c>
      <c r="U29" s="42">
        <f t="shared" si="49"/>
        <v>17</v>
      </c>
      <c r="V29" s="358">
        <f t="shared" si="31"/>
        <v>172.5</v>
      </c>
      <c r="X29" t="s">
        <v>495</v>
      </c>
      <c r="Y29" s="6">
        <f>E29+1</f>
        <v>27</v>
      </c>
      <c r="Z29" s="6">
        <f ca="1">F29+(($AR$22+$AR$23)*7)-112</f>
        <v>75</v>
      </c>
      <c r="AA29" s="55">
        <f t="shared" si="36"/>
        <v>0</v>
      </c>
      <c r="AB29" s="55">
        <f t="shared" si="37"/>
        <v>12.181818181818182</v>
      </c>
      <c r="AC29" s="55">
        <f t="shared" si="38"/>
        <v>3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67</v>
      </c>
      <c r="AK29" s="42">
        <f t="shared" si="43"/>
        <v>3</v>
      </c>
      <c r="AL29" s="42">
        <f t="shared" si="44"/>
        <v>44.5</v>
      </c>
      <c r="AM29" s="42">
        <f t="shared" si="45"/>
        <v>39</v>
      </c>
      <c r="AN29" s="42">
        <f t="shared" si="46"/>
        <v>16</v>
      </c>
      <c r="AO29" s="42">
        <f>U29+$AR$23</f>
        <v>32</v>
      </c>
      <c r="AP29" s="358">
        <f t="shared" si="35"/>
        <v>201.5</v>
      </c>
    </row>
    <row r="30" spans="1:45" x14ac:dyDescent="0.25">
      <c r="A30" t="s">
        <v>159</v>
      </c>
      <c r="B30" s="18" t="s">
        <v>493</v>
      </c>
      <c r="C30" s="6" t="s">
        <v>165</v>
      </c>
      <c r="D30" s="6" t="s">
        <v>497</v>
      </c>
      <c r="E30" s="6">
        <f t="shared" si="47"/>
        <v>26</v>
      </c>
      <c r="F30" s="6">
        <f t="shared" ca="1" si="47"/>
        <v>19</v>
      </c>
      <c r="G30" s="55">
        <f>AA15</f>
        <v>0</v>
      </c>
      <c r="H30" s="55">
        <f t="shared" si="48"/>
        <v>11.1</v>
      </c>
      <c r="I30" s="55">
        <f t="shared" si="48"/>
        <v>5</v>
      </c>
      <c r="J30" s="55">
        <f t="shared" si="48"/>
        <v>13.333333333333334</v>
      </c>
      <c r="K30" s="55">
        <f t="shared" si="48"/>
        <v>8</v>
      </c>
      <c r="L30" s="55">
        <f t="shared" si="48"/>
        <v>8</v>
      </c>
      <c r="M30" s="55">
        <f t="shared" si="48"/>
        <v>14</v>
      </c>
      <c r="N30" s="37">
        <f t="shared" si="48"/>
        <v>13682.24</v>
      </c>
      <c r="O30" s="42">
        <f>AI15</f>
        <v>0</v>
      </c>
      <c r="P30" s="42">
        <f t="shared" si="49"/>
        <v>54</v>
      </c>
      <c r="Q30" s="42">
        <f t="shared" si="49"/>
        <v>9</v>
      </c>
      <c r="R30" s="42">
        <f t="shared" si="49"/>
        <v>45.5</v>
      </c>
      <c r="S30" s="42">
        <f t="shared" si="49"/>
        <v>18</v>
      </c>
      <c r="T30" s="42">
        <f t="shared" si="49"/>
        <v>21</v>
      </c>
      <c r="U30" s="42">
        <f t="shared" si="49"/>
        <v>16</v>
      </c>
      <c r="V30" s="358">
        <f t="shared" si="31"/>
        <v>163.5</v>
      </c>
      <c r="X30" t="s">
        <v>159</v>
      </c>
      <c r="Y30" s="6">
        <f>E30+2</f>
        <v>28</v>
      </c>
      <c r="Z30" s="6">
        <f ca="1">F30+(($AR$22+$AR$23)*7)-112-112</f>
        <v>-2</v>
      </c>
      <c r="AA30" s="55">
        <f t="shared" si="36"/>
        <v>0</v>
      </c>
      <c r="AB30" s="55">
        <f t="shared" si="37"/>
        <v>11.1</v>
      </c>
      <c r="AC30" s="55">
        <f t="shared" si="38"/>
        <v>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54</v>
      </c>
      <c r="AK30" s="42">
        <f t="shared" si="43"/>
        <v>9</v>
      </c>
      <c r="AL30" s="42">
        <f t="shared" si="44"/>
        <v>45.5</v>
      </c>
      <c r="AM30" s="42">
        <f t="shared" si="45"/>
        <v>32</v>
      </c>
      <c r="AN30" s="42">
        <f t="shared" si="46"/>
        <v>21</v>
      </c>
      <c r="AO30" s="42">
        <f>U30+$AR$23</f>
        <v>31</v>
      </c>
      <c r="AP30" s="358">
        <f t="shared" si="35"/>
        <v>192.5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zoomScale="80" workbookViewId="0">
      <pane xSplit="13" ySplit="1" topLeftCell="N2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463" t="s">
        <v>501</v>
      </c>
      <c r="E1" s="464"/>
      <c r="F1" s="464"/>
      <c r="G1" s="464"/>
      <c r="H1" s="464"/>
      <c r="I1" s="465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466" t="s">
        <v>502</v>
      </c>
      <c r="E2" s="467"/>
      <c r="F2" s="468"/>
      <c r="G2" s="468"/>
      <c r="H2" s="468"/>
      <c r="I2" s="469"/>
      <c r="K2" s="43"/>
      <c r="L2" s="43"/>
      <c r="M2" s="43" t="s">
        <v>503</v>
      </c>
      <c r="N2" s="408" t="s">
        <v>504</v>
      </c>
      <c r="O2" s="242" t="s">
        <v>505</v>
      </c>
      <c r="P2" s="242" t="s">
        <v>506</v>
      </c>
      <c r="Q2" s="242" t="s">
        <v>507</v>
      </c>
      <c r="R2" s="242" t="s">
        <v>508</v>
      </c>
      <c r="S2" s="242" t="s">
        <v>509</v>
      </c>
      <c r="T2" s="242" t="s">
        <v>510</v>
      </c>
      <c r="U2" s="242" t="s">
        <v>511</v>
      </c>
      <c r="V2" s="242" t="s">
        <v>512</v>
      </c>
      <c r="W2" s="242" t="s">
        <v>513</v>
      </c>
      <c r="X2" s="242" t="s">
        <v>514</v>
      </c>
      <c r="Y2" s="242" t="s">
        <v>515</v>
      </c>
      <c r="Z2" s="242" t="s">
        <v>516</v>
      </c>
      <c r="AA2" s="242" t="s">
        <v>517</v>
      </c>
      <c r="AB2" s="242" t="s">
        <v>518</v>
      </c>
      <c r="AC2" s="242" t="s">
        <v>519</v>
      </c>
    </row>
    <row r="3" spans="1:37" ht="18.75" x14ac:dyDescent="0.3">
      <c r="A3" s="41"/>
      <c r="B3" s="41"/>
      <c r="C3" s="41"/>
      <c r="D3" s="470" t="s">
        <v>520</v>
      </c>
      <c r="E3" s="471"/>
      <c r="F3" s="243"/>
      <c r="G3" s="472" t="s">
        <v>521</v>
      </c>
      <c r="H3" s="473"/>
      <c r="I3" s="244"/>
      <c r="K3" s="41"/>
      <c r="L3" s="90"/>
      <c r="M3" s="90" t="s">
        <v>522</v>
      </c>
      <c r="N3" s="409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523</v>
      </c>
      <c r="L4" s="252"/>
      <c r="M4" s="253">
        <f>AD43-AD52</f>
        <v>11299694</v>
      </c>
      <c r="N4" s="416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524</v>
      </c>
      <c r="E5" s="256">
        <f>SUM(E6:E8)</f>
        <v>6219750</v>
      </c>
      <c r="F5" s="257">
        <f>E5/E35</f>
        <v>8.619008603164563E-2</v>
      </c>
      <c r="G5" s="247" t="s">
        <v>525</v>
      </c>
      <c r="H5" s="258">
        <f>H6+H7</f>
        <v>66666908</v>
      </c>
      <c r="I5" s="259">
        <f>H5/$H$74</f>
        <v>0.80764388557843592</v>
      </c>
      <c r="K5" s="260" t="s">
        <v>526</v>
      </c>
      <c r="L5" s="260"/>
      <c r="M5" s="261">
        <f>AD65</f>
        <v>10158019</v>
      </c>
      <c r="N5" s="416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527</v>
      </c>
      <c r="E6" s="266">
        <f>2231620+305380</f>
        <v>2537000</v>
      </c>
      <c r="F6" s="58">
        <f>E6/E35</f>
        <v>3.5156436876447601E-2</v>
      </c>
      <c r="G6" s="267" t="s">
        <v>528</v>
      </c>
      <c r="H6" s="268">
        <v>300000</v>
      </c>
      <c r="I6" s="269">
        <f>H6/$H$74</f>
        <v>3.6343843286316918E-3</v>
      </c>
      <c r="K6" s="270" t="s">
        <v>529</v>
      </c>
      <c r="L6" s="270" t="s">
        <v>529</v>
      </c>
      <c r="M6" s="271">
        <f t="shared" ref="M6:M25" si="6">SUM(N6:AC6)</f>
        <v>3474771</v>
      </c>
      <c r="N6" s="410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395</v>
      </c>
      <c r="E7" s="266">
        <f>102000+300+2105000+1475000+450</f>
        <v>3682750</v>
      </c>
      <c r="F7" s="58">
        <f>E7/E35</f>
        <v>5.1033649155198028E-2</v>
      </c>
      <c r="G7" s="267" t="s">
        <v>530</v>
      </c>
      <c r="H7" s="268">
        <f>63754290+151930+937650+1523038</f>
        <v>66366908</v>
      </c>
      <c r="I7" s="269">
        <f>H7/$H$74</f>
        <v>0.80400950124980419</v>
      </c>
      <c r="K7" s="270" t="s">
        <v>531</v>
      </c>
      <c r="L7" s="270" t="s">
        <v>531</v>
      </c>
      <c r="M7" s="271">
        <f t="shared" si="6"/>
        <v>1922890.9652345022</v>
      </c>
      <c r="N7" s="411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532</v>
      </c>
      <c r="E8" s="275">
        <v>0</v>
      </c>
      <c r="F8" s="58">
        <f>E8/E35</f>
        <v>0</v>
      </c>
      <c r="G8" s="276"/>
      <c r="H8" s="277"/>
      <c r="I8" s="259"/>
      <c r="K8" s="270" t="s">
        <v>533</v>
      </c>
      <c r="L8" s="270" t="s">
        <v>534</v>
      </c>
      <c r="M8" s="271">
        <f t="shared" si="6"/>
        <v>0</v>
      </c>
      <c r="N8" s="410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535</v>
      </c>
      <c r="M9" s="271">
        <f t="shared" si="6"/>
        <v>0</v>
      </c>
      <c r="N9" s="410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536</v>
      </c>
      <c r="E10" s="256">
        <f>E11+E12+E13</f>
        <v>3299694</v>
      </c>
      <c r="F10" s="257">
        <f>E10/E35</f>
        <v>4.5725456768858058E-2</v>
      </c>
      <c r="G10" s="247" t="s">
        <v>537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538</v>
      </c>
      <c r="L10" s="270" t="s">
        <v>538</v>
      </c>
      <c r="M10" s="271">
        <f t="shared" si="6"/>
        <v>32000</v>
      </c>
      <c r="N10" s="411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539</v>
      </c>
      <c r="E11" s="280">
        <f>N4</f>
        <v>11299694</v>
      </c>
      <c r="F11" s="58">
        <f>E11/E35</f>
        <v>0.15658532866936292</v>
      </c>
      <c r="G11" s="281" t="s">
        <v>540</v>
      </c>
      <c r="H11" s="282">
        <v>0</v>
      </c>
      <c r="I11" s="269">
        <f t="shared" si="7"/>
        <v>0</v>
      </c>
      <c r="K11" s="474" t="s">
        <v>541</v>
      </c>
      <c r="L11" s="270" t="s">
        <v>542</v>
      </c>
      <c r="M11" s="271">
        <f t="shared" si="6"/>
        <v>66602</v>
      </c>
      <c r="N11" s="411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543</v>
      </c>
      <c r="H12" s="282">
        <v>0</v>
      </c>
      <c r="I12" s="269">
        <f t="shared" si="7"/>
        <v>0</v>
      </c>
      <c r="K12" s="475"/>
      <c r="L12" s="270" t="s">
        <v>544</v>
      </c>
      <c r="M12" s="271">
        <f t="shared" si="6"/>
        <v>0</v>
      </c>
      <c r="N12" s="411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545</v>
      </c>
      <c r="H13" s="282">
        <v>0</v>
      </c>
      <c r="I13" s="269">
        <f t="shared" si="7"/>
        <v>0</v>
      </c>
      <c r="J13" s="284"/>
      <c r="K13" s="476"/>
      <c r="L13" s="270" t="s">
        <v>546</v>
      </c>
      <c r="M13" s="271">
        <f t="shared" si="6"/>
        <v>8000000</v>
      </c>
      <c r="N13" s="411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547</v>
      </c>
      <c r="H14" s="282">
        <v>0</v>
      </c>
      <c r="I14" s="269">
        <f t="shared" si="7"/>
        <v>0</v>
      </c>
      <c r="K14" s="287" t="s">
        <v>548</v>
      </c>
      <c r="L14" s="288"/>
      <c r="M14" s="289">
        <f t="shared" si="6"/>
        <v>13496263.965234503</v>
      </c>
      <c r="N14" s="412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477">
        <f>M14</f>
        <v>13496263.965234503</v>
      </c>
      <c r="B15" s="477"/>
      <c r="D15" s="247" t="s">
        <v>549</v>
      </c>
      <c r="E15" s="256">
        <f>SUM(E16:E19)</f>
        <v>38989445</v>
      </c>
      <c r="F15" s="257">
        <f>E15/E35</f>
        <v>0.5402956097714724</v>
      </c>
      <c r="G15" s="281" t="s">
        <v>550</v>
      </c>
      <c r="H15" s="282">
        <v>0</v>
      </c>
      <c r="I15" s="269">
        <f t="shared" si="7"/>
        <v>0</v>
      </c>
      <c r="K15" s="291" t="s">
        <v>387</v>
      </c>
      <c r="L15" s="292" t="str">
        <f>K15</f>
        <v>Sueldos</v>
      </c>
      <c r="M15" s="293">
        <f t="shared" si="6"/>
        <v>3934400</v>
      </c>
      <c r="N15" s="413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551</v>
      </c>
      <c r="E16" s="280">
        <f>E55</f>
        <v>0</v>
      </c>
      <c r="F16" s="58">
        <f>E16/E35</f>
        <v>0</v>
      </c>
      <c r="G16" s="295" t="s">
        <v>552</v>
      </c>
      <c r="H16" s="296">
        <f>E29-H26</f>
        <v>-364536.03476549778</v>
      </c>
      <c r="I16" s="269">
        <f t="shared" si="7"/>
        <v>-4.4162135065775425E-3</v>
      </c>
      <c r="K16" s="291" t="s">
        <v>553</v>
      </c>
      <c r="L16" s="292" t="str">
        <f>K16</f>
        <v xml:space="preserve">Mantenimiento </v>
      </c>
      <c r="M16" s="293">
        <f t="shared" si="6"/>
        <v>465920</v>
      </c>
      <c r="N16" s="413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549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554</v>
      </c>
      <c r="L17" s="292" t="s">
        <v>527</v>
      </c>
      <c r="M17" s="293">
        <f t="shared" si="6"/>
        <v>0</v>
      </c>
      <c r="N17" s="413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555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556</v>
      </c>
      <c r="H18" s="298">
        <f>H19</f>
        <v>0</v>
      </c>
      <c r="I18" s="259">
        <f>H18/$H$74</f>
        <v>0</v>
      </c>
      <c r="K18" s="291" t="s">
        <v>557</v>
      </c>
      <c r="L18" s="292" t="str">
        <f>K18</f>
        <v>Empleados</v>
      </c>
      <c r="M18" s="293">
        <f t="shared" si="6"/>
        <v>1044480</v>
      </c>
      <c r="N18" s="413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558</v>
      </c>
      <c r="E19" s="280">
        <v>0</v>
      </c>
      <c r="F19" s="58">
        <f>E19/E35</f>
        <v>0</v>
      </c>
      <c r="G19" s="299" t="s">
        <v>559</v>
      </c>
      <c r="H19" s="300">
        <f>M20</f>
        <v>0</v>
      </c>
      <c r="I19" s="269">
        <f>H19/$H$74</f>
        <v>0</v>
      </c>
      <c r="K19" s="291" t="s">
        <v>560</v>
      </c>
      <c r="L19" s="292" t="str">
        <f>K19</f>
        <v>Juveniles</v>
      </c>
      <c r="M19" s="293">
        <f t="shared" si="6"/>
        <v>320000</v>
      </c>
      <c r="N19" s="413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561</v>
      </c>
      <c r="L20" s="292" t="s">
        <v>559</v>
      </c>
      <c r="M20" s="293">
        <f t="shared" si="6"/>
        <v>0</v>
      </c>
      <c r="N20" s="413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534</v>
      </c>
      <c r="E21" s="301">
        <f>E22</f>
        <v>0</v>
      </c>
      <c r="F21" s="257">
        <f>E21/E35</f>
        <v>0</v>
      </c>
      <c r="G21" s="276"/>
      <c r="H21" s="277"/>
      <c r="I21" s="269"/>
      <c r="K21" s="478" t="s">
        <v>541</v>
      </c>
      <c r="L21" s="292" t="s">
        <v>395</v>
      </c>
      <c r="M21" s="293">
        <f t="shared" si="6"/>
        <v>0</v>
      </c>
      <c r="N21" s="413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534</v>
      </c>
      <c r="E22" s="280">
        <f>M8+M9</f>
        <v>0</v>
      </c>
      <c r="F22" s="58">
        <f>E22/E35</f>
        <v>0</v>
      </c>
      <c r="G22" s="247" t="s">
        <v>562</v>
      </c>
      <c r="H22" s="258">
        <f>SUM(H23:H24)</f>
        <v>0</v>
      </c>
      <c r="I22" s="259">
        <f>H22/$H$74</f>
        <v>0</v>
      </c>
      <c r="K22" s="479"/>
      <c r="L22" s="292" t="s">
        <v>563</v>
      </c>
      <c r="M22" s="293">
        <f t="shared" si="6"/>
        <v>96000</v>
      </c>
      <c r="N22" s="413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527</v>
      </c>
      <c r="H23" s="303">
        <f>M17</f>
        <v>0</v>
      </c>
      <c r="I23" s="269">
        <f>H23/$H$74</f>
        <v>0</v>
      </c>
      <c r="K23" s="480"/>
      <c r="L23" s="292" t="s">
        <v>564</v>
      </c>
      <c r="M23" s="293">
        <f t="shared" si="6"/>
        <v>0</v>
      </c>
      <c r="N23" s="413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565</v>
      </c>
      <c r="E24" s="256">
        <f>E25+E26-E27</f>
        <v>18158019</v>
      </c>
      <c r="F24" s="257">
        <f>E24/E35</f>
        <v>0.25162445753836665</v>
      </c>
      <c r="G24" s="299" t="s">
        <v>395</v>
      </c>
      <c r="H24" s="303">
        <f>M21</f>
        <v>0</v>
      </c>
      <c r="I24" s="269">
        <f>H24/$H$74</f>
        <v>0</v>
      </c>
      <c r="K24" s="291" t="s">
        <v>566</v>
      </c>
      <c r="L24" s="292" t="str">
        <f>K24</f>
        <v>Intereses</v>
      </c>
      <c r="M24" s="293">
        <f t="shared" si="6"/>
        <v>0</v>
      </c>
      <c r="N24" s="413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567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568</v>
      </c>
      <c r="L25" s="308"/>
      <c r="M25" s="309">
        <f t="shared" si="6"/>
        <v>5860800</v>
      </c>
      <c r="N25" s="414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569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570</v>
      </c>
      <c r="L26" s="311"/>
      <c r="M26" s="262">
        <f t="shared" ref="M26:AC26" si="23">M5+M14-M25</f>
        <v>17793482.965234503</v>
      </c>
      <c r="N26" s="416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571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5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553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572</v>
      </c>
      <c r="E29" s="256">
        <f>SUM(E30:E34)</f>
        <v>5496263.9652345022</v>
      </c>
      <c r="F29" s="257">
        <f>E29/E35</f>
        <v>7.6164389889657222E-2</v>
      </c>
      <c r="G29" s="299" t="s">
        <v>557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549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522</v>
      </c>
      <c r="E30" s="306">
        <f>M11</f>
        <v>66602</v>
      </c>
      <c r="F30" s="58">
        <f>E30/E35</f>
        <v>9.2293614853967802E-4</v>
      </c>
      <c r="G30" s="299" t="s">
        <v>560</v>
      </c>
      <c r="H30" s="303">
        <f>M19</f>
        <v>320000</v>
      </c>
      <c r="I30" s="269">
        <f t="shared" si="22"/>
        <v>3.8766766172071382E-3</v>
      </c>
      <c r="K30" s="41"/>
      <c r="L30" s="481" t="s">
        <v>573</v>
      </c>
      <c r="M30" s="319" t="s">
        <v>127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544</v>
      </c>
      <c r="E31" s="306">
        <f>M12</f>
        <v>0</v>
      </c>
      <c r="F31" s="58">
        <f>E31/E35</f>
        <v>0</v>
      </c>
      <c r="G31" s="299" t="s">
        <v>563</v>
      </c>
      <c r="H31" s="303">
        <f>M22</f>
        <v>96000</v>
      </c>
      <c r="I31" s="269">
        <f t="shared" si="22"/>
        <v>1.1630029851621413E-3</v>
      </c>
      <c r="K31" s="41"/>
      <c r="L31" s="481"/>
      <c r="M31" s="319" t="s">
        <v>472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529</v>
      </c>
      <c r="E32" s="306">
        <f>M6</f>
        <v>3474771</v>
      </c>
      <c r="F32" s="58">
        <f>E32/E35</f>
        <v>4.8151583492948645E-2</v>
      </c>
      <c r="G32" s="299" t="s">
        <v>566</v>
      </c>
      <c r="H32" s="303">
        <f>M24</f>
        <v>0</v>
      </c>
      <c r="I32" s="269">
        <f t="shared" si="22"/>
        <v>0</v>
      </c>
      <c r="K32" s="41"/>
      <c r="L32" s="481"/>
      <c r="M32" s="319" t="s">
        <v>388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531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481"/>
      <c r="M33" s="319" t="s">
        <v>389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538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481"/>
      <c r="M34" s="319" t="s">
        <v>393</v>
      </c>
      <c r="N34" s="327" t="s">
        <v>574</v>
      </c>
      <c r="O34" s="327" t="s">
        <v>575</v>
      </c>
      <c r="P34" s="327" t="s">
        <v>576</v>
      </c>
      <c r="Q34" s="327" t="s">
        <v>577</v>
      </c>
      <c r="R34" s="327" t="s">
        <v>578</v>
      </c>
      <c r="S34" s="327" t="s">
        <v>579</v>
      </c>
      <c r="T34" s="327"/>
      <c r="U34" s="327"/>
      <c r="V34" s="327" t="s">
        <v>580</v>
      </c>
      <c r="W34" s="327" t="s">
        <v>581</v>
      </c>
      <c r="X34" s="327" t="s">
        <v>582</v>
      </c>
      <c r="Y34" s="327" t="s">
        <v>575</v>
      </c>
      <c r="Z34" s="327"/>
      <c r="AA34" s="327" t="s">
        <v>578</v>
      </c>
      <c r="AB34" s="327" t="s">
        <v>583</v>
      </c>
      <c r="AC34" s="327" t="s">
        <v>584</v>
      </c>
    </row>
    <row r="35" spans="1:33" ht="18.75" x14ac:dyDescent="0.3">
      <c r="A35" s="482">
        <f>M25</f>
        <v>5860800</v>
      </c>
      <c r="B35" s="482"/>
      <c r="D35" s="328" t="s">
        <v>585</v>
      </c>
      <c r="E35" s="329">
        <f>E29+E21+E15+E5+E10+E24</f>
        <v>72163171.965234503</v>
      </c>
      <c r="F35" s="330">
        <f>F29+F21+F15+F5+F10+F24</f>
        <v>1</v>
      </c>
      <c r="G35" s="328" t="s">
        <v>585</v>
      </c>
      <c r="H35" s="329">
        <f>H26+H18+H10+H5+H22</f>
        <v>72163171.965234503</v>
      </c>
      <c r="I35" s="331">
        <f>H35/$H$74</f>
        <v>0.87422900431600714</v>
      </c>
      <c r="K35" s="41"/>
      <c r="L35" s="481"/>
      <c r="M35" s="319" t="s">
        <v>586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481"/>
      <c r="M36" s="319" t="s">
        <v>390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481"/>
      <c r="M37" s="319" t="s">
        <v>587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588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483"/>
      <c r="Q39" s="483"/>
      <c r="R39" s="483"/>
      <c r="S39" s="483"/>
    </row>
    <row r="40" spans="1:33" ht="21" x14ac:dyDescent="0.35">
      <c r="A40" s="417"/>
      <c r="B40" s="417"/>
      <c r="C40" s="417"/>
      <c r="D40" s="463" t="s">
        <v>589</v>
      </c>
      <c r="E40" s="464"/>
      <c r="F40" s="464"/>
      <c r="G40" s="464"/>
      <c r="H40" s="464"/>
      <c r="I40" s="465"/>
      <c r="J40" s="418"/>
      <c r="K40" s="417"/>
      <c r="L40" s="417"/>
      <c r="M40" s="417"/>
      <c r="N40" s="419">
        <v>43637</v>
      </c>
      <c r="O40" s="419">
        <f t="shared" ref="O40:AD40" si="27">N40+7</f>
        <v>43644</v>
      </c>
      <c r="P40" s="419">
        <f t="shared" si="27"/>
        <v>43651</v>
      </c>
      <c r="Q40" s="419">
        <f t="shared" si="27"/>
        <v>43658</v>
      </c>
      <c r="R40" s="419">
        <f t="shared" si="27"/>
        <v>43665</v>
      </c>
      <c r="S40" s="419">
        <f t="shared" si="27"/>
        <v>43672</v>
      </c>
      <c r="T40" s="419">
        <f t="shared" si="27"/>
        <v>43679</v>
      </c>
      <c r="U40" s="419">
        <f t="shared" si="27"/>
        <v>43686</v>
      </c>
      <c r="V40" s="419">
        <f t="shared" si="27"/>
        <v>43693</v>
      </c>
      <c r="W40" s="419">
        <f t="shared" si="27"/>
        <v>43700</v>
      </c>
      <c r="X40" s="419">
        <f t="shared" si="27"/>
        <v>43707</v>
      </c>
      <c r="Y40" s="419">
        <f t="shared" si="27"/>
        <v>43714</v>
      </c>
      <c r="Z40" s="419">
        <f t="shared" si="27"/>
        <v>43721</v>
      </c>
      <c r="AA40" s="419">
        <f t="shared" si="27"/>
        <v>43728</v>
      </c>
      <c r="AB40" s="419">
        <f t="shared" si="27"/>
        <v>43735</v>
      </c>
      <c r="AC40" s="419">
        <f t="shared" si="27"/>
        <v>43742</v>
      </c>
      <c r="AD40" s="420">
        <f t="shared" si="27"/>
        <v>43749</v>
      </c>
      <c r="AE40" s="418"/>
    </row>
    <row r="41" spans="1:33" x14ac:dyDescent="0.25">
      <c r="A41" s="43"/>
      <c r="B41" s="43"/>
      <c r="C41" s="43"/>
      <c r="D41" s="466" t="s">
        <v>502</v>
      </c>
      <c r="E41" s="467"/>
      <c r="F41" s="468"/>
      <c r="G41" s="468"/>
      <c r="H41" s="468"/>
      <c r="I41" s="469"/>
      <c r="K41" s="43"/>
      <c r="L41" s="43"/>
      <c r="M41" s="43" t="s">
        <v>503</v>
      </c>
      <c r="N41" s="242" t="s">
        <v>519</v>
      </c>
      <c r="O41" s="242" t="s">
        <v>504</v>
      </c>
      <c r="P41" s="242" t="s">
        <v>505</v>
      </c>
      <c r="Q41" s="242" t="s">
        <v>506</v>
      </c>
      <c r="R41" s="242" t="s">
        <v>507</v>
      </c>
      <c r="S41" s="242" t="s">
        <v>508</v>
      </c>
      <c r="T41" s="242" t="s">
        <v>509</v>
      </c>
      <c r="U41" s="242" t="s">
        <v>510</v>
      </c>
      <c r="V41" s="242" t="s">
        <v>511</v>
      </c>
      <c r="W41" s="242" t="s">
        <v>512</v>
      </c>
      <c r="X41" s="242" t="s">
        <v>513</v>
      </c>
      <c r="Y41" s="242" t="s">
        <v>514</v>
      </c>
      <c r="Z41" s="242" t="s">
        <v>515</v>
      </c>
      <c r="AA41" s="242" t="s">
        <v>516</v>
      </c>
      <c r="AB41" s="242" t="s">
        <v>517</v>
      </c>
      <c r="AC41" s="242" t="s">
        <v>518</v>
      </c>
      <c r="AD41" s="241" t="s">
        <v>519</v>
      </c>
    </row>
    <row r="42" spans="1:33" ht="18.75" x14ac:dyDescent="0.3">
      <c r="A42" s="41"/>
      <c r="B42" s="41"/>
      <c r="C42" s="41"/>
      <c r="D42" s="470" t="s">
        <v>520</v>
      </c>
      <c r="E42" s="471"/>
      <c r="F42" s="243"/>
      <c r="G42" s="472" t="s">
        <v>521</v>
      </c>
      <c r="H42" s="473"/>
      <c r="I42" s="244"/>
      <c r="K42" s="41"/>
      <c r="L42" s="90"/>
      <c r="M42" s="90" t="s">
        <v>522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523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524</v>
      </c>
      <c r="E44" s="256">
        <f>SUM(E45:E47)</f>
        <v>6219750</v>
      </c>
      <c r="F44" s="257">
        <f>E44/E74</f>
        <v>7.5349873093356556E-2</v>
      </c>
      <c r="G44" s="247" t="s">
        <v>525</v>
      </c>
      <c r="H44" s="258">
        <f>H45+H46</f>
        <v>64054290</v>
      </c>
      <c r="I44" s="259">
        <f>H44/$H$74</f>
        <v>0.77599302585876562</v>
      </c>
      <c r="K44" s="260" t="s">
        <v>526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527</v>
      </c>
      <c r="E45" s="266">
        <f>2231620+305380</f>
        <v>2537000</v>
      </c>
      <c r="F45" s="58">
        <f>E45/E74</f>
        <v>3.0734776805795342E-2</v>
      </c>
      <c r="G45" s="267" t="s">
        <v>528</v>
      </c>
      <c r="H45" s="268">
        <v>300000</v>
      </c>
      <c r="I45" s="269">
        <f>H45/$H$74</f>
        <v>3.6343843286316918E-3</v>
      </c>
      <c r="K45" s="270" t="s">
        <v>529</v>
      </c>
      <c r="L45" s="270" t="s">
        <v>529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395</v>
      </c>
      <c r="E46" s="266">
        <f>102000+300+2105000+1475000+450</f>
        <v>3682750</v>
      </c>
      <c r="F46" s="58">
        <f>E46/E74</f>
        <v>4.4615096287561211E-2</v>
      </c>
      <c r="G46" s="267" t="s">
        <v>530</v>
      </c>
      <c r="H46" s="268">
        <f>63754290</f>
        <v>63754290</v>
      </c>
      <c r="I46" s="269">
        <f>H46/$H$74</f>
        <v>0.772358641530134</v>
      </c>
      <c r="K46" s="270" t="s">
        <v>531</v>
      </c>
      <c r="L46" s="270" t="s">
        <v>531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532</v>
      </c>
      <c r="E47" s="275">
        <v>0</v>
      </c>
      <c r="F47" s="58">
        <f>E47/E74</f>
        <v>0</v>
      </c>
      <c r="G47" s="276"/>
      <c r="H47" s="277"/>
      <c r="I47" s="259"/>
      <c r="K47" s="270" t="s">
        <v>533</v>
      </c>
      <c r="L47" s="270" t="s">
        <v>534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535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536</v>
      </c>
      <c r="E49" s="256">
        <f>E50+E51+E52</f>
        <v>11299694</v>
      </c>
      <c r="F49" s="257">
        <f>E49/E74</f>
        <v>0.13689143597311185</v>
      </c>
      <c r="G49" s="247" t="s">
        <v>537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538</v>
      </c>
      <c r="L49" s="270" t="s">
        <v>538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539</v>
      </c>
      <c r="E50" s="280">
        <f>N43</f>
        <v>19799694</v>
      </c>
      <c r="F50" s="58">
        <f>E50/E74</f>
        <v>0.23986565861767645</v>
      </c>
      <c r="G50" s="281" t="s">
        <v>540</v>
      </c>
      <c r="H50" s="282">
        <f>37680+114250</f>
        <v>151930</v>
      </c>
      <c r="I50" s="269">
        <f t="shared" si="34"/>
        <v>1.8405733701633764E-3</v>
      </c>
      <c r="K50" s="474" t="s">
        <v>541</v>
      </c>
      <c r="L50" s="270" t="s">
        <v>542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543</v>
      </c>
      <c r="H51" s="282">
        <v>0</v>
      </c>
      <c r="I51" s="269">
        <f t="shared" si="34"/>
        <v>0</v>
      </c>
      <c r="K51" s="475"/>
      <c r="L51" s="270" t="s">
        <v>544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545</v>
      </c>
      <c r="H52" s="282">
        <f>133000+44650+25650+734350</f>
        <v>937650</v>
      </c>
      <c r="I52" s="269">
        <f t="shared" si="34"/>
        <v>1.1359268219138352E-2</v>
      </c>
      <c r="J52" s="284"/>
      <c r="K52" s="476"/>
      <c r="L52" s="270" t="s">
        <v>546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547</v>
      </c>
      <c r="H53" s="282">
        <v>0</v>
      </c>
      <c r="I53" s="269">
        <f t="shared" si="34"/>
        <v>0</v>
      </c>
      <c r="K53" s="287" t="s">
        <v>548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477">
        <f>M53</f>
        <v>17352582</v>
      </c>
      <c r="B54" s="477"/>
      <c r="D54" s="247" t="s">
        <v>549</v>
      </c>
      <c r="E54" s="256">
        <f>SUM(E55:E58)</f>
        <v>38989445</v>
      </c>
      <c r="F54" s="257">
        <f>E54/E74</f>
        <v>0.47234209296682422</v>
      </c>
      <c r="G54" s="281" t="s">
        <v>550</v>
      </c>
      <c r="H54" s="282">
        <v>0</v>
      </c>
      <c r="I54" s="269">
        <f t="shared" si="34"/>
        <v>0</v>
      </c>
      <c r="K54" s="291" t="s">
        <v>387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551</v>
      </c>
      <c r="E55" s="280">
        <v>0</v>
      </c>
      <c r="F55" s="58">
        <f>E55/E74</f>
        <v>0</v>
      </c>
      <c r="G55" s="295" t="s">
        <v>552</v>
      </c>
      <c r="H55" s="296">
        <f>E68-H65</f>
        <v>1523038</v>
      </c>
      <c r="I55" s="269">
        <f t="shared" si="34"/>
        <v>1.8451018130368514E-2</v>
      </c>
      <c r="K55" s="291" t="s">
        <v>553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549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554</v>
      </c>
      <c r="L56" s="292" t="s">
        <v>527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555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556</v>
      </c>
      <c r="H57" s="298">
        <f>H58</f>
        <v>10256758</v>
      </c>
      <c r="I57" s="259">
        <f>H57/$H$74</f>
        <v>0.12425666845922578</v>
      </c>
      <c r="K57" s="291" t="s">
        <v>557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558</v>
      </c>
      <c r="E58" s="280">
        <v>0</v>
      </c>
      <c r="F58" s="58">
        <f>E58/E74</f>
        <v>0</v>
      </c>
      <c r="G58" s="299" t="s">
        <v>559</v>
      </c>
      <c r="H58" s="300">
        <f>M59</f>
        <v>10256758</v>
      </c>
      <c r="I58" s="269">
        <f>H58/$H$74</f>
        <v>0.12425666845922578</v>
      </c>
      <c r="K58" s="291" t="s">
        <v>560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561</v>
      </c>
      <c r="L59" s="292" t="s">
        <v>559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534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478" t="s">
        <v>541</v>
      </c>
      <c r="L60" s="292" t="s">
        <v>395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534</v>
      </c>
      <c r="E61" s="280">
        <f>M47+M48</f>
        <v>2013660</v>
      </c>
      <c r="F61" s="58">
        <f>E61/E74</f>
        <v>2.4394714490641643E-2</v>
      </c>
      <c r="G61" s="247" t="s">
        <v>562</v>
      </c>
      <c r="H61" s="258">
        <f>SUM(H62:H63)</f>
        <v>305380</v>
      </c>
      <c r="I61" s="259">
        <f>H61/$H$74</f>
        <v>3.6995609542584871E-3</v>
      </c>
      <c r="K61" s="479"/>
      <c r="L61" s="292" t="s">
        <v>563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527</v>
      </c>
      <c r="H62" s="303">
        <f>M56</f>
        <v>305380</v>
      </c>
      <c r="I62" s="269">
        <f>H62/$H$74</f>
        <v>3.6995609542584871E-3</v>
      </c>
      <c r="K62" s="480"/>
      <c r="L62" s="292" t="s">
        <v>564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565</v>
      </c>
      <c r="E63" s="256">
        <f>E64+E65-E66</f>
        <v>17183459</v>
      </c>
      <c r="F63" s="257">
        <f>E63/E74</f>
        <v>0.20817098033761736</v>
      </c>
      <c r="G63" s="299" t="s">
        <v>395</v>
      </c>
      <c r="H63" s="303">
        <f>M60</f>
        <v>0</v>
      </c>
      <c r="I63" s="269">
        <f>H63/$H$74</f>
        <v>0</v>
      </c>
      <c r="K63" s="291" t="s">
        <v>566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567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568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569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570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571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553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572</v>
      </c>
      <c r="E68" s="256">
        <f>SUM(E69:E73)</f>
        <v>6838922</v>
      </c>
      <c r="F68" s="257">
        <f>E68/E74</f>
        <v>8.2850903138448354E-2</v>
      </c>
      <c r="G68" s="299" t="s">
        <v>557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549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522</v>
      </c>
      <c r="E69" s="306">
        <f>M50</f>
        <v>120064</v>
      </c>
      <c r="F69" s="58">
        <f>E69/E74</f>
        <v>1.4545290667761183E-3</v>
      </c>
      <c r="G69" s="299" t="s">
        <v>560</v>
      </c>
      <c r="H69" s="303">
        <f>M58</f>
        <v>340000</v>
      </c>
      <c r="I69" s="269">
        <f t="shared" si="48"/>
        <v>4.1189689057825841E-3</v>
      </c>
      <c r="K69" s="41"/>
      <c r="L69" s="481" t="s">
        <v>573</v>
      </c>
      <c r="M69" s="319" t="s">
        <v>127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544</v>
      </c>
      <c r="E70" s="306">
        <f>M51</f>
        <v>1125000</v>
      </c>
      <c r="F70" s="58">
        <f>E70/E74</f>
        <v>1.3628941232368845E-2</v>
      </c>
      <c r="G70" s="299" t="s">
        <v>563</v>
      </c>
      <c r="H70" s="303">
        <f>M61</f>
        <v>205508</v>
      </c>
      <c r="I70" s="269">
        <f t="shared" si="48"/>
        <v>2.489650182028139E-3</v>
      </c>
      <c r="K70" s="41"/>
      <c r="L70" s="481"/>
      <c r="M70" s="319" t="s">
        <v>472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529</v>
      </c>
      <c r="E71" s="306">
        <f>M45</f>
        <v>3506373</v>
      </c>
      <c r="F71" s="58">
        <f>E71/E74</f>
        <v>4.247835693845764E-2</v>
      </c>
      <c r="G71" s="299" t="s">
        <v>566</v>
      </c>
      <c r="H71" s="303">
        <f>M63</f>
        <v>0</v>
      </c>
      <c r="I71" s="269">
        <f t="shared" si="48"/>
        <v>0</v>
      </c>
      <c r="K71" s="41"/>
      <c r="L71" s="481"/>
      <c r="M71" s="319" t="s">
        <v>388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531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481"/>
      <c r="M72" s="319" t="s">
        <v>389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538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481"/>
      <c r="M73" s="319" t="s">
        <v>393</v>
      </c>
      <c r="N73" s="327" t="s">
        <v>574</v>
      </c>
      <c r="O73" s="327" t="s">
        <v>575</v>
      </c>
      <c r="P73" s="327" t="s">
        <v>576</v>
      </c>
      <c r="Q73" s="327" t="s">
        <v>577</v>
      </c>
      <c r="R73" s="327" t="s">
        <v>578</v>
      </c>
      <c r="S73" s="327" t="s">
        <v>579</v>
      </c>
      <c r="T73" s="327"/>
      <c r="U73" s="327"/>
      <c r="V73" s="327" t="s">
        <v>580</v>
      </c>
      <c r="W73" s="327" t="s">
        <v>581</v>
      </c>
      <c r="X73" s="327" t="s">
        <v>582</v>
      </c>
      <c r="Y73" s="327" t="s">
        <v>575</v>
      </c>
      <c r="Z73" s="327"/>
      <c r="AA73" s="327" t="s">
        <v>590</v>
      </c>
      <c r="AB73" s="327" t="s">
        <v>578</v>
      </c>
      <c r="AC73" s="327" t="s">
        <v>583</v>
      </c>
      <c r="AD73" s="327" t="s">
        <v>584</v>
      </c>
    </row>
    <row r="74" spans="1:30" ht="18.75" x14ac:dyDescent="0.3">
      <c r="A74" s="482">
        <f>M64</f>
        <v>15878022</v>
      </c>
      <c r="B74" s="482"/>
      <c r="D74" s="328" t="s">
        <v>585</v>
      </c>
      <c r="E74" s="329">
        <f>E68+E60+E54+E44+E49+E63</f>
        <v>82544930</v>
      </c>
      <c r="F74" s="330">
        <f>F68+F60+F54+F44+F49+F63</f>
        <v>1</v>
      </c>
      <c r="G74" s="328" t="s">
        <v>585</v>
      </c>
      <c r="H74" s="329">
        <f>H65+H57+H49+H44+H61</f>
        <v>82544930</v>
      </c>
      <c r="I74" s="331">
        <f>H74/$H$74</f>
        <v>1</v>
      </c>
      <c r="K74" s="41"/>
      <c r="L74" s="481"/>
      <c r="M74" s="319" t="s">
        <v>586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481"/>
      <c r="M75" s="319" t="s">
        <v>390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481"/>
      <c r="M76" s="319" t="s">
        <v>587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588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483"/>
      <c r="Q78" s="483"/>
      <c r="R78" s="483"/>
      <c r="S78" s="483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484"/>
      <c r="Q81" s="484"/>
      <c r="R81" s="484"/>
      <c r="S81" s="484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484"/>
      <c r="Q83" s="484"/>
      <c r="R83" s="484"/>
      <c r="S83" s="484"/>
      <c r="Y83" s="340"/>
    </row>
    <row r="84" spans="11:25" x14ac:dyDescent="0.25">
      <c r="K84" s="41"/>
      <c r="L84" s="41"/>
      <c r="M84" s="41"/>
      <c r="O84" s="338"/>
      <c r="P84" s="484"/>
      <c r="Q84" s="484"/>
      <c r="R84" s="484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P78:Q78"/>
    <mergeCell ref="R78:S78"/>
    <mergeCell ref="P81:S81"/>
    <mergeCell ref="P83:S83"/>
    <mergeCell ref="P84:R84"/>
    <mergeCell ref="K50:K52"/>
    <mergeCell ref="A54:B54"/>
    <mergeCell ref="K60:K62"/>
    <mergeCell ref="L69:L76"/>
    <mergeCell ref="A74:B74"/>
    <mergeCell ref="R39:S39"/>
    <mergeCell ref="D40:I40"/>
    <mergeCell ref="D41:I41"/>
    <mergeCell ref="D42:E42"/>
    <mergeCell ref="G42:H42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23" priority="1" operator="greaterThan">
      <formula>0</formula>
    </cfRule>
  </conditionalFormatting>
  <conditionalFormatting sqref="E39">
    <cfRule type="cellIs" dxfId="22" priority="2" operator="lessThan">
      <formula>0</formula>
    </cfRule>
  </conditionalFormatting>
  <conditionalFormatting sqref="H38">
    <cfRule type="cellIs" dxfId="21" priority="3" operator="lessThan">
      <formula>0</formula>
    </cfRule>
  </conditionalFormatting>
  <conditionalFormatting sqref="H11:H16">
    <cfRule type="cellIs" dxfId="20" priority="4" operator="lessThan">
      <formula>0</formula>
    </cfRule>
  </conditionalFormatting>
  <conditionalFormatting sqref="H11:H16">
    <cfRule type="cellIs" dxfId="19" priority="5" operator="greaterThan">
      <formula>0</formula>
    </cfRule>
  </conditionalFormatting>
  <conditionalFormatting sqref="E78">
    <cfRule type="cellIs" dxfId="18" priority="6" operator="greaterThan">
      <formula>0</formula>
    </cfRule>
  </conditionalFormatting>
  <conditionalFormatting sqref="E78">
    <cfRule type="cellIs" dxfId="17" priority="7" operator="lessThan">
      <formula>0</formula>
    </cfRule>
  </conditionalFormatting>
  <conditionalFormatting sqref="H77">
    <cfRule type="cellIs" dxfId="16" priority="8" operator="lessThan">
      <formula>0</formula>
    </cfRule>
  </conditionalFormatting>
  <conditionalFormatting sqref="H50:H55">
    <cfRule type="cellIs" dxfId="15" priority="9" operator="lessThan">
      <formula>0</formula>
    </cfRule>
  </conditionalFormatting>
  <conditionalFormatting sqref="H50:H55">
    <cfRule type="cellIs" dxfId="14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O15" sqref="O15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591</v>
      </c>
      <c r="F1" s="79" t="s">
        <v>592</v>
      </c>
      <c r="G1" s="80"/>
      <c r="H1" s="80"/>
      <c r="I1" s="81" t="s">
        <v>591</v>
      </c>
      <c r="J1" s="82" t="s">
        <v>592</v>
      </c>
      <c r="P1" s="78" t="s">
        <v>591</v>
      </c>
      <c r="Q1" s="79" t="s">
        <v>592</v>
      </c>
      <c r="R1" s="78"/>
      <c r="S1" s="79"/>
    </row>
    <row r="2" spans="1:19" x14ac:dyDescent="0.25">
      <c r="A2" s="83" t="s">
        <v>187</v>
      </c>
      <c r="B2" s="83" t="s">
        <v>593</v>
      </c>
      <c r="C2" s="83" t="s">
        <v>594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595</v>
      </c>
      <c r="J2" s="82" t="s">
        <v>595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26</v>
      </c>
      <c r="C3">
        <f>Plantilla!H4</f>
        <v>4</v>
      </c>
      <c r="D3" s="24">
        <f>Plantilla!I4</f>
        <v>8</v>
      </c>
      <c r="E3" s="84">
        <f t="shared" ref="E3" si="0">D3</f>
        <v>8</v>
      </c>
      <c r="F3" s="84">
        <f t="shared" ref="F3" si="1">E3+0.1</f>
        <v>8.1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128</v>
      </c>
      <c r="J3" s="85">
        <f t="shared" ref="J3" si="5">H3*H3*F3</f>
        <v>201.69081</v>
      </c>
      <c r="K3" s="86"/>
      <c r="N3" s="41" t="s">
        <v>595</v>
      </c>
      <c r="O3" s="25" t="str">
        <f>A12</f>
        <v>Valeri Gomis</v>
      </c>
      <c r="P3" s="87">
        <f>E12</f>
        <v>7</v>
      </c>
      <c r="Q3" s="87">
        <f t="shared" ref="Q3:S3" si="6">F12</f>
        <v>7.1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26</v>
      </c>
      <c r="C4">
        <f>Plantilla!H5</f>
        <v>5</v>
      </c>
      <c r="D4" s="24">
        <f>Plantilla!I5</f>
        <v>2</v>
      </c>
      <c r="E4" s="84">
        <f t="shared" ref="E4:E19" si="7">D4</f>
        <v>2</v>
      </c>
      <c r="F4" s="84">
        <f t="shared" ref="F4:F19" si="8">E4+0.1</f>
        <v>2.1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50</v>
      </c>
      <c r="J4" s="85">
        <f t="shared" ref="J4:J19" si="12">H4*H4*F4</f>
        <v>75.348210000000009</v>
      </c>
      <c r="K4" s="86"/>
      <c r="O4" t="str">
        <f>A18</f>
        <v>Tommaso Niscola</v>
      </c>
      <c r="P4" s="87">
        <f>E18</f>
        <v>8.4</v>
      </c>
      <c r="Q4" s="87">
        <f t="shared" ref="Q4:S4" si="13">F18</f>
        <v>8.5</v>
      </c>
      <c r="R4" s="87">
        <f t="shared" si="13"/>
        <v>4</v>
      </c>
      <c r="S4" s="87">
        <f t="shared" si="13"/>
        <v>4.99</v>
      </c>
    </row>
    <row r="5" spans="1:19" x14ac:dyDescent="0.25">
      <c r="A5" s="41" t="str">
        <f>Plantilla!D6</f>
        <v>Miguel Fernández</v>
      </c>
      <c r="B5">
        <f>Plantilla!E6</f>
        <v>26</v>
      </c>
      <c r="C5">
        <f>Plantilla!H6</f>
        <v>5</v>
      </c>
      <c r="D5" s="24">
        <f>Plantilla!I6</f>
        <v>4.5999999999999996</v>
      </c>
      <c r="E5" s="84">
        <f t="shared" si="7"/>
        <v>4.5999999999999996</v>
      </c>
      <c r="F5" s="84">
        <f t="shared" si="8"/>
        <v>4.6999999999999993</v>
      </c>
      <c r="G5" s="84">
        <f t="shared" si="9"/>
        <v>5</v>
      </c>
      <c r="H5" s="84">
        <f t="shared" si="10"/>
        <v>5.99</v>
      </c>
      <c r="I5" s="85">
        <f t="shared" si="11"/>
        <v>114.99999999999999</v>
      </c>
      <c r="J5" s="85">
        <f t="shared" si="12"/>
        <v>168.63647</v>
      </c>
      <c r="K5" s="86"/>
      <c r="O5" t="str">
        <f>A3</f>
        <v>Cosme Fonteboa</v>
      </c>
      <c r="P5" s="87">
        <f>E3</f>
        <v>8</v>
      </c>
      <c r="Q5" s="87">
        <f t="shared" ref="Q5:S5" si="14">F3</f>
        <v>8.1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Plantilla!D7</f>
        <v>Iván Real Figueroa</v>
      </c>
      <c r="B6">
        <f>Plantilla!E7</f>
        <v>26</v>
      </c>
      <c r="C6">
        <f>Plantilla!H7</f>
        <v>4</v>
      </c>
      <c r="D6" s="24">
        <f>Plantilla!I7</f>
        <v>5.5</v>
      </c>
      <c r="E6" s="84">
        <f t="shared" si="7"/>
        <v>5.5</v>
      </c>
      <c r="F6" s="84">
        <f t="shared" si="8"/>
        <v>5.6</v>
      </c>
      <c r="G6" s="84">
        <f t="shared" si="9"/>
        <v>4</v>
      </c>
      <c r="H6" s="84">
        <f t="shared" si="10"/>
        <v>4.99</v>
      </c>
      <c r="I6" s="85">
        <f t="shared" si="11"/>
        <v>88</v>
      </c>
      <c r="J6" s="85">
        <f t="shared" si="12"/>
        <v>139.44056</v>
      </c>
      <c r="K6" s="86"/>
      <c r="O6" t="str">
        <f>A16</f>
        <v>Ryan Clarke</v>
      </c>
      <c r="P6" s="87">
        <f>E16</f>
        <v>7.5</v>
      </c>
      <c r="Q6" s="87">
        <f t="shared" ref="Q6:S6" si="15">F16</f>
        <v>7.6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Plantilla!D8</f>
        <v>Berto Abandero</v>
      </c>
      <c r="B7">
        <f>Plantilla!E8</f>
        <v>26</v>
      </c>
      <c r="C7">
        <f>Plantilla!H8</f>
        <v>1</v>
      </c>
      <c r="D7" s="24">
        <f>Plantilla!I8</f>
        <v>6.1</v>
      </c>
      <c r="E7" s="84">
        <f t="shared" si="7"/>
        <v>6.1</v>
      </c>
      <c r="F7" s="84">
        <f t="shared" si="8"/>
        <v>6.1999999999999993</v>
      </c>
      <c r="G7" s="84">
        <f t="shared" si="9"/>
        <v>1</v>
      </c>
      <c r="H7" s="84">
        <f t="shared" si="10"/>
        <v>1.99</v>
      </c>
      <c r="I7" s="85">
        <f t="shared" si="11"/>
        <v>6.1</v>
      </c>
      <c r="J7" s="85">
        <f t="shared" si="12"/>
        <v>24.552619999999997</v>
      </c>
      <c r="K7" s="86"/>
      <c r="O7" t="str">
        <f>A13</f>
        <v>Enrique Cubas</v>
      </c>
      <c r="P7" s="87">
        <f>E13</f>
        <v>7.3</v>
      </c>
      <c r="Q7" s="87">
        <f t="shared" ref="Q7:S7" si="16">F13</f>
        <v>7.3999999999999995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Plantilla!D9</f>
        <v>Guillermo Pedrajas</v>
      </c>
      <c r="B8">
        <f>Plantilla!E9</f>
        <v>26</v>
      </c>
      <c r="C8">
        <f>Plantilla!H9</f>
        <v>4</v>
      </c>
      <c r="D8" s="24">
        <f>Plantilla!I9</f>
        <v>6.5</v>
      </c>
      <c r="E8" s="84">
        <f t="shared" si="7"/>
        <v>6.5</v>
      </c>
      <c r="F8" s="84">
        <f t="shared" si="8"/>
        <v>6.6</v>
      </c>
      <c r="G8" s="84">
        <f t="shared" si="9"/>
        <v>4</v>
      </c>
      <c r="H8" s="84">
        <f t="shared" si="10"/>
        <v>4.99</v>
      </c>
      <c r="I8" s="85">
        <f t="shared" si="11"/>
        <v>104</v>
      </c>
      <c r="J8" s="85">
        <f t="shared" si="12"/>
        <v>164.34066000000001</v>
      </c>
      <c r="K8" s="86"/>
      <c r="O8" t="str">
        <f>A10</f>
        <v>Francesc Añigas</v>
      </c>
      <c r="P8" s="87">
        <f>E10</f>
        <v>7</v>
      </c>
      <c r="Q8" s="87">
        <f t="shared" ref="Q8:S8" si="17">F10</f>
        <v>7.1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Plantilla!D10</f>
        <v>Venanci Oset</v>
      </c>
      <c r="B9">
        <f>Plantilla!E10</f>
        <v>26</v>
      </c>
      <c r="C9">
        <f>Plantilla!H10</f>
        <v>2</v>
      </c>
      <c r="D9" s="24">
        <f>Plantilla!I10</f>
        <v>6.2</v>
      </c>
      <c r="E9" s="84">
        <f t="shared" si="7"/>
        <v>6.2</v>
      </c>
      <c r="F9" s="84">
        <f t="shared" si="8"/>
        <v>6.3</v>
      </c>
      <c r="G9" s="84">
        <f t="shared" si="9"/>
        <v>2</v>
      </c>
      <c r="H9" s="84">
        <f t="shared" si="10"/>
        <v>2.99</v>
      </c>
      <c r="I9" s="85">
        <f t="shared" si="11"/>
        <v>24.8</v>
      </c>
      <c r="J9" s="85">
        <f t="shared" si="12"/>
        <v>56.322630000000004</v>
      </c>
      <c r="K9" s="86"/>
      <c r="O9" t="str">
        <f>A11</f>
        <v>Will Duffill</v>
      </c>
      <c r="P9" s="87">
        <f>E11</f>
        <v>7</v>
      </c>
      <c r="Q9" s="87">
        <f t="shared" ref="Q9:S9" si="18">F11</f>
        <v>7.1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Plantilla!D11</f>
        <v>Francesc Añigas</v>
      </c>
      <c r="B10">
        <f>Plantilla!E11</f>
        <v>26</v>
      </c>
      <c r="C10">
        <f>Plantilla!H11</f>
        <v>5</v>
      </c>
      <c r="D10" s="24">
        <f>Plantilla!I11</f>
        <v>7</v>
      </c>
      <c r="E10" s="84">
        <f t="shared" si="7"/>
        <v>7</v>
      </c>
      <c r="F10" s="84">
        <f t="shared" si="8"/>
        <v>7.1</v>
      </c>
      <c r="G10" s="84">
        <f t="shared" si="9"/>
        <v>5</v>
      </c>
      <c r="H10" s="84">
        <f t="shared" si="10"/>
        <v>5.99</v>
      </c>
      <c r="I10" s="85">
        <f t="shared" si="11"/>
        <v>175</v>
      </c>
      <c r="J10" s="85">
        <f t="shared" si="12"/>
        <v>254.74871000000002</v>
      </c>
      <c r="K10" s="86"/>
      <c r="O10" t="str">
        <f>A17</f>
        <v>Renato Galeano</v>
      </c>
      <c r="P10" s="87">
        <f>E17</f>
        <v>7</v>
      </c>
      <c r="Q10" s="87">
        <f t="shared" ref="Q10:S10" si="19">F17</f>
        <v>7.1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Plantilla!D12</f>
        <v>Will Duffill</v>
      </c>
      <c r="B11">
        <f>Plantilla!E12</f>
        <v>25</v>
      </c>
      <c r="C11">
        <f>Plantilla!H12</f>
        <v>3</v>
      </c>
      <c r="D11" s="24">
        <f>Plantilla!I12</f>
        <v>7</v>
      </c>
      <c r="E11" s="84">
        <f t="shared" si="7"/>
        <v>7</v>
      </c>
      <c r="F11" s="84">
        <f t="shared" si="8"/>
        <v>7.1</v>
      </c>
      <c r="G11" s="84">
        <f t="shared" si="9"/>
        <v>3</v>
      </c>
      <c r="H11" s="84">
        <f t="shared" si="10"/>
        <v>3.99</v>
      </c>
      <c r="I11" s="85">
        <f t="shared" si="11"/>
        <v>63</v>
      </c>
      <c r="J11" s="85">
        <f t="shared" si="12"/>
        <v>113.03271000000001</v>
      </c>
      <c r="K11" s="86"/>
      <c r="O11" t="str">
        <f>A8</f>
        <v>Guillermo Pedrajas</v>
      </c>
      <c r="P11" s="87">
        <f>E8</f>
        <v>6.5</v>
      </c>
      <c r="Q11" s="87">
        <f t="shared" ref="Q11:S11" si="20">F8</f>
        <v>6.6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Plantilla!D13</f>
        <v>Valeri Gomis</v>
      </c>
      <c r="B12">
        <f>Plantilla!E13</f>
        <v>26</v>
      </c>
      <c r="C12">
        <f>Plantilla!H13</f>
        <v>6</v>
      </c>
      <c r="D12" s="24">
        <f>Plantilla!I13</f>
        <v>7</v>
      </c>
      <c r="E12" s="84">
        <f t="shared" si="7"/>
        <v>7</v>
      </c>
      <c r="F12" s="84">
        <f t="shared" si="8"/>
        <v>7.1</v>
      </c>
      <c r="G12" s="84">
        <f t="shared" si="9"/>
        <v>6</v>
      </c>
      <c r="H12" s="84">
        <f t="shared" si="10"/>
        <v>6.99</v>
      </c>
      <c r="I12" s="85">
        <f t="shared" si="11"/>
        <v>252</v>
      </c>
      <c r="J12" s="85">
        <f t="shared" si="12"/>
        <v>346.90670999999998</v>
      </c>
      <c r="K12" s="86"/>
      <c r="O12" t="str">
        <f>A7</f>
        <v>Berto Abandero</v>
      </c>
      <c r="P12" s="87">
        <f>E7</f>
        <v>6.1</v>
      </c>
      <c r="Q12" s="87">
        <f t="shared" ref="Q12:S12" si="21">F7</f>
        <v>6.1999999999999993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Plantilla!D14</f>
        <v>Enrique Cubas</v>
      </c>
      <c r="B13">
        <f>Plantilla!E14</f>
        <v>26</v>
      </c>
      <c r="C13">
        <f>Plantilla!H14</f>
        <v>1</v>
      </c>
      <c r="D13" s="24">
        <f>Plantilla!I14</f>
        <v>7.3</v>
      </c>
      <c r="E13" s="84">
        <f t="shared" si="7"/>
        <v>7.3</v>
      </c>
      <c r="F13" s="84">
        <f t="shared" si="8"/>
        <v>7.3999999999999995</v>
      </c>
      <c r="G13" s="84">
        <f t="shared" si="9"/>
        <v>1</v>
      </c>
      <c r="H13" s="84">
        <f t="shared" si="10"/>
        <v>1.99</v>
      </c>
      <c r="I13" s="85">
        <f t="shared" si="11"/>
        <v>7.3</v>
      </c>
      <c r="J13" s="85">
        <f t="shared" si="12"/>
        <v>29.304739999999999</v>
      </c>
      <c r="K13" s="86"/>
      <c r="O13" t="str">
        <f>A9</f>
        <v>Venanci Oset</v>
      </c>
      <c r="P13" s="87">
        <f>E9</f>
        <v>6.2</v>
      </c>
      <c r="Q13" s="87">
        <f t="shared" ref="Q13:S13" si="22">F9</f>
        <v>6.3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Plantilla!D15</f>
        <v>J. G. Peñuela</v>
      </c>
      <c r="B14">
        <f>Plantilla!E15</f>
        <v>26</v>
      </c>
      <c r="C14">
        <f>Plantilla!H15</f>
        <v>6</v>
      </c>
      <c r="D14" s="24">
        <f>Plantilla!I15</f>
        <v>6.5</v>
      </c>
      <c r="E14" s="84">
        <f t="shared" si="7"/>
        <v>6.5</v>
      </c>
      <c r="F14" s="84">
        <f t="shared" si="8"/>
        <v>6.6</v>
      </c>
      <c r="G14" s="84">
        <f t="shared" si="9"/>
        <v>6</v>
      </c>
      <c r="H14" s="84">
        <f t="shared" si="10"/>
        <v>6.99</v>
      </c>
      <c r="I14" s="85">
        <f t="shared" si="11"/>
        <v>234</v>
      </c>
      <c r="J14" s="85">
        <f t="shared" si="12"/>
        <v>322.47665999999998</v>
      </c>
      <c r="K14" s="86"/>
      <c r="P14" s="27">
        <f>SUM(P4:P13)/10</f>
        <v>7.1</v>
      </c>
      <c r="Q14" s="27">
        <f>SUM(Q4:Q13)/10</f>
        <v>7.2</v>
      </c>
      <c r="R14" s="27"/>
      <c r="S14" s="27"/>
    </row>
    <row r="15" spans="1:19" x14ac:dyDescent="0.25">
      <c r="A15" s="41" t="str">
        <f>Plantilla!D16</f>
        <v>Julian Gräbitz</v>
      </c>
      <c r="B15">
        <f>Plantilla!E16</f>
        <v>25</v>
      </c>
      <c r="C15">
        <f>Plantilla!H16</f>
        <v>2</v>
      </c>
      <c r="D15" s="24">
        <f>Plantilla!I16</f>
        <v>4.5</v>
      </c>
      <c r="E15" s="84">
        <f t="shared" si="7"/>
        <v>4.5</v>
      </c>
      <c r="F15" s="84">
        <f t="shared" si="8"/>
        <v>4.5999999999999996</v>
      </c>
      <c r="G15" s="84">
        <f t="shared" si="9"/>
        <v>2</v>
      </c>
      <c r="H15" s="84">
        <f t="shared" si="10"/>
        <v>2.99</v>
      </c>
      <c r="I15" s="85">
        <f t="shared" si="11"/>
        <v>18</v>
      </c>
      <c r="J15" s="85">
        <f t="shared" si="12"/>
        <v>41.124459999999999</v>
      </c>
      <c r="K15" s="86"/>
    </row>
    <row r="16" spans="1:19" x14ac:dyDescent="0.25">
      <c r="A16" s="41" t="str">
        <f>Plantilla!D17</f>
        <v>Ryan Clarke</v>
      </c>
      <c r="B16">
        <f>Plantilla!E17</f>
        <v>30</v>
      </c>
      <c r="C16">
        <f>Plantilla!H17</f>
        <v>1</v>
      </c>
      <c r="D16" s="24">
        <f>Plantilla!I17</f>
        <v>7.5</v>
      </c>
      <c r="E16" s="84">
        <f t="shared" si="7"/>
        <v>7.5</v>
      </c>
      <c r="F16" s="84">
        <f t="shared" si="8"/>
        <v>7.6</v>
      </c>
      <c r="G16" s="84">
        <f t="shared" si="9"/>
        <v>1</v>
      </c>
      <c r="H16" s="84">
        <f t="shared" si="10"/>
        <v>1.99</v>
      </c>
      <c r="I16" s="85">
        <f t="shared" si="11"/>
        <v>7.5</v>
      </c>
      <c r="J16" s="85">
        <f t="shared" si="12"/>
        <v>30.09676</v>
      </c>
      <c r="K16" s="86"/>
      <c r="L16" s="46" t="s">
        <v>596</v>
      </c>
      <c r="O16" t="s">
        <v>597</v>
      </c>
      <c r="P16" s="24">
        <f>SUM(P3:P13)</f>
        <v>77.999999999999986</v>
      </c>
      <c r="Q16" s="24">
        <f>SUM(Q3:Q13)</f>
        <v>79.099999999999994</v>
      </c>
      <c r="R16" s="24"/>
    </row>
    <row r="17" spans="1:18" x14ac:dyDescent="0.25">
      <c r="A17" s="41" t="str">
        <f>Plantilla!D18</f>
        <v>Renato Galeano</v>
      </c>
      <c r="B17">
        <f>Plantilla!E18</f>
        <v>28</v>
      </c>
      <c r="C17">
        <f>Plantilla!H18</f>
        <v>1</v>
      </c>
      <c r="D17" s="24">
        <f>Plantilla!I18</f>
        <v>7</v>
      </c>
      <c r="E17" s="84">
        <f t="shared" si="7"/>
        <v>7</v>
      </c>
      <c r="F17" s="84">
        <f t="shared" si="8"/>
        <v>7.1</v>
      </c>
      <c r="G17" s="84">
        <f t="shared" si="9"/>
        <v>1</v>
      </c>
      <c r="H17" s="84">
        <f t="shared" si="10"/>
        <v>1.99</v>
      </c>
      <c r="I17" s="85">
        <f t="shared" si="11"/>
        <v>7</v>
      </c>
      <c r="J17" s="85">
        <f t="shared" si="12"/>
        <v>28.116710000000001</v>
      </c>
      <c r="K17" s="86"/>
      <c r="O17" t="s">
        <v>598</v>
      </c>
      <c r="P17" s="27">
        <f>P16/17</f>
        <v>4.5882352941176459</v>
      </c>
      <c r="Q17" s="27">
        <f>Q16/17</f>
        <v>4.6529411764705877</v>
      </c>
      <c r="R17" s="27"/>
    </row>
    <row r="18" spans="1:18" x14ac:dyDescent="0.25">
      <c r="A18" s="41" t="str">
        <f>Plantilla!D19</f>
        <v>Tommaso Niscola</v>
      </c>
      <c r="B18">
        <f>Plantilla!E19</f>
        <v>31</v>
      </c>
      <c r="C18">
        <f>Plantilla!H19</f>
        <v>4</v>
      </c>
      <c r="D18" s="24">
        <f>Plantilla!I19</f>
        <v>8.4</v>
      </c>
      <c r="E18" s="84">
        <f t="shared" si="7"/>
        <v>8.4</v>
      </c>
      <c r="F18" s="84">
        <f t="shared" si="8"/>
        <v>8.5</v>
      </c>
      <c r="G18" s="84">
        <f t="shared" si="9"/>
        <v>4</v>
      </c>
      <c r="H18" s="84">
        <f t="shared" si="10"/>
        <v>4.99</v>
      </c>
      <c r="I18" s="85">
        <f t="shared" si="11"/>
        <v>134.4</v>
      </c>
      <c r="J18" s="85">
        <f t="shared" si="12"/>
        <v>211.65085000000002</v>
      </c>
      <c r="K18" s="86"/>
      <c r="L18" s="46" t="s">
        <v>599</v>
      </c>
      <c r="O18" t="s">
        <v>600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26</v>
      </c>
      <c r="C19">
        <f>Plantilla!H20</f>
        <v>1</v>
      </c>
      <c r="D19" s="24">
        <f>Plantilla!I20</f>
        <v>4.5999999999999996</v>
      </c>
      <c r="E19" s="84">
        <f t="shared" si="7"/>
        <v>4.5999999999999996</v>
      </c>
      <c r="F19" s="84">
        <f t="shared" si="8"/>
        <v>4.6999999999999993</v>
      </c>
      <c r="G19" s="84">
        <f t="shared" si="9"/>
        <v>1</v>
      </c>
      <c r="H19" s="84">
        <f t="shared" si="10"/>
        <v>1.99</v>
      </c>
      <c r="I19" s="85">
        <f t="shared" si="11"/>
        <v>4.5999999999999996</v>
      </c>
      <c r="J19" s="85">
        <f t="shared" si="12"/>
        <v>18.612469999999998</v>
      </c>
      <c r="K19" s="86"/>
      <c r="L19" s="46" t="s">
        <v>601</v>
      </c>
      <c r="O19" t="s">
        <v>602</v>
      </c>
      <c r="P19" s="24">
        <f>P18*P3</f>
        <v>252</v>
      </c>
      <c r="Q19" s="24">
        <f>Q18*Q3</f>
        <v>346.90670999999998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603</v>
      </c>
      <c r="O20" t="s">
        <v>604</v>
      </c>
      <c r="P20" s="27">
        <f>(P19^(2/3))/30</f>
        <v>1.3298799522301954</v>
      </c>
      <c r="Q20" s="27">
        <f>(Q19^(2/3))/30</f>
        <v>1.6457121624445159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605</v>
      </c>
      <c r="O21" s="54" t="s">
        <v>606</v>
      </c>
      <c r="P21" s="71">
        <f>P17+P20</f>
        <v>5.918115246347841</v>
      </c>
      <c r="Q21" s="71">
        <f>Q17+Q20</f>
        <v>6.2986533389151038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607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3" priority="2" operator="between">
      <formula>70</formula>
      <formula>100</formula>
    </cfRule>
  </conditionalFormatting>
  <conditionalFormatting sqref="I3:J31">
    <cfRule type="cellIs" dxfId="12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R7" sqref="R7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187</v>
      </c>
      <c r="B1" s="99" t="s">
        <v>195</v>
      </c>
      <c r="C1" s="99" t="s">
        <v>198</v>
      </c>
      <c r="D1" s="100" t="s">
        <v>608</v>
      </c>
      <c r="E1" s="100" t="s">
        <v>591</v>
      </c>
      <c r="F1" s="100" t="s">
        <v>592</v>
      </c>
      <c r="H1" s="99" t="s">
        <v>609</v>
      </c>
      <c r="I1" s="99" t="s">
        <v>195</v>
      </c>
      <c r="J1" s="99" t="s">
        <v>198</v>
      </c>
      <c r="K1" s="99" t="str">
        <f>D1</f>
        <v>N_CA</v>
      </c>
      <c r="L1" s="100" t="s">
        <v>591</v>
      </c>
      <c r="M1" s="100" t="s">
        <v>592</v>
      </c>
      <c r="O1" s="99" t="s">
        <v>609</v>
      </c>
      <c r="P1" s="99" t="s">
        <v>195</v>
      </c>
      <c r="Q1" s="99" t="s">
        <v>198</v>
      </c>
      <c r="R1" s="99" t="str">
        <f>K1</f>
        <v>N_CA</v>
      </c>
      <c r="S1" s="100" t="s">
        <v>591</v>
      </c>
      <c r="T1" s="100" t="s">
        <v>592</v>
      </c>
    </row>
    <row r="2" spans="1:20" x14ac:dyDescent="0.25">
      <c r="A2" t="str">
        <f>Plantilla!D4</f>
        <v>Cosme Fonteboa</v>
      </c>
      <c r="B2" s="24">
        <f ca="1">Plantilla!Y4+Plantilla!N4+Plantilla!J4</f>
        <v>14.567756346292288</v>
      </c>
      <c r="C2" s="24">
        <f ca="1">Plantilla!AB4+Plantilla!N4+Plantilla!J4</f>
        <v>3.204119982655925</v>
      </c>
      <c r="D2" s="71">
        <f t="shared" ref="D2" ca="1" si="0">(C2*2+B2)/8</f>
        <v>2.6219995389505173</v>
      </c>
      <c r="E2" s="24">
        <f ca="1">D2*Plantilla!R4</f>
        <v>2.4274998747547518</v>
      </c>
      <c r="F2" s="24">
        <f ca="1">D2*Plantilla!S4</f>
        <v>2.620126012781351</v>
      </c>
      <c r="H2" s="27" t="str">
        <f t="shared" ref="H2:J3" si="1">A6</f>
        <v>Berto Abandero</v>
      </c>
      <c r="I2" s="24">
        <f t="shared" ca="1" si="1"/>
        <v>16.172106446681024</v>
      </c>
      <c r="J2" s="24">
        <f t="shared" ca="1" si="1"/>
        <v>13.475677875252451</v>
      </c>
      <c r="K2" s="71">
        <f ca="1">(J2*2+I2)/8</f>
        <v>5.3904327746482412</v>
      </c>
      <c r="L2" s="27">
        <f ca="1">E6</f>
        <v>4.555747194322004</v>
      </c>
      <c r="M2" s="27">
        <f ca="1">F6</f>
        <v>4.9864104657850046</v>
      </c>
      <c r="O2" t="str">
        <f>A2</f>
        <v>Cosme Fonteboa</v>
      </c>
      <c r="P2" s="24">
        <f t="shared" ref="P2:Q5" ca="1" si="2">I2</f>
        <v>16.172106446681024</v>
      </c>
      <c r="Q2" s="24">
        <f t="shared" ca="1" si="2"/>
        <v>13.475677875252451</v>
      </c>
      <c r="R2" s="71">
        <f ca="1">(Q2*2+P2)/8</f>
        <v>5.3904327746482412</v>
      </c>
      <c r="S2" s="27">
        <f ca="1">E2</f>
        <v>2.4274998747547518</v>
      </c>
      <c r="T2" s="27">
        <f ca="1">F2</f>
        <v>2.620126012781351</v>
      </c>
    </row>
    <row r="3" spans="1:20" x14ac:dyDescent="0.25">
      <c r="A3" t="str">
        <f>Plantilla!D5</f>
        <v>Nicolae Hornet</v>
      </c>
      <c r="B3" s="24">
        <f ca="1">Plantilla!Y5+Plantilla!N5+Plantilla!J5</f>
        <v>6.8013733275519757</v>
      </c>
      <c r="C3" s="24">
        <f ca="1">Plantilla!AB5+Plantilla!N5+Plantilla!J5</f>
        <v>2.4013733275519749</v>
      </c>
      <c r="D3" s="71">
        <f t="shared" ref="D3:D18" ca="1" si="3">(C3*2+B3)/8</f>
        <v>1.4505149978319907</v>
      </c>
      <c r="E3" s="24">
        <f ca="1">D3*Plantilla!R5</f>
        <v>1.2259089219652319</v>
      </c>
      <c r="F3" s="24">
        <f ca="1">D3*Plantilla!S5</f>
        <v>1.3417963767184797</v>
      </c>
      <c r="H3" s="27" t="str">
        <f t="shared" si="1"/>
        <v>Guillermo Pedrajas</v>
      </c>
      <c r="I3" s="24">
        <f t="shared" ca="1" si="1"/>
        <v>14.465702657341991</v>
      </c>
      <c r="J3" s="24">
        <f t="shared" ca="1" si="1"/>
        <v>13.083884475523808</v>
      </c>
      <c r="K3" s="71">
        <f ca="1">(J3*2+I3)/8</f>
        <v>5.0791839510487007</v>
      </c>
      <c r="L3" s="27">
        <f ca="1">E7</f>
        <v>5.0791839510487007</v>
      </c>
      <c r="M3" s="27">
        <f ca="1">F7</f>
        <v>5.0791839510487007</v>
      </c>
      <c r="O3" t="str">
        <f>A7</f>
        <v>Guillermo Pedrajas</v>
      </c>
      <c r="P3" s="24">
        <f t="shared" ca="1" si="2"/>
        <v>14.465702657341991</v>
      </c>
      <c r="Q3" s="24">
        <f t="shared" ca="1" si="2"/>
        <v>13.083884475523808</v>
      </c>
      <c r="R3" s="71">
        <f ca="1">(Q3*2+P3)/8</f>
        <v>5.0791839510487007</v>
      </c>
      <c r="S3" s="27">
        <f ca="1">E7</f>
        <v>5.0791839510487007</v>
      </c>
      <c r="T3" s="27">
        <f ca="1">F7</f>
        <v>5.0791839510487007</v>
      </c>
    </row>
    <row r="4" spans="1:20" x14ac:dyDescent="0.25">
      <c r="A4" t="str">
        <f>Plantilla!D6</f>
        <v>Miguel Fernández</v>
      </c>
      <c r="B4" s="24">
        <f ca="1">Plantilla!Y6+Plantilla!N6+Plantilla!J6</f>
        <v>17.371871553353213</v>
      </c>
      <c r="C4" s="24">
        <f ca="1">Plantilla!AB6+Plantilla!N6+Plantilla!J6</f>
        <v>10.683677108908766</v>
      </c>
      <c r="D4" s="71">
        <f t="shared" ca="1" si="3"/>
        <v>4.842403221396343</v>
      </c>
      <c r="E4" s="24">
        <f ca="1">D4*Plantilla!R6</f>
        <v>4.0925776856741942</v>
      </c>
      <c r="F4" s="24">
        <f ca="1">D4*Plantilla!S6</f>
        <v>4.4794566804142057</v>
      </c>
      <c r="H4" t="str">
        <f>A10</f>
        <v>Will Duffill</v>
      </c>
      <c r="I4" s="24">
        <f ca="1">B10</f>
        <v>15.126797386685675</v>
      </c>
      <c r="J4" s="24">
        <f ca="1">C10</f>
        <v>11.793464053352341</v>
      </c>
      <c r="K4" s="71">
        <f ca="1">(J4*2+I4)/8</f>
        <v>4.8392156866737945</v>
      </c>
      <c r="L4" s="27">
        <f ca="1">E10</f>
        <v>4.4802431498572286</v>
      </c>
      <c r="M4" s="27">
        <f ca="1">F10</f>
        <v>4.8357578686640892</v>
      </c>
      <c r="O4" t="str">
        <f>A4</f>
        <v>Miguel Fernández</v>
      </c>
      <c r="P4" s="24">
        <f t="shared" ca="1" si="2"/>
        <v>15.126797386685675</v>
      </c>
      <c r="Q4" s="24">
        <f t="shared" ca="1" si="2"/>
        <v>11.793464053352341</v>
      </c>
      <c r="R4" s="71">
        <f ca="1">(Q4*2+P4)/8</f>
        <v>4.8392156866737945</v>
      </c>
      <c r="S4" s="27">
        <f ca="1">E4</f>
        <v>4.0925776856741942</v>
      </c>
      <c r="T4" s="27">
        <f ca="1">F4</f>
        <v>4.4794566804142057</v>
      </c>
    </row>
    <row r="5" spans="1:20" x14ac:dyDescent="0.25">
      <c r="A5" t="str">
        <f>Plantilla!D7</f>
        <v>Iván Real Figueroa</v>
      </c>
      <c r="B5" s="24">
        <f ca="1">Plantilla!Y7+Plantilla!N7+Plantilla!J7</f>
        <v>17.505900252658993</v>
      </c>
      <c r="C5" s="24">
        <f ca="1">Plantilla!AB7+Plantilla!N7+Plantilla!J7</f>
        <v>10.320483585992326</v>
      </c>
      <c r="D5" s="71">
        <f t="shared" ca="1" si="3"/>
        <v>4.7683584280804556</v>
      </c>
      <c r="E5" s="24">
        <f ca="1">D5*Plantilla!R7</f>
        <v>4.4146420756367339</v>
      </c>
      <c r="F5" s="24">
        <f ca="1">D5*Plantilla!S7</f>
        <v>4.7649512404870711</v>
      </c>
      <c r="H5" s="27" t="str">
        <f>A8</f>
        <v>Venanci Oset</v>
      </c>
      <c r="I5" s="24">
        <f ca="1">B8</f>
        <v>16.244022252664337</v>
      </c>
      <c r="J5" s="24">
        <f ca="1">C8</f>
        <v>14.056522252664339</v>
      </c>
      <c r="K5" s="71">
        <f ca="1">(J5*2+I5)/8</f>
        <v>5.5446333447491263</v>
      </c>
      <c r="L5" s="27">
        <f ca="1">E8</f>
        <v>4.1913488403549843</v>
      </c>
      <c r="M5" s="27">
        <f ca="1">F8</f>
        <v>4.6813820463809064</v>
      </c>
      <c r="O5" s="27" t="str">
        <f>H5</f>
        <v>Venanci Oset</v>
      </c>
      <c r="P5" s="24">
        <f t="shared" ca="1" si="2"/>
        <v>16.244022252664337</v>
      </c>
      <c r="Q5" s="24">
        <f t="shared" ca="1" si="2"/>
        <v>14.056522252664339</v>
      </c>
      <c r="R5" s="71">
        <f ca="1">(Q5*2+P5)/8</f>
        <v>5.5446333447491263</v>
      </c>
      <c r="S5" s="27">
        <f ca="1">L5</f>
        <v>4.1913488403549843</v>
      </c>
      <c r="T5" s="27">
        <f ca="1">M5</f>
        <v>4.6813820463809064</v>
      </c>
    </row>
    <row r="6" spans="1:20" x14ac:dyDescent="0.25">
      <c r="A6" t="str">
        <f>Plantilla!D8</f>
        <v>Berto Abandero</v>
      </c>
      <c r="B6" s="24">
        <f ca="1">Plantilla!Y8+Plantilla!N8+Plantilla!J8</f>
        <v>16.172106446681024</v>
      </c>
      <c r="C6" s="24">
        <f ca="1">Plantilla!AB8+Plantilla!N8+Plantilla!J8</f>
        <v>13.475677875252451</v>
      </c>
      <c r="D6" s="71">
        <f t="shared" ca="1" si="3"/>
        <v>5.3904327746482412</v>
      </c>
      <c r="E6" s="24">
        <f ca="1">D6*Plantilla!R8</f>
        <v>4.555747194322004</v>
      </c>
      <c r="F6" s="24">
        <f ca="1">D6*Plantilla!S8</f>
        <v>4.9864104657850046</v>
      </c>
      <c r="H6" t="str">
        <f>A4</f>
        <v>Miguel Fernández</v>
      </c>
      <c r="I6" s="24">
        <f ca="1">B4</f>
        <v>17.371871553353213</v>
      </c>
      <c r="J6" s="24">
        <f ca="1">C4</f>
        <v>10.683677108908766</v>
      </c>
      <c r="K6" s="71">
        <f ca="1">(J6*2+I6)/8</f>
        <v>4.842403221396343</v>
      </c>
      <c r="L6" s="27">
        <f ca="1">E4</f>
        <v>4.0925776856741942</v>
      </c>
      <c r="M6" s="27">
        <f ca="1">F4</f>
        <v>4.4794566804142057</v>
      </c>
      <c r="R6" s="27"/>
      <c r="S6" s="24"/>
      <c r="T6" s="24"/>
    </row>
    <row r="7" spans="1:20" ht="18.75" x14ac:dyDescent="0.3">
      <c r="A7" t="str">
        <f>Plantilla!D9</f>
        <v>Guillermo Pedrajas</v>
      </c>
      <c r="B7" s="24">
        <f ca="1">Plantilla!Y9+Plantilla!N9+Plantilla!J9</f>
        <v>14.465702657341991</v>
      </c>
      <c r="C7" s="24">
        <f ca="1">Plantilla!AB9+Plantilla!N9+Plantilla!J9</f>
        <v>13.083884475523808</v>
      </c>
      <c r="D7" s="71">
        <f t="shared" ca="1" si="3"/>
        <v>5.0791839510487007</v>
      </c>
      <c r="E7" s="24">
        <f ca="1">D7*Plantilla!R9</f>
        <v>5.0791839510487007</v>
      </c>
      <c r="F7" s="24">
        <f ca="1">D7*Plantilla!S9</f>
        <v>5.0791839510487007</v>
      </c>
      <c r="K7" s="101">
        <f ca="1">SUM(K2:K6)</f>
        <v>25.695868978516206</v>
      </c>
      <c r="L7" s="101">
        <f ca="1">SUM(L2:L6)</f>
        <v>22.399100821257111</v>
      </c>
      <c r="M7" s="101">
        <f ca="1">SUM(M2:M6)</f>
        <v>24.062191012292907</v>
      </c>
      <c r="N7" s="101"/>
      <c r="O7" s="101"/>
      <c r="P7" s="101"/>
      <c r="Q7" s="101"/>
      <c r="R7" s="101">
        <f ca="1">SUM(R2:R6)</f>
        <v>20.853465757119864</v>
      </c>
      <c r="S7" s="101">
        <f ca="1">SUM(S2:S6)</f>
        <v>15.79061035183263</v>
      </c>
      <c r="T7" s="101">
        <f ca="1">SUM(T2:T6)</f>
        <v>16.860148690625163</v>
      </c>
    </row>
    <row r="8" spans="1:20" x14ac:dyDescent="0.25">
      <c r="A8" t="str">
        <f>Plantilla!D10</f>
        <v>Venanci Oset</v>
      </c>
      <c r="B8" s="24">
        <f ca="1">Plantilla!Y10+Plantilla!N10+Plantilla!J10</f>
        <v>16.244022252664337</v>
      </c>
      <c r="C8" s="24">
        <f ca="1">Plantilla!AB10+Plantilla!N10+Plantilla!J10</f>
        <v>14.056522252664339</v>
      </c>
      <c r="D8" s="71">
        <f t="shared" ca="1" si="3"/>
        <v>5.5446333447491263</v>
      </c>
      <c r="E8" s="24">
        <f ca="1">D8*Plantilla!R10</f>
        <v>4.1913488403549843</v>
      </c>
      <c r="F8" s="24">
        <f ca="1">D8*Plantilla!S10</f>
        <v>4.6813820463809064</v>
      </c>
      <c r="L8" s="2">
        <f ca="1">(K7-L7)/K7</f>
        <v>0.12829953951024017</v>
      </c>
      <c r="M8" s="2">
        <f ca="1">(K7-M7)/K7</f>
        <v>6.3577455488630655E-2</v>
      </c>
      <c r="R8" s="27"/>
    </row>
    <row r="9" spans="1:20" x14ac:dyDescent="0.25">
      <c r="A9" t="str">
        <f>Plantilla!D11</f>
        <v>Francesc Añigas</v>
      </c>
      <c r="B9" s="24">
        <f ca="1">Plantilla!Y11+Plantilla!N11+Plantilla!J11</f>
        <v>15.710130720019009</v>
      </c>
      <c r="C9" s="24">
        <f ca="1">Plantilla!AB11+Plantilla!N11+Plantilla!J11</f>
        <v>9.8767973866856753</v>
      </c>
      <c r="D9" s="71">
        <f t="shared" ca="1" si="3"/>
        <v>4.4329656866737945</v>
      </c>
      <c r="E9" s="24">
        <f ca="1">D9*Plantilla!R11</f>
        <v>3.7465398111578776</v>
      </c>
      <c r="F9" s="24">
        <f ca="1">D9*Plantilla!S11</f>
        <v>4.1007072008125505</v>
      </c>
    </row>
    <row r="10" spans="1:20" x14ac:dyDescent="0.25">
      <c r="A10" t="str">
        <f>Plantilla!D12</f>
        <v>Will Duffill</v>
      </c>
      <c r="B10" s="24">
        <f ca="1">Plantilla!Y12+Plantilla!N12+Plantilla!J12</f>
        <v>15.126797386685675</v>
      </c>
      <c r="C10" s="24">
        <f ca="1">Plantilla!AB12+Plantilla!N12+Plantilla!J12</f>
        <v>11.793464053352341</v>
      </c>
      <c r="D10" s="71">
        <f t="shared" ca="1" si="3"/>
        <v>4.8392156866737945</v>
      </c>
      <c r="E10" s="24">
        <f ca="1">D10*Plantilla!R12</f>
        <v>4.4802431498572286</v>
      </c>
      <c r="F10" s="24">
        <f ca="1">D10*Plantilla!S12</f>
        <v>4.8357578686640892</v>
      </c>
      <c r="H10" s="27"/>
      <c r="I10" s="27"/>
      <c r="J10" s="27"/>
    </row>
    <row r="11" spans="1:20" x14ac:dyDescent="0.25">
      <c r="A11" t="str">
        <f>Plantilla!D13</f>
        <v>Valeri Gomis</v>
      </c>
      <c r="B11" s="24">
        <f ca="1">Plantilla!Y13+Plantilla!N13+Plantilla!J13</f>
        <v>14.58134284123113</v>
      </c>
      <c r="C11" s="24">
        <f ca="1">Plantilla!AB13+Plantilla!N13+Plantilla!J13</f>
        <v>11.126797386685675</v>
      </c>
      <c r="D11" s="71">
        <f t="shared" ca="1" si="3"/>
        <v>4.6043672018253101</v>
      </c>
      <c r="E11" s="24">
        <f ca="1">D11*Plantilla!R13</f>
        <v>3.4805744459577466</v>
      </c>
      <c r="F11" s="24">
        <f ca="1">D11*Plantilla!S13</f>
        <v>3.8875071827757393</v>
      </c>
    </row>
    <row r="12" spans="1:20" x14ac:dyDescent="0.25">
      <c r="A12" t="str">
        <f>Plantilla!D14</f>
        <v>Enrique Cubas</v>
      </c>
      <c r="B12" s="24">
        <f>Plantilla!Y14+Plantilla!N14+Plantilla!J14</f>
        <v>14.151097146827274</v>
      </c>
      <c r="C12" s="24">
        <f>Plantilla!AB14+Plantilla!N14+Plantilla!J14</f>
        <v>11.651097146827274</v>
      </c>
      <c r="D12" s="71">
        <f t="shared" si="3"/>
        <v>4.6816614300602275</v>
      </c>
      <c r="E12" s="24">
        <f>D12*Plantilla!R14</f>
        <v>4.3343762522796654</v>
      </c>
      <c r="F12" s="24">
        <f>D12*Plantilla!S14</f>
        <v>4.6783161910263926</v>
      </c>
      <c r="H12" s="102" t="s">
        <v>609</v>
      </c>
      <c r="I12" s="102" t="s">
        <v>195</v>
      </c>
      <c r="J12" s="102" t="s">
        <v>198</v>
      </c>
      <c r="K12" s="103" t="s">
        <v>608</v>
      </c>
      <c r="L12" s="103" t="s">
        <v>591</v>
      </c>
      <c r="M12" s="103" t="s">
        <v>592</v>
      </c>
      <c r="O12" s="102" t="s">
        <v>609</v>
      </c>
      <c r="P12" s="102" t="s">
        <v>195</v>
      </c>
      <c r="Q12" s="102" t="s">
        <v>198</v>
      </c>
      <c r="R12" s="102" t="str">
        <f>K12</f>
        <v>N_CA</v>
      </c>
      <c r="S12" s="103" t="s">
        <v>591</v>
      </c>
      <c r="T12" s="103" t="s">
        <v>592</v>
      </c>
    </row>
    <row r="13" spans="1:20" x14ac:dyDescent="0.25">
      <c r="A13" t="str">
        <f>Plantilla!D15</f>
        <v>J. G. Peñuela</v>
      </c>
      <c r="B13" s="24">
        <f ca="1">Plantilla!Y15+Plantilla!N15+Plantilla!J15</f>
        <v>13.883884475523809</v>
      </c>
      <c r="C13" s="24">
        <f ca="1">Plantilla!AB15+Plantilla!N15+Plantilla!J15</f>
        <v>10.083884475523808</v>
      </c>
      <c r="D13" s="71">
        <f t="shared" ca="1" si="3"/>
        <v>4.2564566783214284</v>
      </c>
      <c r="E13" s="24">
        <f ca="1">D13*Plantilla!R15</f>
        <v>3.9407131466010874</v>
      </c>
      <c r="F13" s="24">
        <f ca="1">D13*Plantilla!S15</f>
        <v>4.2534152655155557</v>
      </c>
      <c r="H13" s="27" t="str">
        <f t="shared" ref="H13:J17" si="4">H2</f>
        <v>Berto Abandero</v>
      </c>
      <c r="I13" s="24">
        <f t="shared" ca="1" si="4"/>
        <v>16.172106446681024</v>
      </c>
      <c r="J13" s="24">
        <f t="shared" ca="1" si="4"/>
        <v>13.475677875252451</v>
      </c>
      <c r="K13" s="71">
        <f ca="1">(J13*2+I13)/8</f>
        <v>5.3904327746482412</v>
      </c>
      <c r="L13" s="27">
        <f ca="1">K13*(1-$L$8)</f>
        <v>4.6988427318999655</v>
      </c>
      <c r="M13" s="27">
        <f ca="1">K13*(1-$M$8)</f>
        <v>5.0477227748535869</v>
      </c>
      <c r="O13" s="27" t="str">
        <f t="shared" ref="O13:Q16" si="5">H13</f>
        <v>Berto Abandero</v>
      </c>
      <c r="P13" s="27">
        <f t="shared" ca="1" si="5"/>
        <v>16.172106446681024</v>
      </c>
      <c r="Q13" s="27">
        <f t="shared" ca="1" si="5"/>
        <v>13.475677875252451</v>
      </c>
      <c r="R13" s="71">
        <f ca="1">(Q13*2+P13)/8</f>
        <v>5.3904327746482412</v>
      </c>
      <c r="S13" s="27">
        <f t="shared" ref="S13:T16" ca="1" si="6">L13</f>
        <v>4.6988427318999655</v>
      </c>
      <c r="T13" s="27">
        <f t="shared" ca="1" si="6"/>
        <v>5.0477227748535869</v>
      </c>
    </row>
    <row r="14" spans="1:20" x14ac:dyDescent="0.25">
      <c r="A14" t="str">
        <f>Plantilla!D16</f>
        <v>Julian Gräbitz</v>
      </c>
      <c r="B14" s="24">
        <f ca="1">Plantilla!Y16+Plantilla!N16+Plantilla!J16</f>
        <v>14.436921659941166</v>
      </c>
      <c r="C14" s="24">
        <f ca="1">Plantilla!AB16+Plantilla!N16+Plantilla!J16</f>
        <v>10.512679235698741</v>
      </c>
      <c r="D14" s="71">
        <f t="shared" ca="1" si="3"/>
        <v>4.4327850164173306</v>
      </c>
      <c r="E14" s="24">
        <f ca="1">D14*Plantilla!R16</f>
        <v>4.1039614661697641</v>
      </c>
      <c r="F14" s="24">
        <f ca="1">D14*Plantilla!S16</f>
        <v>4.4296176097846542</v>
      </c>
      <c r="H14" s="27" t="str">
        <f t="shared" si="4"/>
        <v>Guillermo Pedrajas</v>
      </c>
      <c r="I14" s="24">
        <f t="shared" ca="1" si="4"/>
        <v>14.465702657341991</v>
      </c>
      <c r="J14" s="24">
        <f t="shared" ca="1" si="4"/>
        <v>13.083884475523808</v>
      </c>
      <c r="K14" s="71">
        <f ca="1">(J14*2+I14)/8</f>
        <v>5.0791839510487007</v>
      </c>
      <c r="L14" s="27">
        <f ca="1">K14*(1-$L$8)</f>
        <v>4.4275269890413496</v>
      </c>
      <c r="M14" s="27">
        <f ca="1">K14*(1-$M$8)</f>
        <v>4.7562623594823341</v>
      </c>
      <c r="O14" s="27" t="str">
        <f t="shared" si="5"/>
        <v>Guillermo Pedrajas</v>
      </c>
      <c r="P14" s="27">
        <f t="shared" ca="1" si="5"/>
        <v>14.465702657341991</v>
      </c>
      <c r="Q14" s="27">
        <f t="shared" ca="1" si="5"/>
        <v>13.083884475523808</v>
      </c>
      <c r="R14" s="71">
        <f ca="1">(Q14*2+P14)/8</f>
        <v>5.0791839510487007</v>
      </c>
      <c r="S14" s="27">
        <f t="shared" ca="1" si="6"/>
        <v>4.4275269890413496</v>
      </c>
      <c r="T14" s="27">
        <f t="shared" ca="1" si="6"/>
        <v>4.7562623594823341</v>
      </c>
    </row>
    <row r="15" spans="1:20" x14ac:dyDescent="0.25">
      <c r="A15" t="str">
        <f>Plantilla!D17</f>
        <v>Ryan Clarke</v>
      </c>
      <c r="B15" s="24">
        <f ca="1">Plantilla!Y17+Plantilla!N17+Plantilla!J17</f>
        <v>13.166748351188934</v>
      </c>
      <c r="C15" s="24">
        <f ca="1">Plantilla!AB17+Plantilla!N17+Plantilla!J17</f>
        <v>15.166748351188934</v>
      </c>
      <c r="D15" s="71">
        <f t="shared" ca="1" si="3"/>
        <v>5.43753063169585</v>
      </c>
      <c r="E15" s="24">
        <f ca="1">D15*Plantilla!R17</f>
        <v>5.43753063169585</v>
      </c>
      <c r="F15" s="24">
        <f ca="1">D15*Plantilla!S17</f>
        <v>5.43753063169585</v>
      </c>
      <c r="H15" s="27" t="str">
        <f t="shared" si="4"/>
        <v>Will Duffill</v>
      </c>
      <c r="I15" s="24">
        <f t="shared" ca="1" si="4"/>
        <v>15.126797386685675</v>
      </c>
      <c r="J15" s="24">
        <f t="shared" ca="1" si="4"/>
        <v>11.793464053352341</v>
      </c>
      <c r="K15" s="71">
        <f ca="1">(J15*2+I15)/8</f>
        <v>4.8392156866737945</v>
      </c>
      <c r="L15" s="27">
        <f ca="1">K15*(1-$L$8)</f>
        <v>4.2183465424828155</v>
      </c>
      <c r="M15" s="27">
        <f ca="1">K15*(1-$M$8)</f>
        <v>4.5315506667544083</v>
      </c>
      <c r="O15" s="27" t="str">
        <f t="shared" si="5"/>
        <v>Will Duffill</v>
      </c>
      <c r="P15" s="27">
        <f t="shared" ca="1" si="5"/>
        <v>15.126797386685675</v>
      </c>
      <c r="Q15" s="27">
        <f t="shared" ca="1" si="5"/>
        <v>11.793464053352341</v>
      </c>
      <c r="R15" s="71">
        <f ca="1">(Q15*2+P15)/8</f>
        <v>4.8392156866737945</v>
      </c>
      <c r="S15" s="27">
        <f t="shared" ca="1" si="6"/>
        <v>4.2183465424828155</v>
      </c>
      <c r="T15" s="27">
        <f t="shared" ca="1" si="6"/>
        <v>4.5315506667544083</v>
      </c>
    </row>
    <row r="16" spans="1:20" x14ac:dyDescent="0.25">
      <c r="A16" t="str">
        <f>Plantilla!D18</f>
        <v>Renato Galeano</v>
      </c>
      <c r="B16" s="24">
        <f ca="1">Plantilla!Y18+Plantilla!N18+Plantilla!J18</f>
        <v>4.1267973866856753</v>
      </c>
      <c r="C16" s="24">
        <f ca="1">Plantilla!AB18+Plantilla!N18+Plantilla!J18</f>
        <v>9.1267973866856753</v>
      </c>
      <c r="D16" s="71">
        <f t="shared" ca="1" si="3"/>
        <v>2.7975490200071285</v>
      </c>
      <c r="E16" s="24">
        <f ca="1">D16*Plantilla!R18</f>
        <v>2.5900271128216033</v>
      </c>
      <c r="F16" s="24">
        <f ca="1">D16*Plantilla!S18</f>
        <v>2.7955500565364457</v>
      </c>
      <c r="H16" s="27" t="str">
        <f t="shared" si="4"/>
        <v>Venanci Oset</v>
      </c>
      <c r="I16" s="24">
        <f t="shared" ca="1" si="4"/>
        <v>16.244022252664337</v>
      </c>
      <c r="J16" s="24">
        <f t="shared" ca="1" si="4"/>
        <v>14.056522252664339</v>
      </c>
      <c r="K16" s="71">
        <f ca="1">(J16*2+I16)/8</f>
        <v>5.5446333447491263</v>
      </c>
      <c r="L16" s="27">
        <f ca="1">K16*(1-$L$8)</f>
        <v>4.8332594398646904</v>
      </c>
      <c r="M16" s="27">
        <f ca="1">K16*(1-$M$8)</f>
        <v>5.1921196650725614</v>
      </c>
      <c r="O16" s="27" t="str">
        <f t="shared" si="5"/>
        <v>Venanci Oset</v>
      </c>
      <c r="P16" s="27">
        <f t="shared" ca="1" si="5"/>
        <v>16.244022252664337</v>
      </c>
      <c r="Q16" s="27">
        <f t="shared" ca="1" si="5"/>
        <v>14.056522252664339</v>
      </c>
      <c r="R16" s="71">
        <f ca="1">(Q16*2+P16)/8</f>
        <v>5.5446333447491263</v>
      </c>
      <c r="S16" s="27">
        <f t="shared" ca="1" si="6"/>
        <v>4.8332594398646904</v>
      </c>
      <c r="T16" s="27">
        <f t="shared" ca="1" si="6"/>
        <v>5.1921196650725614</v>
      </c>
    </row>
    <row r="17" spans="1:20" x14ac:dyDescent="0.25">
      <c r="A17" t="str">
        <f>Plantilla!D19</f>
        <v>Tommaso Niscola</v>
      </c>
      <c r="B17" s="24">
        <f ca="1">Plantilla!Y19+Plantilla!N19+Plantilla!J19</f>
        <v>5.174271901071867</v>
      </c>
      <c r="C17" s="24">
        <f ca="1">Plantilla!AB19+Plantilla!N19+Plantilla!J19</f>
        <v>15.174271901071869</v>
      </c>
      <c r="D17" s="71">
        <f t="shared" ca="1" si="3"/>
        <v>4.4403519629019508</v>
      </c>
      <c r="E17" s="24">
        <f ca="1">D17*Plantilla!R19</f>
        <v>4.1109670973191283</v>
      </c>
      <c r="F17" s="24">
        <f ca="1">D17*Plantilla!S19</f>
        <v>4.4371791493757762</v>
      </c>
      <c r="H17" s="27" t="str">
        <f t="shared" si="4"/>
        <v>Miguel Fernández</v>
      </c>
      <c r="I17" s="24">
        <f t="shared" ca="1" si="4"/>
        <v>17.371871553353213</v>
      </c>
      <c r="J17" s="24">
        <f t="shared" ca="1" si="4"/>
        <v>10.683677108908766</v>
      </c>
      <c r="K17" s="71">
        <f ca="1">(J17*2+I17)/8</f>
        <v>4.842403221396343</v>
      </c>
      <c r="L17" s="27">
        <f ca="1">K17*(1-$L$8)</f>
        <v>4.2211251179682883</v>
      </c>
      <c r="M17" s="27">
        <f ca="1">K17*(1-$M$8)</f>
        <v>4.534535546130015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4.8836771089087652</v>
      </c>
      <c r="C18" s="24">
        <f ca="1">Plantilla!AB20+Plantilla!N20+Plantilla!J20</f>
        <v>14.105899331130987</v>
      </c>
      <c r="D18" s="71">
        <f t="shared" ca="1" si="3"/>
        <v>4.1369344713963425</v>
      </c>
      <c r="E18" s="24">
        <f ca="1">D18*Plantilla!R20</f>
        <v>3.4963477700336854</v>
      </c>
      <c r="F18" s="24">
        <f ca="1">D18*Plantilla!S20</f>
        <v>3.8268640398327967</v>
      </c>
      <c r="K18" s="101">
        <f ca="1">SUM(K13:K17)</f>
        <v>25.695868978516206</v>
      </c>
      <c r="L18" s="101">
        <f ca="1">SUM(L13:L17)</f>
        <v>22.399100821257111</v>
      </c>
      <c r="M18" s="101">
        <f ca="1">SUM(M13:M17)</f>
        <v>24.062191012292907</v>
      </c>
      <c r="N18" s="101"/>
      <c r="O18" s="101"/>
      <c r="P18" s="101"/>
      <c r="Q18" s="101"/>
      <c r="R18" s="101">
        <f ca="1">SUM(R13:R17)</f>
        <v>20.853465757119864</v>
      </c>
      <c r="S18" s="101">
        <f ca="1">SUM(S13:S17)</f>
        <v>18.177975703288823</v>
      </c>
      <c r="T18" s="101">
        <f ca="1">SUM(T13:T17)</f>
        <v>19.527655466162891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219</v>
      </c>
      <c r="B1" s="43" t="s">
        <v>610</v>
      </c>
      <c r="C1" s="43" t="s">
        <v>611</v>
      </c>
      <c r="D1" s="43" t="s">
        <v>612</v>
      </c>
      <c r="E1" s="43" t="s">
        <v>613</v>
      </c>
      <c r="F1" s="43" t="s">
        <v>614</v>
      </c>
      <c r="G1" s="43" t="s">
        <v>615</v>
      </c>
      <c r="H1" s="43" t="s">
        <v>616</v>
      </c>
      <c r="J1" s="446" t="s">
        <v>617</v>
      </c>
      <c r="K1" t="s">
        <v>618</v>
      </c>
      <c r="L1" t="s">
        <v>619</v>
      </c>
      <c r="M1" t="s">
        <v>620</v>
      </c>
      <c r="N1" s="42" t="s">
        <v>621</v>
      </c>
    </row>
    <row r="2" spans="1:14" x14ac:dyDescent="0.25">
      <c r="A2" s="445">
        <v>43670</v>
      </c>
      <c r="B2" s="42" t="s">
        <v>433</v>
      </c>
      <c r="C2" s="42" t="s">
        <v>622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 s="447">
        <v>1</v>
      </c>
      <c r="L2" s="447">
        <v>7</v>
      </c>
      <c r="M2" s="447">
        <v>2</v>
      </c>
      <c r="N2" s="58">
        <f t="shared" ref="N2:N12" si="1">M2/L2</f>
        <v>0.2857142857142857</v>
      </c>
    </row>
    <row r="3" spans="1:14" x14ac:dyDescent="0.25">
      <c r="A3" s="445">
        <v>43617</v>
      </c>
      <c r="B3" s="42" t="s">
        <v>623</v>
      </c>
      <c r="C3" s="42" t="s">
        <v>433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 s="447">
        <v>3</v>
      </c>
      <c r="L3" s="447">
        <v>24</v>
      </c>
      <c r="M3" s="447">
        <v>8</v>
      </c>
      <c r="N3" s="58">
        <f t="shared" si="1"/>
        <v>0.33333333333333331</v>
      </c>
    </row>
    <row r="4" spans="1:14" x14ac:dyDescent="0.25">
      <c r="A4" s="445">
        <v>43684</v>
      </c>
      <c r="B4" s="42" t="s">
        <v>624</v>
      </c>
      <c r="C4" s="42" t="s">
        <v>433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 s="447">
        <v>20</v>
      </c>
      <c r="L4" s="447">
        <v>126</v>
      </c>
      <c r="M4" s="447">
        <v>51</v>
      </c>
      <c r="N4" s="58">
        <f t="shared" si="1"/>
        <v>0.40476190476190477</v>
      </c>
    </row>
    <row r="5" spans="1:14" x14ac:dyDescent="0.25">
      <c r="A5" s="445">
        <v>43691</v>
      </c>
      <c r="B5" s="42" t="s">
        <v>625</v>
      </c>
      <c r="C5" s="42" t="s">
        <v>433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 s="447">
        <v>14</v>
      </c>
      <c r="L5" s="447">
        <v>96</v>
      </c>
      <c r="M5" s="447">
        <v>37</v>
      </c>
      <c r="N5" s="58">
        <f t="shared" si="1"/>
        <v>0.38541666666666669</v>
      </c>
    </row>
    <row r="6" spans="1:14" x14ac:dyDescent="0.25">
      <c r="A6" s="445">
        <v>43680</v>
      </c>
      <c r="B6" s="42" t="s">
        <v>433</v>
      </c>
      <c r="C6" s="42" t="s">
        <v>626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 s="447">
        <v>22</v>
      </c>
      <c r="L6" s="447">
        <v>143</v>
      </c>
      <c r="M6" s="447">
        <v>50</v>
      </c>
      <c r="N6" s="58">
        <f t="shared" si="1"/>
        <v>0.34965034965034963</v>
      </c>
    </row>
    <row r="7" spans="1:14" x14ac:dyDescent="0.25">
      <c r="A7" s="445">
        <v>43677</v>
      </c>
      <c r="B7" s="42" t="s">
        <v>627</v>
      </c>
      <c r="C7" s="42" t="s">
        <v>433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 s="447">
        <v>32</v>
      </c>
      <c r="L7" s="447">
        <v>245</v>
      </c>
      <c r="M7" s="447">
        <v>102</v>
      </c>
      <c r="N7" s="58">
        <f t="shared" si="1"/>
        <v>0.41632653061224489</v>
      </c>
    </row>
    <row r="8" spans="1:14" x14ac:dyDescent="0.25">
      <c r="A8" s="445">
        <v>43642</v>
      </c>
      <c r="B8" s="42" t="s">
        <v>433</v>
      </c>
      <c r="C8" s="42" t="s">
        <v>628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 s="447">
        <v>14</v>
      </c>
      <c r="L8" s="447">
        <v>104</v>
      </c>
      <c r="M8" s="447">
        <v>42</v>
      </c>
      <c r="N8" s="58">
        <f t="shared" si="1"/>
        <v>0.40384615384615385</v>
      </c>
    </row>
    <row r="9" spans="1:14" x14ac:dyDescent="0.25">
      <c r="A9" s="445">
        <v>43641</v>
      </c>
      <c r="B9" s="42" t="s">
        <v>629</v>
      </c>
      <c r="C9" s="42" t="s">
        <v>433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>
        <v>21</v>
      </c>
      <c r="K9" s="447">
        <v>21</v>
      </c>
      <c r="L9" s="447">
        <v>182</v>
      </c>
      <c r="M9" s="447">
        <v>79</v>
      </c>
      <c r="N9" s="58">
        <f t="shared" si="1"/>
        <v>0.43406593406593408</v>
      </c>
    </row>
    <row r="10" spans="1:14" x14ac:dyDescent="0.25">
      <c r="A10" s="445">
        <v>43641</v>
      </c>
      <c r="B10" s="42" t="s">
        <v>433</v>
      </c>
      <c r="C10" s="42" t="s">
        <v>631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343">
        <v>22</v>
      </c>
      <c r="K10" s="447">
        <v>9</v>
      </c>
      <c r="L10" s="447">
        <v>67</v>
      </c>
      <c r="M10" s="447">
        <v>24</v>
      </c>
      <c r="N10" s="58">
        <f t="shared" si="1"/>
        <v>0.35820895522388058</v>
      </c>
    </row>
    <row r="11" spans="1:14" x14ac:dyDescent="0.25">
      <c r="A11" s="445">
        <v>43640</v>
      </c>
      <c r="B11" s="42" t="s">
        <v>632</v>
      </c>
      <c r="C11" s="42" t="s">
        <v>433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343">
        <v>23</v>
      </c>
      <c r="K11" s="447">
        <v>17</v>
      </c>
      <c r="L11" s="447">
        <v>132</v>
      </c>
      <c r="M11" s="447">
        <v>62</v>
      </c>
      <c r="N11" s="58">
        <f t="shared" si="1"/>
        <v>0.46969696969696972</v>
      </c>
    </row>
    <row r="12" spans="1:14" x14ac:dyDescent="0.25">
      <c r="A12" s="445">
        <v>43636</v>
      </c>
      <c r="B12" s="42" t="s">
        <v>633</v>
      </c>
      <c r="C12" s="42" t="s">
        <v>433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343">
        <v>24</v>
      </c>
      <c r="K12" s="447">
        <v>5</v>
      </c>
      <c r="L12" s="447">
        <v>42</v>
      </c>
      <c r="M12" s="447">
        <v>20</v>
      </c>
      <c r="N12" s="58">
        <f t="shared" si="1"/>
        <v>0.47619047619047616</v>
      </c>
    </row>
    <row r="13" spans="1:14" x14ac:dyDescent="0.25">
      <c r="A13" s="445">
        <v>43635</v>
      </c>
      <c r="B13" s="42" t="s">
        <v>433</v>
      </c>
      <c r="C13" s="42" t="s">
        <v>634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343" t="s">
        <v>630</v>
      </c>
      <c r="K13" s="447">
        <v>158</v>
      </c>
      <c r="L13" s="447">
        <v>1168</v>
      </c>
      <c r="M13" s="447">
        <v>477</v>
      </c>
      <c r="N13" s="58"/>
    </row>
    <row r="14" spans="1:14" x14ac:dyDescent="0.25">
      <c r="A14" s="445">
        <v>43635</v>
      </c>
      <c r="B14" s="42" t="s">
        <v>433</v>
      </c>
      <c r="C14" s="42" t="s">
        <v>635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445">
        <v>43634</v>
      </c>
      <c r="B15" s="42" t="s">
        <v>636</v>
      </c>
      <c r="C15" s="42" t="s">
        <v>433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445">
        <v>43634</v>
      </c>
      <c r="B16" s="42" t="s">
        <v>637</v>
      </c>
      <c r="C16" s="42" t="s">
        <v>433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445">
        <v>43633</v>
      </c>
      <c r="B17" s="42" t="s">
        <v>433</v>
      </c>
      <c r="C17" s="42" t="s">
        <v>638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445">
        <v>43633</v>
      </c>
      <c r="B18" s="42" t="s">
        <v>433</v>
      </c>
      <c r="C18" s="42" t="s">
        <v>639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445">
        <v>43624</v>
      </c>
      <c r="B19" s="42" t="s">
        <v>640</v>
      </c>
      <c r="C19" s="42" t="s">
        <v>433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445">
        <v>43617</v>
      </c>
      <c r="B20" s="42" t="s">
        <v>641</v>
      </c>
      <c r="C20" s="42" t="s">
        <v>433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445">
        <v>43615</v>
      </c>
      <c r="B21" s="42" t="s">
        <v>433</v>
      </c>
      <c r="C21" s="42" t="s">
        <v>642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445">
        <v>43610</v>
      </c>
      <c r="B22" s="42" t="s">
        <v>433</v>
      </c>
      <c r="C22" s="42" t="s">
        <v>643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445">
        <v>43602</v>
      </c>
      <c r="B23" s="42" t="s">
        <v>644</v>
      </c>
      <c r="C23" s="42" t="s">
        <v>433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445">
        <v>43550</v>
      </c>
      <c r="B24" s="42" t="s">
        <v>645</v>
      </c>
      <c r="C24" s="42" t="s">
        <v>433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445">
        <v>43644</v>
      </c>
      <c r="B25" s="42" t="s">
        <v>433</v>
      </c>
      <c r="C25" s="42" t="s">
        <v>646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445">
        <v>43643</v>
      </c>
      <c r="B26" s="42" t="s">
        <v>647</v>
      </c>
      <c r="C26" s="42" t="s">
        <v>433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445">
        <v>43643</v>
      </c>
      <c r="B27" s="42" t="s">
        <v>433</v>
      </c>
      <c r="C27" s="42" t="s">
        <v>648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445">
        <v>43643</v>
      </c>
      <c r="B28" s="42" t="s">
        <v>649</v>
      </c>
      <c r="C28" s="42" t="s">
        <v>433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445">
        <v>43642</v>
      </c>
      <c r="B29" s="42" t="s">
        <v>650</v>
      </c>
      <c r="C29" s="42" t="s">
        <v>433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445">
        <v>43641</v>
      </c>
      <c r="B30" s="42" t="s">
        <v>433</v>
      </c>
      <c r="C30" s="42" t="s">
        <v>651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445">
        <v>43636</v>
      </c>
      <c r="B31" s="42" t="s">
        <v>652</v>
      </c>
      <c r="C31" s="42" t="s">
        <v>433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445">
        <v>43603</v>
      </c>
      <c r="B32" s="42" t="s">
        <v>653</v>
      </c>
      <c r="C32" s="42" t="s">
        <v>433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445">
        <v>43596</v>
      </c>
      <c r="B33" s="42" t="s">
        <v>433</v>
      </c>
      <c r="C33" s="42" t="s">
        <v>626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445">
        <v>43589</v>
      </c>
      <c r="B34" s="42" t="s">
        <v>654</v>
      </c>
      <c r="C34" s="42" t="s">
        <v>433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445">
        <v>43547</v>
      </c>
      <c r="B35" s="42" t="s">
        <v>433</v>
      </c>
      <c r="C35" s="42" t="s">
        <v>640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445">
        <v>43540</v>
      </c>
      <c r="B36" s="42" t="s">
        <v>655</v>
      </c>
      <c r="C36" s="42" t="s">
        <v>433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445">
        <v>43537</v>
      </c>
      <c r="B37" s="42" t="s">
        <v>656</v>
      </c>
      <c r="C37" s="42" t="s">
        <v>433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445">
        <v>43704</v>
      </c>
      <c r="B38" s="42" t="s">
        <v>433</v>
      </c>
      <c r="C38" s="42" t="s">
        <v>657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445">
        <v>43656</v>
      </c>
      <c r="B39" s="42" t="s">
        <v>658</v>
      </c>
      <c r="C39" s="42" t="s">
        <v>433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445">
        <v>43656</v>
      </c>
      <c r="B40" s="42" t="s">
        <v>433</v>
      </c>
      <c r="C40" s="42" t="s">
        <v>659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445">
        <v>43655</v>
      </c>
      <c r="B41" s="42" t="s">
        <v>433</v>
      </c>
      <c r="C41" s="42" t="s">
        <v>660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445">
        <v>43582</v>
      </c>
      <c r="B42" s="42" t="s">
        <v>433</v>
      </c>
      <c r="C42" s="42" t="s">
        <v>654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445">
        <v>43575</v>
      </c>
      <c r="B43" s="42" t="s">
        <v>626</v>
      </c>
      <c r="C43" s="42" t="s">
        <v>433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445">
        <v>43568</v>
      </c>
      <c r="B44" s="42" t="s">
        <v>433</v>
      </c>
      <c r="C44" s="42" t="s">
        <v>653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445">
        <v>43561</v>
      </c>
      <c r="B45" s="42" t="s">
        <v>643</v>
      </c>
      <c r="C45" s="42" t="s">
        <v>433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445">
        <v>43554</v>
      </c>
      <c r="B46" s="42" t="s">
        <v>433</v>
      </c>
      <c r="C46" s="42" t="s">
        <v>641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445">
        <v>43687</v>
      </c>
      <c r="B47" s="42" t="s">
        <v>661</v>
      </c>
      <c r="C47" s="42" t="s">
        <v>433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445">
        <v>43701</v>
      </c>
      <c r="B48" s="42" t="s">
        <v>433</v>
      </c>
      <c r="C48" s="42" t="s">
        <v>662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445">
        <v>43666</v>
      </c>
      <c r="B49" s="42" t="s">
        <v>640</v>
      </c>
      <c r="C49" s="42" t="s">
        <v>433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445">
        <v>43657</v>
      </c>
      <c r="B50" s="42" t="s">
        <v>433</v>
      </c>
      <c r="C50" s="42" t="s">
        <v>663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445">
        <v>43652</v>
      </c>
      <c r="B51" s="42" t="s">
        <v>433</v>
      </c>
      <c r="C51" s="42" t="s">
        <v>664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445">
        <v>43677</v>
      </c>
      <c r="B52" s="42" t="s">
        <v>433</v>
      </c>
      <c r="C52" s="42" t="s">
        <v>665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445">
        <v>43672</v>
      </c>
      <c r="B53" s="42" t="s">
        <v>666</v>
      </c>
      <c r="C53" s="42" t="s">
        <v>433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445">
        <v>43663</v>
      </c>
      <c r="B54" s="42" t="s">
        <v>433</v>
      </c>
      <c r="C54" s="42" t="s">
        <v>667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445">
        <v>43708</v>
      </c>
      <c r="B55" s="42" t="s">
        <v>433</v>
      </c>
      <c r="C55" s="42" t="s">
        <v>668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445">
        <v>43711</v>
      </c>
      <c r="B56" s="42" t="s">
        <v>669</v>
      </c>
      <c r="C56" s="42" t="s">
        <v>433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445">
        <v>43713</v>
      </c>
      <c r="B57" s="42" t="s">
        <v>433</v>
      </c>
      <c r="C57" s="42" t="s">
        <v>670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445">
        <v>43713</v>
      </c>
      <c r="B58" s="42" t="s">
        <v>433</v>
      </c>
      <c r="C58" s="42" t="s">
        <v>671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445">
        <v>43715</v>
      </c>
      <c r="B59" s="42" t="s">
        <v>626</v>
      </c>
      <c r="C59" s="42" t="s">
        <v>433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445">
        <v>43717</v>
      </c>
      <c r="B60" s="42" t="s">
        <v>433</v>
      </c>
      <c r="C60" s="42" t="s">
        <v>672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445">
        <v>43719</v>
      </c>
      <c r="B61" s="42" t="s">
        <v>673</v>
      </c>
      <c r="C61" s="42" t="s">
        <v>433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445">
        <v>43722</v>
      </c>
      <c r="B62" s="42" t="s">
        <v>655</v>
      </c>
      <c r="C62" s="42" t="s">
        <v>433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445">
        <v>43724</v>
      </c>
      <c r="B63" s="42" t="s">
        <v>433</v>
      </c>
      <c r="C63" s="42" t="s">
        <v>674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445">
        <v>43731</v>
      </c>
      <c r="B64" s="42" t="s">
        <v>675</v>
      </c>
      <c r="C64" s="42" t="s">
        <v>433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445">
        <v>43736</v>
      </c>
      <c r="B65" s="42" t="s">
        <v>676</v>
      </c>
      <c r="C65" s="42" t="s">
        <v>433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445">
        <v>43738</v>
      </c>
      <c r="B66" s="42" t="s">
        <v>433</v>
      </c>
      <c r="C66" s="42" t="s">
        <v>677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59" si="5">G66/F66</f>
        <v>0.55555555555555558</v>
      </c>
    </row>
    <row r="67" spans="1:8" x14ac:dyDescent="0.25">
      <c r="A67" s="445">
        <v>43739</v>
      </c>
      <c r="B67" s="42" t="s">
        <v>678</v>
      </c>
      <c r="C67" s="42" t="s">
        <v>433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445">
        <v>43742</v>
      </c>
      <c r="B68" s="42" t="s">
        <v>433</v>
      </c>
      <c r="C68" s="42" t="s">
        <v>679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445">
        <v>43743</v>
      </c>
      <c r="B69" s="42" t="s">
        <v>678</v>
      </c>
      <c r="C69" s="42" t="s">
        <v>433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445">
        <v>43745</v>
      </c>
      <c r="B70" s="42" t="s">
        <v>680</v>
      </c>
      <c r="C70" s="42" t="s">
        <v>433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445">
        <v>43745</v>
      </c>
      <c r="B71" s="42" t="s">
        <v>681</v>
      </c>
      <c r="C71" s="42" t="s">
        <v>433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445">
        <v>43745</v>
      </c>
      <c r="B72" s="42" t="s">
        <v>433</v>
      </c>
      <c r="C72" s="42" t="s">
        <v>682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445">
        <v>43745</v>
      </c>
      <c r="B73" s="42" t="s">
        <v>433</v>
      </c>
      <c r="C73" s="42" t="s">
        <v>683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445">
        <v>43746</v>
      </c>
      <c r="B74" s="42" t="s">
        <v>684</v>
      </c>
      <c r="C74" s="42" t="s">
        <v>433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445">
        <v>43746</v>
      </c>
      <c r="B75" s="42" t="s">
        <v>685</v>
      </c>
      <c r="C75" s="42" t="s">
        <v>433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445">
        <v>43747</v>
      </c>
      <c r="B76" s="42" t="s">
        <v>686</v>
      </c>
      <c r="C76" s="42" t="s">
        <v>433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445">
        <v>43748</v>
      </c>
      <c r="B77" s="42" t="s">
        <v>433</v>
      </c>
      <c r="C77" s="42" t="s">
        <v>687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445">
        <v>43748</v>
      </c>
      <c r="B78" s="42" t="s">
        <v>433</v>
      </c>
      <c r="C78" s="42" t="s">
        <v>688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445">
        <v>43748</v>
      </c>
      <c r="B79" s="42" t="s">
        <v>433</v>
      </c>
      <c r="C79" s="42" t="s">
        <v>689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445">
        <v>43753</v>
      </c>
      <c r="B80" s="42" t="s">
        <v>690</v>
      </c>
      <c r="C80" s="42" t="s">
        <v>433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445">
        <v>43753</v>
      </c>
      <c r="B81" s="42" t="s">
        <v>691</v>
      </c>
      <c r="C81" s="42" t="s">
        <v>433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445">
        <v>43753</v>
      </c>
      <c r="B82" s="42" t="s">
        <v>692</v>
      </c>
      <c r="C82" s="42" t="s">
        <v>433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445">
        <v>43754</v>
      </c>
      <c r="B83" s="42" t="s">
        <v>433</v>
      </c>
      <c r="C83" s="42" t="s">
        <v>693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445">
        <v>43754</v>
      </c>
      <c r="B84" s="42" t="s">
        <v>694</v>
      </c>
      <c r="C84" s="42" t="s">
        <v>433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445">
        <v>43754</v>
      </c>
      <c r="B85" s="42" t="s">
        <v>433</v>
      </c>
      <c r="C85" s="42" t="s">
        <v>695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445">
        <v>43755</v>
      </c>
      <c r="B86" s="42" t="s">
        <v>433</v>
      </c>
      <c r="C86" s="42" t="s">
        <v>696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445">
        <v>43764</v>
      </c>
      <c r="B87" s="42" t="s">
        <v>433</v>
      </c>
      <c r="C87" s="42" t="s">
        <v>439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445">
        <v>43771</v>
      </c>
      <c r="B88" s="42" t="s">
        <v>447</v>
      </c>
      <c r="C88" s="42" t="s">
        <v>433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445">
        <v>43773</v>
      </c>
      <c r="B89" s="42" t="s">
        <v>920</v>
      </c>
      <c r="C89" s="42" t="s">
        <v>433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445">
        <v>43775</v>
      </c>
      <c r="B90" s="42" t="s">
        <v>921</v>
      </c>
      <c r="C90" s="42" t="s">
        <v>433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445">
        <v>43781</v>
      </c>
      <c r="B91" s="42" t="s">
        <v>922</v>
      </c>
      <c r="C91" s="42" t="s">
        <v>433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445">
        <v>43782</v>
      </c>
      <c r="B92" s="42" t="s">
        <v>433</v>
      </c>
      <c r="C92" s="42" t="s">
        <v>923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445">
        <v>43785</v>
      </c>
      <c r="B93" s="42" t="s">
        <v>454</v>
      </c>
      <c r="C93" s="42" t="s">
        <v>433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445">
        <v>43787</v>
      </c>
      <c r="B94" s="42" t="s">
        <v>671</v>
      </c>
      <c r="C94" s="42" t="s">
        <v>433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445">
        <v>43789</v>
      </c>
      <c r="B95" s="42" t="s">
        <v>433</v>
      </c>
      <c r="C95" s="42" t="s">
        <v>924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445">
        <v>43792</v>
      </c>
      <c r="B96" s="42" t="s">
        <v>433</v>
      </c>
      <c r="C96" s="42" t="s">
        <v>459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445">
        <v>43794</v>
      </c>
      <c r="B97" s="42" t="s">
        <v>433</v>
      </c>
      <c r="C97" s="42" t="s">
        <v>925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445">
        <v>43796</v>
      </c>
      <c r="B98" s="42" t="s">
        <v>433</v>
      </c>
      <c r="C98" s="42" t="s">
        <v>926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445">
        <v>43796</v>
      </c>
      <c r="B99" s="42" t="s">
        <v>922</v>
      </c>
      <c r="C99" s="42" t="s">
        <v>433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445">
        <v>43799</v>
      </c>
      <c r="B100" s="42" t="s">
        <v>449</v>
      </c>
      <c r="C100" s="42" t="s">
        <v>433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445">
        <v>43800</v>
      </c>
      <c r="B101" s="42" t="s">
        <v>927</v>
      </c>
      <c r="C101" s="42" t="s">
        <v>433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445">
        <v>43803</v>
      </c>
      <c r="B102" s="42" t="s">
        <v>928</v>
      </c>
      <c r="C102" s="42" t="s">
        <v>433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445">
        <v>43804</v>
      </c>
      <c r="B103" s="42" t="s">
        <v>929</v>
      </c>
      <c r="C103" s="42" t="s">
        <v>433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445">
        <v>43806</v>
      </c>
      <c r="B104" s="42" t="s">
        <v>433</v>
      </c>
      <c r="C104" s="42" t="s">
        <v>443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445">
        <v>43810</v>
      </c>
      <c r="B105" s="42" t="s">
        <v>433</v>
      </c>
      <c r="C105" s="42" t="s">
        <v>930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445">
        <v>43820</v>
      </c>
      <c r="B106" s="42" t="s">
        <v>433</v>
      </c>
      <c r="C106" s="42" t="s">
        <v>449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445">
        <v>43827</v>
      </c>
      <c r="B107" s="42" t="s">
        <v>459</v>
      </c>
      <c r="C107" s="42" t="s">
        <v>433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445">
        <v>43837</v>
      </c>
      <c r="B108" s="42" t="s">
        <v>646</v>
      </c>
      <c r="C108" s="42" t="s">
        <v>433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445">
        <v>43841</v>
      </c>
      <c r="B109" s="42" t="s">
        <v>464</v>
      </c>
      <c r="C109" s="42" t="s">
        <v>433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445">
        <v>43841</v>
      </c>
      <c r="B110" s="42" t="s">
        <v>931</v>
      </c>
      <c r="C110" s="42" t="s">
        <v>433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445">
        <v>43848</v>
      </c>
      <c r="B111" s="42" t="s">
        <v>433</v>
      </c>
      <c r="C111" s="42" t="s">
        <v>447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445">
        <v>43854</v>
      </c>
      <c r="B112" s="42" t="s">
        <v>932</v>
      </c>
      <c r="C112" s="42" t="s">
        <v>433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445">
        <v>43855</v>
      </c>
      <c r="B113" s="42" t="s">
        <v>439</v>
      </c>
      <c r="C113" s="42" t="s">
        <v>433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445">
        <v>43862</v>
      </c>
      <c r="B114" s="42" t="s">
        <v>933</v>
      </c>
      <c r="C114" s="42" t="s">
        <v>433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445">
        <v>43880</v>
      </c>
      <c r="B115" s="42" t="s">
        <v>934</v>
      </c>
      <c r="C115" s="42" t="s">
        <v>433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445">
        <v>43883</v>
      </c>
      <c r="B116" s="42" t="s">
        <v>935</v>
      </c>
      <c r="C116" s="42" t="s">
        <v>433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445">
        <v>43887</v>
      </c>
      <c r="B117" s="42" t="s">
        <v>936</v>
      </c>
      <c r="C117" s="42" t="s">
        <v>433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445">
        <v>43890</v>
      </c>
      <c r="B118" s="42" t="s">
        <v>937</v>
      </c>
      <c r="C118" s="42" t="s">
        <v>433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445">
        <v>43897</v>
      </c>
      <c r="B119" s="42" t="s">
        <v>433</v>
      </c>
      <c r="C119" s="42" t="s">
        <v>938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445">
        <v>43901</v>
      </c>
      <c r="B120" s="42" t="s">
        <v>939</v>
      </c>
      <c r="C120" s="42" t="s">
        <v>433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445">
        <v>43904</v>
      </c>
      <c r="B121" s="42" t="s">
        <v>940</v>
      </c>
      <c r="C121" s="42" t="s">
        <v>433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445">
        <v>43908</v>
      </c>
      <c r="B122" s="42" t="s">
        <v>433</v>
      </c>
      <c r="C122" s="42" t="s">
        <v>941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445">
        <v>43910</v>
      </c>
      <c r="B123" s="42" t="s">
        <v>433</v>
      </c>
      <c r="C123" s="42" t="s">
        <v>942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445">
        <v>43911</v>
      </c>
      <c r="B124" s="42" t="s">
        <v>433</v>
      </c>
      <c r="C124" s="42" t="s">
        <v>943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445">
        <v>43911</v>
      </c>
      <c r="B125" s="42" t="s">
        <v>433</v>
      </c>
      <c r="C125" s="42" t="s">
        <v>944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445">
        <v>43913</v>
      </c>
      <c r="B126" s="42" t="s">
        <v>433</v>
      </c>
      <c r="C126" s="42" t="s">
        <v>945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445">
        <v>43915</v>
      </c>
      <c r="B127" s="42" t="s">
        <v>946</v>
      </c>
      <c r="C127" s="42" t="s">
        <v>433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445">
        <v>43916</v>
      </c>
      <c r="B128" s="42" t="s">
        <v>433</v>
      </c>
      <c r="C128" s="42" t="s">
        <v>947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445">
        <v>43916</v>
      </c>
      <c r="B129" s="42" t="s">
        <v>433</v>
      </c>
      <c r="C129" s="42" t="s">
        <v>948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445">
        <v>43918</v>
      </c>
      <c r="B130" s="42" t="s">
        <v>949</v>
      </c>
      <c r="C130" s="42" t="s">
        <v>433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445">
        <v>43925</v>
      </c>
      <c r="B131" s="42" t="s">
        <v>433</v>
      </c>
      <c r="C131" s="42" t="s">
        <v>949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445">
        <v>43929</v>
      </c>
      <c r="B132" s="42" t="s">
        <v>950</v>
      </c>
      <c r="C132" s="42" t="s">
        <v>433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445">
        <v>43932</v>
      </c>
      <c r="B133" s="42" t="s">
        <v>943</v>
      </c>
      <c r="C133" s="42" t="s">
        <v>433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445">
        <v>43939</v>
      </c>
      <c r="B134" s="42" t="s">
        <v>433</v>
      </c>
      <c r="C134" s="42" t="s">
        <v>951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445">
        <v>43943</v>
      </c>
      <c r="B135" s="42" t="s">
        <v>952</v>
      </c>
      <c r="C135" s="42" t="s">
        <v>433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445">
        <v>43946</v>
      </c>
      <c r="B136" s="42" t="s">
        <v>938</v>
      </c>
      <c r="C136" s="42" t="s">
        <v>433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445">
        <v>43949</v>
      </c>
      <c r="B137" s="42" t="s">
        <v>952</v>
      </c>
      <c r="C137" s="42" t="s">
        <v>433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445">
        <v>43953</v>
      </c>
      <c r="C138" s="42" t="s">
        <v>937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445">
        <v>43960</v>
      </c>
      <c r="C139" s="42" t="s">
        <v>935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445">
        <v>43967</v>
      </c>
      <c r="B140" s="42" t="s">
        <v>953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445">
        <v>43969</v>
      </c>
      <c r="C141" s="42" t="s">
        <v>954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445">
        <v>43970</v>
      </c>
      <c r="B142" s="42" t="s">
        <v>955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445">
        <v>43970</v>
      </c>
      <c r="B143" s="42" t="s">
        <v>956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445">
        <v>43971</v>
      </c>
      <c r="C144" s="42" t="s">
        <v>957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445">
        <v>43971</v>
      </c>
      <c r="B145" s="42" t="s">
        <v>958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445">
        <v>43972</v>
      </c>
      <c r="B146" s="42" t="s">
        <v>959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445">
        <v>43972</v>
      </c>
      <c r="C147" s="42" t="s">
        <v>960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445">
        <v>43972</v>
      </c>
      <c r="B148" s="42" t="s">
        <v>961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445">
        <v>43973</v>
      </c>
      <c r="B149" s="42" t="s">
        <v>962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445">
        <v>43976</v>
      </c>
      <c r="C150" s="42" t="s">
        <v>963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445">
        <v>43977</v>
      </c>
      <c r="C151" s="42" t="s">
        <v>964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445">
        <v>43977</v>
      </c>
      <c r="B152" s="42" t="s">
        <v>965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445">
        <v>43977</v>
      </c>
      <c r="B153" s="42" t="s">
        <v>966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445">
        <v>43978</v>
      </c>
      <c r="C154" s="42" t="s">
        <v>967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445">
        <v>43978</v>
      </c>
      <c r="B155" s="42" t="s">
        <v>968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445">
        <v>43978</v>
      </c>
      <c r="C156" s="42" t="s">
        <v>969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445">
        <v>43979</v>
      </c>
      <c r="C157" s="42" t="s">
        <v>970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445">
        <v>43979</v>
      </c>
      <c r="C158" s="42" t="s">
        <v>971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445">
        <v>43979</v>
      </c>
      <c r="B159" s="42" t="s">
        <v>972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445"/>
      <c r="H160" s="38"/>
    </row>
    <row r="161" spans="1:8" x14ac:dyDescent="0.25">
      <c r="A161" s="445"/>
      <c r="H161" s="38"/>
    </row>
    <row r="162" spans="1:8" x14ac:dyDescent="0.25">
      <c r="A162" s="445"/>
      <c r="H162" s="38"/>
    </row>
    <row r="163" spans="1:8" x14ac:dyDescent="0.25">
      <c r="A163" s="445"/>
      <c r="H163" s="38"/>
    </row>
    <row r="164" spans="1:8" x14ac:dyDescent="0.25">
      <c r="A164" s="445"/>
      <c r="H164" s="38"/>
    </row>
    <row r="165" spans="1:8" x14ac:dyDescent="0.25">
      <c r="A165" s="445"/>
      <c r="H165" s="38"/>
    </row>
    <row r="166" spans="1:8" x14ac:dyDescent="0.25">
      <c r="A166" s="445"/>
      <c r="H166" s="38"/>
    </row>
    <row r="167" spans="1:8" x14ac:dyDescent="0.25">
      <c r="A167" s="445"/>
      <c r="H167" s="38"/>
    </row>
    <row r="168" spans="1:8" x14ac:dyDescent="0.25">
      <c r="A168" s="445"/>
      <c r="H168" s="38"/>
    </row>
    <row r="169" spans="1:8" x14ac:dyDescent="0.25">
      <c r="A169" s="445"/>
      <c r="H169" s="38"/>
    </row>
    <row r="170" spans="1:8" x14ac:dyDescent="0.25">
      <c r="A170" s="445"/>
      <c r="H170" s="38"/>
    </row>
    <row r="171" spans="1:8" x14ac:dyDescent="0.25">
      <c r="A171" s="445"/>
      <c r="H171" s="38"/>
    </row>
    <row r="172" spans="1:8" x14ac:dyDescent="0.25">
      <c r="A172" s="445"/>
      <c r="H172" s="38"/>
    </row>
    <row r="173" spans="1:8" x14ac:dyDescent="0.25">
      <c r="A173" s="445"/>
      <c r="H173" s="38"/>
    </row>
    <row r="174" spans="1:8" x14ac:dyDescent="0.25">
      <c r="A174" s="445"/>
      <c r="H174" s="38"/>
    </row>
    <row r="175" spans="1:8" x14ac:dyDescent="0.25">
      <c r="A175" s="445"/>
      <c r="H175" s="38"/>
    </row>
    <row r="176" spans="1:8" x14ac:dyDescent="0.25">
      <c r="A176" s="445"/>
      <c r="H176" s="38"/>
    </row>
    <row r="177" spans="1:8" x14ac:dyDescent="0.25">
      <c r="A177" s="445"/>
      <c r="H177" s="38"/>
    </row>
    <row r="178" spans="1:8" x14ac:dyDescent="0.25">
      <c r="A178" s="445"/>
      <c r="H178" s="38"/>
    </row>
    <row r="179" spans="1:8" x14ac:dyDescent="0.25">
      <c r="A179" s="445"/>
      <c r="H179" s="38"/>
    </row>
    <row r="180" spans="1:8" x14ac:dyDescent="0.25">
      <c r="A180" s="445"/>
      <c r="H180" s="38"/>
    </row>
    <row r="181" spans="1:8" x14ac:dyDescent="0.25">
      <c r="A181" s="445"/>
      <c r="H181" s="38"/>
    </row>
    <row r="182" spans="1:8" x14ac:dyDescent="0.25">
      <c r="A182" s="445"/>
      <c r="H182" s="38"/>
    </row>
    <row r="183" spans="1:8" x14ac:dyDescent="0.25">
      <c r="A183" s="445"/>
      <c r="H183" s="38"/>
    </row>
    <row r="184" spans="1:8" x14ac:dyDescent="0.25">
      <c r="A184" s="445"/>
      <c r="H184" s="38"/>
    </row>
    <row r="185" spans="1:8" x14ac:dyDescent="0.25">
      <c r="A185" s="445"/>
      <c r="H185" s="38"/>
    </row>
    <row r="186" spans="1:8" x14ac:dyDescent="0.25">
      <c r="A186" s="445"/>
      <c r="H186" s="38"/>
    </row>
    <row r="187" spans="1:8" x14ac:dyDescent="0.25">
      <c r="A187" s="445"/>
      <c r="H187" s="38"/>
    </row>
    <row r="188" spans="1:8" x14ac:dyDescent="0.25">
      <c r="A188" s="445"/>
      <c r="H188" s="38"/>
    </row>
    <row r="189" spans="1:8" x14ac:dyDescent="0.25">
      <c r="A189" s="445"/>
      <c r="H189" s="38"/>
    </row>
    <row r="190" spans="1:8" x14ac:dyDescent="0.25">
      <c r="A190" s="445"/>
      <c r="H190" s="38"/>
    </row>
    <row r="191" spans="1:8" x14ac:dyDescent="0.25">
      <c r="A191" s="445"/>
      <c r="H191" s="38"/>
    </row>
    <row r="192" spans="1:8" x14ac:dyDescent="0.25">
      <c r="A192" s="445"/>
    </row>
    <row r="193" spans="1:1" x14ac:dyDescent="0.25">
      <c r="A193" s="445"/>
    </row>
    <row r="194" spans="1:1" x14ac:dyDescent="0.25">
      <c r="A194" s="445"/>
    </row>
    <row r="195" spans="1:1" x14ac:dyDescent="0.25">
      <c r="A195" s="445"/>
    </row>
    <row r="196" spans="1:1" x14ac:dyDescent="0.25">
      <c r="A196" s="445"/>
    </row>
    <row r="197" spans="1:1" x14ac:dyDescent="0.25">
      <c r="A197" s="445"/>
    </row>
    <row r="198" spans="1:1" x14ac:dyDescent="0.25">
      <c r="A198" s="445"/>
    </row>
    <row r="199" spans="1:1" x14ac:dyDescent="0.25">
      <c r="A199" s="445"/>
    </row>
    <row r="200" spans="1:1" x14ac:dyDescent="0.25">
      <c r="A200" s="445"/>
    </row>
    <row r="201" spans="1:1" x14ac:dyDescent="0.25">
      <c r="A201" s="445"/>
    </row>
    <row r="202" spans="1:1" x14ac:dyDescent="0.25">
      <c r="A202" s="445"/>
    </row>
    <row r="203" spans="1:1" x14ac:dyDescent="0.25">
      <c r="A203" s="445"/>
    </row>
    <row r="204" spans="1:1" x14ac:dyDescent="0.25">
      <c r="A204" s="445"/>
    </row>
    <row r="205" spans="1:1" x14ac:dyDescent="0.25">
      <c r="A205" s="445"/>
    </row>
    <row r="206" spans="1:1" x14ac:dyDescent="0.25">
      <c r="A206" s="445"/>
    </row>
    <row r="207" spans="1:1" x14ac:dyDescent="0.25">
      <c r="A207" s="445"/>
    </row>
    <row r="208" spans="1:1" x14ac:dyDescent="0.25">
      <c r="A208" s="445"/>
    </row>
    <row r="209" spans="1:1" x14ac:dyDescent="0.25">
      <c r="A209" s="445"/>
    </row>
    <row r="210" spans="1:1" x14ac:dyDescent="0.25">
      <c r="A210" s="445"/>
    </row>
    <row r="211" spans="1:1" x14ac:dyDescent="0.25">
      <c r="A211" s="445"/>
    </row>
    <row r="212" spans="1:1" x14ac:dyDescent="0.25">
      <c r="A212" s="445"/>
    </row>
    <row r="213" spans="1:1" x14ac:dyDescent="0.25">
      <c r="A213" s="445"/>
    </row>
    <row r="214" spans="1:1" x14ac:dyDescent="0.25">
      <c r="A214" s="445"/>
    </row>
    <row r="215" spans="1:1" x14ac:dyDescent="0.25">
      <c r="A215" s="445"/>
    </row>
    <row r="216" spans="1:1" x14ac:dyDescent="0.25">
      <c r="A216" s="445"/>
    </row>
    <row r="217" spans="1:1" x14ac:dyDescent="0.25">
      <c r="A217" s="445"/>
    </row>
    <row r="218" spans="1:1" x14ac:dyDescent="0.25">
      <c r="A218" s="445"/>
    </row>
    <row r="219" spans="1:1" x14ac:dyDescent="0.25">
      <c r="A219" s="445"/>
    </row>
    <row r="220" spans="1:1" x14ac:dyDescent="0.25">
      <c r="A220" s="445"/>
    </row>
    <row r="221" spans="1:1" x14ac:dyDescent="0.25">
      <c r="A221" s="445"/>
    </row>
    <row r="222" spans="1:1" x14ac:dyDescent="0.25">
      <c r="A222" s="445"/>
    </row>
    <row r="223" spans="1:1" x14ac:dyDescent="0.25">
      <c r="A223" s="445"/>
    </row>
    <row r="224" spans="1:1" x14ac:dyDescent="0.25">
      <c r="A224" s="445"/>
    </row>
    <row r="225" spans="1:1" x14ac:dyDescent="0.25">
      <c r="A225" s="445"/>
    </row>
    <row r="226" spans="1:1" x14ac:dyDescent="0.25">
      <c r="A226" s="445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V.252</vt:lpstr>
      <vt:lpstr>Planning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2020-08-24T14:10:39Z</dcterms:modified>
</cp:coreProperties>
</file>