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4"/>
  </bookViews>
  <sheets>
    <sheet name="Resistencia" sheetId="6" r:id="rId1"/>
    <sheet name="TL_v1" sheetId="7" r:id="rId2"/>
    <sheet name="CA_v1" sheetId="14" r:id="rId3"/>
    <sheet name="Planning_Entrenador" sheetId="11" r:id="rId4"/>
    <sheet name="PLANTILLA" sheetId="1" r:id="rId5"/>
    <sheet name="Hall_of_Fame" sheetId="22" r:id="rId6"/>
    <sheet name="CAPITAN" sheetId="12" r:id="rId7"/>
    <sheet name="Evaluacion Jugadores" sheetId="3" r:id="rId8"/>
    <sheet name="CambioENTRENADOR" sheetId="9" r:id="rId9"/>
    <sheet name="Rendimiento_ENTRENAMIENTO" sheetId="10" r:id="rId10"/>
    <sheet name="Gomis" sheetId="15" r:id="rId11"/>
    <sheet name="Peñuela" sheetId="16" r:id="rId12"/>
    <sheet name="Minaya" sheetId="17" r:id="rId13"/>
    <sheet name="Cubas" sheetId="18" r:id="rId14"/>
    <sheet name="Riquelme" sheetId="20" r:id="rId15"/>
    <sheet name="Duffill" sheetId="19" r:id="rId16"/>
    <sheet name="Añigas" sheetId="21" r:id="rId17"/>
    <sheet name="Calculador de Sueldo" sheetId="2" r:id="rId18"/>
    <sheet name="Empleados" sheetId="4" r:id="rId19"/>
  </sheets>
  <calcPr calcId="162913"/>
</workbook>
</file>

<file path=xl/calcChain.xml><?xml version="1.0" encoding="utf-8"?>
<calcChain xmlns="http://schemas.openxmlformats.org/spreadsheetml/2006/main">
  <c r="AA10" i="1" l="1"/>
  <c r="A4" i="12" l="1"/>
  <c r="B4" i="12"/>
  <c r="C4" i="12"/>
  <c r="D4" i="12"/>
  <c r="E4" i="12"/>
  <c r="F4" i="12" s="1"/>
  <c r="G4" i="12"/>
  <c r="I4" i="12" s="1"/>
  <c r="H4" i="12"/>
  <c r="J4" i="12" s="1"/>
  <c r="A5" i="12"/>
  <c r="B5" i="12"/>
  <c r="C5" i="12"/>
  <c r="D5" i="12"/>
  <c r="E5" i="12"/>
  <c r="F5" i="12"/>
  <c r="G5" i="12"/>
  <c r="H5" i="12" s="1"/>
  <c r="J5" i="12" s="1"/>
  <c r="A6" i="12"/>
  <c r="B6" i="12"/>
  <c r="C6" i="12"/>
  <c r="G6" i="12" s="1"/>
  <c r="D6" i="12"/>
  <c r="E6" i="12" s="1"/>
  <c r="F6" i="12" s="1"/>
  <c r="A7" i="12"/>
  <c r="B7" i="12"/>
  <c r="C7" i="12"/>
  <c r="D7" i="12"/>
  <c r="E7" i="12"/>
  <c r="F7" i="12" s="1"/>
  <c r="G7" i="12"/>
  <c r="H7" i="12" s="1"/>
  <c r="J7" i="12" s="1"/>
  <c r="A8" i="12"/>
  <c r="B8" i="12"/>
  <c r="C8" i="12"/>
  <c r="D8" i="12"/>
  <c r="E8" i="12"/>
  <c r="F8" i="12" s="1"/>
  <c r="G8" i="12"/>
  <c r="I8" i="12" s="1"/>
  <c r="H8" i="12"/>
  <c r="J8" i="12" s="1"/>
  <c r="A9" i="12"/>
  <c r="B9" i="12"/>
  <c r="C9" i="12"/>
  <c r="G9" i="12" s="1"/>
  <c r="D9" i="12"/>
  <c r="E9" i="12"/>
  <c r="F9" i="12"/>
  <c r="A10" i="12"/>
  <c r="B10" i="12"/>
  <c r="C10" i="12"/>
  <c r="G10" i="12" s="1"/>
  <c r="D10" i="12"/>
  <c r="E10" i="12" s="1"/>
  <c r="F10" i="12" s="1"/>
  <c r="A11" i="12"/>
  <c r="B11" i="12"/>
  <c r="C11" i="12"/>
  <c r="D11" i="12"/>
  <c r="E11" i="12"/>
  <c r="F11" i="12" s="1"/>
  <c r="G11" i="12"/>
  <c r="H11" i="12" s="1"/>
  <c r="J11" i="12" s="1"/>
  <c r="I11" i="12"/>
  <c r="A12" i="12"/>
  <c r="B12" i="12"/>
  <c r="C12" i="12"/>
  <c r="D12" i="12"/>
  <c r="E12" i="12"/>
  <c r="F12" i="12" s="1"/>
  <c r="G12" i="12"/>
  <c r="I12" i="12" s="1"/>
  <c r="H12" i="12"/>
  <c r="J12" i="12" s="1"/>
  <c r="A13" i="12"/>
  <c r="B13" i="12"/>
  <c r="C13" i="12"/>
  <c r="G13" i="12" s="1"/>
  <c r="D13" i="12"/>
  <c r="E13" i="12"/>
  <c r="F13" i="12"/>
  <c r="A14" i="12"/>
  <c r="B14" i="12"/>
  <c r="C14" i="12"/>
  <c r="G14" i="12" s="1"/>
  <c r="D14" i="12"/>
  <c r="E14" i="12" s="1"/>
  <c r="F14" i="12" s="1"/>
  <c r="A15" i="12"/>
  <c r="B15" i="12"/>
  <c r="C15" i="12"/>
  <c r="D15" i="12"/>
  <c r="E15" i="12"/>
  <c r="F15" i="12" s="1"/>
  <c r="G15" i="12"/>
  <c r="H15" i="12" s="1"/>
  <c r="J15" i="12" s="1"/>
  <c r="I15" i="12"/>
  <c r="A16" i="12"/>
  <c r="B16" i="12"/>
  <c r="C16" i="12"/>
  <c r="D16" i="12"/>
  <c r="E16" i="12"/>
  <c r="F16" i="12" s="1"/>
  <c r="G16" i="12"/>
  <c r="I16" i="12" s="1"/>
  <c r="H16" i="12"/>
  <c r="J16" i="12" s="1"/>
  <c r="A17" i="12"/>
  <c r="B17" i="12"/>
  <c r="C17" i="12"/>
  <c r="G17" i="12" s="1"/>
  <c r="D17" i="12"/>
  <c r="E17" i="12"/>
  <c r="F17" i="12"/>
  <c r="A18" i="12"/>
  <c r="B18" i="12"/>
  <c r="C18" i="12"/>
  <c r="G18" i="12" s="1"/>
  <c r="D18" i="12"/>
  <c r="E18" i="12" s="1"/>
  <c r="F18" i="12" s="1"/>
  <c r="A19" i="12"/>
  <c r="B19" i="12"/>
  <c r="C19" i="12"/>
  <c r="D19" i="12"/>
  <c r="E19" i="12"/>
  <c r="F19" i="12" s="1"/>
  <c r="G19" i="12"/>
  <c r="H19" i="12" s="1"/>
  <c r="J19" i="12" s="1"/>
  <c r="I19" i="12"/>
  <c r="A20" i="12"/>
  <c r="B20" i="12"/>
  <c r="C20" i="12"/>
  <c r="D20" i="12"/>
  <c r="E20" i="12"/>
  <c r="F20" i="12" s="1"/>
  <c r="G20" i="12"/>
  <c r="I20" i="12" s="1"/>
  <c r="H20" i="12"/>
  <c r="J20" i="12" s="1"/>
  <c r="A21" i="12"/>
  <c r="B21" i="12"/>
  <c r="C21" i="12"/>
  <c r="G21" i="12" s="1"/>
  <c r="D21" i="12"/>
  <c r="E21" i="12"/>
  <c r="F21" i="12"/>
  <c r="A22" i="12"/>
  <c r="B22" i="12"/>
  <c r="C22" i="12"/>
  <c r="G22" i="12" s="1"/>
  <c r="D22" i="12"/>
  <c r="E22" i="12" s="1"/>
  <c r="F22" i="12" s="1"/>
  <c r="A23" i="12"/>
  <c r="B23" i="12"/>
  <c r="C23" i="12"/>
  <c r="D23" i="12"/>
  <c r="E23" i="12"/>
  <c r="F23" i="12" s="1"/>
  <c r="G23" i="12"/>
  <c r="H23" i="12" s="1"/>
  <c r="J23" i="12" s="1"/>
  <c r="I23" i="12"/>
  <c r="A24" i="12"/>
  <c r="B24" i="12"/>
  <c r="C24" i="12"/>
  <c r="D24" i="12"/>
  <c r="E24" i="12"/>
  <c r="F24" i="12" s="1"/>
  <c r="G24" i="12"/>
  <c r="I24" i="12" s="1"/>
  <c r="H24" i="12"/>
  <c r="J24" i="12" s="1"/>
  <c r="A25" i="12"/>
  <c r="B25" i="12"/>
  <c r="C25" i="12"/>
  <c r="G25" i="12" s="1"/>
  <c r="D25" i="12"/>
  <c r="E25" i="12"/>
  <c r="F25" i="12"/>
  <c r="A26" i="12"/>
  <c r="B26" i="12"/>
  <c r="C26" i="12"/>
  <c r="G26" i="12" s="1"/>
  <c r="D26" i="12"/>
  <c r="E26" i="12" s="1"/>
  <c r="F26" i="12" s="1"/>
  <c r="A27" i="12"/>
  <c r="B27" i="12"/>
  <c r="C27" i="12"/>
  <c r="D27" i="12"/>
  <c r="E27" i="12"/>
  <c r="F27" i="12" s="1"/>
  <c r="G27" i="12"/>
  <c r="H27" i="12" s="1"/>
  <c r="J27" i="12" s="1"/>
  <c r="A28" i="12"/>
  <c r="B28" i="12"/>
  <c r="C28" i="12"/>
  <c r="D28" i="12"/>
  <c r="E28" i="12"/>
  <c r="F28" i="12" s="1"/>
  <c r="G28" i="12"/>
  <c r="I28" i="12" s="1"/>
  <c r="H28" i="12"/>
  <c r="A29" i="12"/>
  <c r="B29" i="12"/>
  <c r="C29" i="12"/>
  <c r="G29" i="12" s="1"/>
  <c r="D29" i="12"/>
  <c r="E29" i="12"/>
  <c r="F29" i="12"/>
  <c r="A30" i="12"/>
  <c r="B30" i="12"/>
  <c r="C30" i="12"/>
  <c r="G30" i="12" s="1"/>
  <c r="D30" i="12"/>
  <c r="E30" i="12" s="1"/>
  <c r="F30" i="12" s="1"/>
  <c r="A31" i="12"/>
  <c r="B31" i="12"/>
  <c r="C31" i="12"/>
  <c r="D31" i="12"/>
  <c r="E31" i="12"/>
  <c r="F31" i="12" s="1"/>
  <c r="G31" i="12"/>
  <c r="H31" i="12" s="1"/>
  <c r="J31" i="12" s="1"/>
  <c r="D3" i="12"/>
  <c r="C3" i="12"/>
  <c r="B3" i="12"/>
  <c r="A3" i="12"/>
  <c r="AE2" i="1"/>
  <c r="AD2" i="1"/>
  <c r="V2" i="1"/>
  <c r="T2" i="1"/>
  <c r="Q2" i="1"/>
  <c r="O2" i="1"/>
  <c r="I2" i="1"/>
  <c r="AP22" i="1"/>
  <c r="AG22" i="1"/>
  <c r="AH22" i="1"/>
  <c r="AI22" i="1"/>
  <c r="AJ22" i="1"/>
  <c r="AK22" i="1"/>
  <c r="AL22" i="1"/>
  <c r="AM22" i="1"/>
  <c r="AN22" i="1"/>
  <c r="AO22" i="1"/>
  <c r="U22" i="1"/>
  <c r="W22" i="1"/>
  <c r="R22" i="1"/>
  <c r="S22" i="1"/>
  <c r="P22" i="1"/>
  <c r="J22" i="1"/>
  <c r="K22" i="1"/>
  <c r="L22" i="1"/>
  <c r="AP8" i="1"/>
  <c r="AG8" i="1"/>
  <c r="AH8" i="1"/>
  <c r="AI8" i="1"/>
  <c r="AJ8" i="1"/>
  <c r="AK8" i="1"/>
  <c r="AL8" i="1"/>
  <c r="AM8" i="1"/>
  <c r="AN8" i="1"/>
  <c r="AO8" i="1"/>
  <c r="U8" i="1"/>
  <c r="W8" i="1"/>
  <c r="R8" i="1"/>
  <c r="S8" i="1"/>
  <c r="P8" i="1"/>
  <c r="J8" i="1"/>
  <c r="K8" i="1"/>
  <c r="L8" i="1"/>
  <c r="AP5" i="1"/>
  <c r="AG5" i="1"/>
  <c r="AH5" i="1"/>
  <c r="AI5" i="1"/>
  <c r="AJ5" i="1"/>
  <c r="AK5" i="1"/>
  <c r="AL5" i="1"/>
  <c r="AM5" i="1"/>
  <c r="AN5" i="1"/>
  <c r="AO5" i="1"/>
  <c r="U5" i="1"/>
  <c r="W5" i="1"/>
  <c r="R5" i="1"/>
  <c r="S5" i="1"/>
  <c r="P5" i="1"/>
  <c r="J5" i="1"/>
  <c r="K5" i="1"/>
  <c r="L5" i="1"/>
  <c r="H22" i="12" l="1"/>
  <c r="J22" i="12" s="1"/>
  <c r="I22" i="12"/>
  <c r="H14" i="12"/>
  <c r="J14" i="12" s="1"/>
  <c r="I14" i="12"/>
  <c r="H30" i="12"/>
  <c r="J30" i="12" s="1"/>
  <c r="I30" i="12"/>
  <c r="J28" i="12"/>
  <c r="H26" i="12"/>
  <c r="J26" i="12" s="1"/>
  <c r="I26" i="12"/>
  <c r="H18" i="12"/>
  <c r="J18" i="12" s="1"/>
  <c r="I18" i="12"/>
  <c r="H10" i="12"/>
  <c r="J10" i="12" s="1"/>
  <c r="I10" i="12"/>
  <c r="H25" i="12"/>
  <c r="J25" i="12" s="1"/>
  <c r="I25" i="12"/>
  <c r="H21" i="12"/>
  <c r="J21" i="12" s="1"/>
  <c r="I21" i="12"/>
  <c r="H17" i="12"/>
  <c r="J17" i="12" s="1"/>
  <c r="I17" i="12"/>
  <c r="H13" i="12"/>
  <c r="J13" i="12" s="1"/>
  <c r="I13" i="12"/>
  <c r="H9" i="12"/>
  <c r="J9" i="12" s="1"/>
  <c r="I9" i="12"/>
  <c r="H29" i="12"/>
  <c r="J29" i="12" s="1"/>
  <c r="I29" i="12"/>
  <c r="H6" i="12"/>
  <c r="J6" i="12" s="1"/>
  <c r="I6" i="12"/>
  <c r="I27" i="12"/>
  <c r="I7" i="12"/>
  <c r="I31" i="12"/>
  <c r="I5" i="12"/>
  <c r="AA17" i="1"/>
  <c r="AA14" i="1"/>
  <c r="U4" i="1"/>
  <c r="AP4" i="1"/>
  <c r="W4" i="1"/>
  <c r="R4" i="1"/>
  <c r="S4" i="1"/>
  <c r="P4" i="1"/>
  <c r="N4" i="1"/>
  <c r="J4" i="1"/>
  <c r="K4" i="1"/>
  <c r="L4" i="1"/>
  <c r="AG4" i="1" l="1"/>
  <c r="AO4" i="1"/>
  <c r="AN4" i="1"/>
  <c r="AM4" i="1"/>
  <c r="AL4" i="1"/>
  <c r="AK4" i="1"/>
  <c r="AJ4" i="1"/>
  <c r="AI4" i="1"/>
  <c r="AH4" i="1"/>
  <c r="AC18" i="1"/>
  <c r="AC19" i="1"/>
  <c r="AC16" i="1"/>
  <c r="AC21" i="1"/>
  <c r="AC20" i="1"/>
  <c r="AC17" i="1"/>
  <c r="AC7" i="1"/>
  <c r="AC15" i="1"/>
  <c r="AC14" i="1"/>
  <c r="AC10" i="1"/>
  <c r="AC13" i="1"/>
  <c r="AC9" i="1"/>
  <c r="AC12" i="1"/>
  <c r="AC11" i="1"/>
  <c r="AC6" i="1"/>
  <c r="AI7" i="1" l="1"/>
  <c r="AI18" i="1"/>
  <c r="AI20" i="1"/>
  <c r="I1" i="19" l="1"/>
  <c r="I1" i="17"/>
  <c r="AB18" i="1" l="1"/>
  <c r="AB16" i="1"/>
  <c r="AB21" i="1"/>
  <c r="AB17" i="1"/>
  <c r="AB14" i="1"/>
  <c r="AB10" i="1"/>
  <c r="AB13" i="1"/>
  <c r="AB9" i="1"/>
  <c r="AB12" i="1"/>
  <c r="AB6" i="1"/>
  <c r="N10" i="1" l="1"/>
  <c r="AP10" i="1"/>
  <c r="U10" i="1"/>
  <c r="W10" i="1"/>
  <c r="R10" i="1"/>
  <c r="S10" i="1"/>
  <c r="P10" i="1"/>
  <c r="J10" i="1"/>
  <c r="K10" i="1"/>
  <c r="L10" i="1"/>
  <c r="AJ10" i="1" l="1"/>
  <c r="AI10" i="1"/>
  <c r="AN10" i="1"/>
  <c r="AM10" i="1"/>
  <c r="AL10" i="1"/>
  <c r="AO10" i="1"/>
  <c r="AH10" i="1"/>
  <c r="AG10" i="1"/>
  <c r="AK10" i="1"/>
  <c r="A11" i="10" l="1"/>
  <c r="B11" i="10"/>
  <c r="D11" i="10"/>
  <c r="E11" i="10"/>
  <c r="G11" i="10"/>
  <c r="H11" i="10"/>
  <c r="I11" i="10"/>
  <c r="L11" i="10" s="1"/>
  <c r="J11" i="10"/>
  <c r="M11" i="10"/>
  <c r="N11" i="10"/>
  <c r="O11" i="10"/>
  <c r="AF11" i="10" s="1"/>
  <c r="P11" i="10"/>
  <c r="Q11" i="10"/>
  <c r="AH11" i="10" s="1"/>
  <c r="R11" i="10"/>
  <c r="S11" i="10"/>
  <c r="AJ11" i="10" s="1"/>
  <c r="Y11" i="10"/>
  <c r="AD11" i="10"/>
  <c r="AE11" i="10"/>
  <c r="AG11" i="10"/>
  <c r="AI11" i="10"/>
  <c r="U11" i="1"/>
  <c r="AP11" i="1"/>
  <c r="W11" i="1"/>
  <c r="R11" i="1"/>
  <c r="S11" i="1"/>
  <c r="P11" i="1"/>
  <c r="N11" i="1"/>
  <c r="J11" i="1"/>
  <c r="K11" i="1"/>
  <c r="L11" i="1"/>
  <c r="AJ11" i="1" l="1"/>
  <c r="AI11" i="1"/>
  <c r="AC11" i="10"/>
  <c r="K11" i="10"/>
  <c r="AN11" i="1"/>
  <c r="AM11" i="1"/>
  <c r="AL11" i="1"/>
  <c r="AO11" i="1"/>
  <c r="AH11" i="1"/>
  <c r="AG11" i="1"/>
  <c r="AK11" i="1"/>
  <c r="U18" i="1" l="1"/>
  <c r="AP18" i="1"/>
  <c r="W18" i="1"/>
  <c r="R18" i="1"/>
  <c r="S18" i="1"/>
  <c r="P18" i="1"/>
  <c r="AJ18" i="1"/>
  <c r="J18" i="1"/>
  <c r="K18" i="1"/>
  <c r="L18" i="1"/>
  <c r="AN18" i="1" l="1"/>
  <c r="AM18" i="1"/>
  <c r="AL18" i="1"/>
  <c r="AO18" i="1"/>
  <c r="AH18" i="1"/>
  <c r="AG18" i="1"/>
  <c r="AK18" i="1"/>
  <c r="C1" i="20"/>
  <c r="C1" i="19"/>
  <c r="C1" i="18"/>
  <c r="C1" i="17"/>
  <c r="I1" i="15"/>
  <c r="C1" i="16"/>
  <c r="E20" i="10" l="1"/>
  <c r="H20" i="10"/>
  <c r="I20" i="10"/>
  <c r="J20" i="10"/>
  <c r="M20" i="10"/>
  <c r="AD20" i="10" s="1"/>
  <c r="N20" i="10"/>
  <c r="AE20" i="10" s="1"/>
  <c r="O20" i="10"/>
  <c r="AF20" i="10" s="1"/>
  <c r="P20" i="10"/>
  <c r="R20" i="10"/>
  <c r="S20" i="10"/>
  <c r="AJ20" i="10" s="1"/>
  <c r="E21" i="10"/>
  <c r="H21" i="10"/>
  <c r="I21" i="10"/>
  <c r="J21" i="10"/>
  <c r="M21" i="10"/>
  <c r="AD21" i="10" s="1"/>
  <c r="N21" i="10"/>
  <c r="AE21" i="10" s="1"/>
  <c r="O21" i="10"/>
  <c r="AF21" i="10" s="1"/>
  <c r="P21" i="10"/>
  <c r="R21" i="10"/>
  <c r="S21" i="10"/>
  <c r="AJ21" i="10" s="1"/>
  <c r="L20" i="10" l="1"/>
  <c r="K20" i="10"/>
  <c r="L21" i="10"/>
  <c r="K21" i="10"/>
  <c r="AC21" i="10"/>
  <c r="AC20" i="10"/>
  <c r="Q21" i="10" l="1"/>
  <c r="AH21" i="10" s="1"/>
  <c r="Q20" i="10"/>
  <c r="AH20" i="10" s="1"/>
  <c r="AP21" i="1"/>
  <c r="W21" i="1"/>
  <c r="U21" i="1"/>
  <c r="S21" i="1"/>
  <c r="R21" i="1"/>
  <c r="P21" i="1"/>
  <c r="N21" i="1"/>
  <c r="L21" i="1"/>
  <c r="K21" i="1"/>
  <c r="J21" i="1"/>
  <c r="AP20" i="1"/>
  <c r="AO20" i="1"/>
  <c r="AN20" i="1"/>
  <c r="AM20" i="1"/>
  <c r="AK20" i="1"/>
  <c r="AJ20" i="1"/>
  <c r="AH20" i="1"/>
  <c r="AG20" i="1"/>
  <c r="AL20" i="1"/>
  <c r="W20" i="1"/>
  <c r="U20" i="1"/>
  <c r="S20" i="1"/>
  <c r="R20" i="1"/>
  <c r="P20" i="1"/>
  <c r="L20" i="1"/>
  <c r="K20" i="1"/>
  <c r="J20" i="1"/>
  <c r="AP19" i="1"/>
  <c r="W19" i="1"/>
  <c r="U19" i="1"/>
  <c r="S19" i="1"/>
  <c r="R19" i="1"/>
  <c r="P19" i="1"/>
  <c r="N19" i="1"/>
  <c r="L19" i="1"/>
  <c r="K19" i="1"/>
  <c r="J19" i="1"/>
  <c r="AP16" i="1"/>
  <c r="W16" i="1"/>
  <c r="U16" i="1"/>
  <c r="S16" i="1"/>
  <c r="R16" i="1"/>
  <c r="P16" i="1"/>
  <c r="N16" i="1"/>
  <c r="L16" i="1"/>
  <c r="K16" i="1"/>
  <c r="J16" i="1"/>
  <c r="AP13" i="1"/>
  <c r="W13" i="1"/>
  <c r="U13" i="1"/>
  <c r="S13" i="1"/>
  <c r="R13" i="1"/>
  <c r="P13" i="1"/>
  <c r="N13" i="1"/>
  <c r="L13" i="1"/>
  <c r="K13" i="1"/>
  <c r="J13" i="1"/>
  <c r="AP15" i="1"/>
  <c r="W15" i="1"/>
  <c r="U15" i="1"/>
  <c r="S15" i="1"/>
  <c r="R15" i="1"/>
  <c r="P15" i="1"/>
  <c r="N15" i="1"/>
  <c r="L15" i="1"/>
  <c r="K15" i="1"/>
  <c r="J15" i="1"/>
  <c r="AP14" i="1"/>
  <c r="W14" i="1"/>
  <c r="U14" i="1"/>
  <c r="S14" i="1"/>
  <c r="S2" i="1" s="1"/>
  <c r="R14" i="1"/>
  <c r="R2" i="1" s="1"/>
  <c r="P14" i="1"/>
  <c r="N14" i="1"/>
  <c r="L14" i="1"/>
  <c r="K14" i="1"/>
  <c r="J14" i="1"/>
  <c r="AP9" i="1"/>
  <c r="W9" i="1"/>
  <c r="U9" i="1"/>
  <c r="S9" i="1"/>
  <c r="R9" i="1"/>
  <c r="P9" i="1"/>
  <c r="N9" i="1"/>
  <c r="AI9" i="1" s="1"/>
  <c r="L9" i="1"/>
  <c r="K9" i="1"/>
  <c r="J9" i="1"/>
  <c r="AP12" i="1"/>
  <c r="W12" i="1"/>
  <c r="U12" i="1"/>
  <c r="S12" i="1"/>
  <c r="R12" i="1"/>
  <c r="P12" i="1"/>
  <c r="N12" i="1"/>
  <c r="AI12" i="1" s="1"/>
  <c r="L12" i="1"/>
  <c r="K12" i="1"/>
  <c r="J12" i="1"/>
  <c r="AP7" i="1"/>
  <c r="AO7" i="1"/>
  <c r="AN7" i="1"/>
  <c r="AM7" i="1"/>
  <c r="AL7" i="1"/>
  <c r="AK7" i="1"/>
  <c r="AJ7" i="1"/>
  <c r="AH7" i="1"/>
  <c r="AG7" i="1"/>
  <c r="W7" i="1"/>
  <c r="U7" i="1"/>
  <c r="S7" i="1"/>
  <c r="R7" i="1"/>
  <c r="P7" i="1"/>
  <c r="L7" i="1"/>
  <c r="K7" i="1"/>
  <c r="J7" i="1"/>
  <c r="AP17" i="1"/>
  <c r="W17" i="1"/>
  <c r="U17" i="1"/>
  <c r="S17" i="1"/>
  <c r="R17" i="1"/>
  <c r="P17" i="1"/>
  <c r="N17" i="1"/>
  <c r="L17" i="1"/>
  <c r="K17" i="1"/>
  <c r="J17" i="1"/>
  <c r="AP6" i="1"/>
  <c r="W6" i="1"/>
  <c r="U6" i="1"/>
  <c r="S6" i="1"/>
  <c r="R6" i="1"/>
  <c r="P6" i="1"/>
  <c r="N6" i="1"/>
  <c r="L6" i="1"/>
  <c r="K6" i="1"/>
  <c r="J6" i="1"/>
  <c r="AP23" i="1"/>
  <c r="U2" i="1" l="1"/>
  <c r="N2" i="1"/>
  <c r="AG6" i="1"/>
  <c r="AK6" i="1"/>
  <c r="AO6" i="1"/>
  <c r="AI6" i="1"/>
  <c r="AM6" i="1"/>
  <c r="AJ6" i="1"/>
  <c r="AN6" i="1"/>
  <c r="AH6" i="1"/>
  <c r="AL6" i="1"/>
  <c r="AL13" i="1"/>
  <c r="AI13" i="1"/>
  <c r="AL19" i="1"/>
  <c r="AI19" i="1"/>
  <c r="AJ14" i="1"/>
  <c r="AI14" i="1"/>
  <c r="AJ17" i="1"/>
  <c r="AI17" i="1"/>
  <c r="AM15" i="1"/>
  <c r="AI15" i="1"/>
  <c r="AJ16" i="1"/>
  <c r="AI16" i="1"/>
  <c r="AL21" i="1"/>
  <c r="AI21" i="1"/>
  <c r="AL9" i="1"/>
  <c r="AN15" i="1"/>
  <c r="AN16" i="1"/>
  <c r="AN21" i="1"/>
  <c r="AN12" i="1"/>
  <c r="AO14" i="1"/>
  <c r="AK14" i="1"/>
  <c r="AO13" i="1"/>
  <c r="AN17" i="1"/>
  <c r="AK15" i="1"/>
  <c r="AH13" i="1"/>
  <c r="AM21" i="1"/>
  <c r="AO17" i="1"/>
  <c r="AN14" i="1"/>
  <c r="AK13" i="1"/>
  <c r="AO19" i="1"/>
  <c r="AH16" i="1"/>
  <c r="AM12" i="1"/>
  <c r="AL15" i="1"/>
  <c r="AH15" i="1"/>
  <c r="AO15" i="1"/>
  <c r="AK16" i="1"/>
  <c r="AK19" i="1"/>
  <c r="AJ21" i="1"/>
  <c r="AH19" i="1"/>
  <c r="AJ19" i="1"/>
  <c r="AH21" i="1"/>
  <c r="AO21" i="1"/>
  <c r="AH17" i="1"/>
  <c r="AJ12" i="1"/>
  <c r="AK17" i="1"/>
  <c r="AH14" i="1"/>
  <c r="AJ15" i="1"/>
  <c r="AM13" i="1"/>
  <c r="AO16" i="1"/>
  <c r="AN19" i="1"/>
  <c r="AM19" i="1"/>
  <c r="AK21" i="1"/>
  <c r="AM9" i="1"/>
  <c r="AG17" i="1"/>
  <c r="AL17" i="1"/>
  <c r="AK12" i="1"/>
  <c r="AO12" i="1"/>
  <c r="AJ9" i="1"/>
  <c r="AN9" i="1"/>
  <c r="AG14" i="1"/>
  <c r="AL14" i="1"/>
  <c r="AJ13" i="1"/>
  <c r="AN13" i="1"/>
  <c r="AG16" i="1"/>
  <c r="AL16" i="1"/>
  <c r="AH9" i="1"/>
  <c r="AM17" i="1"/>
  <c r="AG12" i="1"/>
  <c r="AL12" i="1"/>
  <c r="AK9" i="1"/>
  <c r="AO9" i="1"/>
  <c r="AM14" i="1"/>
  <c r="AM16" i="1"/>
  <c r="AH12" i="1"/>
  <c r="AG9" i="1"/>
  <c r="AG15" i="1"/>
  <c r="AG13" i="1"/>
  <c r="AG19" i="1"/>
  <c r="AG21" i="1"/>
  <c r="AG7" i="10" l="1"/>
  <c r="AI7" i="10"/>
  <c r="A19" i="10"/>
  <c r="B19" i="10"/>
  <c r="D19" i="10"/>
  <c r="E19" i="10"/>
  <c r="H19" i="10"/>
  <c r="I19" i="10"/>
  <c r="AC19" i="10" s="1"/>
  <c r="J19" i="10"/>
  <c r="M19" i="10"/>
  <c r="AD19" i="10" s="1"/>
  <c r="N19" i="10"/>
  <c r="AE19" i="10" s="1"/>
  <c r="O19" i="10"/>
  <c r="AF19" i="10" s="1"/>
  <c r="P19" i="10"/>
  <c r="Q19" i="10"/>
  <c r="AH19" i="10" s="1"/>
  <c r="R19" i="10"/>
  <c r="S19" i="10"/>
  <c r="AJ19" i="10" s="1"/>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O3" i="12"/>
  <c r="S3" i="12"/>
  <c r="P3" i="12"/>
  <c r="O12" i="12"/>
  <c r="P12" i="12"/>
  <c r="O6" i="12"/>
  <c r="S6" i="12"/>
  <c r="P6" i="12"/>
  <c r="AK18" i="3" l="1"/>
  <c r="AG18" i="3"/>
  <c r="R18" i="3"/>
  <c r="AO18" i="3" s="1"/>
  <c r="H16" i="3"/>
  <c r="K8" i="10"/>
  <c r="BA19" i="3"/>
  <c r="BC19" i="3" s="1"/>
  <c r="H9" i="3"/>
  <c r="L14" i="10"/>
  <c r="L5" i="10"/>
  <c r="S19" i="3"/>
  <c r="T19" i="3"/>
  <c r="R19" i="3"/>
  <c r="AO19" i="3" s="1"/>
  <c r="S18" i="3"/>
  <c r="T18" i="3"/>
  <c r="H12" i="3"/>
  <c r="Q12" i="12"/>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R3" i="12"/>
  <c r="R6" i="12"/>
  <c r="S12" i="12"/>
  <c r="Q6" i="12"/>
  <c r="R12" i="12"/>
  <c r="Q3" i="12"/>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H52" i="14"/>
  <c r="AB52" i="14" s="1"/>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F43" i="14"/>
  <c r="E43" i="14"/>
  <c r="D43" i="14"/>
  <c r="C43" i="14"/>
  <c r="B43" i="14"/>
  <c r="B61" i="14" s="1"/>
  <c r="F42" i="14"/>
  <c r="E42" i="14"/>
  <c r="D42" i="14"/>
  <c r="C42" i="14"/>
  <c r="B42" i="14"/>
  <c r="B60" i="14" s="1"/>
  <c r="AH41" i="14"/>
  <c r="N59" i="14" s="1"/>
  <c r="AB41" i="14"/>
  <c r="H59" i="14" s="1"/>
  <c r="AB59" i="14" s="1"/>
  <c r="E41" i="14"/>
  <c r="D41" i="14"/>
  <c r="D59" i="14" s="1"/>
  <c r="C41" i="14"/>
  <c r="C59" i="14" s="1"/>
  <c r="B41" i="14"/>
  <c r="B59"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N34" i="14"/>
  <c r="M34" i="14"/>
  <c r="AG34" i="14" s="1"/>
  <c r="M52" i="14" s="1"/>
  <c r="B34" i="14"/>
  <c r="B52" i="14" s="1"/>
  <c r="AR33" i="14"/>
  <c r="Z32" i="14" s="1"/>
  <c r="F50" i="14" s="1"/>
  <c r="Z50" i="14" s="1"/>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N32" i="14"/>
  <c r="M32" i="14"/>
  <c r="AG32" i="14" s="1"/>
  <c r="M50" i="14" s="1"/>
  <c r="B32" i="14"/>
  <c r="B50" i="14" s="1"/>
  <c r="AM31" i="14"/>
  <c r="S49" i="14" s="1"/>
  <c r="AM49" i="14" s="1"/>
  <c r="AL31" i="14"/>
  <c r="R49" i="14" s="1"/>
  <c r="AL49" i="14" s="1"/>
  <c r="AK31" i="14"/>
  <c r="Q49" i="14" s="1"/>
  <c r="AK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P29" i="14"/>
  <c r="N29" i="14"/>
  <c r="B29" i="14"/>
  <c r="B47" i="14" s="1"/>
  <c r="Z28" i="14"/>
  <c r="Z46" i="14" s="1"/>
  <c r="Y28" i="14"/>
  <c r="Y46" i="14" s="1"/>
  <c r="F28" i="14"/>
  <c r="F46" i="14" s="1"/>
  <c r="E28" i="14"/>
  <c r="E46" i="14" s="1"/>
  <c r="D28" i="14"/>
  <c r="D46" i="14" s="1"/>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T43" i="14" s="1"/>
  <c r="AN43" i="14" s="1"/>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T59" i="14" s="1"/>
  <c r="AN59" i="14" s="1"/>
  <c r="AM23" i="14"/>
  <c r="S41" i="14" s="1"/>
  <c r="AM41" i="14" s="1"/>
  <c r="S59" i="14" s="1"/>
  <c r="AM59" i="14" s="1"/>
  <c r="AL23" i="14"/>
  <c r="R41" i="14" s="1"/>
  <c r="AL41" i="14" s="1"/>
  <c r="R59" i="14" s="1"/>
  <c r="AL59" i="14" s="1"/>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M40" i="14" s="1"/>
  <c r="S58" i="14" s="1"/>
  <c r="AM58" i="14" s="1"/>
  <c r="AL22" i="14"/>
  <c r="R40" i="14" s="1"/>
  <c r="AL40" i="14" s="1"/>
  <c r="R58" i="14" s="1"/>
  <c r="AL58" i="14" s="1"/>
  <c r="AK22" i="14"/>
  <c r="Q40" i="14" s="1"/>
  <c r="AK40" i="14" s="1"/>
  <c r="Q58" i="14" s="1"/>
  <c r="AK58" i="14" s="1"/>
  <c r="AJ22" i="14"/>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R18" i="14"/>
  <c r="Z23" i="14" s="1"/>
  <c r="F41" i="14" s="1"/>
  <c r="Z41" i="14" s="1"/>
  <c r="F59" i="14" s="1"/>
  <c r="Z59" i="14" s="1"/>
  <c r="AO18" i="14"/>
  <c r="U36" i="14" s="1"/>
  <c r="AO36" i="14" s="1"/>
  <c r="U54" i="14" s="1"/>
  <c r="AO54"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O17" i="14"/>
  <c r="U35" i="14" s="1"/>
  <c r="AO35" i="14" s="1"/>
  <c r="U53" i="14" s="1"/>
  <c r="AO53" i="14" s="1"/>
  <c r="AN17" i="14"/>
  <c r="T35" i="14" s="1"/>
  <c r="AN35" i="14" s="1"/>
  <c r="T53" i="14" s="1"/>
  <c r="AN53" i="14" s="1"/>
  <c r="AM17" i="14"/>
  <c r="AL17" i="14"/>
  <c r="AK17" i="14"/>
  <c r="AJ17" i="14"/>
  <c r="AP17" i="14" s="1"/>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S18" i="14" s="1"/>
  <c r="AO16" i="14"/>
  <c r="U34" i="14" s="1"/>
  <c r="AO34" i="14" s="1"/>
  <c r="U52" i="14" s="1"/>
  <c r="AO52" i="14" s="1"/>
  <c r="AN16" i="14"/>
  <c r="T34" i="14" s="1"/>
  <c r="AN34" i="14" s="1"/>
  <c r="T52" i="14" s="1"/>
  <c r="AN52" i="14" s="1"/>
  <c r="AM16" i="14"/>
  <c r="AL16" i="14"/>
  <c r="AK16" i="14"/>
  <c r="AJ16" i="14"/>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H9" i="14" s="1"/>
  <c r="AG15" i="14"/>
  <c r="M33" i="14" s="1"/>
  <c r="AG33" i="14" s="1"/>
  <c r="M51" i="14" s="1"/>
  <c r="AF15" i="14"/>
  <c r="L33" i="14" s="1"/>
  <c r="AF33" i="14" s="1"/>
  <c r="L51" i="14" s="1"/>
  <c r="AF51" i="14" s="1"/>
  <c r="AE15" i="14"/>
  <c r="AD15" i="14"/>
  <c r="AC15" i="14"/>
  <c r="AB15" i="14"/>
  <c r="AA15" i="14"/>
  <c r="G33" i="14" s="1"/>
  <c r="AA33" i="14" s="1"/>
  <c r="G51" i="14" s="1"/>
  <c r="AA51" i="14" s="1"/>
  <c r="V15" i="14"/>
  <c r="AO14" i="14"/>
  <c r="U32" i="14" s="1"/>
  <c r="AO32" i="14" s="1"/>
  <c r="U50" i="14" s="1"/>
  <c r="AO50" i="14" s="1"/>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S30" i="14" s="1"/>
  <c r="AM30" i="14" s="1"/>
  <c r="S48" i="14" s="1"/>
  <c r="AM48" i="14" s="1"/>
  <c r="AL12" i="14"/>
  <c r="R30" i="14" s="1"/>
  <c r="AL30" i="14" s="1"/>
  <c r="R48" i="14" s="1"/>
  <c r="AL48" i="14" s="1"/>
  <c r="AK12" i="14"/>
  <c r="Q30" i="14" s="1"/>
  <c r="AK30" i="14" s="1"/>
  <c r="Q48" i="14" s="1"/>
  <c r="AK48" i="14" s="1"/>
  <c r="AJ12" i="14"/>
  <c r="AI12" i="14"/>
  <c r="O30" i="14" s="1"/>
  <c r="AI30" i="14" s="1"/>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V12" i="14"/>
  <c r="AO11" i="14"/>
  <c r="U29" i="14" s="1"/>
  <c r="AO29" i="14" s="1"/>
  <c r="U47" i="14" s="1"/>
  <c r="AO47" i="14" s="1"/>
  <c r="AN11" i="14"/>
  <c r="T29" i="14" s="1"/>
  <c r="AN29" i="14" s="1"/>
  <c r="T47" i="14" s="1"/>
  <c r="AN47" i="14" s="1"/>
  <c r="AM11" i="14"/>
  <c r="S29" i="14" s="1"/>
  <c r="AM29" i="14" s="1"/>
  <c r="S47" i="14" s="1"/>
  <c r="AM47" i="14" s="1"/>
  <c r="AL11" i="14"/>
  <c r="R29" i="14" s="1"/>
  <c r="AL29" i="14" s="1"/>
  <c r="R47" i="14" s="1"/>
  <c r="AL47" i="14" s="1"/>
  <c r="AK11" i="14"/>
  <c r="Q29" i="14" s="1"/>
  <c r="AK29" i="14" s="1"/>
  <c r="Q47" i="14" s="1"/>
  <c r="AK47" i="14" s="1"/>
  <c r="AJ11" i="14"/>
  <c r="AI11" i="14"/>
  <c r="AH11" i="14"/>
  <c r="AG11" i="14"/>
  <c r="M29" i="14" s="1"/>
  <c r="AG29" i="14" s="1"/>
  <c r="M47" i="14" s="1"/>
  <c r="AF11" i="14"/>
  <c r="L29" i="14" s="1"/>
  <c r="AF29" i="14" s="1"/>
  <c r="L47" i="14" s="1"/>
  <c r="AF47" i="14" s="1"/>
  <c r="AE11" i="14"/>
  <c r="K29" i="14" s="1"/>
  <c r="AE29" i="14" s="1"/>
  <c r="K47" i="14" s="1"/>
  <c r="AE47" i="14" s="1"/>
  <c r="AD11" i="14"/>
  <c r="J29" i="14" s="1"/>
  <c r="AD29" i="14" s="1"/>
  <c r="J47" i="14" s="1"/>
  <c r="AD47" i="14" s="1"/>
  <c r="AC11" i="14"/>
  <c r="I29" i="14" s="1"/>
  <c r="AC29" i="14" s="1"/>
  <c r="I47" i="14" s="1"/>
  <c r="AC47" i="14" s="1"/>
  <c r="AB11" i="14"/>
  <c r="H29" i="14" s="1"/>
  <c r="AA11" i="14"/>
  <c r="V11" i="14"/>
  <c r="N9" i="14"/>
  <c r="AR3" i="14"/>
  <c r="AS3" i="14" s="1"/>
  <c r="Z12" i="14" l="1"/>
  <c r="F30" i="14" s="1"/>
  <c r="Z30" i="14" s="1"/>
  <c r="F48" i="14" s="1"/>
  <c r="Z48" i="14" s="1"/>
  <c r="AP12" i="14"/>
  <c r="AP11" i="14"/>
  <c r="AP13" i="14"/>
  <c r="Z22" i="14"/>
  <c r="F40" i="14" s="1"/>
  <c r="Z40" i="14" s="1"/>
  <c r="F58" i="14" s="1"/>
  <c r="Z58" i="14" s="1"/>
  <c r="AP22" i="14"/>
  <c r="AP16" i="14"/>
  <c r="V38" i="14"/>
  <c r="AS33" i="14"/>
  <c r="AP14" i="14"/>
  <c r="AP26" i="14"/>
  <c r="AJ31" i="14"/>
  <c r="P49" i="14" s="1"/>
  <c r="AJ49" i="14" s="1"/>
  <c r="V29" i="14"/>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X69" i="7" s="1"/>
  <c r="AF75" i="7"/>
  <c r="AF74" i="7"/>
  <c r="G74" i="7"/>
  <c r="Z74" i="7" s="1"/>
  <c r="C74" i="7"/>
  <c r="B74" i="7"/>
  <c r="AF73" i="7"/>
  <c r="G73" i="7"/>
  <c r="Z73" i="7" s="1"/>
  <c r="C73" i="7"/>
  <c r="B73" i="7"/>
  <c r="AF72" i="7"/>
  <c r="G72" i="7"/>
  <c r="Z72" i="7" s="1"/>
  <c r="C72" i="7"/>
  <c r="B72" i="7"/>
  <c r="AF71" i="7"/>
  <c r="G71" i="7"/>
  <c r="Z71" i="7" s="1"/>
  <c r="C71" i="7"/>
  <c r="B71" i="7"/>
  <c r="AL70" i="7"/>
  <c r="AI70" i="7"/>
  <c r="AH70" i="7"/>
  <c r="AF70" i="7"/>
  <c r="AD70" i="7"/>
  <c r="AA70" i="7"/>
  <c r="Z70" i="7"/>
  <c r="W70" i="7"/>
  <c r="M70" i="7"/>
  <c r="AL69" i="7"/>
  <c r="AI69" i="7"/>
  <c r="AH69" i="7"/>
  <c r="AF69" i="7"/>
  <c r="AD69" i="7"/>
  <c r="AA69" i="7"/>
  <c r="Z69" i="7"/>
  <c r="W69" i="7"/>
  <c r="M69" i="7"/>
  <c r="AL68" i="7"/>
  <c r="AI68" i="7"/>
  <c r="AH68" i="7"/>
  <c r="AF68" i="7"/>
  <c r="AD68" i="7"/>
  <c r="AA68" i="7"/>
  <c r="Z68" i="7"/>
  <c r="W68" i="7"/>
  <c r="M68" i="7"/>
  <c r="AM67" i="7"/>
  <c r="AH67" i="7"/>
  <c r="AG67" i="7"/>
  <c r="AF67" i="7"/>
  <c r="AE67" i="7"/>
  <c r="AE81" i="7" s="1"/>
  <c r="AE82" i="7" s="1"/>
  <c r="Z67" i="7"/>
  <c r="Y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F59" i="7"/>
  <c r="M77" i="7" s="1"/>
  <c r="AD59" i="7"/>
  <c r="K77" i="7" s="1"/>
  <c r="AD77" i="7" s="1"/>
  <c r="Z59" i="7"/>
  <c r="G77" i="7" s="1"/>
  <c r="Z77" i="7" s="1"/>
  <c r="S59" i="7"/>
  <c r="AL59" i="7" s="1"/>
  <c r="S77" i="7" s="1"/>
  <c r="AL77" i="7" s="1"/>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F57" i="7"/>
  <c r="M75" i="7" s="1"/>
  <c r="Z57" i="7"/>
  <c r="G75" i="7" s="1"/>
  <c r="Z75" i="7" s="1"/>
  <c r="S57" i="7"/>
  <c r="P57" i="7"/>
  <c r="AI57" i="7" s="1"/>
  <c r="P75" i="7" s="1"/>
  <c r="AI75" i="7" s="1"/>
  <c r="K57" i="7"/>
  <c r="AD57" i="7" s="1"/>
  <c r="K75" i="7" s="1"/>
  <c r="AD75" i="7" s="1"/>
  <c r="H57" i="7"/>
  <c r="AA57" i="7" s="1"/>
  <c r="H75" i="7" s="1"/>
  <c r="AA75" i="7" s="1"/>
  <c r="C57" i="7"/>
  <c r="C75" i="7" s="1"/>
  <c r="B57" i="7"/>
  <c r="B75" i="7" s="1"/>
  <c r="AL56" i="7"/>
  <c r="S74" i="7" s="1"/>
  <c r="AL74" i="7" s="1"/>
  <c r="AI56" i="7"/>
  <c r="P74" i="7" s="1"/>
  <c r="AI74" i="7" s="1"/>
  <c r="AH56" i="7"/>
  <c r="O74" i="7" s="1"/>
  <c r="AH74" i="7" s="1"/>
  <c r="AF56" i="7"/>
  <c r="M74" i="7" s="1"/>
  <c r="AD56" i="7"/>
  <c r="K74" i="7" s="1"/>
  <c r="AD74" i="7" s="1"/>
  <c r="AA56" i="7"/>
  <c r="H74" i="7" s="1"/>
  <c r="AA74" i="7" s="1"/>
  <c r="W56" i="7"/>
  <c r="D74" i="7" s="1"/>
  <c r="W74" i="7" s="1"/>
  <c r="M56" i="7"/>
  <c r="AQ55" i="7"/>
  <c r="AQ56" i="7" s="1"/>
  <c r="AL55" i="7"/>
  <c r="S73" i="7" s="1"/>
  <c r="AL73" i="7" s="1"/>
  <c r="AI55" i="7"/>
  <c r="P73" i="7" s="1"/>
  <c r="AI73" i="7" s="1"/>
  <c r="AH55" i="7"/>
  <c r="O73" i="7" s="1"/>
  <c r="AH73" i="7" s="1"/>
  <c r="AF55" i="7"/>
  <c r="AD55" i="7"/>
  <c r="K73" i="7" s="1"/>
  <c r="AD73" i="7" s="1"/>
  <c r="AA55" i="7"/>
  <c r="H73" i="7" s="1"/>
  <c r="AA73" i="7" s="1"/>
  <c r="W55" i="7"/>
  <c r="D73" i="7" s="1"/>
  <c r="W73" i="7" s="1"/>
  <c r="M55" i="7"/>
  <c r="AL54" i="7"/>
  <c r="S72" i="7" s="1"/>
  <c r="AL72" i="7" s="1"/>
  <c r="AI54" i="7"/>
  <c r="P72" i="7" s="1"/>
  <c r="AI72" i="7" s="1"/>
  <c r="AH54" i="7"/>
  <c r="O72" i="7" s="1"/>
  <c r="AH72" i="7" s="1"/>
  <c r="AF54" i="7"/>
  <c r="M72" i="7" s="1"/>
  <c r="AD54" i="7"/>
  <c r="K72" i="7" s="1"/>
  <c r="AD72" i="7" s="1"/>
  <c r="AA54" i="7"/>
  <c r="H72" i="7" s="1"/>
  <c r="AA72" i="7" s="1"/>
  <c r="W54" i="7"/>
  <c r="D72" i="7" s="1"/>
  <c r="W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46" i="7"/>
  <c r="T64" i="7" s="1"/>
  <c r="AM64" i="7" s="1"/>
  <c r="AK46" i="7"/>
  <c r="R64" i="7" s="1"/>
  <c r="AK64" i="7" s="1"/>
  <c r="R82" i="7" s="1"/>
  <c r="AK82" i="7" s="1"/>
  <c r="AI46" i="7"/>
  <c r="P64" i="7" s="1"/>
  <c r="AI64" i="7" s="1"/>
  <c r="T46" i="7"/>
  <c r="S46" i="7"/>
  <c r="AL46" i="7" s="1"/>
  <c r="S64" i="7" s="1"/>
  <c r="AL64" i="7" s="1"/>
  <c r="R46" i="7"/>
  <c r="Q46" i="7"/>
  <c r="AJ46" i="7" s="1"/>
  <c r="Q64" i="7" s="1"/>
  <c r="AJ64" i="7" s="1"/>
  <c r="Q82" i="7" s="1"/>
  <c r="AJ82" i="7" s="1"/>
  <c r="P46" i="7"/>
  <c r="O46" i="7"/>
  <c r="AH46" i="7" s="1"/>
  <c r="O64" i="7" s="1"/>
  <c r="AH64" i="7" s="1"/>
  <c r="O82" i="7" s="1"/>
  <c r="AH82" i="7" s="1"/>
  <c r="N46" i="7"/>
  <c r="AG46" i="7" s="1"/>
  <c r="N64" i="7" s="1"/>
  <c r="AG64" i="7" s="1"/>
  <c r="T45" i="7"/>
  <c r="AM45" i="7" s="1"/>
  <c r="T63" i="7" s="1"/>
  <c r="AM63" i="7" s="1"/>
  <c r="S45" i="7"/>
  <c r="AL45" i="7" s="1"/>
  <c r="S63" i="7" s="1"/>
  <c r="AL63" i="7" s="1"/>
  <c r="R45" i="7"/>
  <c r="AK45" i="7" s="1"/>
  <c r="R63" i="7" s="1"/>
  <c r="AK63" i="7" s="1"/>
  <c r="R81" i="7" s="1"/>
  <c r="AK81" i="7" s="1"/>
  <c r="Q45" i="7"/>
  <c r="AJ45" i="7" s="1"/>
  <c r="Q63" i="7" s="1"/>
  <c r="AJ63" i="7" s="1"/>
  <c r="Q81" i="7" s="1"/>
  <c r="AJ81" i="7" s="1"/>
  <c r="P45" i="7"/>
  <c r="AI45" i="7" s="1"/>
  <c r="P63" i="7" s="1"/>
  <c r="AI63" i="7" s="1"/>
  <c r="O45" i="7"/>
  <c r="AH45" i="7" s="1"/>
  <c r="O63" i="7" s="1"/>
  <c r="AH63" i="7" s="1"/>
  <c r="O81" i="7" s="1"/>
  <c r="AH81" i="7" s="1"/>
  <c r="N45" i="7"/>
  <c r="AG45" i="7" s="1"/>
  <c r="N63"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J44" i="7"/>
  <c r="C44" i="7"/>
  <c r="C62" i="7" s="1"/>
  <c r="C80" i="7" s="1"/>
  <c r="B44" i="7"/>
  <c r="B62" i="7" s="1"/>
  <c r="B80" i="7" s="1"/>
  <c r="AF43" i="7"/>
  <c r="M61"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T42" i="7"/>
  <c r="AM42" i="7" s="1"/>
  <c r="T60" i="7" s="1"/>
  <c r="AM60" i="7" s="1"/>
  <c r="T78" i="7" s="1"/>
  <c r="AM78" i="7" s="1"/>
  <c r="I42" i="7"/>
  <c r="AB42" i="7" s="1"/>
  <c r="I60" i="7" s="1"/>
  <c r="AB60" i="7" s="1"/>
  <c r="I78" i="7" s="1"/>
  <c r="AB78" i="7" s="1"/>
  <c r="C42" i="7"/>
  <c r="C60" i="7" s="1"/>
  <c r="C78" i="7" s="1"/>
  <c r="B42" i="7"/>
  <c r="B60" i="7" s="1"/>
  <c r="B78" i="7" s="1"/>
  <c r="AM41" i="7"/>
  <c r="T59" i="7" s="1"/>
  <c r="AM59" i="7" s="1"/>
  <c r="T77" i="7" s="1"/>
  <c r="AM77" i="7" s="1"/>
  <c r="AH41" i="7"/>
  <c r="O59" i="7" s="1"/>
  <c r="AH59" i="7" s="1"/>
  <c r="O77" i="7" s="1"/>
  <c r="AH77" i="7" s="1"/>
  <c r="AG41" i="7"/>
  <c r="N59" i="7" s="1"/>
  <c r="AG59" i="7" s="1"/>
  <c r="Z41" i="7"/>
  <c r="G59" i="7" s="1"/>
  <c r="W41" i="7"/>
  <c r="D59" i="7" s="1"/>
  <c r="W59" i="7" s="1"/>
  <c r="D77" i="7" s="1"/>
  <c r="W77" i="7" s="1"/>
  <c r="T41" i="7"/>
  <c r="S41" i="7"/>
  <c r="R41" i="7"/>
  <c r="AK41" i="7" s="1"/>
  <c r="R59" i="7" s="1"/>
  <c r="AK59" i="7" s="1"/>
  <c r="R77" i="7" s="1"/>
  <c r="AK77" i="7" s="1"/>
  <c r="Q41" i="7"/>
  <c r="N41" i="7"/>
  <c r="M41" i="7"/>
  <c r="AH40" i="7"/>
  <c r="O58" i="7" s="1"/>
  <c r="AH58" i="7" s="1"/>
  <c r="O76" i="7" s="1"/>
  <c r="AH76" i="7" s="1"/>
  <c r="Z40" i="7"/>
  <c r="G58" i="7" s="1"/>
  <c r="W40" i="7"/>
  <c r="D58" i="7" s="1"/>
  <c r="W58" i="7" s="1"/>
  <c r="D76" i="7" s="1"/>
  <c r="W76" i="7" s="1"/>
  <c r="T40" i="7"/>
  <c r="AM40" i="7" s="1"/>
  <c r="T58" i="7" s="1"/>
  <c r="AM58" i="7" s="1"/>
  <c r="T76" i="7" s="1"/>
  <c r="AM76" i="7" s="1"/>
  <c r="S40" i="7"/>
  <c r="R40" i="7"/>
  <c r="AK40" i="7" s="1"/>
  <c r="R58" i="7" s="1"/>
  <c r="AK58" i="7" s="1"/>
  <c r="R76" i="7" s="1"/>
  <c r="AK76" i="7" s="1"/>
  <c r="Q40" i="7"/>
  <c r="N40" i="7"/>
  <c r="AG40" i="7" s="1"/>
  <c r="N58" i="7" s="1"/>
  <c r="M40" i="7"/>
  <c r="I40" i="7"/>
  <c r="AB40" i="7" s="1"/>
  <c r="I58" i="7" s="1"/>
  <c r="AB58" i="7" s="1"/>
  <c r="I76" i="7" s="1"/>
  <c r="AB76" i="7" s="1"/>
  <c r="AH39" i="7"/>
  <c r="O57" i="7" s="1"/>
  <c r="AH57" i="7" s="1"/>
  <c r="O75" i="7" s="1"/>
  <c r="AH75" i="7" s="1"/>
  <c r="AF39" i="7"/>
  <c r="M57" i="7" s="1"/>
  <c r="Z39" i="7"/>
  <c r="G57" i="7" s="1"/>
  <c r="W39" i="7"/>
  <c r="D57" i="7" s="1"/>
  <c r="W57" i="7" s="1"/>
  <c r="D75" i="7" s="1"/>
  <c r="W75" i="7" s="1"/>
  <c r="T39" i="7"/>
  <c r="AM39" i="7" s="1"/>
  <c r="T57" i="7" s="1"/>
  <c r="AM57" i="7" s="1"/>
  <c r="T75" i="7" s="1"/>
  <c r="AM75" i="7" s="1"/>
  <c r="S39" i="7"/>
  <c r="R39" i="7"/>
  <c r="AK39" i="7" s="1"/>
  <c r="R57" i="7" s="1"/>
  <c r="AK57" i="7" s="1"/>
  <c r="R75" i="7" s="1"/>
  <c r="AK75" i="7" s="1"/>
  <c r="Q39" i="7"/>
  <c r="U39" i="7" s="1"/>
  <c r="N39" i="7"/>
  <c r="AG39" i="7" s="1"/>
  <c r="N57" i="7" s="1"/>
  <c r="AG57" i="7" s="1"/>
  <c r="M39" i="7"/>
  <c r="AS38" i="7"/>
  <c r="AQ38" i="7"/>
  <c r="AT38" i="7" s="1"/>
  <c r="AT39" i="7" s="1"/>
  <c r="AT40" i="7" s="1"/>
  <c r="AT41" i="7" s="1"/>
  <c r="AM38" i="7"/>
  <c r="T56" i="7" s="1"/>
  <c r="AM56" i="7" s="1"/>
  <c r="T74" i="7" s="1"/>
  <c r="AM74" i="7" s="1"/>
  <c r="AK38" i="7"/>
  <c r="R56" i="7" s="1"/>
  <c r="AK56" i="7" s="1"/>
  <c r="R74" i="7" s="1"/>
  <c r="AK74" i="7" s="1"/>
  <c r="AI38" i="7"/>
  <c r="T38" i="7"/>
  <c r="S38" i="7"/>
  <c r="AL38" i="7" s="1"/>
  <c r="R38" i="7"/>
  <c r="Q38" i="7"/>
  <c r="AJ38" i="7" s="1"/>
  <c r="Q56" i="7" s="1"/>
  <c r="AJ56" i="7" s="1"/>
  <c r="Q74" i="7" s="1"/>
  <c r="AJ74" i="7" s="1"/>
  <c r="P38" i="7"/>
  <c r="O38" i="7"/>
  <c r="AH38" i="7" s="1"/>
  <c r="N38" i="7"/>
  <c r="AG38" i="7" s="1"/>
  <c r="N56" i="7" s="1"/>
  <c r="T37" i="7"/>
  <c r="AM37" i="7" s="1"/>
  <c r="T55" i="7" s="1"/>
  <c r="AM55" i="7" s="1"/>
  <c r="T73" i="7" s="1"/>
  <c r="AM73" i="7" s="1"/>
  <c r="S37" i="7"/>
  <c r="AL37" i="7" s="1"/>
  <c r="R37" i="7"/>
  <c r="AK37" i="7" s="1"/>
  <c r="R55" i="7" s="1"/>
  <c r="AK55" i="7" s="1"/>
  <c r="R73" i="7" s="1"/>
  <c r="AK73" i="7" s="1"/>
  <c r="Q37" i="7"/>
  <c r="AJ37" i="7" s="1"/>
  <c r="Q55" i="7" s="1"/>
  <c r="AJ55" i="7" s="1"/>
  <c r="Q73" i="7" s="1"/>
  <c r="AJ73" i="7" s="1"/>
  <c r="P37" i="7"/>
  <c r="AI37" i="7" s="1"/>
  <c r="O37" i="7"/>
  <c r="AH37" i="7" s="1"/>
  <c r="N37" i="7"/>
  <c r="AG37" i="7" s="1"/>
  <c r="N55" i="7" s="1"/>
  <c r="AM36" i="7"/>
  <c r="T54" i="7" s="1"/>
  <c r="AM54" i="7" s="1"/>
  <c r="T72" i="7" s="1"/>
  <c r="AM72" i="7" s="1"/>
  <c r="AK36" i="7"/>
  <c r="R54" i="7" s="1"/>
  <c r="AK54" i="7" s="1"/>
  <c r="R72" i="7" s="1"/>
  <c r="AK72" i="7" s="1"/>
  <c r="AI36" i="7"/>
  <c r="T36" i="7"/>
  <c r="S36" i="7"/>
  <c r="AL36" i="7" s="1"/>
  <c r="R36" i="7"/>
  <c r="Q36" i="7"/>
  <c r="AJ36" i="7" s="1"/>
  <c r="Q54" i="7" s="1"/>
  <c r="AJ54" i="7" s="1"/>
  <c r="Q72" i="7" s="1"/>
  <c r="AJ72" i="7" s="1"/>
  <c r="P36" i="7"/>
  <c r="O36" i="7"/>
  <c r="AH36" i="7" s="1"/>
  <c r="N36" i="7"/>
  <c r="AG36" i="7" s="1"/>
  <c r="AI35" i="7"/>
  <c r="T35" i="7"/>
  <c r="AM35" i="7" s="1"/>
  <c r="T53" i="7" s="1"/>
  <c r="AM53" i="7" s="1"/>
  <c r="T71" i="7" s="1"/>
  <c r="AM71" i="7" s="1"/>
  <c r="S35" i="7"/>
  <c r="AL35" i="7" s="1"/>
  <c r="R35" i="7"/>
  <c r="AK35" i="7" s="1"/>
  <c r="R53" i="7" s="1"/>
  <c r="AK53" i="7" s="1"/>
  <c r="R71" i="7" s="1"/>
  <c r="AK71" i="7" s="1"/>
  <c r="Q35" i="7"/>
  <c r="AJ35" i="7" s="1"/>
  <c r="Q53" i="7" s="1"/>
  <c r="AJ53" i="7" s="1"/>
  <c r="Q71" i="7" s="1"/>
  <c r="AJ71" i="7" s="1"/>
  <c r="P35" i="7"/>
  <c r="O35" i="7"/>
  <c r="AH35" i="7" s="1"/>
  <c r="N35" i="7"/>
  <c r="AG35" i="7" s="1"/>
  <c r="N53" i="7" s="1"/>
  <c r="AM34" i="7"/>
  <c r="T52" i="7" s="1"/>
  <c r="AM52" i="7" s="1"/>
  <c r="T70" i="7" s="1"/>
  <c r="AM70" i="7" s="1"/>
  <c r="T34" i="7"/>
  <c r="S34" i="7"/>
  <c r="AL34" i="7" s="1"/>
  <c r="S52" i="7" s="1"/>
  <c r="AL52" i="7" s="1"/>
  <c r="R34" i="7"/>
  <c r="AK34" i="7" s="1"/>
  <c r="R52" i="7" s="1"/>
  <c r="AK52" i="7" s="1"/>
  <c r="R70" i="7" s="1"/>
  <c r="AK70" i="7" s="1"/>
  <c r="Q34" i="7"/>
  <c r="AJ34" i="7" s="1"/>
  <c r="Q52" i="7" s="1"/>
  <c r="AJ52" i="7" s="1"/>
  <c r="Q70" i="7" s="1"/>
  <c r="AJ70" i="7" s="1"/>
  <c r="P34" i="7"/>
  <c r="AI34" i="7" s="1"/>
  <c r="P52" i="7" s="1"/>
  <c r="AI52" i="7" s="1"/>
  <c r="O34" i="7"/>
  <c r="AH34" i="7" s="1"/>
  <c r="O52" i="7" s="1"/>
  <c r="AH52" i="7" s="1"/>
  <c r="N34" i="7"/>
  <c r="AG34" i="7" s="1"/>
  <c r="N52" i="7" s="1"/>
  <c r="AI33" i="7"/>
  <c r="P51" i="7" s="1"/>
  <c r="AI51" i="7" s="1"/>
  <c r="T33" i="7"/>
  <c r="AM33" i="7" s="1"/>
  <c r="T51" i="7" s="1"/>
  <c r="AM51" i="7" s="1"/>
  <c r="T69" i="7" s="1"/>
  <c r="AM69" i="7" s="1"/>
  <c r="S33" i="7"/>
  <c r="AL33" i="7" s="1"/>
  <c r="S51" i="7" s="1"/>
  <c r="AL51" i="7" s="1"/>
  <c r="R33" i="7"/>
  <c r="AK33" i="7" s="1"/>
  <c r="R51" i="7" s="1"/>
  <c r="AK51" i="7" s="1"/>
  <c r="R69" i="7" s="1"/>
  <c r="AK69" i="7" s="1"/>
  <c r="Q33" i="7"/>
  <c r="AJ33" i="7" s="1"/>
  <c r="Q51" i="7" s="1"/>
  <c r="AJ51" i="7" s="1"/>
  <c r="Q69" i="7" s="1"/>
  <c r="AJ69" i="7" s="1"/>
  <c r="P33" i="7"/>
  <c r="O33" i="7"/>
  <c r="AH33" i="7" s="1"/>
  <c r="O51" i="7" s="1"/>
  <c r="AH51" i="7" s="1"/>
  <c r="N33" i="7"/>
  <c r="AG33" i="7" s="1"/>
  <c r="N51" i="7" s="1"/>
  <c r="H33" i="7"/>
  <c r="AA33" i="7" s="1"/>
  <c r="H51" i="7" s="1"/>
  <c r="AA51" i="7" s="1"/>
  <c r="AG32" i="7"/>
  <c r="T32" i="7"/>
  <c r="AM32" i="7" s="1"/>
  <c r="T50" i="7" s="1"/>
  <c r="AM50" i="7" s="1"/>
  <c r="T68" i="7" s="1"/>
  <c r="AM68" i="7" s="1"/>
  <c r="S32" i="7"/>
  <c r="AL32" i="7" s="1"/>
  <c r="S50" i="7" s="1"/>
  <c r="AL50" i="7" s="1"/>
  <c r="R32" i="7"/>
  <c r="AK32" i="7" s="1"/>
  <c r="R50" i="7" s="1"/>
  <c r="AK50" i="7" s="1"/>
  <c r="R68" i="7" s="1"/>
  <c r="AK68" i="7" s="1"/>
  <c r="Q32" i="7"/>
  <c r="AJ32" i="7" s="1"/>
  <c r="Q50" i="7" s="1"/>
  <c r="AJ50" i="7" s="1"/>
  <c r="Q68" i="7" s="1"/>
  <c r="AJ68" i="7" s="1"/>
  <c r="P32" i="7"/>
  <c r="AI32" i="7" s="1"/>
  <c r="P50" i="7" s="1"/>
  <c r="AI50" i="7" s="1"/>
  <c r="O32" i="7"/>
  <c r="AH32" i="7" s="1"/>
  <c r="O50" i="7" s="1"/>
  <c r="AH50" i="7" s="1"/>
  <c r="N32" i="7"/>
  <c r="L32" i="7"/>
  <c r="AE32" i="7" s="1"/>
  <c r="L50" i="7" s="1"/>
  <c r="AE50" i="7" s="1"/>
  <c r="L68" i="7" s="1"/>
  <c r="AM31" i="7"/>
  <c r="T49" i="7" s="1"/>
  <c r="AM49" i="7" s="1"/>
  <c r="AK31" i="7"/>
  <c r="R49" i="7" s="1"/>
  <c r="AK49" i="7" s="1"/>
  <c r="R67" i="7" s="1"/>
  <c r="AK67" i="7" s="1"/>
  <c r="T31" i="7"/>
  <c r="S31" i="7"/>
  <c r="AL31" i="7" s="1"/>
  <c r="S49" i="7" s="1"/>
  <c r="AL49" i="7" s="1"/>
  <c r="S67" i="7" s="1"/>
  <c r="AL67" i="7" s="1"/>
  <c r="R31" i="7"/>
  <c r="Q31" i="7"/>
  <c r="AJ31" i="7" s="1"/>
  <c r="Q49" i="7" s="1"/>
  <c r="AJ49" i="7" s="1"/>
  <c r="Q67" i="7" s="1"/>
  <c r="AJ67" i="7" s="1"/>
  <c r="P31" i="7"/>
  <c r="AI31" i="7" s="1"/>
  <c r="P49" i="7" s="1"/>
  <c r="AI49" i="7" s="1"/>
  <c r="P67" i="7" s="1"/>
  <c r="O31" i="7"/>
  <c r="AH31" i="7" s="1"/>
  <c r="O49" i="7" s="1"/>
  <c r="N31" i="7"/>
  <c r="AG31" i="7" s="1"/>
  <c r="N49" i="7" s="1"/>
  <c r="AG49"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J45" i="7" s="1"/>
  <c r="AC45" i="7" s="1"/>
  <c r="J63" i="7" s="1"/>
  <c r="AC63" i="7" s="1"/>
  <c r="J81" i="7" s="1"/>
  <c r="AC81" i="7" s="1"/>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T44" i="7" s="1"/>
  <c r="AM44" i="7" s="1"/>
  <c r="T62" i="7" s="1"/>
  <c r="AM62" i="7" s="1"/>
  <c r="T80" i="7" s="1"/>
  <c r="AM80" i="7" s="1"/>
  <c r="AL26" i="7"/>
  <c r="S44" i="7" s="1"/>
  <c r="AK26" i="7"/>
  <c r="R44" i="7" s="1"/>
  <c r="AK44" i="7" s="1"/>
  <c r="R62" i="7" s="1"/>
  <c r="AK62" i="7" s="1"/>
  <c r="R80" i="7" s="1"/>
  <c r="AK80" i="7" s="1"/>
  <c r="AJ26" i="7"/>
  <c r="Q44" i="7" s="1"/>
  <c r="AJ44" i="7" s="1"/>
  <c r="Q62" i="7" s="1"/>
  <c r="AJ62" i="7" s="1"/>
  <c r="Q80" i="7" s="1"/>
  <c r="AJ80" i="7" s="1"/>
  <c r="AI26" i="7"/>
  <c r="P44" i="7" s="1"/>
  <c r="AI44" i="7" s="1"/>
  <c r="P62" i="7" s="1"/>
  <c r="AI62" i="7" s="1"/>
  <c r="P80" i="7" s="1"/>
  <c r="AI80" i="7" s="1"/>
  <c r="AH26" i="7"/>
  <c r="O44" i="7" s="1"/>
  <c r="AH44" i="7" s="1"/>
  <c r="O62" i="7" s="1"/>
  <c r="AH62" i="7" s="1"/>
  <c r="O80" i="7" s="1"/>
  <c r="AH80" i="7" s="1"/>
  <c r="AG26" i="7"/>
  <c r="AF26" i="7"/>
  <c r="M44" i="7" s="1"/>
  <c r="AE26" i="7"/>
  <c r="L44" i="7" s="1"/>
  <c r="AE44" i="7" s="1"/>
  <c r="L62" i="7" s="1"/>
  <c r="AE62" i="7" s="1"/>
  <c r="L80" i="7" s="1"/>
  <c r="AD26" i="7"/>
  <c r="K44" i="7" s="1"/>
  <c r="AB26" i="7"/>
  <c r="I44" i="7" s="1"/>
  <c r="AB44" i="7" s="1"/>
  <c r="I62" i="7" s="1"/>
  <c r="AB62" i="7" s="1"/>
  <c r="I80" i="7" s="1"/>
  <c r="AB80" i="7" s="1"/>
  <c r="AA26" i="7"/>
  <c r="H44" i="7" s="1"/>
  <c r="Z26" i="7"/>
  <c r="G44" i="7" s="1"/>
  <c r="Z44" i="7" s="1"/>
  <c r="G62" i="7" s="1"/>
  <c r="Y26" i="7"/>
  <c r="F44" i="7" s="1"/>
  <c r="Y44" i="7" s="1"/>
  <c r="F62" i="7" s="1"/>
  <c r="Y62" i="7" s="1"/>
  <c r="F80" i="7" s="1"/>
  <c r="Y80" i="7" s="1"/>
  <c r="W26" i="7"/>
  <c r="D44" i="7" s="1"/>
  <c r="W44" i="7" s="1"/>
  <c r="D62" i="7" s="1"/>
  <c r="W62" i="7" s="1"/>
  <c r="D80" i="7" s="1"/>
  <c r="U26" i="7"/>
  <c r="AM25" i="7"/>
  <c r="T43" i="7" s="1"/>
  <c r="AM43" i="7" s="1"/>
  <c r="T61" i="7" s="1"/>
  <c r="AM61" i="7" s="1"/>
  <c r="T79" i="7" s="1"/>
  <c r="AM79" i="7" s="1"/>
  <c r="AL25" i="7"/>
  <c r="S43" i="7" s="1"/>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O43" i="7" s="1"/>
  <c r="AH43" i="7" s="1"/>
  <c r="O61" i="7" s="1"/>
  <c r="AH61" i="7" s="1"/>
  <c r="O79" i="7" s="1"/>
  <c r="AH79" i="7" s="1"/>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P42" i="7" s="1"/>
  <c r="AI42" i="7" s="1"/>
  <c r="P60" i="7" s="1"/>
  <c r="AI60" i="7" s="1"/>
  <c r="P78" i="7" s="1"/>
  <c r="AI78" i="7" s="1"/>
  <c r="AH24" i="7"/>
  <c r="O42" i="7" s="1"/>
  <c r="AH42" i="7" s="1"/>
  <c r="O60" i="7" s="1"/>
  <c r="AH60" i="7" s="1"/>
  <c r="O78" i="7" s="1"/>
  <c r="AH78" i="7" s="1"/>
  <c r="AG24" i="7"/>
  <c r="AF24" i="7"/>
  <c r="M42" i="7" s="1"/>
  <c r="AE24" i="7"/>
  <c r="L42" i="7" s="1"/>
  <c r="AE42" i="7" s="1"/>
  <c r="L60" i="7" s="1"/>
  <c r="AE60" i="7" s="1"/>
  <c r="L78" i="7" s="1"/>
  <c r="AD24" i="7"/>
  <c r="K42" i="7" s="1"/>
  <c r="AC24" i="7"/>
  <c r="J42" i="7" s="1"/>
  <c r="AC42" i="7" s="1"/>
  <c r="J60" i="7" s="1"/>
  <c r="AC60" i="7" s="1"/>
  <c r="J78" i="7" s="1"/>
  <c r="AC78" i="7" s="1"/>
  <c r="AA24" i="7"/>
  <c r="H42" i="7" s="1"/>
  <c r="Z24" i="7"/>
  <c r="G42" i="7" s="1"/>
  <c r="Z42" i="7" s="1"/>
  <c r="G60" i="7" s="1"/>
  <c r="Y24" i="7"/>
  <c r="F42" i="7" s="1"/>
  <c r="Y42" i="7" s="1"/>
  <c r="F60" i="7" s="1"/>
  <c r="Y60" i="7" s="1"/>
  <c r="F78" i="7" s="1"/>
  <c r="Y78" i="7" s="1"/>
  <c r="W24" i="7"/>
  <c r="D42" i="7" s="1"/>
  <c r="W42" i="7" s="1"/>
  <c r="D60" i="7" s="1"/>
  <c r="W60" i="7" s="1"/>
  <c r="D78" i="7" s="1"/>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I39" i="7" s="1"/>
  <c r="AB39" i="7" s="1"/>
  <c r="I57" i="7" s="1"/>
  <c r="AB57" i="7" s="1"/>
  <c r="I75" i="7" s="1"/>
  <c r="AB75" i="7" s="1"/>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J37" i="7" s="1"/>
  <c r="AC37" i="7" s="1"/>
  <c r="J55" i="7" s="1"/>
  <c r="AC55" i="7" s="1"/>
  <c r="J73" i="7" s="1"/>
  <c r="AC73" i="7" s="1"/>
  <c r="AB19" i="7"/>
  <c r="I37" i="7" s="1"/>
  <c r="AB37" i="7" s="1"/>
  <c r="I55" i="7" s="1"/>
  <c r="AB55" i="7" s="1"/>
  <c r="I73" i="7" s="1"/>
  <c r="AB73" i="7" s="1"/>
  <c r="AA19" i="7"/>
  <c r="H37" i="7" s="1"/>
  <c r="AA37" i="7" s="1"/>
  <c r="Z19" i="7"/>
  <c r="G37" i="7" s="1"/>
  <c r="Z37" i="7" s="1"/>
  <c r="Y19" i="7"/>
  <c r="F37" i="7" s="1"/>
  <c r="Y37" i="7" s="1"/>
  <c r="F55" i="7" s="1"/>
  <c r="Y55" i="7" s="1"/>
  <c r="F73" i="7" s="1"/>
  <c r="Y73" i="7" s="1"/>
  <c r="U19" i="7"/>
  <c r="AN18" i="7"/>
  <c r="AE18" i="7"/>
  <c r="L36" i="7" s="1"/>
  <c r="AE36" i="7" s="1"/>
  <c r="L54" i="7" s="1"/>
  <c r="AE54" i="7" s="1"/>
  <c r="L72" i="7" s="1"/>
  <c r="AD18" i="7"/>
  <c r="K36" i="7" s="1"/>
  <c r="AD36" i="7" s="1"/>
  <c r="AC18" i="7"/>
  <c r="J36" i="7" s="1"/>
  <c r="AC36" i="7" s="1"/>
  <c r="J54" i="7" s="1"/>
  <c r="AC54" i="7" s="1"/>
  <c r="J72" i="7" s="1"/>
  <c r="AC72" i="7" s="1"/>
  <c r="AB18" i="7"/>
  <c r="I36" i="7" s="1"/>
  <c r="AB36" i="7" s="1"/>
  <c r="I54" i="7" s="1"/>
  <c r="AB54" i="7" s="1"/>
  <c r="I72" i="7" s="1"/>
  <c r="AB72" i="7" s="1"/>
  <c r="AA18" i="7"/>
  <c r="H36" i="7" s="1"/>
  <c r="AA36" i="7" s="1"/>
  <c r="Z18" i="7"/>
  <c r="G36" i="7" s="1"/>
  <c r="Z36" i="7" s="1"/>
  <c r="Y18" i="7"/>
  <c r="F36" i="7" s="1"/>
  <c r="Y36" i="7" s="1"/>
  <c r="F54" i="7" s="1"/>
  <c r="Y54" i="7" s="1"/>
  <c r="F72" i="7" s="1"/>
  <c r="Y72" i="7" s="1"/>
  <c r="U18" i="7"/>
  <c r="AN17" i="7"/>
  <c r="AE17" i="7"/>
  <c r="L35" i="7" s="1"/>
  <c r="AE35" i="7" s="1"/>
  <c r="L53" i="7" s="1"/>
  <c r="AE53" i="7" s="1"/>
  <c r="L71" i="7" s="1"/>
  <c r="AD17" i="7"/>
  <c r="K35" i="7" s="1"/>
  <c r="AD35" i="7" s="1"/>
  <c r="AC17" i="7"/>
  <c r="J35" i="7" s="1"/>
  <c r="AC35" i="7" s="1"/>
  <c r="J53" i="7" s="1"/>
  <c r="AC53" i="7" s="1"/>
  <c r="J71" i="7" s="1"/>
  <c r="AC71" i="7" s="1"/>
  <c r="AB17" i="7"/>
  <c r="I35" i="7" s="1"/>
  <c r="AB35" i="7" s="1"/>
  <c r="I53" i="7" s="1"/>
  <c r="AB53" i="7" s="1"/>
  <c r="I71" i="7" s="1"/>
  <c r="AB71" i="7" s="1"/>
  <c r="AA17" i="7"/>
  <c r="H35" i="7" s="1"/>
  <c r="AA35" i="7" s="1"/>
  <c r="Z17" i="7"/>
  <c r="G35" i="7" s="1"/>
  <c r="Z35" i="7" s="1"/>
  <c r="Y17" i="7"/>
  <c r="F35" i="7" s="1"/>
  <c r="Y35" i="7" s="1"/>
  <c r="F53" i="7" s="1"/>
  <c r="Y53" i="7" s="1"/>
  <c r="F71" i="7" s="1"/>
  <c r="Y71" i="7" s="1"/>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L33" i="7" s="1"/>
  <c r="AE33" i="7" s="1"/>
  <c r="L51" i="7" s="1"/>
  <c r="AE51" i="7" s="1"/>
  <c r="L69" i="7" s="1"/>
  <c r="AD15" i="7"/>
  <c r="K33" i="7" s="1"/>
  <c r="AD33" i="7" s="1"/>
  <c r="K51" i="7" s="1"/>
  <c r="AD51" i="7" s="1"/>
  <c r="AC15" i="7"/>
  <c r="J33" i="7" s="1"/>
  <c r="AC33" i="7" s="1"/>
  <c r="J51" i="7" s="1"/>
  <c r="AC51" i="7" s="1"/>
  <c r="J69" i="7" s="1"/>
  <c r="AC69" i="7" s="1"/>
  <c r="AB15" i="7"/>
  <c r="I33" i="7" s="1"/>
  <c r="AB33" i="7" s="1"/>
  <c r="I51" i="7" s="1"/>
  <c r="AB51" i="7" s="1"/>
  <c r="I69" i="7" s="1"/>
  <c r="AB69" i="7" s="1"/>
  <c r="AA15" i="7"/>
  <c r="Z15" i="7"/>
  <c r="G33" i="7" s="1"/>
  <c r="Z33" i="7" s="1"/>
  <c r="G51" i="7" s="1"/>
  <c r="Z51" i="7" s="1"/>
  <c r="Y15" i="7"/>
  <c r="F33" i="7" s="1"/>
  <c r="Y33" i="7" s="1"/>
  <c r="F51" i="7" s="1"/>
  <c r="Y51" i="7" s="1"/>
  <c r="F69" i="7" s="1"/>
  <c r="Y69" i="7" s="1"/>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H32" i="7" s="1"/>
  <c r="AA32" i="7" s="1"/>
  <c r="H50" i="7" s="1"/>
  <c r="AA50" i="7" s="1"/>
  <c r="Z14" i="7"/>
  <c r="G32" i="7" s="1"/>
  <c r="Z32" i="7" s="1"/>
  <c r="G50" i="7" s="1"/>
  <c r="Z50" i="7" s="1"/>
  <c r="Y14" i="7"/>
  <c r="F32" i="7" s="1"/>
  <c r="Y32" i="7" s="1"/>
  <c r="F50" i="7" s="1"/>
  <c r="Y50" i="7" s="1"/>
  <c r="F68" i="7" s="1"/>
  <c r="Y68" i="7" s="1"/>
  <c r="U14" i="7"/>
  <c r="AN13" i="7"/>
  <c r="AE13" i="7"/>
  <c r="L31" i="7" s="1"/>
  <c r="AE31" i="7" s="1"/>
  <c r="L49" i="7" s="1"/>
  <c r="AE49" i="7" s="1"/>
  <c r="AD13" i="7"/>
  <c r="K31" i="7" s="1"/>
  <c r="AD31" i="7" s="1"/>
  <c r="K49" i="7" s="1"/>
  <c r="AD49" i="7" s="1"/>
  <c r="K67" i="7" s="1"/>
  <c r="AD67" i="7" s="1"/>
  <c r="AC13" i="7"/>
  <c r="J31" i="7" s="1"/>
  <c r="AC31" i="7" s="1"/>
  <c r="J49" i="7" s="1"/>
  <c r="AC49" i="7" s="1"/>
  <c r="J67" i="7" s="1"/>
  <c r="AC67" i="7" s="1"/>
  <c r="AB13" i="7"/>
  <c r="I31" i="7" s="1"/>
  <c r="AB31" i="7" s="1"/>
  <c r="I49" i="7" s="1"/>
  <c r="AB49" i="7" s="1"/>
  <c r="I67" i="7" s="1"/>
  <c r="AB67" i="7" s="1"/>
  <c r="AA13" i="7"/>
  <c r="H31" i="7" s="1"/>
  <c r="AA31" i="7" s="1"/>
  <c r="H49" i="7" s="1"/>
  <c r="AA49" i="7" s="1"/>
  <c r="H67" i="7" s="1"/>
  <c r="AA67" i="7" s="1"/>
  <c r="Z13" i="7"/>
  <c r="G31" i="7" s="1"/>
  <c r="Z31" i="7" s="1"/>
  <c r="G49" i="7" s="1"/>
  <c r="Z49" i="7" s="1"/>
  <c r="Y13" i="7"/>
  <c r="U13" i="7"/>
  <c r="M11" i="7"/>
  <c r="X8" i="7"/>
  <c r="X7" i="7"/>
  <c r="X25" i="7" s="1"/>
  <c r="E43" i="7" s="1"/>
  <c r="X43" i="7" s="1"/>
  <c r="E61" i="7" s="1"/>
  <c r="X61" i="7" s="1"/>
  <c r="E79" i="7" s="1"/>
  <c r="AF65" i="7" l="1"/>
  <c r="X70" i="7"/>
  <c r="X24" i="7"/>
  <c r="E42" i="7" s="1"/>
  <c r="X42" i="7" s="1"/>
  <c r="E60" i="7" s="1"/>
  <c r="X60" i="7" s="1"/>
  <c r="E78" i="7" s="1"/>
  <c r="X26" i="7"/>
  <c r="E44" i="7" s="1"/>
  <c r="X44" i="7" s="1"/>
  <c r="E62" i="7" s="1"/>
  <c r="X62" i="7" s="1"/>
  <c r="E80" i="7" s="1"/>
  <c r="AN26" i="7"/>
  <c r="U41" i="7"/>
  <c r="AF11" i="7"/>
  <c r="X68" i="7"/>
  <c r="U40" i="7"/>
  <c r="X67" i="7"/>
  <c r="P21" i="12"/>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V10" i="3" s="1"/>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S13" i="3"/>
  <c r="BU12" i="3"/>
  <c r="AZ12" i="3"/>
  <c r="AK12" i="3"/>
  <c r="U12" i="3"/>
  <c r="V12" i="3" s="1"/>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V14" i="3" s="1"/>
  <c r="AE13" i="3"/>
  <c r="W13" i="3"/>
  <c r="Y13" i="3" s="1"/>
  <c r="AJ13"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40" i="7"/>
  <c r="U46" i="7"/>
  <c r="U31" i="7"/>
  <c r="AN34" i="7"/>
  <c r="AN38" i="7"/>
  <c r="U59" i="7"/>
  <c r="AN46" i="7"/>
  <c r="AN67" i="7"/>
  <c r="AN39" i="7" l="1"/>
  <c r="U57" i="7"/>
  <c r="AG50" i="7"/>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41" i="7"/>
  <c r="M59" i="7" s="1"/>
  <c r="N69" i="7"/>
  <c r="AN51" i="7"/>
  <c r="N70" i="7"/>
  <c r="AN52" i="7"/>
  <c r="AG54" i="7"/>
  <c r="U54" i="7"/>
  <c r="N74" i="7"/>
  <c r="AN56" i="7"/>
  <c r="N76" i="7"/>
  <c r="AN58" i="7"/>
  <c r="AF29" i="7" l="1"/>
  <c r="N72" i="7"/>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B33" i="9"/>
  <c r="B31" i="9"/>
  <c r="B32" i="9" s="1"/>
  <c r="U65" i="9" l="1"/>
  <c r="U57" i="9"/>
  <c r="U73" i="9"/>
  <c r="U49" i="9"/>
  <c r="U74" i="9"/>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O7" i="9" l="1"/>
  <c r="Q7" i="9" s="1"/>
  <c r="S7" i="9"/>
  <c r="T7" i="9"/>
  <c r="O2" i="9"/>
  <c r="Q2" i="9" s="1"/>
  <c r="S2" i="9"/>
  <c r="T2" i="9"/>
  <c r="O3" i="9"/>
  <c r="Q3" i="9" s="1"/>
  <c r="S3" i="9"/>
  <c r="T3" i="9"/>
  <c r="O4" i="9"/>
  <c r="Q4" i="9" s="1"/>
  <c r="S4" i="9"/>
  <c r="T4" i="9"/>
  <c r="O5" i="9"/>
  <c r="Q5" i="9" s="1"/>
  <c r="S5" i="9"/>
  <c r="T5" i="9"/>
  <c r="O8" i="9"/>
  <c r="Q8" i="9" s="1"/>
  <c r="S8" i="9"/>
  <c r="T8" i="9"/>
  <c r="O6" i="9"/>
  <c r="Q6" i="9" s="1"/>
  <c r="S6" i="9"/>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16" i="9" l="1"/>
  <c r="U6" i="9"/>
  <c r="U32" i="9"/>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K9" i="4"/>
  <c r="J9" i="4"/>
  <c r="H9" i="4"/>
  <c r="H3" i="4" l="1"/>
  <c r="H2" i="4" l="1"/>
  <c r="H4" i="4"/>
  <c r="K4" i="4"/>
  <c r="J4" i="4"/>
  <c r="J3" i="4"/>
  <c r="K3" i="4"/>
  <c r="J10" i="4"/>
  <c r="K10" i="4"/>
  <c r="J11" i="4"/>
  <c r="K11" i="4"/>
  <c r="J12" i="4"/>
  <c r="K12" i="4"/>
  <c r="K8" i="4"/>
  <c r="J8" i="4"/>
  <c r="H8" i="4"/>
  <c r="L8" i="4" s="1"/>
  <c r="K7" i="4"/>
  <c r="J7" i="4"/>
  <c r="H7" i="4"/>
  <c r="J6" i="4"/>
  <c r="H6" i="4"/>
  <c r="L6" i="4" s="1"/>
  <c r="J5" i="4"/>
  <c r="H5" i="4"/>
  <c r="K5" i="4"/>
  <c r="K6" i="4"/>
  <c r="K2" i="4"/>
  <c r="J2" i="4"/>
  <c r="M8" i="4" l="1"/>
  <c r="F8" i="11"/>
  <c r="F9" i="11" s="1"/>
  <c r="F10" i="11" s="1"/>
  <c r="F11" i="11" s="1"/>
  <c r="F12" i="11" s="1"/>
  <c r="F13" i="11" s="1"/>
  <c r="L3" i="4"/>
  <c r="M3" i="4" s="1"/>
  <c r="N3" i="4" s="1"/>
  <c r="L9" i="4"/>
  <c r="M6" i="4"/>
  <c r="F4" i="11"/>
  <c r="F5" i="11" s="1"/>
  <c r="F6" i="11" s="1"/>
  <c r="F7" i="11" s="1"/>
  <c r="L2" i="4"/>
  <c r="M2" i="4" s="1"/>
  <c r="N2" i="4" s="1"/>
  <c r="L5" i="4"/>
  <c r="L7" i="4"/>
  <c r="M7" i="4" s="1"/>
  <c r="N7" i="4" s="1"/>
  <c r="L4" i="4"/>
  <c r="M4" i="4" s="1"/>
  <c r="N4" i="4" s="1"/>
  <c r="M5" i="4" l="1"/>
  <c r="F2" i="11"/>
  <c r="N6" i="4"/>
  <c r="H4" i="11" s="1"/>
  <c r="G4" i="11"/>
  <c r="G5" i="11" s="1"/>
  <c r="G6" i="11" s="1"/>
  <c r="G7" i="11" s="1"/>
  <c r="M9" i="4"/>
  <c r="F3" i="11"/>
  <c r="N8" i="4"/>
  <c r="H8" i="11" s="1"/>
  <c r="H9" i="11" s="1"/>
  <c r="H10" i="11" s="1"/>
  <c r="H11" i="11" s="1"/>
  <c r="H12" i="11" s="1"/>
  <c r="H13" i="11" s="1"/>
  <c r="G8" i="11"/>
  <c r="G9" i="11" s="1"/>
  <c r="G10" i="11" s="1"/>
  <c r="G11" i="11" s="1"/>
  <c r="G12" i="11" s="1"/>
  <c r="G13" i="11" s="1"/>
  <c r="AD4" i="10"/>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N9" i="4" l="1"/>
  <c r="H3" i="11" s="1"/>
  <c r="G3" i="11"/>
  <c r="H5" i="11"/>
  <c r="N5" i="4"/>
  <c r="H2" i="11" s="1"/>
  <c r="G2" i="11"/>
  <c r="K4" i="10"/>
  <c r="L4" i="10"/>
  <c r="AC4" i="10"/>
  <c r="AC7" i="10"/>
  <c r="AC8" i="10"/>
  <c r="AC12" i="10"/>
  <c r="AC13" i="10"/>
  <c r="AC14" i="10"/>
  <c r="AC18" i="10"/>
  <c r="H6" i="11" l="1"/>
  <c r="H7" i="11" s="1"/>
  <c r="J4" i="11"/>
  <c r="K3" i="11"/>
  <c r="AJ18" i="10"/>
  <c r="AH18" i="10"/>
  <c r="AH17" i="10"/>
  <c r="AJ16" i="10"/>
  <c r="AH15" i="10"/>
  <c r="AH10" i="10"/>
  <c r="AJ10" i="10"/>
  <c r="AH14" i="10"/>
  <c r="AH13" i="10"/>
  <c r="AH12" i="10"/>
  <c r="AH8" i="10"/>
  <c r="AH6" i="10"/>
  <c r="AH9" i="10"/>
  <c r="AH7" i="10"/>
  <c r="AJ7" i="10"/>
  <c r="AJ5" i="10"/>
  <c r="AJ4" i="10"/>
  <c r="I5" i="11" l="1"/>
  <c r="AJ17" i="10"/>
  <c r="AH16" i="10"/>
  <c r="AH5" i="10"/>
  <c r="AK5" i="3" l="1"/>
  <c r="AN5" i="3"/>
  <c r="U4" i="3"/>
  <c r="V4" i="3" s="1"/>
  <c r="U5" i="3"/>
  <c r="V5" i="3" s="1"/>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Z6" i="6" l="1"/>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D2" i="1" l="1"/>
  <c r="F8" i="1" l="1"/>
  <c r="C8" i="1" s="1"/>
  <c r="F22" i="1"/>
  <c r="C22" i="1" s="1"/>
  <c r="F18" i="1"/>
  <c r="C18" i="1" s="1"/>
  <c r="F5" i="1"/>
  <c r="C5" i="1" s="1"/>
  <c r="F16" i="1"/>
  <c r="C16" i="1" s="1"/>
  <c r="F19" i="1"/>
  <c r="C19" i="1" s="1"/>
  <c r="F9" i="1"/>
  <c r="C9" i="1" s="1"/>
  <c r="F14" i="1"/>
  <c r="C14" i="1" s="1"/>
  <c r="F11" i="1"/>
  <c r="F7" i="1"/>
  <c r="C7" i="1" s="1"/>
  <c r="F6" i="1"/>
  <c r="C6" i="1" s="1"/>
  <c r="F4" i="1"/>
  <c r="C4" i="1" s="1"/>
  <c r="F15" i="1"/>
  <c r="C15" i="1" s="1"/>
  <c r="F17" i="1"/>
  <c r="C17" i="1" s="1"/>
  <c r="F21" i="1"/>
  <c r="C21" i="1" s="1"/>
  <c r="F13" i="1"/>
  <c r="C13" i="1" s="1"/>
  <c r="F20" i="1"/>
  <c r="C20" i="1" s="1"/>
  <c r="F10" i="1"/>
  <c r="C10" i="1" s="1"/>
  <c r="F12" i="1"/>
  <c r="C12" i="1" s="1"/>
  <c r="C11" i="1" l="1"/>
  <c r="C11" i="10" s="1"/>
  <c r="F11" i="10"/>
  <c r="C20" i="10"/>
  <c r="F20" i="10"/>
  <c r="C19" i="10"/>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5" i="3"/>
  <c r="C4" i="10"/>
  <c r="C18" i="10"/>
  <c r="C8" i="10"/>
  <c r="C10" i="10"/>
  <c r="C16" i="10"/>
  <c r="C13" i="10"/>
  <c r="C5" i="10"/>
  <c r="C9" i="10"/>
  <c r="C7" i="10"/>
  <c r="C15" i="10"/>
  <c r="C14" i="10"/>
  <c r="C21" i="10"/>
  <c r="C6" i="10" l="1"/>
  <c r="C12" i="10"/>
  <c r="C17"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<sst xmlns="http://schemas.openxmlformats.org/spreadsheetml/2006/main" count="1875" uniqueCount="808">
  <si>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</si>
  <si>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</si>
  <si>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</si>
  <si>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</si>
  <si>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</si>
  <si>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</si>
  <si>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</si>
  <si>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</si>
  <si>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</si>
  <si>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</si>
  <si>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</si>
  <si>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</si>
  <si>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</si>
  <si>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</si>
  <si>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</si>
  <si>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</si>
  <si>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</si>
  <si>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</si>
  <si>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</si>
  <si>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</si>
  <si>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</si>
  <si>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</si>
  <si>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</si>
  <si>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</si>
  <si>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</si>
  <si>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</si>
  <si>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</si>
  <si>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</si>
  <si>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</si>
  <si>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</si>
  <si>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</si>
  <si>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</si>
  <si>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</si>
  <si>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</si>
  <si>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</si>
  <si>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</si>
  <si>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</si>
  <si>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</si>
  <si>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</si>
  <si>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</si>
  <si>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</si>
  <si>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</si>
  <si>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</si>
  <si>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</si>
  <si>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</si>
  <si>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</si>
  <si>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</si>
  <si>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</si>
  <si>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</si>
  <si>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</si>
  <si>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</si>
  <si>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</si>
  <si>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</si>
  <si>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</si>
  <si>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</si>
  <si>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</si>
  <si>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</si>
  <si>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</si>
  <si>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</si>
  <si>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</si>
  <si>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</si>
  <si>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</si>
  <si>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</si>
  <si>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</si>
  <si>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</si>
  <si>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</si>
  <si>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</si>
  <si>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</si>
  <si>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</si>
  <si>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</si>
  <si>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</si>
  <si>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</si>
  <si>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</si>
  <si>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</si>
  <si>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</si>
  <si>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</si>
  <si>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</si>
  <si>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</si>
  <si>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</si>
  <si>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</si>
  <si>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</si>
  <si>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</si>
  <si>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</si>
  <si>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</si>
  <si>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</si>
  <si>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</si>
  <si>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</si>
  <si>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</si>
  <si>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</si>
  <si>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</si>
  <si>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</si>
  <si>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</si>
  <si>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</si>
  <si>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</si>
  <si>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</si>
  <si>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</si>
  <si>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</si>
  <si>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</si>
  <si>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</si>
  <si>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</si>
  <si>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</si>
  <si>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</si>
  <si>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</si>
  <si>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</si>
  <si>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</si>
  <si>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</si>
  <si>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</si>
  <si>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</si>
  <si>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</si>
  <si>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</si>
  <si>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</si>
  <si>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</si>
  <si>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</si>
  <si>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</si>
  <si>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</si>
  <si>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</si>
  <si>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</si>
  <si>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</si>
  <si>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</si>
  <si>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</si>
  <si>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</si>
  <si>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</si>
  <si>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</si>
  <si>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</si>
  <si>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</si>
  <si>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</si>
  <si>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</si>
  <si>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</si>
  <si>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</si>
  <si>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</si>
  <si>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</si>
  <si>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</si>
  <si>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</si>
  <si>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</si>
  <si>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</si>
  <si>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</si>
  <si>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</si>
  <si>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</si>
  <si>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</si>
  <si>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</si>
  <si>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</si>
  <si>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</si>
  <si>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</si>
  <si>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</si>
  <si>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</si>
  <si>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</si>
  <si>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</si>
  <si>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</si>
  <si>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</si>
  <si>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</si>
  <si>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</si>
  <si>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</si>
  <si>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</si>
  <si>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</si>
  <si>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</si>
  <si>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</si>
  <si>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</si>
  <si>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</si>
  <si>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</si>
  <si>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</si>
  <si>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</si>
  <si>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</si>
  <si>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</si>
  <si>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</si>
  <si>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</si>
  <si>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</si>
  <si>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</si>
  <si>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</si>
  <si>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</si>
  <si>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</si>
  <si>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</si>
  <si>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</si>
  <si>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</si>
  <si>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</si>
  <si>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</si>
  <si>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</si>
  <si>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</si>
  <si>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</si>
  <si>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</si>
  <si>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</si>
  <si>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</si>
  <si>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</si>
  <si>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</si>
  <si>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</si>
  <si>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</si>
  <si>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</si>
  <si>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</si>
  <si>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</si>
  <si>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</si>
  <si>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</si>
  <si>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</si>
  <si>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</si>
  <si>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</si>
  <si>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</si>
  <si>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</si>
  <si>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</si>
  <si>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</si>
  <si>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</si>
  <si>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</si>
  <si>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</si>
  <si>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</si>
  <si>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</si>
  <si>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</si>
  <si>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</si>
  <si>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</si>
  <si>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</si>
  <si>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</si>
  <si>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</si>
  <si>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</si>
  <si>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</si>
  <si>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</si>
  <si>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</si>
  <si>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</si>
  <si>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</si>
  <si>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</si>
  <si>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</si>
  <si>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</si>
  <si>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</si>
  <si>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</si>
  <si>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</si>
  <si>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</si>
  <si>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</si>
  <si>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</si>
  <si>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</si>
  <si>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</si>
  <si>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</si>
  <si>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</si>
  <si>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</si>
  <si>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</si>
  <si>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</si>
  <si>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</si>
  <si>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</si>
  <si>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</si>
  <si>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</si>
  <si>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</si>
  <si>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</si>
  <si>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</si>
  <si>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</si>
  <si>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</si>
  <si>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</si>
  <si>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</si>
  <si>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</si>
  <si>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</si>
  <si>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</si>
  <si>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</si>
  <si>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</si>
  <si>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</si>
  <si>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</si>
  <si>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</si>
  <si>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</si>
  <si>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</si>
  <si>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</si>
  <si>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</si>
  <si>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</si>
  <si>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</si>
  <si>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</si>
  <si>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</si>
  <si>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</si>
  <si>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</si>
  <si>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</si>
  <si>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</si>
  <si>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</si>
  <si>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</si>
  <si>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</si>
  <si>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</si>
  <si>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</si>
  <si>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</si>
  <si>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</si>
  <si>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</si>
  <si>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</si>
  <si>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</si>
  <si>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</si>
  <si>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</si>
  <si>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</si>
  <si>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</si>
  <si>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</si>
  <si>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</si>
  <si>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</si>
  <si>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</si>
  <si>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</si>
  <si>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</si>
  <si>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</si>
  <si>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</si>
  <si>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</si>
  <si>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</si>
  <si>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</si>
  <si>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</si>
  <si>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</si>
  <si>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</si>
  <si>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</si>
  <si>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</si>
  <si>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</si>
  <si>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</si>
  <si>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</si>
  <si>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</si>
  <si>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</si>
  <si>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</si>
  <si>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Eckardt Hägerling</t>
  </si>
  <si>
    <t>Roberto Abenoza</t>
  </si>
  <si>
    <t>Roberto Montero</t>
  </si>
  <si>
    <t>Marc Dolz</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</si>
  <si>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</si>
  <si>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</si>
  <si>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</si>
  <si>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</si>
  <si>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</si>
  <si>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</si>
  <si>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</si>
  <si>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</si>
  <si>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</si>
  <si>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</si>
  <si>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</si>
  <si>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</si>
  <si>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</si>
  <si>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</si>
  <si>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</si>
  <si>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</si>
  <si>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</si>
  <si>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</si>
  <si>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</si>
  <si>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</si>
  <si>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</si>
  <si>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</si>
  <si>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</si>
  <si>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</si>
  <si>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</si>
  <si>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</si>
  <si>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</si>
  <si>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</si>
  <si>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</si>
  <si>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</si>
  <si>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</si>
  <si>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</si>
  <si>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</si>
  <si>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</si>
  <si>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</si>
  <si>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</si>
  <si>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</si>
  <si>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</si>
  <si>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</si>
  <si>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</si>
  <si>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</si>
  <si>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</si>
  <si>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</si>
  <si>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</si>
  <si>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</si>
  <si>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</si>
  <si>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</si>
  <si>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</si>
  <si>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</si>
  <si>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</si>
  <si>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</si>
  <si>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</si>
  <si>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</si>
  <si>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</si>
  <si>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</si>
  <si>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</si>
  <si>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</si>
  <si>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#26</t>
  </si>
  <si>
    <t>#28</t>
  </si>
  <si>
    <t>CEN</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</si>
  <si>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</si>
  <si>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</si>
  <si>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</si>
  <si>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</si>
  <si>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</si>
  <si>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</si>
  <si>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</si>
  <si>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</si>
  <si>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</si>
  <si>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</si>
  <si>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</si>
  <si>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</si>
  <si>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</si>
  <si>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</si>
  <si>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</si>
  <si>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</si>
  <si>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</si>
  <si>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</si>
  <si>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</si>
  <si>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</si>
  <si>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</si>
  <si>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</si>
  <si>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</si>
  <si>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</si>
  <si>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</si>
  <si>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</si>
  <si>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</si>
  <si>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</si>
  <si>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</si>
  <si>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</si>
  <si>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</si>
  <si>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</si>
  <si>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</si>
  <si>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</si>
  <si>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</si>
  <si>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</si>
  <si>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</si>
  <si>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</si>
  <si>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</si>
  <si>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</si>
  <si>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</si>
  <si>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</si>
  <si>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</si>
  <si>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</si>
  <si>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</si>
  <si>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</si>
  <si>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</si>
  <si>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</si>
  <si>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</si>
  <si>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</si>
  <si>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</si>
  <si>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</si>
  <si>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</si>
  <si>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</si>
  <si>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</si>
  <si>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</si>
  <si>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</si>
  <si>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</si>
  <si>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</si>
  <si>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</si>
  <si>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</si>
  <si>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</si>
  <si>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</si>
  <si>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</si>
  <si>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</si>
  <si>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</si>
  <si>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</si>
  <si>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</si>
  <si>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</si>
  <si>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</si>
  <si>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</si>
  <si>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</si>
  <si>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</si>
  <si>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</si>
  <si>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</si>
  <si>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</si>
  <si>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</si>
  <si>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</si>
  <si>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</si>
  <si>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</si>
  <si>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</si>
  <si>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</si>
  <si>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</si>
  <si>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</si>
  <si>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</si>
  <si>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</si>
  <si>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</si>
  <si>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</si>
  <si>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</si>
  <si>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</si>
  <si>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</si>
  <si>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</si>
  <si>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</si>
  <si>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</si>
  <si>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</si>
  <si>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</si>
  <si>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</si>
  <si>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</si>
  <si>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</si>
  <si>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</si>
  <si>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</si>
  <si>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</si>
  <si>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</si>
  <si>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</si>
  <si>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</si>
  <si>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</si>
  <si>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</si>
  <si>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</si>
  <si>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</si>
  <si>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</si>
  <si>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</si>
  <si>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</si>
  <si>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</si>
  <si>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</si>
  <si>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</si>
  <si>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</si>
  <si>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</si>
  <si>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</si>
  <si>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</si>
  <si>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</si>
  <si>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</si>
  <si>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</si>
  <si>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</si>
  <si>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</si>
  <si>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</si>
  <si>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</si>
  <si>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</si>
  <si>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</si>
  <si>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</si>
  <si>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</si>
  <si>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</si>
  <si>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</si>
  <si>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</si>
  <si>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</si>
  <si>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</si>
  <si>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</si>
  <si>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</si>
  <si>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</si>
  <si>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</si>
  <si>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</si>
  <si>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</si>
  <si>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</si>
  <si>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</si>
  <si>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</si>
  <si>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</si>
  <si>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</si>
  <si>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</si>
  <si>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</si>
  <si>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</si>
  <si>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</si>
  <si>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</si>
  <si>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</si>
  <si>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</si>
  <si>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</si>
  <si>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</si>
  <si>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</si>
  <si>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</si>
  <si>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</si>
  <si>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</si>
  <si>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</si>
  <si>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</si>
  <si>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</si>
  <si>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</si>
  <si>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</si>
  <si>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</si>
  <si>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</si>
  <si>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</si>
  <si>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</si>
  <si>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</si>
  <si>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</si>
  <si>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</si>
  <si>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</si>
  <si>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</si>
  <si>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</si>
  <si>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</si>
  <si>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</si>
  <si>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</si>
  <si>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</si>
  <si>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</si>
  <si>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</si>
  <si>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</si>
  <si>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</si>
  <si>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</si>
  <si>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</si>
  <si>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</si>
  <si>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</si>
  <si>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</si>
  <si>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</si>
  <si>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</si>
  <si>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</si>
  <si>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</si>
  <si>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</si>
  <si>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</si>
  <si>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</si>
  <si>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</si>
  <si>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17 (66)</t>
  </si>
  <si>
    <t>17 (87)</t>
  </si>
  <si>
    <t xml:space="preserve">15 (55) </t>
  </si>
  <si>
    <t>18 (2)</t>
  </si>
  <si>
    <t>18 (30)</t>
  </si>
  <si>
    <t>19 (37)</t>
  </si>
  <si>
    <t>20 (38)</t>
  </si>
  <si>
    <t>21 (72)</t>
  </si>
  <si>
    <t>24 (107)</t>
  </si>
  <si>
    <t>Francesc Añigas</t>
  </si>
  <si>
    <t>Anotació</t>
  </si>
  <si>
    <t>Setmana de Hattrick</t>
  </si>
  <si>
    <t>Setmanes restants</t>
  </si>
  <si>
    <t>Des de l'última pujada</t>
  </si>
  <si>
    <t>excel·lent (8)</t>
  </si>
  <si>
    <t>14 (55)</t>
  </si>
  <si>
    <t>formidable (9)</t>
  </si>
  <si>
    <t>2 (56)</t>
  </si>
  <si>
    <t>18 (61)</t>
  </si>
  <si>
    <t>destacat (10)</t>
  </si>
  <si>
    <t>7 (56)</t>
  </si>
  <si>
    <t>18 (96)</t>
  </si>
  <si>
    <t>brillant (11)</t>
  </si>
  <si>
    <t>13 (56)</t>
  </si>
  <si>
    <t>19 (26)</t>
  </si>
  <si>
    <t>magnífic (12)</t>
  </si>
  <si>
    <t>4 (57)</t>
  </si>
  <si>
    <t>19 (75)</t>
  </si>
  <si>
    <t>classe mundial (13)</t>
  </si>
  <si>
    <t>11 (57)</t>
  </si>
  <si>
    <t>20 (12)</t>
  </si>
  <si>
    <t>sobrenatural (14)</t>
  </si>
  <si>
    <t>4 (58)</t>
  </si>
  <si>
    <t>titànic (15)</t>
  </si>
  <si>
    <t>13 (58)</t>
  </si>
  <si>
    <t>21 (27)</t>
  </si>
  <si>
    <t>extraterrestre (16)</t>
  </si>
  <si>
    <t>9 (59)</t>
  </si>
  <si>
    <t>21 (110)</t>
  </si>
  <si>
    <t>mític (17)</t>
  </si>
  <si>
    <t>7 (60)</t>
  </si>
  <si>
    <t>22 (96)</t>
  </si>
  <si>
    <t>màgic (18)</t>
  </si>
  <si>
    <t>7 (61)</t>
  </si>
  <si>
    <t>23 (97)</t>
  </si>
  <si>
    <t>utòpic (19)</t>
  </si>
  <si>
    <t>14 (62)</t>
  </si>
  <si>
    <t>25 (33)</t>
  </si>
  <si>
    <t>diví (20)</t>
  </si>
  <si>
    <t>4 (65)</t>
  </si>
  <si>
    <t>18-16</t>
  </si>
  <si>
    <t>16 (55)</t>
  </si>
  <si>
    <t>18 (43)</t>
  </si>
  <si>
    <t>4 (56)</t>
  </si>
  <si>
    <t>18 (71)</t>
  </si>
  <si>
    <t>10 (56)</t>
  </si>
  <si>
    <t>19 (1)</t>
  </si>
  <si>
    <t>1 (57)</t>
  </si>
  <si>
    <t>19 (50)</t>
  </si>
  <si>
    <t>8 (57)</t>
  </si>
  <si>
    <t>19 (99)</t>
  </si>
  <si>
    <t>1 (58)</t>
  </si>
  <si>
    <t>20 (51)</t>
  </si>
  <si>
    <t>10 (58)</t>
  </si>
  <si>
    <t>21 (2)</t>
  </si>
  <si>
    <t>6 (59)</t>
  </si>
  <si>
    <t>21 (85)</t>
  </si>
  <si>
    <t>3 (60)</t>
  </si>
  <si>
    <t>22 (64)</t>
  </si>
  <si>
    <t>4 (61)</t>
  </si>
  <si>
    <t>23 (72)</t>
  </si>
  <si>
    <t>11 (62)</t>
  </si>
  <si>
    <t>25 (8)</t>
  </si>
  <si>
    <t>1 (65)</t>
  </si>
  <si>
    <t>27 (51)</t>
  </si>
  <si>
    <t>18a12d</t>
  </si>
  <si>
    <t>3 (56)</t>
  </si>
  <si>
    <t>18 (78)</t>
  </si>
  <si>
    <t>9 (56)</t>
  </si>
  <si>
    <t>19 (8)</t>
  </si>
  <si>
    <t>15 (56)</t>
  </si>
  <si>
    <t>7 (57)</t>
  </si>
  <si>
    <t>19 (106)</t>
  </si>
  <si>
    <t>15 (57)</t>
  </si>
  <si>
    <t>9 (58)</t>
  </si>
  <si>
    <t>21 (9)</t>
  </si>
  <si>
    <t>4 (59)</t>
  </si>
  <si>
    <t>2 (60)</t>
  </si>
  <si>
    <t>22 (71)</t>
  </si>
  <si>
    <t>3 (61)</t>
  </si>
  <si>
    <t>23 (79)</t>
  </si>
  <si>
    <t>9 (62)</t>
  </si>
  <si>
    <t>15 (64)</t>
  </si>
  <si>
    <t>18-16dias</t>
  </si>
  <si>
    <t>12 (55)</t>
  </si>
  <si>
    <t>18 (16)</t>
  </si>
  <si>
    <t>1 (56)</t>
  </si>
  <si>
    <t>18 (50)</t>
  </si>
  <si>
    <t>5 (56)</t>
  </si>
  <si>
    <t>11 (56)</t>
  </si>
  <si>
    <t>2 (57)</t>
  </si>
  <si>
    <t>19 (57)</t>
  </si>
  <si>
    <t>9 (57)</t>
  </si>
  <si>
    <t>2 (58)</t>
  </si>
  <si>
    <t>20 (58)</t>
  </si>
  <si>
    <t>11 (58)</t>
  </si>
  <si>
    <t>7 (59)</t>
  </si>
  <si>
    <t>21 (92)</t>
  </si>
  <si>
    <t>5 (60)</t>
  </si>
  <si>
    <t>22 (78)</t>
  </si>
  <si>
    <t>5 (61)</t>
  </si>
  <si>
    <t>12 (62)</t>
  </si>
  <si>
    <t>25 (15)</t>
  </si>
  <si>
    <t>2 (65)</t>
  </si>
  <si>
    <t>27 (58)</t>
  </si>
  <si>
    <t>notable (7)</t>
  </si>
  <si>
    <t>17 (93)</t>
  </si>
  <si>
    <t>15 (55)</t>
  </si>
  <si>
    <t>18 (1)</t>
  </si>
  <si>
    <t>18 (36)</t>
  </si>
  <si>
    <t>8 (56)</t>
  </si>
  <si>
    <t>18 (64)</t>
  </si>
  <si>
    <t>14 (56)</t>
  </si>
  <si>
    <t>18 (106)</t>
  </si>
  <si>
    <t>5 (57)</t>
  </si>
  <si>
    <t>19 (43)</t>
  </si>
  <si>
    <t>12 (57)</t>
  </si>
  <si>
    <t>19 (92)</t>
  </si>
  <si>
    <t>5 (58)</t>
  </si>
  <si>
    <t>20 (44)</t>
  </si>
  <si>
    <t>14 (58)</t>
  </si>
  <si>
    <t>20 (107)</t>
  </si>
  <si>
    <t>10 (59)</t>
  </si>
  <si>
    <t>21 (78)</t>
  </si>
  <si>
    <t>22 (57)</t>
  </si>
  <si>
    <t>8 (61)</t>
  </si>
  <si>
    <t>23 (65)</t>
  </si>
  <si>
    <t>15 (62)</t>
  </si>
  <si>
    <t>25 (1)</t>
  </si>
  <si>
    <t>27 (37</t>
  </si>
  <si>
    <t>18 (40)</t>
  </si>
  <si>
    <t>18 (68)</t>
  </si>
  <si>
    <t>18 (103)</t>
  </si>
  <si>
    <t>19 (33)</t>
  </si>
  <si>
    <t>20 (19)</t>
  </si>
  <si>
    <t>20 (83)</t>
  </si>
  <si>
    <t>22 (5)</t>
  </si>
  <si>
    <t>8 (60)</t>
  </si>
  <si>
    <t>22 (103)</t>
  </si>
  <si>
    <t>25 (40)</t>
  </si>
  <si>
    <t>5 (65)</t>
  </si>
  <si>
    <t>27 (83)</t>
  </si>
  <si>
    <t>Actualitzacio</t>
  </si>
  <si>
    <t>Millor partit</t>
  </si>
  <si>
    <t>CASA</t>
  </si>
  <si>
    <t>Vader - rayitos</t>
  </si>
  <si>
    <t>487 HTS</t>
  </si>
  <si>
    <t>FORA</t>
  </si>
  <si>
    <t>Xermade - Vader</t>
  </si>
  <si>
    <t>472 HTS</t>
  </si>
  <si>
    <t>Millor Qualificació</t>
  </si>
  <si>
    <t>Sául Piña</t>
  </si>
  <si>
    <t>14,5*</t>
  </si>
  <si>
    <t>Joãozinho do Mato</t>
  </si>
  <si>
    <t>13*</t>
  </si>
  <si>
    <t>Patrick Werner</t>
  </si>
  <si>
    <t>12,5*</t>
  </si>
  <si>
    <t>Rasheed Da'na</t>
  </si>
  <si>
    <t>12*</t>
  </si>
  <si>
    <t>Brunon Chuda</t>
  </si>
  <si>
    <t>Adam Moss</t>
  </si>
  <si>
    <t>11,5*</t>
  </si>
  <si>
    <t>Kendor Nagiturri</t>
  </si>
  <si>
    <t>11*</t>
  </si>
  <si>
    <t>10,5*</t>
  </si>
  <si>
    <t>Gianfranco Rezza</t>
  </si>
  <si>
    <t>Cornel Boicea</t>
  </si>
  <si>
    <t>Jorge Walter Whitaker</t>
  </si>
  <si>
    <t>Antoine Dupré</t>
  </si>
  <si>
    <t>10*</t>
  </si>
  <si>
    <t>Károly Serfel</t>
  </si>
  <si>
    <t>Gongotzon Ialdebere</t>
  </si>
  <si>
    <t>Aimar Lasalde</t>
  </si>
  <si>
    <t>Ibiur Altxakoa</t>
  </si>
  <si>
    <t>Damián Sala</t>
  </si>
  <si>
    <t>9,5*</t>
  </si>
  <si>
    <t>Emilio Mochelato</t>
  </si>
  <si>
    <t>Pepijn Zwaan</t>
  </si>
  <si>
    <t>Iyad Chaabo</t>
  </si>
  <si>
    <t>Mario Omarini</t>
  </si>
  <si>
    <t>Wicher Ossedrijver</t>
  </si>
  <si>
    <t>Ludwik Mojéscik</t>
  </si>
  <si>
    <t>Jos Pittors</t>
  </si>
  <si>
    <t>Morgan Thomas</t>
  </si>
  <si>
    <t>Nicolai Stentoft</t>
  </si>
  <si>
    <t>Gino van Hoesel</t>
  </si>
  <si>
    <t>Raffaele Sitter</t>
  </si>
  <si>
    <t>Filiciano Becerril</t>
  </si>
  <si>
    <t>Giulio Porcaccianti</t>
  </si>
  <si>
    <t>Dolf Fohringer</t>
  </si>
  <si>
    <t>Rank</t>
  </si>
  <si>
    <t>Més Partits Jugats</t>
  </si>
  <si>
    <t>Pere Beltran</t>
  </si>
  <si>
    <t>Andrin Bärtsch</t>
  </si>
  <si>
    <t>Pasqual Vilar</t>
  </si>
  <si>
    <t>Alex Trantre</t>
  </si>
  <si>
    <t>Leonardo Baltico</t>
  </si>
  <si>
    <t>Arnold Kalckstein</t>
  </si>
  <si>
    <t>Adamantios Fikias</t>
  </si>
  <si>
    <t>Ragip Övgü</t>
  </si>
  <si>
    <t>Malte Neulinger</t>
  </si>
  <si>
    <t>Ellák Deák</t>
  </si>
  <si>
    <t>Horacy Dzienis</t>
  </si>
  <si>
    <t>David Knuff</t>
  </si>
  <si>
    <t>Ricardo Esquerdo</t>
  </si>
  <si>
    <t>Nikolas Lakkotripi</t>
  </si>
  <si>
    <t>Porteria Imbatuda</t>
  </si>
  <si>
    <t>Jorge Asúa</t>
  </si>
  <si>
    <t>Robert Kavcic</t>
  </si>
  <si>
    <t>Enrique Haro</t>
  </si>
  <si>
    <t>Giuseppe Peirolo</t>
  </si>
  <si>
    <t>Adolfo Vizcaino</t>
  </si>
  <si>
    <t>Ceferino Sava</t>
  </si>
  <si>
    <t>Arnulfo Cuntis</t>
  </si>
  <si>
    <t>Armengol Cols</t>
  </si>
  <si>
    <t>Pieter Pelleboer</t>
  </si>
  <si>
    <t>Sergio Roca</t>
  </si>
  <si>
    <t>Ludvig Andreasson</t>
  </si>
  <si>
    <t>Patrice Saillet</t>
  </si>
  <si>
    <t>Jacek Ceislar</t>
  </si>
  <si>
    <t>Rafael Guiu</t>
  </si>
  <si>
    <t>Alvino Cost</t>
  </si>
  <si>
    <t>Nicolas Vannoorberghe</t>
  </si>
  <si>
    <t>Jacobo Ferrueros</t>
  </si>
  <si>
    <t>Albert Fité</t>
  </si>
  <si>
    <t>Més vegades Capità</t>
  </si>
  <si>
    <t>Fernando Juárez Sierra</t>
  </si>
  <si>
    <t>Co Wolbers</t>
  </si>
  <si>
    <t>Augustin Demaison</t>
  </si>
  <si>
    <t>Christophe Méjean</t>
  </si>
  <si>
    <t>Aleksi Alarotu</t>
  </si>
  <si>
    <t>Manolo Negrín</t>
  </si>
  <si>
    <t>John Chung</t>
  </si>
  <si>
    <t>Jaakko Kalliovaara</t>
  </si>
  <si>
    <t>Melcior Calmet</t>
  </si>
  <si>
    <t>Nicolae Hornet</t>
  </si>
  <si>
    <t>#37</t>
  </si>
  <si>
    <t>Pablo Goenaga</t>
  </si>
  <si>
    <t>#36</t>
  </si>
  <si>
    <t>Felipe Agulló</t>
  </si>
  <si>
    <t>#22</t>
  </si>
  <si>
    <t>Xofre Taín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</si>
</sst>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8"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8"/>
      <color theme="9" tint="-0.249977111117893"/>
      <name val="Verdana"/>
      <family val="2"/>
    </font>
    <font>
      <u/>
      <sz val="11"/>
      <color theme="10"/>
      <name val="Calibri"/>
      <family val="2"/>
      <scheme val="minor"/>
    </font>
    <font>
      <i/>
      <sz val="11"/>
      <color theme="1"/>
      <name val="Calibri"/>
      <family val="2"/>
      <scheme val="minor"/>
    </font>
  </fonts>
  <fills count="36">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xf numFmtId="0" fontId="46" fillId="0" borderId="0" applyNumberFormat="0" applyFill="0" applyBorder="0" applyAlignment="0" applyProtection="0"/>
  </cellStyleXfs>
  <cellXfs count="248">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0" borderId="1" xfId="0" applyFont="1" applyFill="1" applyBorder="1" applyAlignment="1">
      <alignment horizontal="left" vertical="center"/>
    </xf>
    <xf numFmtId="0" fontId="0" fillId="0" borderId="0" xfId="0" applyAlignment="1">
      <alignment horizontal="center"/>
    </xf>
    <xf numFmtId="0" fontId="0" fillId="0" borderId="0" xfId="0" applyAlignment="1">
      <alignment vertical="center" wrapText="1"/>
    </xf>
    <xf numFmtId="0" fontId="46" fillId="0" borderId="0" xfId="5" applyAlignment="1">
      <alignment vertical="center" wrapText="1"/>
    </xf>
    <xf numFmtId="0" fontId="0" fillId="0" borderId="0" xfId="0" applyBorder="1"/>
    <xf numFmtId="0" fontId="0" fillId="0" borderId="0" xfId="0" applyAlignment="1">
      <alignment horizontal="center"/>
    </xf>
    <xf numFmtId="0" fontId="16" fillId="26" borderId="0" xfId="0" applyFont="1" applyFill="1"/>
    <xf numFmtId="0" fontId="47" fillId="0" borderId="0" xfId="0" applyFont="1" applyAlignment="1">
      <alignment horizontal="right"/>
    </xf>
    <xf numFmtId="0" fontId="13" fillId="27" borderId="1" xfId="3" applyFont="1" applyFill="1" applyBorder="1" applyAlignment="1">
      <alignment horizontal="right"/>
    </xf>
    <xf numFmtId="0" fontId="0" fillId="0" borderId="0" xfId="0" applyAlignment="1">
      <alignment horizontal="center"/>
    </xf>
    <xf numFmtId="0" fontId="0" fillId="35" borderId="0" xfId="0" applyFill="1" applyAlignment="1">
      <alignment horizontal="right"/>
    </xf>
    <xf numFmtId="0" fontId="47" fillId="35" borderId="0" xfId="0" applyFont="1" applyFill="1" applyAlignment="1">
      <alignment horizontal="right"/>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16" fillId="26" borderId="0" xfId="0" applyFont="1" applyFill="1" applyAlignment="1">
      <alignment horizontal="center"/>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6">
    <cellStyle name="Excel Built-in Normal" xfId="3"/>
    <cellStyle name="Hipervínculo" xfId="5" builtinId="8"/>
    <cellStyle name="Millares" xfId="1" builtinId="3"/>
    <cellStyle name="Moneda" xfId="4" builtinId="4"/>
    <cellStyle name="Normal" xfId="0" builtinId="0"/>
    <cellStyle name="Porcentaje" xfId="2" builtinId="5"/>
  </cellStyles>
  <dxfs count="21">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37" t="s">
        <v>106</v>
      </c>
      <c r="C59" s="96" t="s">
        <v>105</v>
      </c>
      <c r="D59" s="241" t="s">
        <v>137</v>
      </c>
      <c r="E59" s="241" t="s">
        <v>137</v>
      </c>
      <c r="F59" s="97" t="s">
        <v>103</v>
      </c>
      <c r="H59" s="98" t="s">
        <v>138</v>
      </c>
      <c r="X59" s="89"/>
    </row>
    <row r="60" spans="1:24" ht="15.75" x14ac:dyDescent="0.25">
      <c r="A60" s="99">
        <v>18</v>
      </c>
      <c r="B60" s="237"/>
      <c r="C60" s="96" t="s">
        <v>139</v>
      </c>
      <c r="D60" s="241"/>
      <c r="E60" s="241"/>
      <c r="F60" s="97" t="s">
        <v>140</v>
      </c>
      <c r="H60" s="92" t="s">
        <v>141</v>
      </c>
      <c r="X60" s="89"/>
    </row>
    <row r="61" spans="1:24" ht="15.75" x14ac:dyDescent="0.25">
      <c r="A61" s="95">
        <v>19</v>
      </c>
      <c r="B61" s="237"/>
      <c r="C61" s="100"/>
      <c r="D61" s="241"/>
      <c r="E61" s="241"/>
      <c r="F61" s="101"/>
      <c r="H61" s="92" t="s">
        <v>142</v>
      </c>
      <c r="I61" s="91"/>
      <c r="X61" s="89"/>
    </row>
    <row r="62" spans="1:24" ht="15.75" x14ac:dyDescent="0.25">
      <c r="A62" s="99">
        <v>20</v>
      </c>
      <c r="B62" s="237"/>
      <c r="C62" s="97" t="s">
        <v>137</v>
      </c>
      <c r="D62" s="242" t="s">
        <v>103</v>
      </c>
      <c r="E62" s="97" t="s">
        <v>103</v>
      </c>
      <c r="F62" s="101"/>
      <c r="H62" s="92" t="s">
        <v>143</v>
      </c>
      <c r="X62" s="89"/>
    </row>
    <row r="63" spans="1:24" ht="15.75" x14ac:dyDescent="0.25">
      <c r="A63" s="95">
        <v>21</v>
      </c>
      <c r="B63" s="239" t="s">
        <v>105</v>
      </c>
      <c r="C63" s="97" t="s">
        <v>144</v>
      </c>
      <c r="D63" s="242"/>
      <c r="E63" s="97" t="s">
        <v>140</v>
      </c>
      <c r="F63" s="101"/>
      <c r="H63" s="92" t="s">
        <v>145</v>
      </c>
      <c r="X63" s="89"/>
    </row>
    <row r="64" spans="1:24" ht="15.75" x14ac:dyDescent="0.25">
      <c r="A64" s="99">
        <v>22</v>
      </c>
      <c r="B64" s="239"/>
      <c r="C64" s="101"/>
      <c r="D64" s="242"/>
      <c r="E64" s="101"/>
      <c r="F64" s="101"/>
      <c r="H64" s="92" t="s">
        <v>146</v>
      </c>
      <c r="X64" s="89"/>
    </row>
    <row r="65" spans="1:24" ht="15.75" x14ac:dyDescent="0.25">
      <c r="A65" s="95">
        <v>23</v>
      </c>
      <c r="B65" s="239"/>
      <c r="C65" s="101"/>
      <c r="D65" s="242"/>
      <c r="E65" s="101"/>
      <c r="F65" s="101"/>
      <c r="H65" s="92"/>
      <c r="X65" s="89"/>
    </row>
    <row r="66" spans="1:24" ht="15.75" x14ac:dyDescent="0.25">
      <c r="A66" s="99">
        <v>24</v>
      </c>
      <c r="B66" s="239"/>
      <c r="C66" s="101"/>
      <c r="D66" s="242"/>
      <c r="E66" s="101"/>
      <c r="F66" s="101"/>
      <c r="H66" s="92" t="s">
        <v>147</v>
      </c>
      <c r="X66" s="89"/>
    </row>
    <row r="67" spans="1:24" ht="15.75" x14ac:dyDescent="0.25">
      <c r="A67" s="95">
        <v>25</v>
      </c>
      <c r="B67" s="239"/>
      <c r="C67" s="101"/>
      <c r="D67" s="241" t="s">
        <v>137</v>
      </c>
      <c r="E67" s="101"/>
      <c r="F67" s="101"/>
      <c r="H67" s="92" t="s">
        <v>148</v>
      </c>
      <c r="X67" s="89"/>
    </row>
    <row r="68" spans="1:24" ht="15.75" x14ac:dyDescent="0.25">
      <c r="A68" s="99">
        <v>26</v>
      </c>
      <c r="B68" s="239"/>
      <c r="C68" s="241" t="s">
        <v>137</v>
      </c>
      <c r="D68" s="241"/>
      <c r="E68" s="101"/>
      <c r="F68" s="101"/>
      <c r="H68" s="92"/>
      <c r="X68" s="89"/>
    </row>
    <row r="69" spans="1:24" ht="15.75" x14ac:dyDescent="0.25">
      <c r="A69" s="95">
        <v>27</v>
      </c>
      <c r="B69" s="237" t="s">
        <v>106</v>
      </c>
      <c r="C69" s="241"/>
      <c r="D69" s="241"/>
      <c r="E69" s="101"/>
      <c r="F69" s="101"/>
      <c r="H69" s="92"/>
      <c r="X69" s="89"/>
    </row>
    <row r="70" spans="1:24" ht="15.75" x14ac:dyDescent="0.25">
      <c r="A70" s="99">
        <v>28</v>
      </c>
      <c r="B70" s="237"/>
      <c r="C70" s="239" t="s">
        <v>105</v>
      </c>
      <c r="D70" s="241"/>
      <c r="E70" s="101"/>
      <c r="F70" s="101"/>
      <c r="H70" s="92" t="s">
        <v>149</v>
      </c>
      <c r="X70" s="89"/>
    </row>
    <row r="71" spans="1:24" ht="15.75" x14ac:dyDescent="0.25">
      <c r="A71" s="95">
        <v>29</v>
      </c>
      <c r="B71" s="237"/>
      <c r="C71" s="239"/>
      <c r="D71" s="241"/>
      <c r="E71" s="101"/>
      <c r="F71" s="101"/>
      <c r="H71" s="92"/>
      <c r="X71" s="89"/>
    </row>
    <row r="72" spans="1:24" ht="15.75" x14ac:dyDescent="0.25">
      <c r="A72" s="99">
        <v>30</v>
      </c>
      <c r="B72" s="237"/>
      <c r="C72" s="239"/>
      <c r="D72" s="239" t="s">
        <v>105</v>
      </c>
      <c r="E72" s="101"/>
      <c r="F72" s="101"/>
      <c r="H72" s="92" t="s">
        <v>150</v>
      </c>
      <c r="X72" s="89"/>
    </row>
    <row r="73" spans="1:24" ht="15.75" x14ac:dyDescent="0.25">
      <c r="A73" s="95">
        <v>31</v>
      </c>
      <c r="B73" s="237"/>
      <c r="C73" s="239"/>
      <c r="D73" s="239"/>
      <c r="E73" s="97" t="s">
        <v>137</v>
      </c>
      <c r="F73" s="101"/>
      <c r="H73" s="92"/>
      <c r="X73" s="89"/>
    </row>
    <row r="74" spans="1:24" ht="15.75" x14ac:dyDescent="0.25">
      <c r="A74" s="99">
        <v>32</v>
      </c>
      <c r="B74" s="237"/>
      <c r="C74" s="239"/>
      <c r="D74" s="239"/>
      <c r="E74" s="97" t="s">
        <v>144</v>
      </c>
      <c r="F74" s="101"/>
      <c r="H74" s="92" t="s">
        <v>151</v>
      </c>
      <c r="X74" s="89"/>
    </row>
    <row r="75" spans="1:24" ht="15.75" x14ac:dyDescent="0.25">
      <c r="A75" s="95">
        <v>33</v>
      </c>
      <c r="B75" s="237"/>
      <c r="C75" s="237" t="s">
        <v>106</v>
      </c>
      <c r="D75" s="239"/>
      <c r="E75" s="96" t="s">
        <v>105</v>
      </c>
      <c r="F75" s="96" t="s">
        <v>105</v>
      </c>
      <c r="H75" s="92"/>
      <c r="X75" s="89"/>
    </row>
    <row r="76" spans="1:24" ht="15.75" x14ac:dyDescent="0.25">
      <c r="A76" s="99">
        <v>34</v>
      </c>
      <c r="B76" s="240" t="s">
        <v>152</v>
      </c>
      <c r="C76" s="237"/>
      <c r="D76" s="239"/>
      <c r="E76" s="96" t="s">
        <v>139</v>
      </c>
      <c r="F76" s="96" t="s">
        <v>139</v>
      </c>
      <c r="H76" s="92" t="s">
        <v>153</v>
      </c>
      <c r="X76" s="89"/>
    </row>
    <row r="77" spans="1:24" ht="15.75" x14ac:dyDescent="0.25">
      <c r="A77" s="95">
        <v>35</v>
      </c>
      <c r="B77" s="240"/>
      <c r="C77" s="240" t="s">
        <v>152</v>
      </c>
      <c r="D77" s="237" t="s">
        <v>106</v>
      </c>
      <c r="E77" s="237" t="s">
        <v>106</v>
      </c>
      <c r="F77" s="100"/>
      <c r="H77" s="92"/>
      <c r="X77" s="89"/>
    </row>
    <row r="78" spans="1:24" ht="15.75" x14ac:dyDescent="0.25">
      <c r="A78" s="99">
        <v>36</v>
      </c>
      <c r="B78" s="240"/>
      <c r="C78" s="240"/>
      <c r="D78" s="237"/>
      <c r="E78" s="237"/>
      <c r="F78" s="102" t="s">
        <v>106</v>
      </c>
      <c r="H78" s="92" t="s">
        <v>154</v>
      </c>
      <c r="X78" s="89"/>
    </row>
    <row r="79" spans="1:24" ht="15.75" x14ac:dyDescent="0.25">
      <c r="A79" s="238" t="s">
        <v>155</v>
      </c>
      <c r="B79" s="238"/>
      <c r="C79" s="238"/>
      <c r="D79" s="238"/>
      <c r="E79" s="238"/>
      <c r="F79" s="238"/>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0" priority="4" operator="lessThan">
      <formula>6</formula>
    </cfRule>
    <cfRule type="cellIs" dxfId="19" priority="5" operator="greaterThan">
      <formula>7</formula>
    </cfRule>
  </conditionalFormatting>
  <conditionalFormatting sqref="B23:W23">
    <cfRule type="cellIs" dxfId="18" priority="1" operator="lessThan">
      <formula>6</formula>
    </cfRule>
    <cfRule type="cellIs" dxfId="17"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Y3" sqref="Y3"/>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47"/>
      <c r="U1" s="247"/>
      <c r="V1" s="247"/>
      <c r="W1" s="139"/>
      <c r="X1" s="247" t="s">
        <v>169</v>
      </c>
      <c r="Y1" s="247"/>
      <c r="Z1" s="114">
        <f>T2+U2+V2+W2+X2+Y2+Z2</f>
        <v>34</v>
      </c>
      <c r="AA1" s="32">
        <f>Z1/16</f>
        <v>2.125</v>
      </c>
      <c r="AC1" s="65"/>
      <c r="AD1" s="65"/>
      <c r="AE1" s="65"/>
      <c r="AF1" s="65"/>
      <c r="AG1" s="65"/>
      <c r="AH1" s="65"/>
      <c r="AI1" s="65"/>
      <c r="AJ1" s="65"/>
    </row>
    <row r="2" spans="1:36" x14ac:dyDescent="0.25">
      <c r="A2" s="140"/>
      <c r="B2" s="140"/>
      <c r="C2" s="141"/>
      <c r="D2" s="142">
        <f ca="1">TODAY()</f>
        <v>43256</v>
      </c>
      <c r="G2" s="65"/>
      <c r="H2" s="143"/>
      <c r="I2" s="143"/>
      <c r="J2" s="144"/>
      <c r="K2" s="144"/>
      <c r="L2" s="143"/>
      <c r="M2" s="145"/>
      <c r="N2" s="143"/>
      <c r="O2" s="143"/>
      <c r="P2" s="143"/>
      <c r="Q2" s="143"/>
      <c r="R2" s="143"/>
      <c r="S2" s="143"/>
      <c r="T2" s="148">
        <v>0</v>
      </c>
      <c r="U2" s="149">
        <v>0</v>
      </c>
      <c r="V2" s="149">
        <v>0</v>
      </c>
      <c r="W2" s="148">
        <v>29</v>
      </c>
      <c r="X2" s="150">
        <v>-1</v>
      </c>
      <c r="Y2" s="150">
        <v>6</v>
      </c>
      <c r="Z2" s="150">
        <v>0</v>
      </c>
      <c r="AA2" s="146"/>
      <c r="AB2" s="147"/>
      <c r="AC2" s="147"/>
      <c r="AD2" s="147"/>
      <c r="AE2" s="147"/>
      <c r="AF2" s="147"/>
      <c r="AG2" s="147"/>
      <c r="AH2" s="147"/>
      <c r="AI2" s="147"/>
      <c r="AJ2" s="147"/>
    </row>
    <row r="3" spans="1:36" x14ac:dyDescent="0.25">
      <c r="A3" s="10" t="s">
        <v>1</v>
      </c>
      <c r="B3" s="10" t="s">
        <v>2</v>
      </c>
      <c r="C3" s="11" t="s">
        <v>184</v>
      </c>
      <c r="D3" s="12" t="s">
        <v>3</v>
      </c>
      <c r="E3" s="10" t="s">
        <v>4</v>
      </c>
      <c r="F3" s="10" t="s">
        <v>5</v>
      </c>
      <c r="G3" s="10" t="s">
        <v>6</v>
      </c>
      <c r="H3" s="10" t="s">
        <v>7</v>
      </c>
      <c r="I3" s="10" t="s">
        <v>8</v>
      </c>
      <c r="J3" s="10" t="s">
        <v>9</v>
      </c>
      <c r="K3" s="13" t="s">
        <v>190</v>
      </c>
      <c r="L3" s="13" t="s">
        <v>191</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PLANTILLA!A9</f>
        <v>#6</v>
      </c>
      <c r="B4" s="15" t="str">
        <f>PLANTILLA!B9</f>
        <v>LAT</v>
      </c>
      <c r="C4" s="121">
        <f ca="1">PLANTILLA!C9</f>
        <v>13.946428571428571</v>
      </c>
      <c r="D4" s="28" t="str">
        <f>PLANTILLA!D9</f>
        <v>J. G. de Minaya</v>
      </c>
      <c r="E4" s="16">
        <f>PLANTILLA!E9</f>
        <v>19</v>
      </c>
      <c r="F4" s="17">
        <f ca="1">PLANTILLA!F9</f>
        <v>6</v>
      </c>
      <c r="G4" s="18" t="str">
        <f>PLANTILLA!G9</f>
        <v>TEC</v>
      </c>
      <c r="H4" s="4">
        <f>PLANTILLA!H9</f>
        <v>0</v>
      </c>
      <c r="I4" s="27">
        <f>PLANTILLA!I9</f>
        <v>2.2999999999999998</v>
      </c>
      <c r="J4" s="19">
        <f>PLANTILLA!O9</f>
        <v>2.9</v>
      </c>
      <c r="K4" s="6">
        <f t="shared" ref="K4" si="0">(H4)*(H4)*(I4)</f>
        <v>0</v>
      </c>
      <c r="L4" s="6">
        <f t="shared" ref="L4" si="1">(H4+1)*(H4+1)*I4</f>
        <v>2.2999999999999998</v>
      </c>
      <c r="M4" s="21">
        <f>PLANTILLA!X9</f>
        <v>0</v>
      </c>
      <c r="N4" s="21">
        <f>PLANTILLA!Y9</f>
        <v>6</v>
      </c>
      <c r="O4" s="21">
        <f>PLANTILLA!Z9</f>
        <v>5</v>
      </c>
      <c r="P4" s="21">
        <f>PLANTILLA!AA9</f>
        <v>8</v>
      </c>
      <c r="Q4" s="21">
        <f>PLANTILLA!AB9</f>
        <v>6.2</v>
      </c>
      <c r="R4" s="21">
        <f>PLANTILLA!AC9</f>
        <v>8.25</v>
      </c>
      <c r="S4" s="21">
        <f>PLANTILLA!AD9</f>
        <v>0</v>
      </c>
      <c r="T4" s="155">
        <v>0</v>
      </c>
      <c r="U4" s="155">
        <v>0</v>
      </c>
      <c r="V4" s="155">
        <v>0</v>
      </c>
      <c r="W4" s="155">
        <v>0.13</v>
      </c>
      <c r="X4" s="155">
        <v>0</v>
      </c>
      <c r="Y4" s="155">
        <f t="shared" ref="Y4:Y18" si="2">0.17</f>
        <v>0.17</v>
      </c>
      <c r="Z4" s="155">
        <v>0</v>
      </c>
      <c r="AA4" s="153">
        <v>20</v>
      </c>
      <c r="AB4" s="154">
        <v>56</v>
      </c>
      <c r="AC4" s="25">
        <f t="shared" ref="AC4:AC18" si="3">I4+$AC$2</f>
        <v>2.2999999999999998</v>
      </c>
      <c r="AD4" s="156">
        <f>M4</f>
        <v>0</v>
      </c>
      <c r="AE4" s="156">
        <f>N4</f>
        <v>6</v>
      </c>
      <c r="AF4" s="156">
        <f>O4</f>
        <v>5</v>
      </c>
      <c r="AG4" s="156">
        <v>5</v>
      </c>
      <c r="AH4" s="156">
        <f>Q4</f>
        <v>6.2</v>
      </c>
      <c r="AI4" s="156">
        <f>4+4/17</f>
        <v>4.2352941176470589</v>
      </c>
      <c r="AJ4" s="156">
        <f>S4+(Z$2/7)</f>
        <v>0</v>
      </c>
    </row>
    <row r="5" spans="1:36" ht="16.5" customHeight="1" x14ac:dyDescent="0.25">
      <c r="A5" s="15" t="str">
        <f>PLANTILLA!A10</f>
        <v>#9</v>
      </c>
      <c r="B5" s="15" t="str">
        <f>PLANTILLA!B10</f>
        <v>LAT</v>
      </c>
      <c r="C5" s="121">
        <f ca="1">PLANTILLA!C10</f>
        <v>14.035714285714286</v>
      </c>
      <c r="D5" s="28" t="str">
        <f>PLANTILLA!D10</f>
        <v>Francesc Añigas</v>
      </c>
      <c r="E5" s="16">
        <f>PLANTILLA!E10</f>
        <v>18</v>
      </c>
      <c r="F5" s="17">
        <f ca="1">PLANTILLA!F10</f>
        <v>108</v>
      </c>
      <c r="G5" s="18" t="str">
        <f>PLANTILLA!G10</f>
        <v>IMP</v>
      </c>
      <c r="H5" s="4">
        <f>PLANTILLA!H10</f>
        <v>5</v>
      </c>
      <c r="I5" s="27">
        <f>PLANTILLA!I10</f>
        <v>1.8</v>
      </c>
      <c r="J5" s="19">
        <f>PLANTILLA!O10</f>
        <v>2.9</v>
      </c>
      <c r="K5" s="6">
        <f t="shared" ref="K5:K18" si="4">(H5)*(H5)*(I5)</f>
        <v>45</v>
      </c>
      <c r="L5" s="6">
        <f t="shared" ref="L5:L18" si="5">(H5+1)*(H5+1)*I5</f>
        <v>64.8</v>
      </c>
      <c r="M5" s="21">
        <f>PLANTILLA!X10</f>
        <v>0</v>
      </c>
      <c r="N5" s="21">
        <f>PLANTILLA!Y10</f>
        <v>8</v>
      </c>
      <c r="O5" s="21">
        <f>PLANTILLA!Z10</f>
        <v>4</v>
      </c>
      <c r="P5" s="21">
        <f>PLANTILLA!AA10</f>
        <v>6.45</v>
      </c>
      <c r="Q5" s="21">
        <f>PLANTILLA!AB10</f>
        <v>4.25</v>
      </c>
      <c r="R5" s="21">
        <f>PLANTILLA!AC10</f>
        <v>7</v>
      </c>
      <c r="S5" s="21">
        <f>PLANTILLA!AD10</f>
        <v>3</v>
      </c>
      <c r="T5" s="155">
        <v>0</v>
      </c>
      <c r="U5" s="155">
        <v>0</v>
      </c>
      <c r="V5" s="155">
        <v>0</v>
      </c>
      <c r="W5" s="155">
        <v>1</v>
      </c>
      <c r="X5" s="155">
        <v>0</v>
      </c>
      <c r="Y5" s="155">
        <v>1</v>
      </c>
      <c r="Z5" s="155">
        <v>0</v>
      </c>
      <c r="AA5" s="153">
        <v>20</v>
      </c>
      <c r="AB5" s="154">
        <v>59</v>
      </c>
      <c r="AC5" s="25">
        <f t="shared" si="3"/>
        <v>1.8</v>
      </c>
      <c r="AD5" s="156">
        <f t="shared" ref="AD5:AD18" si="6">M5</f>
        <v>0</v>
      </c>
      <c r="AE5" s="156">
        <f t="shared" ref="AE5:AE18" si="7">N5</f>
        <v>8</v>
      </c>
      <c r="AF5" s="156">
        <f t="shared" ref="AF5:AF18" si="8">O5</f>
        <v>4</v>
      </c>
      <c r="AG5" s="156">
        <f>12+1/5</f>
        <v>12.2</v>
      </c>
      <c r="AH5" s="156">
        <f>Q5+(X$2/16)</f>
        <v>4.1875</v>
      </c>
      <c r="AI5" s="156">
        <v>8</v>
      </c>
      <c r="AJ5" s="156">
        <f>S5+(Z$2/4)</f>
        <v>3</v>
      </c>
    </row>
    <row r="6" spans="1:36" ht="16.5" customHeight="1" x14ac:dyDescent="0.25">
      <c r="A6" s="15" t="str">
        <f>PLANTILLA!A11</f>
        <v>#3</v>
      </c>
      <c r="B6" s="15" t="str">
        <f>PLANTILLA!B11</f>
        <v>LAT</v>
      </c>
      <c r="C6" s="121">
        <f ca="1">PLANTILLA!C11</f>
        <v>14.383928571428571</v>
      </c>
      <c r="D6" s="28" t="str">
        <f>PLANTILLA!D11</f>
        <v>Will Duffill</v>
      </c>
      <c r="E6" s="16">
        <f>PLANTILLA!E11</f>
        <v>18</v>
      </c>
      <c r="F6" s="17">
        <f ca="1">PLANTILLA!F11</f>
        <v>69</v>
      </c>
      <c r="G6" s="18" t="str">
        <f>PLANTILLA!G11</f>
        <v>RAP</v>
      </c>
      <c r="H6" s="4">
        <f>PLANTILLA!H11</f>
        <v>3</v>
      </c>
      <c r="I6" s="27">
        <f>PLANTILLA!I11</f>
        <v>2.2999999999999998</v>
      </c>
      <c r="J6" s="19">
        <f>PLANTILLA!O11</f>
        <v>2.9</v>
      </c>
      <c r="K6" s="6">
        <f t="shared" si="4"/>
        <v>20.7</v>
      </c>
      <c r="L6" s="6">
        <f t="shared" si="5"/>
        <v>36.799999999999997</v>
      </c>
      <c r="M6" s="21">
        <f>PLANTILLA!X11</f>
        <v>0</v>
      </c>
      <c r="N6" s="21">
        <f>PLANTILLA!Y11</f>
        <v>6</v>
      </c>
      <c r="O6" s="21">
        <f>PLANTILLA!Z11</f>
        <v>3</v>
      </c>
      <c r="P6" s="21">
        <f>PLANTILLA!AA11</f>
        <v>7</v>
      </c>
      <c r="Q6" s="21">
        <f>PLANTILLA!AB11</f>
        <v>7</v>
      </c>
      <c r="R6" s="21">
        <f>PLANTILLA!AC11</f>
        <v>7</v>
      </c>
      <c r="S6" s="21">
        <f>PLANTILLA!AD11</f>
        <v>3</v>
      </c>
      <c r="T6" s="155">
        <v>0</v>
      </c>
      <c r="U6" s="155">
        <v>0</v>
      </c>
      <c r="V6" s="155">
        <v>0</v>
      </c>
      <c r="W6" s="155">
        <v>1</v>
      </c>
      <c r="X6" s="155">
        <v>0</v>
      </c>
      <c r="Y6" s="155">
        <v>1</v>
      </c>
      <c r="Z6" s="155">
        <v>0</v>
      </c>
      <c r="AA6" s="153">
        <v>20</v>
      </c>
      <c r="AB6" s="154">
        <v>69</v>
      </c>
      <c r="AC6" s="25">
        <f t="shared" si="3"/>
        <v>2.2999999999999998</v>
      </c>
      <c r="AD6" s="156">
        <f t="shared" si="6"/>
        <v>0</v>
      </c>
      <c r="AE6" s="156">
        <f t="shared" si="7"/>
        <v>6</v>
      </c>
      <c r="AF6" s="156">
        <f t="shared" si="8"/>
        <v>3</v>
      </c>
      <c r="AG6" s="156">
        <f>13+1/6</f>
        <v>13.166666666666666</v>
      </c>
      <c r="AH6" s="156">
        <f>Q6+(X$2/7)</f>
        <v>6.8571428571428568</v>
      </c>
      <c r="AI6" s="156">
        <v>9</v>
      </c>
      <c r="AJ6" s="156">
        <f>S6+(Z$2/3)</f>
        <v>3</v>
      </c>
    </row>
    <row r="7" spans="1:36" ht="16.5" customHeight="1" x14ac:dyDescent="0.25">
      <c r="A7" s="15" t="str">
        <f>PLANTILLA!A12</f>
        <v>#5</v>
      </c>
      <c r="B7" s="15" t="str">
        <f>PLANTILLA!B12</f>
        <v>LAT</v>
      </c>
      <c r="C7" s="121">
        <f ca="1">PLANTILLA!C12</f>
        <v>14.035714285714286</v>
      </c>
      <c r="D7" s="28" t="str">
        <f>PLANTILLA!D12</f>
        <v>Valeri Gomis</v>
      </c>
      <c r="E7" s="16">
        <f>PLANTILLA!E12</f>
        <v>18</v>
      </c>
      <c r="F7" s="17">
        <f ca="1">PLANTILLA!F12</f>
        <v>108</v>
      </c>
      <c r="G7" s="18" t="str">
        <f>PLANTILLA!G12</f>
        <v>IMP</v>
      </c>
      <c r="H7" s="4">
        <f>PLANTILLA!H12</f>
        <v>6</v>
      </c>
      <c r="I7" s="27">
        <f>PLANTILLA!I12</f>
        <v>2.2999999999999998</v>
      </c>
      <c r="J7" s="19">
        <f>PLANTILLA!O12</f>
        <v>4</v>
      </c>
      <c r="K7" s="6">
        <f t="shared" si="4"/>
        <v>82.8</v>
      </c>
      <c r="L7" s="6">
        <f t="shared" si="5"/>
        <v>112.69999999999999</v>
      </c>
      <c r="M7" s="21">
        <f>PLANTILLA!X12</f>
        <v>0</v>
      </c>
      <c r="N7" s="21">
        <f>PLANTILLA!Y12</f>
        <v>6</v>
      </c>
      <c r="O7" s="21">
        <f>PLANTILLA!Z12</f>
        <v>3</v>
      </c>
      <c r="P7" s="21">
        <f>PLANTILLA!AA12</f>
        <v>7</v>
      </c>
      <c r="Q7" s="21">
        <f>PLANTILLA!AB12</f>
        <v>6.0000000000000009</v>
      </c>
      <c r="R7" s="21">
        <f>PLANTILLA!AC12</f>
        <v>7.25</v>
      </c>
      <c r="S7" s="21">
        <f>PLANTILLA!AD12</f>
        <v>3</v>
      </c>
      <c r="T7" s="155">
        <v>0</v>
      </c>
      <c r="U7" s="155">
        <v>0</v>
      </c>
      <c r="V7" s="155">
        <v>0</v>
      </c>
      <c r="W7" s="155">
        <v>0.13</v>
      </c>
      <c r="X7" s="155">
        <v>0</v>
      </c>
      <c r="Y7" s="155">
        <v>0.17</v>
      </c>
      <c r="Z7" s="155">
        <v>0</v>
      </c>
      <c r="AA7" s="153">
        <v>20</v>
      </c>
      <c r="AB7" s="154">
        <v>103</v>
      </c>
      <c r="AC7" s="25">
        <f t="shared" si="3"/>
        <v>2.2999999999999998</v>
      </c>
      <c r="AD7" s="156">
        <f t="shared" si="6"/>
        <v>0</v>
      </c>
      <c r="AE7" s="156">
        <f t="shared" si="7"/>
        <v>6</v>
      </c>
      <c r="AF7" s="156">
        <f t="shared" si="8"/>
        <v>3</v>
      </c>
      <c r="AG7" s="156">
        <f>5+7/17</f>
        <v>5.4117647058823533</v>
      </c>
      <c r="AH7" s="156">
        <f>Q7+(X$2/6)</f>
        <v>5.8333333333333339</v>
      </c>
      <c r="AI7" s="156">
        <f>4+4/17</f>
        <v>4.2352941176470589</v>
      </c>
      <c r="AJ7" s="156">
        <f>S7+(Z$2/2.5)</f>
        <v>3</v>
      </c>
    </row>
    <row r="8" spans="1:36" ht="16.5" customHeight="1" x14ac:dyDescent="0.25">
      <c r="A8" s="15" t="str">
        <f>PLANTILLA!A20</f>
        <v>#8</v>
      </c>
      <c r="B8" s="15" t="str">
        <f>PLANTILLA!B20</f>
        <v>EXT</v>
      </c>
      <c r="C8" s="121">
        <f ca="1">PLANTILLA!C20</f>
        <v>14.071428571428571</v>
      </c>
      <c r="D8" s="28" t="str">
        <f>PLANTILLA!D20</f>
        <v>Enrique Cubas</v>
      </c>
      <c r="E8" s="16">
        <f>PLANTILLA!E20</f>
        <v>18</v>
      </c>
      <c r="F8" s="17">
        <f ca="1">PLANTILLA!F20</f>
        <v>104</v>
      </c>
      <c r="G8" s="18" t="str">
        <f>PLANTILLA!G20</f>
        <v>RAP</v>
      </c>
      <c r="H8" s="4">
        <f>PLANTILLA!H20</f>
        <v>1</v>
      </c>
      <c r="I8" s="27">
        <f>PLANTILLA!I20</f>
        <v>2.2999999999999998</v>
      </c>
      <c r="J8" s="19">
        <f>PLANTILLA!O20</f>
        <v>4.2</v>
      </c>
      <c r="K8" s="6">
        <f t="shared" si="4"/>
        <v>2.2999999999999998</v>
      </c>
      <c r="L8" s="6">
        <f t="shared" si="5"/>
        <v>9.1999999999999993</v>
      </c>
      <c r="M8" s="21">
        <f>PLANTILLA!X20</f>
        <v>0</v>
      </c>
      <c r="N8" s="21">
        <f>PLANTILLA!Y20</f>
        <v>2</v>
      </c>
      <c r="O8" s="21">
        <f>PLANTILLA!Z20</f>
        <v>5.7</v>
      </c>
      <c r="P8" s="21">
        <f>PLANTILLA!AA20</f>
        <v>8.6</v>
      </c>
      <c r="Q8" s="21">
        <f>PLANTILLA!AB20</f>
        <v>6</v>
      </c>
      <c r="R8" s="21">
        <f>PLANTILLA!AC20</f>
        <v>7.5</v>
      </c>
      <c r="S8" s="21">
        <f>PLANTILLA!AD20</f>
        <v>5</v>
      </c>
      <c r="T8" s="155">
        <v>0</v>
      </c>
      <c r="U8" s="155">
        <v>0</v>
      </c>
      <c r="V8" s="155">
        <v>0</v>
      </c>
      <c r="W8" s="155">
        <v>0.13</v>
      </c>
      <c r="X8" s="155">
        <v>0</v>
      </c>
      <c r="Y8" s="155">
        <f t="shared" si="2"/>
        <v>0.17</v>
      </c>
      <c r="Z8" s="155">
        <v>0</v>
      </c>
      <c r="AA8" s="153">
        <v>20</v>
      </c>
      <c r="AB8" s="154">
        <v>55</v>
      </c>
      <c r="AC8" s="25">
        <f t="shared" si="3"/>
        <v>2.2999999999999998</v>
      </c>
      <c r="AD8" s="156">
        <f t="shared" si="6"/>
        <v>0</v>
      </c>
      <c r="AE8" s="156">
        <f t="shared" si="7"/>
        <v>2</v>
      </c>
      <c r="AF8" s="156">
        <f t="shared" si="8"/>
        <v>5.7</v>
      </c>
      <c r="AG8" s="156">
        <f>5+14/18</f>
        <v>5.7777777777777777</v>
      </c>
      <c r="AH8" s="156">
        <f>Q8+(X$2/14)</f>
        <v>5.9285714285714288</v>
      </c>
      <c r="AI8" s="156">
        <f>4+4/17</f>
        <v>4.2352941176470589</v>
      </c>
      <c r="AJ8" s="156">
        <f>S8+(Z$2/1)</f>
        <v>5</v>
      </c>
    </row>
    <row r="9" spans="1:36" ht="16.5" customHeight="1" x14ac:dyDescent="0.25">
      <c r="A9" s="15" t="str">
        <f>PLANTILLA!A21</f>
        <v>#11</v>
      </c>
      <c r="B9" s="15" t="str">
        <f>PLANTILLA!B21</f>
        <v>EXT</v>
      </c>
      <c r="C9" s="121">
        <f ca="1">PLANTILLA!C21</f>
        <v>14.071428571428571</v>
      </c>
      <c r="D9" s="28" t="str">
        <f>PLANTILLA!D21</f>
        <v>J. G. Peñuela</v>
      </c>
      <c r="E9" s="16">
        <f>PLANTILLA!E21</f>
        <v>18</v>
      </c>
      <c r="F9" s="17">
        <f ca="1">PLANTILLA!F21</f>
        <v>104</v>
      </c>
      <c r="G9" s="18" t="str">
        <f>PLANTILLA!G21</f>
        <v>IMP</v>
      </c>
      <c r="H9" s="4">
        <f>PLANTILLA!H21</f>
        <v>6</v>
      </c>
      <c r="I9" s="27">
        <f>PLANTILLA!I21</f>
        <v>1.9</v>
      </c>
      <c r="J9" s="19">
        <f>PLANTILLA!O21</f>
        <v>3.7</v>
      </c>
      <c r="K9" s="6">
        <f t="shared" si="4"/>
        <v>68.399999999999991</v>
      </c>
      <c r="L9" s="6">
        <f t="shared" si="5"/>
        <v>93.1</v>
      </c>
      <c r="M9" s="21">
        <f>PLANTILLA!X21</f>
        <v>0</v>
      </c>
      <c r="N9" s="21">
        <f>PLANTILLA!Y21</f>
        <v>3</v>
      </c>
      <c r="O9" s="21">
        <f>PLANTILLA!Z21</f>
        <v>5</v>
      </c>
      <c r="P9" s="21">
        <f>PLANTILLA!AA21</f>
        <v>8</v>
      </c>
      <c r="Q9" s="21">
        <f>PLANTILLA!AB21</f>
        <v>5</v>
      </c>
      <c r="R9" s="21">
        <f>PLANTILLA!AC21</f>
        <v>7.8016666666666676</v>
      </c>
      <c r="S9" s="21">
        <f>PLANTILLA!AD21</f>
        <v>3</v>
      </c>
      <c r="T9" s="155">
        <v>0</v>
      </c>
      <c r="U9" s="155">
        <v>0</v>
      </c>
      <c r="V9" s="155">
        <v>0</v>
      </c>
      <c r="W9" s="155">
        <v>0.5</v>
      </c>
      <c r="X9" s="155">
        <v>0</v>
      </c>
      <c r="Y9" s="155">
        <v>1</v>
      </c>
      <c r="Z9" s="155">
        <v>0</v>
      </c>
      <c r="AA9" s="153">
        <v>20</v>
      </c>
      <c r="AB9" s="154">
        <v>96</v>
      </c>
      <c r="AC9" s="25">
        <f t="shared" si="3"/>
        <v>1.9</v>
      </c>
      <c r="AD9" s="156">
        <f t="shared" si="6"/>
        <v>0</v>
      </c>
      <c r="AE9" s="156">
        <f t="shared" si="7"/>
        <v>3</v>
      </c>
      <c r="AF9" s="156">
        <f t="shared" si="8"/>
        <v>5</v>
      </c>
      <c r="AG9" s="156">
        <v>9</v>
      </c>
      <c r="AH9" s="156">
        <f>Q9+(X$2/5)</f>
        <v>4.8</v>
      </c>
      <c r="AI9" s="156">
        <v>9</v>
      </c>
      <c r="AJ9" s="156">
        <f>S9+(Z$2/1)</f>
        <v>3</v>
      </c>
    </row>
    <row r="10" spans="1:36" ht="16.5" customHeight="1" x14ac:dyDescent="0.25">
      <c r="A10" s="15" t="str">
        <f>PLANTILLA!A13</f>
        <v>#7</v>
      </c>
      <c r="B10" s="15" t="str">
        <f>PLANTILLA!B13</f>
        <v>LAT</v>
      </c>
      <c r="C10" s="121">
        <f ca="1">PLANTILLA!C13</f>
        <v>14.258928571428571</v>
      </c>
      <c r="D10" s="28" t="str">
        <f>PLANTILLA!D13</f>
        <v>Raul Riquelme</v>
      </c>
      <c r="E10" s="16">
        <f>PLANTILLA!E13</f>
        <v>18</v>
      </c>
      <c r="F10" s="17">
        <f ca="1">PLANTILLA!F13</f>
        <v>83</v>
      </c>
      <c r="G10" s="18" t="str">
        <f>PLANTILLA!G13</f>
        <v>RAP</v>
      </c>
      <c r="H10" s="4">
        <f>PLANTILLA!H13</f>
        <v>6</v>
      </c>
      <c r="I10" s="27">
        <f>PLANTILLA!I13</f>
        <v>1.9</v>
      </c>
      <c r="J10" s="19">
        <f>PLANTILLA!O13</f>
        <v>3.2</v>
      </c>
      <c r="K10" s="6">
        <f t="shared" si="4"/>
        <v>68.399999999999991</v>
      </c>
      <c r="L10" s="6">
        <f t="shared" si="5"/>
        <v>93.1</v>
      </c>
      <c r="M10" s="21">
        <f>PLANTILLA!X13</f>
        <v>0</v>
      </c>
      <c r="N10" s="21">
        <f>PLANTILLA!Y13</f>
        <v>6</v>
      </c>
      <c r="O10" s="21">
        <f>PLANTILLA!Z13</f>
        <v>3</v>
      </c>
      <c r="P10" s="21">
        <f>PLANTILLA!AA13</f>
        <v>6</v>
      </c>
      <c r="Q10" s="21">
        <f>PLANTILLA!AB13</f>
        <v>3.33</v>
      </c>
      <c r="R10" s="21">
        <f>PLANTILLA!AC13</f>
        <v>6.3488235294117636</v>
      </c>
      <c r="S10" s="21">
        <f>PLANTILLA!AD13</f>
        <v>4</v>
      </c>
      <c r="T10" s="155">
        <v>0</v>
      </c>
      <c r="U10" s="155">
        <v>0</v>
      </c>
      <c r="V10" s="155">
        <v>0</v>
      </c>
      <c r="W10" s="155">
        <v>0.13</v>
      </c>
      <c r="X10" s="155">
        <v>0</v>
      </c>
      <c r="Y10" s="155">
        <f t="shared" si="2"/>
        <v>0.17</v>
      </c>
      <c r="Z10" s="155">
        <v>0</v>
      </c>
      <c r="AA10" s="153">
        <v>20</v>
      </c>
      <c r="AB10" s="154">
        <v>84</v>
      </c>
      <c r="AC10" s="25">
        <f t="shared" si="3"/>
        <v>1.9</v>
      </c>
      <c r="AD10" s="156">
        <f t="shared" si="6"/>
        <v>0</v>
      </c>
      <c r="AE10" s="156">
        <f t="shared" si="7"/>
        <v>6</v>
      </c>
      <c r="AF10" s="156">
        <f t="shared" si="8"/>
        <v>3</v>
      </c>
      <c r="AG10" s="156">
        <f>5</f>
        <v>5</v>
      </c>
      <c r="AH10" s="156">
        <f>Q10+(X$2/16)</f>
        <v>3.2675000000000001</v>
      </c>
      <c r="AI10" s="156">
        <f>5+18/19</f>
        <v>5.9473684210526319</v>
      </c>
      <c r="AJ10" s="156">
        <f>S10+(Z$2/5)</f>
        <v>4</v>
      </c>
    </row>
    <row r="11" spans="1:36" ht="16.5" customHeight="1" x14ac:dyDescent="0.25">
      <c r="A11" s="15" t="e">
        <f>PLANTILLA!#REF!</f>
        <v>#REF!</v>
      </c>
      <c r="B11" s="15" t="e">
        <f>PLANTILLA!#REF!</f>
        <v>#REF!</v>
      </c>
      <c r="C11" s="121" t="e">
        <f>PLANTILLA!#REF!</f>
        <v>#REF!</v>
      </c>
      <c r="D11" s="28" t="e">
        <f>PLANTILLA!#REF!</f>
        <v>#REF!</v>
      </c>
      <c r="E11" s="16" t="e">
        <f>PLANTILLA!#REF!</f>
        <v>#REF!</v>
      </c>
      <c r="F11" s="17" t="e">
        <f>PLANTILLA!#REF!</f>
        <v>#REF!</v>
      </c>
      <c r="G11" s="18" t="e">
        <f>PLANTILLA!#REF!</f>
        <v>#REF!</v>
      </c>
      <c r="H11" s="4" t="e">
        <f>PLANTILLA!#REF!</f>
        <v>#REF!</v>
      </c>
      <c r="I11" s="27" t="e">
        <f>PLANTILLA!#REF!</f>
        <v>#REF!</v>
      </c>
      <c r="J11" s="19" t="e">
        <f>PLANTILLA!#REF!</f>
        <v>#REF!</v>
      </c>
      <c r="K11" s="6" t="e">
        <f t="shared" ref="K11" si="9">(H11)*(H11)*(I11)</f>
        <v>#REF!</v>
      </c>
      <c r="L11" s="6" t="e">
        <f t="shared" ref="L11" si="10">(H11+1)*(H11+1)*I11</f>
        <v>#REF!</v>
      </c>
      <c r="M11" s="21" t="e">
        <f>PLANTILLA!#REF!</f>
        <v>#REF!</v>
      </c>
      <c r="N11" s="21" t="e">
        <f>PLANTILLA!#REF!</f>
        <v>#REF!</v>
      </c>
      <c r="O11" s="21" t="e">
        <f>PLANTILLA!#REF!</f>
        <v>#REF!</v>
      </c>
      <c r="P11" s="21" t="e">
        <f>PLANTILLA!#REF!</f>
        <v>#REF!</v>
      </c>
      <c r="Q11" s="21" t="e">
        <f>PLANTILLA!#REF!</f>
        <v>#REF!</v>
      </c>
      <c r="R11" s="21" t="e">
        <f>PLANTILLA!#REF!</f>
        <v>#REF!</v>
      </c>
      <c r="S11" s="21" t="e">
        <f>PLANTILLA!#REF!</f>
        <v>#REF!</v>
      </c>
      <c r="T11" s="155">
        <v>0</v>
      </c>
      <c r="U11" s="155">
        <v>0</v>
      </c>
      <c r="V11" s="155">
        <v>0</v>
      </c>
      <c r="W11" s="155">
        <v>0.13</v>
      </c>
      <c r="X11" s="155">
        <v>0</v>
      </c>
      <c r="Y11" s="155">
        <f t="shared" si="2"/>
        <v>0.17</v>
      </c>
      <c r="Z11" s="155">
        <v>0</v>
      </c>
      <c r="AA11" s="153">
        <v>20</v>
      </c>
      <c r="AB11" s="154">
        <v>85</v>
      </c>
      <c r="AC11" s="25" t="e">
        <f t="shared" ref="AC11" si="11">I11+$AC$2</f>
        <v>#REF!</v>
      </c>
      <c r="AD11" s="156" t="e">
        <f t="shared" ref="AD11" si="12">M11</f>
        <v>#REF!</v>
      </c>
      <c r="AE11" s="156" t="e">
        <f t="shared" ref="AE11" si="13">N11</f>
        <v>#REF!</v>
      </c>
      <c r="AF11" s="156" t="e">
        <f t="shared" ref="AF11" si="14">O11</f>
        <v>#REF!</v>
      </c>
      <c r="AG11" s="156">
        <f>5</f>
        <v>5</v>
      </c>
      <c r="AH11" s="156" t="e">
        <f>Q11+(X$2/16)</f>
        <v>#REF!</v>
      </c>
      <c r="AI11" s="156">
        <f>5+18/19</f>
        <v>5.9473684210526319</v>
      </c>
      <c r="AJ11" s="156" t="e">
        <f>S11+(Z$2/5)</f>
        <v>#REF!</v>
      </c>
    </row>
    <row r="12" spans="1:36" ht="16.5" customHeight="1" x14ac:dyDescent="0.25">
      <c r="A12" s="15" t="e">
        <f>PLANTILLA!#REF!</f>
        <v>#REF!</v>
      </c>
      <c r="B12" s="15" t="e">
        <f>PLANTILLA!#REF!</f>
        <v>#REF!</v>
      </c>
      <c r="C12" s="121" t="e">
        <f>PLANTILLA!#REF!</f>
        <v>#REF!</v>
      </c>
      <c r="D12" s="28" t="e">
        <f>PLANTILLA!#REF!</f>
        <v>#REF!</v>
      </c>
      <c r="E12" s="16" t="e">
        <f>PLANTILLA!#REF!</f>
        <v>#REF!</v>
      </c>
      <c r="F12" s="17" t="e">
        <f>PLANTILLA!#REF!</f>
        <v>#REF!</v>
      </c>
      <c r="G12" s="18" t="e">
        <f>PLANTILLA!#REF!</f>
        <v>#REF!</v>
      </c>
      <c r="H12" s="4" t="e">
        <f>PLANTILLA!#REF!</f>
        <v>#REF!</v>
      </c>
      <c r="I12" s="27" t="e">
        <f>PLANTILLA!#REF!</f>
        <v>#REF!</v>
      </c>
      <c r="J12" s="19" t="e">
        <f>PLANTILLA!#REF!</f>
        <v>#REF!</v>
      </c>
      <c r="K12" s="6" t="e">
        <f t="shared" si="4"/>
        <v>#REF!</v>
      </c>
      <c r="L12" s="6" t="e">
        <f t="shared" si="5"/>
        <v>#REF!</v>
      </c>
      <c r="M12" s="21" t="e">
        <f>PLANTILLA!#REF!</f>
        <v>#REF!</v>
      </c>
      <c r="N12" s="21" t="e">
        <f>PLANTILLA!#REF!</f>
        <v>#REF!</v>
      </c>
      <c r="O12" s="21" t="e">
        <f>PLANTILLA!#REF!</f>
        <v>#REF!</v>
      </c>
      <c r="P12" s="21" t="e">
        <f>PLANTILLA!#REF!</f>
        <v>#REF!</v>
      </c>
      <c r="Q12" s="21" t="e">
        <f>PLANTILLA!#REF!</f>
        <v>#REF!</v>
      </c>
      <c r="R12" s="21" t="e">
        <f>PLANTILLA!#REF!</f>
        <v>#REF!</v>
      </c>
      <c r="S12" s="21" t="e">
        <f>PLANTILLA!#REF!</f>
        <v>#REF!</v>
      </c>
      <c r="T12" s="155">
        <v>0</v>
      </c>
      <c r="U12" s="155">
        <v>0</v>
      </c>
      <c r="V12" s="155">
        <v>0</v>
      </c>
      <c r="W12" s="155">
        <v>0.13</v>
      </c>
      <c r="X12" s="155">
        <v>0</v>
      </c>
      <c r="Y12" s="155">
        <f t="shared" si="2"/>
        <v>0.17</v>
      </c>
      <c r="Z12" s="155">
        <v>0</v>
      </c>
      <c r="AA12" s="153">
        <v>20</v>
      </c>
      <c r="AB12" s="154">
        <v>54</v>
      </c>
      <c r="AC12" s="25" t="e">
        <f t="shared" si="3"/>
        <v>#REF!</v>
      </c>
      <c r="AD12" s="156" t="e">
        <f t="shared" si="6"/>
        <v>#REF!</v>
      </c>
      <c r="AE12" s="156" t="e">
        <f t="shared" si="7"/>
        <v>#REF!</v>
      </c>
      <c r="AF12" s="156" t="e">
        <f t="shared" si="8"/>
        <v>#REF!</v>
      </c>
      <c r="AG12" s="156">
        <f>5+14/18</f>
        <v>5.7777777777777777</v>
      </c>
      <c r="AH12" s="156" t="e">
        <f>Q12+(X$2/9)</f>
        <v>#REF!</v>
      </c>
      <c r="AI12" s="156">
        <f>5+2/20</f>
        <v>5.0999999999999996</v>
      </c>
      <c r="AJ12" s="156" t="e">
        <f>S12+(Z$2/3)</f>
        <v>#REF!</v>
      </c>
    </row>
    <row r="13" spans="1:36" ht="16.5" customHeight="1" x14ac:dyDescent="0.25">
      <c r="A13" s="15" t="str">
        <f>PLANTILLA!A14</f>
        <v>#20</v>
      </c>
      <c r="B13" s="15" t="str">
        <f>PLANTILLA!B14</f>
        <v>LAT</v>
      </c>
      <c r="C13" s="121">
        <f ca="1">PLANTILLA!C14</f>
        <v>13.642857142857142</v>
      </c>
      <c r="D13" s="28" t="str">
        <f>PLANTILLA!D14</f>
        <v>Roberto Montero</v>
      </c>
      <c r="E13" s="16">
        <f>PLANTILLA!E14</f>
        <v>19</v>
      </c>
      <c r="F13" s="17">
        <f ca="1">PLANTILLA!F14</f>
        <v>40</v>
      </c>
      <c r="G13" s="18" t="str">
        <f>PLANTILLA!G14</f>
        <v>TEC</v>
      </c>
      <c r="H13" s="4">
        <f>PLANTILLA!H14</f>
        <v>2</v>
      </c>
      <c r="I13" s="27">
        <f>PLANTILLA!I14</f>
        <v>1.2</v>
      </c>
      <c r="J13" s="19">
        <f>PLANTILLA!O14</f>
        <v>4.2</v>
      </c>
      <c r="K13" s="6">
        <f t="shared" si="4"/>
        <v>4.8</v>
      </c>
      <c r="L13" s="6">
        <f t="shared" si="5"/>
        <v>10.799999999999999</v>
      </c>
      <c r="M13" s="21">
        <f>PLANTILLA!X14</f>
        <v>0</v>
      </c>
      <c r="N13" s="21">
        <f>PLANTILLA!Y14</f>
        <v>6</v>
      </c>
      <c r="O13" s="21">
        <f>PLANTILLA!Z14</f>
        <v>4</v>
      </c>
      <c r="P13" s="21">
        <f>PLANTILLA!AA14</f>
        <v>4.0625</v>
      </c>
      <c r="Q13" s="21">
        <f>PLANTILLA!AB14</f>
        <v>3.5528</v>
      </c>
      <c r="R13" s="21">
        <f>PLANTILLA!AC14</f>
        <v>4.4666666666666659</v>
      </c>
      <c r="S13" s="21">
        <f>PLANTILLA!AD14</f>
        <v>6</v>
      </c>
      <c r="T13" s="155">
        <v>0</v>
      </c>
      <c r="U13" s="155">
        <v>0</v>
      </c>
      <c r="V13" s="155">
        <v>0</v>
      </c>
      <c r="W13" s="155">
        <v>1</v>
      </c>
      <c r="X13" s="155">
        <v>0</v>
      </c>
      <c r="Y13" s="155">
        <v>1</v>
      </c>
      <c r="Z13" s="155">
        <v>0</v>
      </c>
      <c r="AA13" s="153">
        <v>20</v>
      </c>
      <c r="AB13" s="154">
        <v>55</v>
      </c>
      <c r="AC13" s="25">
        <f t="shared" si="3"/>
        <v>1.2</v>
      </c>
      <c r="AD13" s="156">
        <f t="shared" si="6"/>
        <v>0</v>
      </c>
      <c r="AE13" s="156">
        <f t="shared" si="7"/>
        <v>6</v>
      </c>
      <c r="AF13" s="156">
        <f t="shared" si="8"/>
        <v>4</v>
      </c>
      <c r="AG13" s="156">
        <f>12+5/6</f>
        <v>12.833333333333334</v>
      </c>
      <c r="AH13" s="156">
        <f>Q13+(X$2/6)</f>
        <v>3.3861333333333334</v>
      </c>
      <c r="AI13" s="156">
        <f>8+2/4</f>
        <v>8.5</v>
      </c>
      <c r="AJ13" s="156">
        <f>S13+(Z$2/2.5)</f>
        <v>6</v>
      </c>
    </row>
    <row r="14" spans="1:36" ht="16.5" customHeight="1" x14ac:dyDescent="0.25">
      <c r="A14" s="15" t="str">
        <f>PLANTILLA!A16</f>
        <v>#21</v>
      </c>
      <c r="B14" s="15" t="str">
        <f>PLANTILLA!B16</f>
        <v>MED</v>
      </c>
      <c r="C14" s="121">
        <f ca="1">PLANTILLA!C16</f>
        <v>13.705357142857142</v>
      </c>
      <c r="D14" s="28" t="str">
        <f>PLANTILLA!D16</f>
        <v>Fernando Gazón</v>
      </c>
      <c r="E14" s="16">
        <f>PLANTILLA!E16</f>
        <v>19</v>
      </c>
      <c r="F14" s="17">
        <f ca="1">PLANTILLA!F16</f>
        <v>33</v>
      </c>
      <c r="G14" s="18" t="str">
        <f>PLANTILLA!G16</f>
        <v>IMP</v>
      </c>
      <c r="H14" s="4">
        <f>PLANTILLA!H16</f>
        <v>3</v>
      </c>
      <c r="I14" s="27">
        <f>PLANTILLA!I16</f>
        <v>1.7</v>
      </c>
      <c r="J14" s="19">
        <f>PLANTILLA!O16</f>
        <v>4.2</v>
      </c>
      <c r="K14" s="6">
        <f t="shared" si="4"/>
        <v>15.299999999999999</v>
      </c>
      <c r="L14" s="6">
        <f t="shared" si="5"/>
        <v>27.2</v>
      </c>
      <c r="M14" s="21">
        <f>PLANTILLA!X16</f>
        <v>0</v>
      </c>
      <c r="N14" s="21">
        <f>PLANTILLA!Y16</f>
        <v>3</v>
      </c>
      <c r="O14" s="21">
        <f>PLANTILLA!Z16</f>
        <v>6</v>
      </c>
      <c r="P14" s="21">
        <f>PLANTILLA!AA16</f>
        <v>4.3</v>
      </c>
      <c r="Q14" s="21">
        <f>PLANTILLA!AB16</f>
        <v>4.25</v>
      </c>
      <c r="R14" s="21">
        <f>PLANTILLA!AC16</f>
        <v>5.6190261437908475</v>
      </c>
      <c r="S14" s="21">
        <f>PLANTILLA!AD16</f>
        <v>3</v>
      </c>
      <c r="T14" s="155">
        <v>0</v>
      </c>
      <c r="U14" s="155">
        <v>0</v>
      </c>
      <c r="V14" s="155">
        <v>0</v>
      </c>
      <c r="W14" s="155">
        <v>1</v>
      </c>
      <c r="X14" s="155">
        <v>0</v>
      </c>
      <c r="Y14" s="155">
        <v>1</v>
      </c>
      <c r="Z14" s="155">
        <v>0</v>
      </c>
      <c r="AA14" s="153">
        <v>20</v>
      </c>
      <c r="AB14" s="154">
        <v>55</v>
      </c>
      <c r="AC14" s="25">
        <f t="shared" si="3"/>
        <v>1.7</v>
      </c>
      <c r="AD14" s="156">
        <f t="shared" si="6"/>
        <v>0</v>
      </c>
      <c r="AE14" s="156">
        <f t="shared" si="7"/>
        <v>3</v>
      </c>
      <c r="AF14" s="156">
        <f t="shared" si="8"/>
        <v>6</v>
      </c>
      <c r="AG14" s="156">
        <f>12+3/6</f>
        <v>12.5</v>
      </c>
      <c r="AH14" s="156">
        <f>Q14+(X$2/16)</f>
        <v>4.1875</v>
      </c>
      <c r="AI14" s="156">
        <f>8+2/4</f>
        <v>8.5</v>
      </c>
      <c r="AJ14" s="156">
        <f>S14+(Z$2/2)</f>
        <v>3</v>
      </c>
    </row>
    <row r="15" spans="1:36" ht="16.5" customHeight="1" x14ac:dyDescent="0.25">
      <c r="A15" s="15" t="str">
        <f>PLANTILLA!A15</f>
        <v>#23</v>
      </c>
      <c r="B15" s="15" t="str">
        <f>PLANTILLA!B15</f>
        <v>LAT</v>
      </c>
      <c r="C15" s="121">
        <f ca="1">PLANTILLA!C15</f>
        <v>14.071428571428571</v>
      </c>
      <c r="D15" s="28" t="str">
        <f>PLANTILLA!D15</f>
        <v>Eckardt Hägerling</v>
      </c>
      <c r="E15" s="16">
        <f>PLANTILLA!E15</f>
        <v>18</v>
      </c>
      <c r="F15" s="17">
        <f ca="1">PLANTILLA!F15</f>
        <v>104</v>
      </c>
      <c r="G15" s="18" t="str">
        <f>PLANTILLA!G15</f>
        <v>IMP</v>
      </c>
      <c r="H15" s="4">
        <f>PLANTILLA!H15</f>
        <v>3</v>
      </c>
      <c r="I15" s="27">
        <f>PLANTILLA!I15</f>
        <v>1.5</v>
      </c>
      <c r="J15" s="19">
        <f>PLANTILLA!O15</f>
        <v>4</v>
      </c>
      <c r="K15" s="6">
        <f t="shared" si="4"/>
        <v>13.5</v>
      </c>
      <c r="L15" s="6">
        <f t="shared" si="5"/>
        <v>24</v>
      </c>
      <c r="M15" s="21">
        <f>PLANTILLA!X15</f>
        <v>0</v>
      </c>
      <c r="N15" s="21">
        <f>PLANTILLA!Y15</f>
        <v>5</v>
      </c>
      <c r="O15" s="21">
        <f>PLANTILLA!Z15</f>
        <v>3</v>
      </c>
      <c r="P15" s="21">
        <f>PLANTILLA!AA15</f>
        <v>5.3</v>
      </c>
      <c r="Q15" s="21">
        <f>PLANTILLA!AB15</f>
        <v>3</v>
      </c>
      <c r="R15" s="21">
        <f>PLANTILLA!AC15</f>
        <v>4.6633333333333322</v>
      </c>
      <c r="S15" s="21">
        <f>PLANTILLA!AD15</f>
        <v>3</v>
      </c>
      <c r="T15" s="155">
        <v>0</v>
      </c>
      <c r="U15" s="155">
        <v>0</v>
      </c>
      <c r="V15" s="155">
        <v>0</v>
      </c>
      <c r="W15" s="155">
        <v>0.13</v>
      </c>
      <c r="X15" s="155">
        <v>0</v>
      </c>
      <c r="Y15" s="155">
        <f t="shared" si="2"/>
        <v>0.17</v>
      </c>
      <c r="Z15" s="155">
        <v>0</v>
      </c>
      <c r="AA15" s="153">
        <v>20</v>
      </c>
      <c r="AB15" s="154">
        <v>63</v>
      </c>
      <c r="AC15" s="25">
        <f t="shared" si="3"/>
        <v>1.5</v>
      </c>
      <c r="AD15" s="156">
        <f t="shared" si="6"/>
        <v>0</v>
      </c>
      <c r="AE15" s="156">
        <f t="shared" si="7"/>
        <v>5</v>
      </c>
      <c r="AF15" s="156">
        <f t="shared" si="8"/>
        <v>3</v>
      </c>
      <c r="AG15" s="156">
        <f>6+11/20</f>
        <v>6.55</v>
      </c>
      <c r="AH15" s="156">
        <f>Q15+(X$2/12)</f>
        <v>2.9166666666666665</v>
      </c>
      <c r="AI15" s="156">
        <f>5+2/20</f>
        <v>5.0999999999999996</v>
      </c>
      <c r="AJ15" s="156">
        <f>S15+(Z$2/2)</f>
        <v>3</v>
      </c>
    </row>
    <row r="16" spans="1:36" ht="16.5" customHeight="1" x14ac:dyDescent="0.25">
      <c r="A16" s="15" t="str">
        <f>PLANTILLA!A17</f>
        <v>#28</v>
      </c>
      <c r="B16" s="15" t="str">
        <f>PLANTILLA!B17</f>
        <v>MED</v>
      </c>
      <c r="C16" s="121">
        <f ca="1">PLANTILLA!C17</f>
        <v>14.0625</v>
      </c>
      <c r="D16" s="28" t="str">
        <f>PLANTILLA!D17</f>
        <v>Marc Dolz</v>
      </c>
      <c r="E16" s="16">
        <f>PLANTILLA!E17</f>
        <v>18</v>
      </c>
      <c r="F16" s="17">
        <f ca="1">PLANTILLA!F17</f>
        <v>105</v>
      </c>
      <c r="G16" s="18" t="str">
        <f>PLANTILLA!G17</f>
        <v>POT</v>
      </c>
      <c r="H16" s="4">
        <f>PLANTILLA!H17</f>
        <v>3</v>
      </c>
      <c r="I16" s="27">
        <f>PLANTILLA!I17</f>
        <v>1.1000000000000001</v>
      </c>
      <c r="J16" s="19">
        <f>PLANTILLA!O17</f>
        <v>3.2</v>
      </c>
      <c r="K16" s="6">
        <f t="shared" si="4"/>
        <v>9.9</v>
      </c>
      <c r="L16" s="6">
        <f t="shared" si="5"/>
        <v>17.600000000000001</v>
      </c>
      <c r="M16" s="21">
        <f>PLANTILLA!X17</f>
        <v>0</v>
      </c>
      <c r="N16" s="21">
        <f>PLANTILLA!Y17</f>
        <v>4</v>
      </c>
      <c r="O16" s="21">
        <f>PLANTILLA!Z17</f>
        <v>4</v>
      </c>
      <c r="P16" s="21">
        <f>PLANTILLA!AA17</f>
        <v>3.0714285714285716</v>
      </c>
      <c r="Q16" s="21">
        <f>PLANTILLA!AB17</f>
        <v>4.2926666666666664</v>
      </c>
      <c r="R16" s="21">
        <f>PLANTILLA!AC17</f>
        <v>3.6666666666666687</v>
      </c>
      <c r="S16" s="21">
        <f>PLANTILLA!AD17</f>
        <v>0.4</v>
      </c>
      <c r="T16" s="155">
        <v>0</v>
      </c>
      <c r="U16" s="155">
        <v>0</v>
      </c>
      <c r="V16" s="155">
        <v>0</v>
      </c>
      <c r="W16" s="155">
        <v>0.5</v>
      </c>
      <c r="X16" s="155">
        <v>0</v>
      </c>
      <c r="Y16" s="155">
        <f t="shared" si="2"/>
        <v>0.17</v>
      </c>
      <c r="Z16" s="155">
        <v>0</v>
      </c>
      <c r="AA16" s="153">
        <v>20</v>
      </c>
      <c r="AB16" s="154">
        <v>53</v>
      </c>
      <c r="AC16" s="25">
        <f t="shared" si="3"/>
        <v>1.1000000000000001</v>
      </c>
      <c r="AD16" s="156">
        <f t="shared" si="6"/>
        <v>0</v>
      </c>
      <c r="AE16" s="156">
        <f t="shared" si="7"/>
        <v>4</v>
      </c>
      <c r="AF16" s="156">
        <f t="shared" si="8"/>
        <v>4</v>
      </c>
      <c r="AG16" s="156">
        <f>5</f>
        <v>5</v>
      </c>
      <c r="AH16" s="156">
        <f>Q16+(X$2/13)</f>
        <v>4.2157435897435898</v>
      </c>
      <c r="AI16" s="156">
        <f>5+19/20</f>
        <v>5.95</v>
      </c>
      <c r="AJ16" s="156">
        <f>S16+(Z$2/3)</f>
        <v>0.4</v>
      </c>
    </row>
    <row r="17" spans="1:36" ht="16.5" customHeight="1" x14ac:dyDescent="0.25">
      <c r="A17" s="15" t="e">
        <f>PLANTILLA!#REF!</f>
        <v>#REF!</v>
      </c>
      <c r="B17" s="15" t="e">
        <f>PLANTILLA!#REF!</f>
        <v>#REF!</v>
      </c>
      <c r="C17" s="121" t="e">
        <f>PLANTILLA!#REF!</f>
        <v>#REF!</v>
      </c>
      <c r="D17" s="28" t="e">
        <f>PLANTILLA!#REF!</f>
        <v>#REF!</v>
      </c>
      <c r="E17" s="16" t="e">
        <f>PLANTILLA!#REF!</f>
        <v>#REF!</v>
      </c>
      <c r="F17" s="17" t="e">
        <f>PLANTILLA!#REF!</f>
        <v>#REF!</v>
      </c>
      <c r="G17" s="18" t="e">
        <f>PLANTILLA!#REF!</f>
        <v>#REF!</v>
      </c>
      <c r="H17" s="4" t="e">
        <f>PLANTILLA!#REF!</f>
        <v>#REF!</v>
      </c>
      <c r="I17" s="27" t="e">
        <f>PLANTILLA!#REF!</f>
        <v>#REF!</v>
      </c>
      <c r="J17" s="19" t="e">
        <f>PLANTILLA!#REF!</f>
        <v>#REF!</v>
      </c>
      <c r="K17" s="6" t="e">
        <f t="shared" si="4"/>
        <v>#REF!</v>
      </c>
      <c r="L17" s="6" t="e">
        <f t="shared" si="5"/>
        <v>#REF!</v>
      </c>
      <c r="M17" s="21" t="e">
        <f>PLANTILLA!#REF!</f>
        <v>#REF!</v>
      </c>
      <c r="N17" s="21" t="e">
        <f>PLANTILLA!#REF!</f>
        <v>#REF!</v>
      </c>
      <c r="O17" s="21" t="e">
        <f>PLANTILLA!#REF!</f>
        <v>#REF!</v>
      </c>
      <c r="P17" s="21" t="e">
        <f>PLANTILLA!#REF!</f>
        <v>#REF!</v>
      </c>
      <c r="Q17" s="21" t="e">
        <f>PLANTILLA!#REF!</f>
        <v>#REF!</v>
      </c>
      <c r="R17" s="21" t="e">
        <f>PLANTILLA!#REF!</f>
        <v>#REF!</v>
      </c>
      <c r="S17" s="21" t="e">
        <f>PLANTILLA!#REF!</f>
        <v>#REF!</v>
      </c>
      <c r="T17" s="155">
        <v>0</v>
      </c>
      <c r="U17" s="155">
        <v>0</v>
      </c>
      <c r="V17" s="155">
        <v>0</v>
      </c>
      <c r="W17" s="155">
        <v>0.5</v>
      </c>
      <c r="X17" s="155">
        <v>0</v>
      </c>
      <c r="Y17" s="155">
        <f t="shared" si="2"/>
        <v>0.17</v>
      </c>
      <c r="Z17" s="155">
        <v>0</v>
      </c>
      <c r="AA17" s="153">
        <v>20</v>
      </c>
      <c r="AB17" s="154">
        <v>96</v>
      </c>
      <c r="AC17" s="25" t="e">
        <f t="shared" si="3"/>
        <v>#REF!</v>
      </c>
      <c r="AD17" s="156" t="e">
        <f t="shared" si="6"/>
        <v>#REF!</v>
      </c>
      <c r="AE17" s="156" t="e">
        <f t="shared" si="7"/>
        <v>#REF!</v>
      </c>
      <c r="AF17" s="156" t="e">
        <f t="shared" si="8"/>
        <v>#REF!</v>
      </c>
      <c r="AG17" s="156">
        <f>5</f>
        <v>5</v>
      </c>
      <c r="AH17" s="156" t="e">
        <f>Q17+(X$2/13)</f>
        <v>#REF!</v>
      </c>
      <c r="AI17" s="156">
        <f>6+19/23</f>
        <v>6.8260869565217392</v>
      </c>
      <c r="AJ17" s="156" t="e">
        <f>S17+(Z$2/3)</f>
        <v>#REF!</v>
      </c>
    </row>
    <row r="18" spans="1:36" ht="16.5" customHeight="1" x14ac:dyDescent="0.25">
      <c r="A18" s="15" t="str">
        <f>PLANTILLA!A19</f>
        <v>#26</v>
      </c>
      <c r="B18" s="15" t="str">
        <f>PLANTILLA!B19</f>
        <v>MED</v>
      </c>
      <c r="C18" s="121">
        <f ca="1">PLANTILLA!C19</f>
        <v>13.8125</v>
      </c>
      <c r="D18" s="28" t="str">
        <f>PLANTILLA!D19</f>
        <v>Roberto Abenoza</v>
      </c>
      <c r="E18" s="16">
        <f>PLANTILLA!E19</f>
        <v>19</v>
      </c>
      <c r="F18" s="17">
        <f ca="1">PLANTILLA!F19</f>
        <v>21</v>
      </c>
      <c r="G18" s="18" t="str">
        <f>PLANTILLA!G19</f>
        <v>CAB</v>
      </c>
      <c r="H18" s="4">
        <f>PLANTILLA!H19</f>
        <v>4</v>
      </c>
      <c r="I18" s="27">
        <f>PLANTILLA!I19</f>
        <v>1</v>
      </c>
      <c r="J18" s="19">
        <f>PLANTILLA!O19</f>
        <v>4.2</v>
      </c>
      <c r="K18" s="6">
        <f t="shared" si="4"/>
        <v>16</v>
      </c>
      <c r="L18" s="6">
        <f t="shared" si="5"/>
        <v>25</v>
      </c>
      <c r="M18" s="21">
        <f>PLANTILLA!X19</f>
        <v>0</v>
      </c>
      <c r="N18" s="21">
        <f>PLANTILLA!Y19</f>
        <v>2</v>
      </c>
      <c r="O18" s="21">
        <f>PLANTILLA!Z19</f>
        <v>5</v>
      </c>
      <c r="P18" s="21">
        <f>PLANTILLA!AA19</f>
        <v>4</v>
      </c>
      <c r="Q18" s="21">
        <f>PLANTILLA!AB19</f>
        <v>3</v>
      </c>
      <c r="R18" s="21">
        <f>PLANTILLA!AC19</f>
        <v>5.6999999999999975</v>
      </c>
      <c r="S18" s="21">
        <f>PLANTILLA!AD19</f>
        <v>5</v>
      </c>
      <c r="T18" s="155">
        <v>0</v>
      </c>
      <c r="U18" s="155">
        <v>0</v>
      </c>
      <c r="V18" s="155">
        <v>0</v>
      </c>
      <c r="W18" s="155">
        <v>0.13</v>
      </c>
      <c r="X18" s="155">
        <v>0</v>
      </c>
      <c r="Y18" s="155">
        <f t="shared" si="2"/>
        <v>0.17</v>
      </c>
      <c r="Z18" s="155">
        <v>0</v>
      </c>
      <c r="AA18" s="153">
        <v>20</v>
      </c>
      <c r="AB18" s="154">
        <v>52</v>
      </c>
      <c r="AC18" s="25">
        <f t="shared" si="3"/>
        <v>1</v>
      </c>
      <c r="AD18" s="156">
        <f t="shared" si="6"/>
        <v>0</v>
      </c>
      <c r="AE18" s="156">
        <f t="shared" si="7"/>
        <v>2</v>
      </c>
      <c r="AF18" s="156">
        <f t="shared" si="8"/>
        <v>5</v>
      </c>
      <c r="AG18" s="156">
        <f>4+4/15</f>
        <v>4.2666666666666666</v>
      </c>
      <c r="AH18" s="156">
        <f>Q18+(X$2/13)</f>
        <v>2.9230769230769229</v>
      </c>
      <c r="AI18" s="156">
        <f>5+19/20</f>
        <v>5.95</v>
      </c>
      <c r="AJ18" s="156">
        <f>S18+(Z$2/3)</f>
        <v>5</v>
      </c>
    </row>
    <row r="19" spans="1:36" ht="16.5" customHeight="1" x14ac:dyDescent="0.25">
      <c r="A19" s="15" t="e">
        <f>PLANTILLA!#REF!</f>
        <v>#REF!</v>
      </c>
      <c r="B19" s="15" t="e">
        <f>PLANTILLA!#REF!</f>
        <v>#REF!</v>
      </c>
      <c r="C19" s="121" t="e">
        <f>PLANTILLA!#REF!</f>
        <v>#REF!</v>
      </c>
      <c r="D19" s="28" t="e">
        <f>PLANTILLA!#REF!</f>
        <v>#REF!</v>
      </c>
      <c r="E19" s="16" t="e">
        <f>PLANTILLA!#REF!</f>
        <v>#REF!</v>
      </c>
      <c r="F19" s="17" t="e">
        <f>PLANTILLA!#REF!</f>
        <v>#REF!</v>
      </c>
      <c r="G19" s="18"/>
      <c r="H19" s="4" t="e">
        <f>PLANTILLA!#REF!</f>
        <v>#REF!</v>
      </c>
      <c r="I19" s="27" t="e">
        <f>PLANTILLA!#REF!</f>
        <v>#REF!</v>
      </c>
      <c r="J19" s="19" t="e">
        <f>PLANTILLA!#REF!</f>
        <v>#REF!</v>
      </c>
      <c r="K19" s="6" t="e">
        <f t="shared" ref="K19" si="15">(H19)*(H19)*(I19)</f>
        <v>#REF!</v>
      </c>
      <c r="L19" s="6" t="e">
        <f t="shared" ref="L19" si="16">(H19+1)*(H19+1)*I19</f>
        <v>#REF!</v>
      </c>
      <c r="M19" s="21" t="e">
        <f>PLANTILLA!#REF!</f>
        <v>#REF!</v>
      </c>
      <c r="N19" s="21" t="e">
        <f>PLANTILLA!#REF!</f>
        <v>#REF!</v>
      </c>
      <c r="O19" s="21" t="e">
        <f>PLANTILLA!#REF!</f>
        <v>#REF!</v>
      </c>
      <c r="P19" s="21" t="e">
        <f>PLANTILLA!#REF!</f>
        <v>#REF!</v>
      </c>
      <c r="Q19" s="21" t="e">
        <f>PLANTILLA!#REF!</f>
        <v>#REF!</v>
      </c>
      <c r="R19" s="21" t="e">
        <f>PLANTILLA!#REF!</f>
        <v>#REF!</v>
      </c>
      <c r="S19" s="21" t="e">
        <f>PLANTILLA!#REF!</f>
        <v>#REF!</v>
      </c>
      <c r="T19" s="155">
        <v>0</v>
      </c>
      <c r="U19" s="155">
        <v>0</v>
      </c>
      <c r="V19" s="155">
        <v>0</v>
      </c>
      <c r="W19" s="155">
        <v>0.5</v>
      </c>
      <c r="X19" s="155">
        <v>0</v>
      </c>
      <c r="Y19" s="155">
        <v>1</v>
      </c>
      <c r="Z19" s="155">
        <v>0</v>
      </c>
      <c r="AA19" s="153">
        <v>20</v>
      </c>
      <c r="AB19" s="154">
        <v>53</v>
      </c>
      <c r="AC19" s="25" t="e">
        <f t="shared" ref="AC19" si="17">I19+$AC$2</f>
        <v>#REF!</v>
      </c>
      <c r="AD19" s="156" t="e">
        <f t="shared" ref="AD19" si="18">M19</f>
        <v>#REF!</v>
      </c>
      <c r="AE19" s="156" t="e">
        <f t="shared" ref="AE19" si="19">N19</f>
        <v>#REF!</v>
      </c>
      <c r="AF19" s="156" t="e">
        <f t="shared" ref="AF19" si="20">O19</f>
        <v>#REF!</v>
      </c>
      <c r="AG19" s="156">
        <v>10</v>
      </c>
      <c r="AH19" s="156" t="e">
        <f>Q19+(X$2/13)</f>
        <v>#REF!</v>
      </c>
      <c r="AI19" s="156">
        <v>10</v>
      </c>
      <c r="AJ19" s="156" t="e">
        <f>S19+(Z$2/3)</f>
        <v>#REF!</v>
      </c>
    </row>
    <row r="20" spans="1:36" ht="16.5" customHeight="1" x14ac:dyDescent="0.25">
      <c r="A20" s="15" t="str">
        <f>PLANTILLA!A18</f>
        <v>#30</v>
      </c>
      <c r="B20" s="15" t="str">
        <f>PLANTILLA!B18</f>
        <v>MED</v>
      </c>
      <c r="C20" s="121">
        <f ca="1">PLANTILLA!C18</f>
        <v>12.660714285714286</v>
      </c>
      <c r="D20" s="28" t="str">
        <f>PLANTILLA!D18</f>
        <v>Mauro Vaz</v>
      </c>
      <c r="E20" s="16">
        <f>PLANTILLA!E18</f>
        <v>20</v>
      </c>
      <c r="F20" s="17">
        <f ca="1">PLANTILLA!F18</f>
        <v>38</v>
      </c>
      <c r="G20" s="18"/>
      <c r="H20" s="4">
        <f>PLANTILLA!H18</f>
        <v>5</v>
      </c>
      <c r="I20" s="27">
        <f>PLANTILLA!I18</f>
        <v>2</v>
      </c>
      <c r="J20" s="19">
        <f>PLANTILLA!O18</f>
        <v>3.2</v>
      </c>
      <c r="K20" s="6">
        <f t="shared" ref="K20:K21" si="21">(H20)*(H20)*(I20)</f>
        <v>50</v>
      </c>
      <c r="L20" s="6">
        <f t="shared" ref="L20:L21" si="22">(H20+1)*(H20+1)*I20</f>
        <v>72</v>
      </c>
      <c r="M20" s="21">
        <f>PLANTILLA!X18</f>
        <v>0</v>
      </c>
      <c r="N20" s="21">
        <f>PLANTILLA!Y18</f>
        <v>4</v>
      </c>
      <c r="O20" s="21">
        <f>PLANTILLA!Z18</f>
        <v>5</v>
      </c>
      <c r="P20" s="21">
        <f>PLANTILLA!AA18</f>
        <v>3</v>
      </c>
      <c r="Q20" s="21">
        <f>PLANTILLA!AB18</f>
        <v>3.25</v>
      </c>
      <c r="R20" s="21">
        <f>PLANTILLA!AC18</f>
        <v>5.4999999999999982</v>
      </c>
      <c r="S20" s="21">
        <f>PLANTILLA!AD18</f>
        <v>2</v>
      </c>
      <c r="T20" s="155">
        <v>0</v>
      </c>
      <c r="U20" s="155">
        <v>0</v>
      </c>
      <c r="V20" s="155">
        <v>0</v>
      </c>
      <c r="W20" s="155">
        <v>0.5</v>
      </c>
      <c r="X20" s="155">
        <v>0</v>
      </c>
      <c r="Y20" s="155">
        <v>1</v>
      </c>
      <c r="Z20" s="155">
        <v>0</v>
      </c>
      <c r="AA20" s="153">
        <v>20</v>
      </c>
      <c r="AB20" s="154">
        <v>54</v>
      </c>
      <c r="AC20" s="25">
        <f t="shared" ref="AC20:AC21" si="23">I20+$AC$2</f>
        <v>2</v>
      </c>
      <c r="AD20" s="156">
        <f t="shared" ref="AD20:AD21" si="24">M20</f>
        <v>0</v>
      </c>
      <c r="AE20" s="156">
        <f t="shared" ref="AE20:AE21" si="25">N20</f>
        <v>4</v>
      </c>
      <c r="AF20" s="156">
        <f t="shared" ref="AF20:AF21" si="26">O20</f>
        <v>5</v>
      </c>
      <c r="AG20" s="156">
        <v>11</v>
      </c>
      <c r="AH20" s="156">
        <f t="shared" ref="AH20:AH21" si="27">Q20+(X$2/13)</f>
        <v>3.1730769230769229</v>
      </c>
      <c r="AI20" s="156">
        <v>11</v>
      </c>
      <c r="AJ20" s="156">
        <f t="shared" ref="AJ20:AJ21" si="28">S20+(Z$2/3)</f>
        <v>2</v>
      </c>
    </row>
    <row r="21" spans="1:36" ht="16.5" customHeight="1" x14ac:dyDescent="0.25">
      <c r="A21" s="15" t="str">
        <f>PLANTILLA!A6</f>
        <v>#2</v>
      </c>
      <c r="B21" s="15" t="str">
        <f>PLANTILLA!B6</f>
        <v>CEN</v>
      </c>
      <c r="C21" s="121">
        <f ca="1">PLANTILLA!C6</f>
        <v>9.5446428571428577</v>
      </c>
      <c r="D21" s="28" t="str">
        <f>PLANTILLA!D6</f>
        <v>Alberto Ercilla</v>
      </c>
      <c r="E21" s="16">
        <f>PLANTILLA!E6</f>
        <v>23</v>
      </c>
      <c r="F21" s="17">
        <f ca="1">PLANTILLA!F6</f>
        <v>51</v>
      </c>
      <c r="G21" s="18"/>
      <c r="H21" s="4">
        <f>PLANTILLA!H6</f>
        <v>4</v>
      </c>
      <c r="I21" s="27">
        <f>PLANTILLA!I6</f>
        <v>2.9</v>
      </c>
      <c r="J21" s="19">
        <f>PLANTILLA!O6</f>
        <v>5</v>
      </c>
      <c r="K21" s="6">
        <f t="shared" si="21"/>
        <v>46.4</v>
      </c>
      <c r="L21" s="6">
        <f t="shared" si="22"/>
        <v>72.5</v>
      </c>
      <c r="M21" s="21">
        <f>PLANTILLA!X6</f>
        <v>0</v>
      </c>
      <c r="N21" s="21">
        <f>PLANTILLA!Y6</f>
        <v>7</v>
      </c>
      <c r="O21" s="21">
        <f>PLANTILLA!Z6</f>
        <v>2</v>
      </c>
      <c r="P21" s="21">
        <f>PLANTILLA!AA6</f>
        <v>5</v>
      </c>
      <c r="Q21" s="21">
        <f>PLANTILLA!AB6</f>
        <v>7.0305555555555559</v>
      </c>
      <c r="R21" s="21">
        <f>PLANTILLA!AC6</f>
        <v>5.5714285714285694</v>
      </c>
      <c r="S21" s="21">
        <f>PLANTILLA!AD6</f>
        <v>4</v>
      </c>
      <c r="T21" s="155">
        <v>0</v>
      </c>
      <c r="U21" s="155">
        <v>0</v>
      </c>
      <c r="V21" s="155">
        <v>0</v>
      </c>
      <c r="W21" s="155">
        <v>0.5</v>
      </c>
      <c r="X21" s="155">
        <v>0</v>
      </c>
      <c r="Y21" s="155">
        <v>1</v>
      </c>
      <c r="Z21" s="155">
        <v>0</v>
      </c>
      <c r="AA21" s="153">
        <v>20</v>
      </c>
      <c r="AB21" s="154">
        <v>55</v>
      </c>
      <c r="AC21" s="25">
        <f t="shared" si="23"/>
        <v>2.9</v>
      </c>
      <c r="AD21" s="156">
        <f t="shared" si="24"/>
        <v>0</v>
      </c>
      <c r="AE21" s="156">
        <f t="shared" si="25"/>
        <v>7</v>
      </c>
      <c r="AF21" s="156">
        <f t="shared" si="26"/>
        <v>2</v>
      </c>
      <c r="AG21" s="156">
        <v>12</v>
      </c>
      <c r="AH21" s="156">
        <f t="shared" si="27"/>
        <v>6.9536324786324792</v>
      </c>
      <c r="AI21" s="156">
        <v>12</v>
      </c>
      <c r="AJ21" s="156">
        <f t="shared" si="28"/>
        <v>4</v>
      </c>
    </row>
    <row r="22" spans="1:36" ht="16.5" customHeight="1" x14ac:dyDescent="0.25">
      <c r="A22" s="15"/>
      <c r="B22" s="15"/>
      <c r="C22" s="121"/>
      <c r="D22" s="28"/>
      <c r="E22" s="16"/>
      <c r="F22" s="17"/>
      <c r="G22" s="18"/>
      <c r="H22" s="4"/>
      <c r="I22" s="27"/>
      <c r="J22" s="19"/>
      <c r="K22" s="6"/>
      <c r="L22" s="6"/>
      <c r="M22" s="21"/>
      <c r="N22" s="21"/>
      <c r="O22" s="21"/>
      <c r="P22" s="21"/>
      <c r="Q22" s="21"/>
      <c r="R22" s="21"/>
      <c r="S22" s="21"/>
      <c r="T22" s="155"/>
      <c r="U22" s="155"/>
      <c r="V22" s="155"/>
      <c r="W22" s="155"/>
      <c r="X22" s="155"/>
      <c r="Y22" s="155"/>
      <c r="Z22" s="155"/>
      <c r="AA22" s="153"/>
      <c r="AB22" s="154"/>
      <c r="AC22" s="25"/>
      <c r="AD22" s="156"/>
      <c r="AE22" s="156"/>
      <c r="AF22" s="156"/>
      <c r="AG22" s="156"/>
      <c r="AH22" s="156"/>
      <c r="AI22" s="156"/>
      <c r="AJ22" s="156"/>
    </row>
    <row r="23" spans="1:36" ht="16.5" customHeight="1" x14ac:dyDescent="0.25">
      <c r="A23" s="15">
        <f>PLANTILLA!A23</f>
        <v>0</v>
      </c>
      <c r="B23" s="15">
        <f>PLANTILLA!B23</f>
        <v>0</v>
      </c>
      <c r="C23" s="121">
        <f>PLANTILLA!C23</f>
        <v>0</v>
      </c>
      <c r="D23" s="28" t="str">
        <f>PLANTILLA!D23</f>
        <v>A. Ilisie</v>
      </c>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Q19"/>
  <sheetViews>
    <sheetView workbookViewId="0">
      <selection activeCell="M2" sqref="M2:Q2"/>
    </sheetView>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1" bestFit="1" customWidth="1"/>
    <col min="8" max="8" width="12.28515625" style="221" bestFit="1" customWidth="1"/>
    <col min="9" max="9" width="9.5703125" style="221" bestFit="1" customWidth="1"/>
    <col min="10" max="10" width="13.5703125" style="221" bestFit="1" customWidth="1"/>
    <col min="11" max="11" width="7.85546875" style="221" bestFit="1" customWidth="1"/>
    <col min="13" max="13" width="18" bestFit="1" customWidth="1"/>
    <col min="14" max="14" width="12.28515625" bestFit="1" customWidth="1"/>
    <col min="15" max="15" width="9.5703125" bestFit="1" customWidth="1"/>
    <col min="16" max="16" width="13.5703125" bestFit="1" customWidth="1"/>
    <col min="17" max="17" width="7.85546875" bestFit="1" customWidth="1"/>
  </cols>
  <sheetData>
    <row r="1" spans="1:17" x14ac:dyDescent="0.25">
      <c r="A1" s="220">
        <v>43088</v>
      </c>
      <c r="B1" s="219" t="s">
        <v>301</v>
      </c>
      <c r="C1" s="219"/>
      <c r="D1" s="219"/>
      <c r="E1" s="219"/>
      <c r="G1" s="220">
        <v>43110</v>
      </c>
      <c r="H1" s="221" t="s">
        <v>301</v>
      </c>
      <c r="I1" s="47">
        <f>Rendimiento_ENTRENAMIENTO!Y2</f>
        <v>6</v>
      </c>
      <c r="M1" s="220">
        <v>43164</v>
      </c>
      <c r="N1" s="226" t="s">
        <v>301</v>
      </c>
      <c r="O1" t="s">
        <v>606</v>
      </c>
    </row>
    <row r="2" spans="1:17" s="52" customFormat="1" x14ac:dyDescent="0.25">
      <c r="A2" s="224" t="s">
        <v>374</v>
      </c>
      <c r="B2" s="223" t="s">
        <v>472</v>
      </c>
      <c r="C2" s="223" t="s">
        <v>470</v>
      </c>
      <c r="D2" s="223" t="s">
        <v>471</v>
      </c>
      <c r="E2" s="223" t="s">
        <v>378</v>
      </c>
      <c r="G2" s="224" t="s">
        <v>374</v>
      </c>
      <c r="H2" s="223" t="s">
        <v>472</v>
      </c>
      <c r="I2" s="223" t="s">
        <v>470</v>
      </c>
      <c r="J2" s="223" t="s">
        <v>471</v>
      </c>
      <c r="K2" s="223" t="s">
        <v>378</v>
      </c>
      <c r="M2" s="224" t="s">
        <v>374</v>
      </c>
      <c r="N2" s="223" t="s">
        <v>472</v>
      </c>
      <c r="O2" s="223" t="s">
        <v>470</v>
      </c>
      <c r="P2" s="223" t="s">
        <v>471</v>
      </c>
      <c r="Q2" s="223" t="s">
        <v>378</v>
      </c>
    </row>
    <row r="3" spans="1:17" x14ac:dyDescent="0.25">
      <c r="A3" s="222" t="s">
        <v>379</v>
      </c>
      <c r="B3" s="105" t="s">
        <v>380</v>
      </c>
      <c r="C3" s="105">
        <v>3</v>
      </c>
      <c r="D3" s="105">
        <v>3</v>
      </c>
      <c r="E3" s="105" t="s">
        <v>381</v>
      </c>
      <c r="G3" s="105"/>
      <c r="H3" s="105"/>
      <c r="I3" s="105"/>
      <c r="J3" s="105"/>
      <c r="K3" s="105"/>
      <c r="M3" s="57"/>
      <c r="N3" s="57"/>
      <c r="O3" s="57"/>
      <c r="P3" s="57"/>
      <c r="Q3" s="57"/>
    </row>
    <row r="4" spans="1:17" x14ac:dyDescent="0.25">
      <c r="A4" s="105" t="s">
        <v>382</v>
      </c>
      <c r="B4" s="105" t="s">
        <v>383</v>
      </c>
      <c r="C4" s="105">
        <v>5</v>
      </c>
      <c r="D4" s="105">
        <v>2</v>
      </c>
      <c r="E4" s="105" t="s">
        <v>384</v>
      </c>
      <c r="G4" s="222" t="s">
        <v>382</v>
      </c>
      <c r="H4" s="105" t="s">
        <v>430</v>
      </c>
      <c r="I4" s="105">
        <v>1</v>
      </c>
      <c r="J4" s="105">
        <v>1</v>
      </c>
      <c r="K4" s="105" t="s">
        <v>442</v>
      </c>
      <c r="M4" s="57"/>
      <c r="N4" s="57"/>
      <c r="O4" s="57"/>
      <c r="P4" s="57"/>
      <c r="Q4" s="57"/>
    </row>
    <row r="5" spans="1:17" x14ac:dyDescent="0.25">
      <c r="A5" s="105" t="s">
        <v>385</v>
      </c>
      <c r="B5" s="105" t="s">
        <v>386</v>
      </c>
      <c r="C5" s="105">
        <v>8</v>
      </c>
      <c r="D5" s="105">
        <v>3</v>
      </c>
      <c r="E5" s="105" t="s">
        <v>387</v>
      </c>
      <c r="G5" s="105" t="s">
        <v>385</v>
      </c>
      <c r="H5" s="105" t="s">
        <v>431</v>
      </c>
      <c r="I5" s="105">
        <v>3</v>
      </c>
      <c r="J5" s="105">
        <v>2</v>
      </c>
      <c r="K5" s="105" t="s">
        <v>443</v>
      </c>
      <c r="M5" s="57"/>
      <c r="N5" s="57"/>
      <c r="O5" s="57"/>
      <c r="P5" s="57"/>
      <c r="Q5" s="57"/>
    </row>
    <row r="6" spans="1:17" x14ac:dyDescent="0.25">
      <c r="A6" s="105" t="s">
        <v>388</v>
      </c>
      <c r="B6" s="105" t="s">
        <v>389</v>
      </c>
      <c r="C6" s="105">
        <v>11</v>
      </c>
      <c r="D6" s="105">
        <v>3</v>
      </c>
      <c r="E6" s="105" t="s">
        <v>390</v>
      </c>
      <c r="G6" s="105" t="s">
        <v>388</v>
      </c>
      <c r="H6" s="105" t="s">
        <v>444</v>
      </c>
      <c r="I6" s="105">
        <v>7</v>
      </c>
      <c r="J6" s="105">
        <v>4</v>
      </c>
      <c r="K6" s="105" t="s">
        <v>445</v>
      </c>
      <c r="M6" s="57"/>
      <c r="N6" s="57"/>
      <c r="O6" s="57"/>
      <c r="P6" s="57"/>
      <c r="Q6" s="57"/>
    </row>
    <row r="7" spans="1:17" x14ac:dyDescent="0.25">
      <c r="A7" s="105" t="s">
        <v>391</v>
      </c>
      <c r="B7" s="105" t="s">
        <v>392</v>
      </c>
      <c r="C7" s="105">
        <v>14</v>
      </c>
      <c r="D7" s="105">
        <v>3</v>
      </c>
      <c r="E7" s="105" t="s">
        <v>393</v>
      </c>
      <c r="G7" s="105" t="s">
        <v>391</v>
      </c>
      <c r="H7" s="105" t="s">
        <v>446</v>
      </c>
      <c r="I7" s="105">
        <v>10</v>
      </c>
      <c r="J7" s="105">
        <v>3</v>
      </c>
      <c r="K7" s="105" t="s">
        <v>447</v>
      </c>
      <c r="M7" s="57" t="s">
        <v>570</v>
      </c>
      <c r="N7" s="57" t="s">
        <v>571</v>
      </c>
      <c r="O7" s="57">
        <v>3</v>
      </c>
      <c r="P7" s="57">
        <v>3</v>
      </c>
      <c r="Q7" s="57" t="s">
        <v>393</v>
      </c>
    </row>
    <row r="8" spans="1:17" s="52" customFormat="1" x14ac:dyDescent="0.25">
      <c r="A8" s="222" t="s">
        <v>394</v>
      </c>
      <c r="B8" s="222" t="s">
        <v>395</v>
      </c>
      <c r="C8" s="222">
        <v>19</v>
      </c>
      <c r="D8" s="222">
        <v>5</v>
      </c>
      <c r="E8" s="222" t="s">
        <v>396</v>
      </c>
      <c r="G8" s="222" t="s">
        <v>394</v>
      </c>
      <c r="H8" s="222" t="s">
        <v>448</v>
      </c>
      <c r="I8" s="222">
        <v>14</v>
      </c>
      <c r="J8" s="222">
        <v>4</v>
      </c>
      <c r="K8" s="222" t="s">
        <v>449</v>
      </c>
      <c r="M8" s="53" t="s">
        <v>572</v>
      </c>
      <c r="N8" s="53" t="s">
        <v>573</v>
      </c>
      <c r="O8" s="53">
        <v>7</v>
      </c>
      <c r="P8" s="53">
        <v>4</v>
      </c>
      <c r="Q8" s="53" t="s">
        <v>574</v>
      </c>
    </row>
    <row r="9" spans="1:17" x14ac:dyDescent="0.25">
      <c r="A9" s="105" t="s">
        <v>397</v>
      </c>
      <c r="B9" s="105" t="s">
        <v>398</v>
      </c>
      <c r="C9" s="105">
        <v>23</v>
      </c>
      <c r="D9" s="105">
        <v>4</v>
      </c>
      <c r="E9" s="105" t="s">
        <v>399</v>
      </c>
      <c r="G9" s="153" t="s">
        <v>397</v>
      </c>
      <c r="H9" s="153" t="s">
        <v>450</v>
      </c>
      <c r="I9" s="153">
        <v>19</v>
      </c>
      <c r="J9" s="153">
        <v>5</v>
      </c>
      <c r="K9" s="153" t="s">
        <v>451</v>
      </c>
      <c r="M9" s="57" t="s">
        <v>575</v>
      </c>
      <c r="N9" s="57" t="s">
        <v>576</v>
      </c>
      <c r="O9" s="57">
        <v>12</v>
      </c>
      <c r="P9" s="57">
        <v>5</v>
      </c>
      <c r="Q9" s="57" t="s">
        <v>577</v>
      </c>
    </row>
    <row r="10" spans="1:17" x14ac:dyDescent="0.25">
      <c r="A10" s="105" t="s">
        <v>400</v>
      </c>
      <c r="B10" s="105" t="s">
        <v>401</v>
      </c>
      <c r="C10" s="105">
        <v>29</v>
      </c>
      <c r="D10" s="105">
        <v>6</v>
      </c>
      <c r="E10" s="105" t="s">
        <v>402</v>
      </c>
      <c r="G10" s="105" t="s">
        <v>400</v>
      </c>
      <c r="H10" s="105" t="s">
        <v>433</v>
      </c>
      <c r="I10" s="105">
        <v>25</v>
      </c>
      <c r="J10" s="105">
        <v>6</v>
      </c>
      <c r="K10" s="105" t="s">
        <v>434</v>
      </c>
      <c r="M10" s="57" t="s">
        <v>578</v>
      </c>
      <c r="N10" s="57" t="s">
        <v>579</v>
      </c>
      <c r="O10" s="57">
        <v>18</v>
      </c>
      <c r="P10" s="57">
        <v>6</v>
      </c>
      <c r="Q10" s="57" t="s">
        <v>580</v>
      </c>
    </row>
    <row r="11" spans="1:17" x14ac:dyDescent="0.25">
      <c r="A11" s="105" t="s">
        <v>403</v>
      </c>
      <c r="B11" s="105" t="s">
        <v>404</v>
      </c>
      <c r="C11" s="105">
        <v>36</v>
      </c>
      <c r="D11" s="105">
        <v>7</v>
      </c>
      <c r="E11" s="105" t="s">
        <v>405</v>
      </c>
      <c r="G11" s="105" t="s">
        <v>403</v>
      </c>
      <c r="H11" s="105" t="s">
        <v>452</v>
      </c>
      <c r="I11" s="105">
        <v>32</v>
      </c>
      <c r="J11" s="105">
        <v>7</v>
      </c>
      <c r="K11" s="105" t="s">
        <v>453</v>
      </c>
      <c r="M11" s="24" t="s">
        <v>581</v>
      </c>
      <c r="N11" s="24" t="s">
        <v>582</v>
      </c>
      <c r="O11" s="24">
        <v>25</v>
      </c>
      <c r="P11" s="24">
        <v>7</v>
      </c>
      <c r="Q11" s="24" t="s">
        <v>583</v>
      </c>
    </row>
    <row r="12" spans="1:17" x14ac:dyDescent="0.25">
      <c r="A12" s="105" t="s">
        <v>406</v>
      </c>
      <c r="B12" s="105" t="s">
        <v>407</v>
      </c>
      <c r="C12" s="105">
        <v>43</v>
      </c>
      <c r="D12" s="105">
        <v>7</v>
      </c>
      <c r="E12" s="105" t="s">
        <v>408</v>
      </c>
      <c r="G12" s="105" t="s">
        <v>406</v>
      </c>
      <c r="H12" s="105" t="s">
        <v>454</v>
      </c>
      <c r="I12" s="105">
        <v>39</v>
      </c>
      <c r="J12" s="105">
        <v>7</v>
      </c>
      <c r="K12" s="105" t="s">
        <v>455</v>
      </c>
      <c r="M12" s="24" t="s">
        <v>584</v>
      </c>
      <c r="N12" s="24" t="s">
        <v>585</v>
      </c>
      <c r="O12" s="24">
        <v>32</v>
      </c>
      <c r="P12" s="24">
        <v>7</v>
      </c>
      <c r="Q12" s="24" t="s">
        <v>586</v>
      </c>
    </row>
    <row r="13" spans="1:17" x14ac:dyDescent="0.25">
      <c r="A13" s="105" t="s">
        <v>409</v>
      </c>
      <c r="B13" s="105" t="s">
        <v>410</v>
      </c>
      <c r="C13" s="105">
        <v>52</v>
      </c>
      <c r="D13" s="105">
        <v>9</v>
      </c>
      <c r="E13" s="105" t="s">
        <v>411</v>
      </c>
      <c r="G13" s="105" t="s">
        <v>409</v>
      </c>
      <c r="H13" s="105" t="s">
        <v>456</v>
      </c>
      <c r="I13" s="105">
        <v>48</v>
      </c>
      <c r="J13" s="105">
        <v>9</v>
      </c>
      <c r="K13" s="105" t="s">
        <v>457</v>
      </c>
      <c r="M13" s="24" t="s">
        <v>587</v>
      </c>
      <c r="N13" s="24" t="s">
        <v>588</v>
      </c>
      <c r="O13" s="24">
        <v>41</v>
      </c>
      <c r="P13" s="24">
        <v>9</v>
      </c>
      <c r="Q13" s="24" t="s">
        <v>411</v>
      </c>
    </row>
    <row r="14" spans="1:17" x14ac:dyDescent="0.25">
      <c r="A14" s="105" t="s">
        <v>412</v>
      </c>
      <c r="B14" s="105" t="s">
        <v>413</v>
      </c>
      <c r="C14" s="105">
        <v>62</v>
      </c>
      <c r="D14" s="105">
        <v>10</v>
      </c>
      <c r="E14" s="105" t="s">
        <v>414</v>
      </c>
      <c r="G14" s="105" t="s">
        <v>412</v>
      </c>
      <c r="H14" s="105" t="s">
        <v>458</v>
      </c>
      <c r="I14" s="105">
        <v>57</v>
      </c>
      <c r="J14" s="105">
        <v>9</v>
      </c>
      <c r="K14" s="105" t="s">
        <v>459</v>
      </c>
      <c r="M14" s="24" t="s">
        <v>589</v>
      </c>
      <c r="N14" s="24" t="s">
        <v>590</v>
      </c>
      <c r="O14" s="24">
        <v>50</v>
      </c>
      <c r="P14" s="24">
        <v>9</v>
      </c>
      <c r="Q14" s="24" t="s">
        <v>591</v>
      </c>
    </row>
    <row r="15" spans="1:17" x14ac:dyDescent="0.25">
      <c r="A15" s="105" t="s">
        <v>415</v>
      </c>
      <c r="B15" s="105" t="s">
        <v>416</v>
      </c>
      <c r="C15" s="105">
        <v>73</v>
      </c>
      <c r="D15" s="105">
        <v>11</v>
      </c>
      <c r="E15" s="105" t="s">
        <v>417</v>
      </c>
      <c r="G15" s="105" t="s">
        <v>415</v>
      </c>
      <c r="H15" s="105" t="s">
        <v>460</v>
      </c>
      <c r="I15" s="105">
        <v>69</v>
      </c>
      <c r="J15" s="105">
        <v>12</v>
      </c>
      <c r="K15" s="105" t="s">
        <v>461</v>
      </c>
      <c r="M15" s="24" t="s">
        <v>592</v>
      </c>
      <c r="N15" s="24" t="s">
        <v>593</v>
      </c>
      <c r="O15" s="24">
        <v>62</v>
      </c>
      <c r="P15" s="24">
        <v>12</v>
      </c>
      <c r="Q15" s="24" t="s">
        <v>594</v>
      </c>
    </row>
    <row r="16" spans="1:17" x14ac:dyDescent="0.25">
      <c r="A16" s="105" t="s">
        <v>418</v>
      </c>
      <c r="B16" s="105" t="s">
        <v>419</v>
      </c>
      <c r="C16" s="105">
        <v>87</v>
      </c>
      <c r="D16" s="105">
        <v>14</v>
      </c>
      <c r="E16" s="105" t="s">
        <v>420</v>
      </c>
      <c r="G16" s="105" t="s">
        <v>418</v>
      </c>
      <c r="H16" s="105" t="s">
        <v>462</v>
      </c>
      <c r="I16" s="105">
        <v>83</v>
      </c>
      <c r="J16" s="105">
        <v>14</v>
      </c>
      <c r="K16" s="105" t="s">
        <v>463</v>
      </c>
      <c r="M16" s="24" t="s">
        <v>595</v>
      </c>
      <c r="N16" s="24" t="s">
        <v>596</v>
      </c>
      <c r="O16" s="24">
        <v>76</v>
      </c>
      <c r="P16" s="24">
        <v>14</v>
      </c>
      <c r="Q16" s="24" t="s">
        <v>597</v>
      </c>
    </row>
    <row r="17" spans="1:17" x14ac:dyDescent="0.25">
      <c r="A17" s="105" t="s">
        <v>421</v>
      </c>
      <c r="B17" s="105" t="s">
        <v>422</v>
      </c>
      <c r="C17" s="105">
        <v>104</v>
      </c>
      <c r="D17" s="105">
        <v>17</v>
      </c>
      <c r="E17" s="105" t="s">
        <v>423</v>
      </c>
      <c r="G17" s="105" t="s">
        <v>421</v>
      </c>
      <c r="H17" s="105" t="s">
        <v>464</v>
      </c>
      <c r="I17" s="105">
        <v>99</v>
      </c>
      <c r="J17" s="105">
        <v>16</v>
      </c>
      <c r="K17" s="105" t="s">
        <v>465</v>
      </c>
      <c r="M17" s="57" t="s">
        <v>598</v>
      </c>
      <c r="N17" s="57" t="s">
        <v>599</v>
      </c>
      <c r="O17" s="57">
        <v>92</v>
      </c>
      <c r="P17" s="57">
        <v>16</v>
      </c>
      <c r="Q17" s="57" t="s">
        <v>600</v>
      </c>
    </row>
    <row r="18" spans="1:17" x14ac:dyDescent="0.25">
      <c r="A18" s="105" t="s">
        <v>424</v>
      </c>
      <c r="B18" s="105" t="s">
        <v>425</v>
      </c>
      <c r="C18" s="105">
        <v>126</v>
      </c>
      <c r="D18" s="105">
        <v>22</v>
      </c>
      <c r="E18" s="105" t="s">
        <v>426</v>
      </c>
      <c r="G18" s="105" t="s">
        <v>424</v>
      </c>
      <c r="H18" s="105" t="s">
        <v>466</v>
      </c>
      <c r="I18" s="105">
        <v>122</v>
      </c>
      <c r="J18" s="105">
        <v>23</v>
      </c>
      <c r="K18" s="105" t="s">
        <v>467</v>
      </c>
      <c r="M18" s="57" t="s">
        <v>601</v>
      </c>
      <c r="N18" s="57" t="s">
        <v>602</v>
      </c>
      <c r="O18" s="57">
        <v>115</v>
      </c>
      <c r="P18" s="57">
        <v>23</v>
      </c>
      <c r="Q18" s="57" t="s">
        <v>603</v>
      </c>
    </row>
    <row r="19" spans="1:17" x14ac:dyDescent="0.25">
      <c r="A19" s="105" t="s">
        <v>427</v>
      </c>
      <c r="B19" s="105" t="s">
        <v>428</v>
      </c>
      <c r="C19" s="105">
        <v>164</v>
      </c>
      <c r="D19" s="105">
        <v>38</v>
      </c>
      <c r="E19" s="105" t="s">
        <v>429</v>
      </c>
      <c r="G19" s="105" t="s">
        <v>427</v>
      </c>
      <c r="H19" s="105" t="s">
        <v>468</v>
      </c>
      <c r="I19" s="105">
        <v>160</v>
      </c>
      <c r="J19" s="105">
        <v>38</v>
      </c>
      <c r="K19" s="105" t="s">
        <v>469</v>
      </c>
      <c r="M19" s="57" t="s">
        <v>604</v>
      </c>
      <c r="N19" s="57" t="s">
        <v>605</v>
      </c>
      <c r="O19" s="57">
        <v>153</v>
      </c>
      <c r="P19" s="57">
        <v>38</v>
      </c>
      <c r="Q19" s="57" t="s">
        <v>429</v>
      </c>
    </row>
  </sheetData>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34"/>
  <sheetViews>
    <sheetView workbookViewId="0">
      <selection activeCell="I6" sqref="I6"/>
    </sheetView>
  </sheetViews>
  <sheetFormatPr baseColWidth="10" defaultColWidth="11.42578125" defaultRowHeight="15" x14ac:dyDescent="0.25"/>
  <cols>
    <col min="1" max="1" width="18.42578125" bestFit="1" customWidth="1"/>
    <col min="2" max="2" width="18.5703125" bestFit="1" customWidth="1"/>
    <col min="3" max="3" width="9.5703125" bestFit="1" customWidth="1"/>
    <col min="4" max="4" width="13.5703125" bestFit="1" customWidth="1"/>
    <col min="5" max="5" width="7.85546875" bestFit="1" customWidth="1"/>
    <col min="7" max="7" width="18.42578125" bestFit="1" customWidth="1"/>
    <col min="8" max="8" width="18.5703125" bestFit="1" customWidth="1"/>
    <col min="9" max="9" width="9.5703125" bestFit="1" customWidth="1"/>
    <col min="10" max="10" width="13.5703125" bestFit="1" customWidth="1"/>
    <col min="11" max="11" width="7.85546875" bestFit="1" customWidth="1"/>
  </cols>
  <sheetData>
    <row r="1" spans="1:11" x14ac:dyDescent="0.25">
      <c r="A1" s="30">
        <v>43110</v>
      </c>
      <c r="B1" t="s">
        <v>499</v>
      </c>
      <c r="C1" s="47">
        <f>Rendimiento_ENTRENAMIENTO!Y2</f>
        <v>6</v>
      </c>
      <c r="G1" s="30">
        <v>43164</v>
      </c>
      <c r="H1" t="s">
        <v>499</v>
      </c>
      <c r="I1" s="47" t="s">
        <v>631</v>
      </c>
    </row>
    <row r="2" spans="1:11" s="52" customFormat="1" x14ac:dyDescent="0.25">
      <c r="A2" s="224" t="s">
        <v>374</v>
      </c>
      <c r="B2" s="223" t="s">
        <v>472</v>
      </c>
      <c r="C2" s="223" t="s">
        <v>470</v>
      </c>
      <c r="D2" s="223" t="s">
        <v>471</v>
      </c>
      <c r="E2" s="223" t="s">
        <v>378</v>
      </c>
      <c r="G2" s="224" t="s">
        <v>374</v>
      </c>
      <c r="H2" s="223" t="s">
        <v>472</v>
      </c>
      <c r="I2" s="223" t="s">
        <v>470</v>
      </c>
      <c r="J2" s="223" t="s">
        <v>471</v>
      </c>
      <c r="K2" s="223" t="s">
        <v>378</v>
      </c>
    </row>
    <row r="3" spans="1:11" x14ac:dyDescent="0.25">
      <c r="A3" s="222" t="s">
        <v>385</v>
      </c>
      <c r="B3" s="105" t="s">
        <v>430</v>
      </c>
      <c r="C3" s="105">
        <v>1</v>
      </c>
      <c r="D3" s="105">
        <v>1</v>
      </c>
      <c r="E3" s="105" t="s">
        <v>473</v>
      </c>
      <c r="G3" s="222"/>
      <c r="H3" s="105"/>
      <c r="I3" s="105"/>
      <c r="J3" s="105"/>
      <c r="K3" s="105"/>
    </row>
    <row r="4" spans="1:11" x14ac:dyDescent="0.25">
      <c r="A4" s="105" t="s">
        <v>388</v>
      </c>
      <c r="B4" s="105" t="s">
        <v>474</v>
      </c>
      <c r="C4" s="105">
        <v>4</v>
      </c>
      <c r="D4" s="105">
        <v>3</v>
      </c>
      <c r="E4" s="105" t="s">
        <v>475</v>
      </c>
      <c r="G4" s="105"/>
      <c r="H4" s="105"/>
      <c r="I4" s="105"/>
      <c r="J4" s="105"/>
      <c r="K4" s="105"/>
    </row>
    <row r="5" spans="1:11" x14ac:dyDescent="0.25">
      <c r="A5" s="105" t="s">
        <v>391</v>
      </c>
      <c r="B5" s="105" t="s">
        <v>444</v>
      </c>
      <c r="C5" s="105">
        <v>7</v>
      </c>
      <c r="D5" s="105">
        <v>3</v>
      </c>
      <c r="E5" s="105" t="s">
        <v>476</v>
      </c>
      <c r="G5" s="105"/>
      <c r="H5" s="105"/>
      <c r="I5" s="105"/>
      <c r="J5" s="105"/>
      <c r="K5" s="105"/>
    </row>
    <row r="6" spans="1:11" x14ac:dyDescent="0.25">
      <c r="A6" s="105" t="s">
        <v>394</v>
      </c>
      <c r="B6" s="105" t="s">
        <v>392</v>
      </c>
      <c r="C6" s="105">
        <v>11</v>
      </c>
      <c r="D6" s="105">
        <v>4</v>
      </c>
      <c r="E6" s="105" t="s">
        <v>477</v>
      </c>
      <c r="G6" s="105" t="s">
        <v>572</v>
      </c>
      <c r="H6" s="105" t="s">
        <v>607</v>
      </c>
      <c r="I6" s="105">
        <v>5</v>
      </c>
      <c r="J6" s="105">
        <v>5</v>
      </c>
      <c r="K6" s="105" t="s">
        <v>608</v>
      </c>
    </row>
    <row r="7" spans="1:11" x14ac:dyDescent="0.25">
      <c r="A7" s="222" t="s">
        <v>397</v>
      </c>
      <c r="B7" s="222" t="s">
        <v>395</v>
      </c>
      <c r="C7" s="222">
        <v>16</v>
      </c>
      <c r="D7" s="222">
        <v>5</v>
      </c>
      <c r="E7" s="222" t="s">
        <v>478</v>
      </c>
      <c r="G7" s="105" t="s">
        <v>575</v>
      </c>
      <c r="H7" s="105" t="s">
        <v>609</v>
      </c>
      <c r="I7" s="105">
        <v>9</v>
      </c>
      <c r="J7" s="105">
        <v>4</v>
      </c>
      <c r="K7" s="105" t="s">
        <v>610</v>
      </c>
    </row>
    <row r="8" spans="1:11" x14ac:dyDescent="0.25">
      <c r="A8" s="153" t="s">
        <v>400</v>
      </c>
      <c r="B8" s="153" t="s">
        <v>479</v>
      </c>
      <c r="C8" s="153">
        <v>22</v>
      </c>
      <c r="D8" s="153">
        <v>6</v>
      </c>
      <c r="E8" s="153" t="s">
        <v>480</v>
      </c>
      <c r="G8" s="105" t="s">
        <v>578</v>
      </c>
      <c r="H8" s="105" t="s">
        <v>611</v>
      </c>
      <c r="I8" s="105">
        <v>15</v>
      </c>
      <c r="J8" s="105">
        <v>6</v>
      </c>
      <c r="K8" s="105" t="s">
        <v>612</v>
      </c>
    </row>
    <row r="9" spans="1:11" x14ac:dyDescent="0.25">
      <c r="A9" s="105" t="s">
        <v>403</v>
      </c>
      <c r="B9" s="105" t="s">
        <v>481</v>
      </c>
      <c r="C9" s="105">
        <v>29</v>
      </c>
      <c r="D9" s="105">
        <v>7</v>
      </c>
      <c r="E9" s="105" t="s">
        <v>482</v>
      </c>
      <c r="G9" s="105" t="s">
        <v>581</v>
      </c>
      <c r="H9" s="105" t="s">
        <v>613</v>
      </c>
      <c r="I9" s="105">
        <v>22</v>
      </c>
      <c r="J9" s="105">
        <v>7</v>
      </c>
      <c r="K9" s="105" t="s">
        <v>614</v>
      </c>
    </row>
    <row r="10" spans="1:11" x14ac:dyDescent="0.25">
      <c r="A10" s="105" t="s">
        <v>406</v>
      </c>
      <c r="B10" s="105" t="s">
        <v>483</v>
      </c>
      <c r="C10" s="105">
        <v>36</v>
      </c>
      <c r="D10" s="105">
        <v>7</v>
      </c>
      <c r="E10" s="105" t="s">
        <v>484</v>
      </c>
      <c r="G10" s="105" t="s">
        <v>584</v>
      </c>
      <c r="H10" s="105" t="s">
        <v>615</v>
      </c>
      <c r="I10" s="105">
        <v>29</v>
      </c>
      <c r="J10" s="105">
        <v>7</v>
      </c>
      <c r="K10" s="105" t="s">
        <v>616</v>
      </c>
    </row>
    <row r="11" spans="1:11" x14ac:dyDescent="0.25">
      <c r="A11" s="105" t="s">
        <v>409</v>
      </c>
      <c r="B11" s="105" t="s">
        <v>485</v>
      </c>
      <c r="C11" s="105">
        <v>45</v>
      </c>
      <c r="D11" s="105">
        <v>9</v>
      </c>
      <c r="E11" s="105" t="s">
        <v>486</v>
      </c>
      <c r="G11" s="105" t="s">
        <v>587</v>
      </c>
      <c r="H11" s="105" t="s">
        <v>617</v>
      </c>
      <c r="I11" s="105">
        <v>38</v>
      </c>
      <c r="J11" s="105">
        <v>9</v>
      </c>
      <c r="K11" s="105" t="s">
        <v>618</v>
      </c>
    </row>
    <row r="12" spans="1:11" x14ac:dyDescent="0.25">
      <c r="A12" s="105" t="s">
        <v>412</v>
      </c>
      <c r="B12" s="105" t="s">
        <v>487</v>
      </c>
      <c r="C12" s="105">
        <v>54</v>
      </c>
      <c r="D12" s="105">
        <v>9</v>
      </c>
      <c r="E12" s="105" t="s">
        <v>488</v>
      </c>
      <c r="G12" s="105" t="s">
        <v>589</v>
      </c>
      <c r="H12" s="105" t="s">
        <v>619</v>
      </c>
      <c r="I12" s="105">
        <v>47</v>
      </c>
      <c r="J12" s="105">
        <v>9</v>
      </c>
      <c r="K12" s="105" t="s">
        <v>620</v>
      </c>
    </row>
    <row r="13" spans="1:11" x14ac:dyDescent="0.25">
      <c r="A13" s="105" t="s">
        <v>415</v>
      </c>
      <c r="B13" s="105" t="s">
        <v>489</v>
      </c>
      <c r="C13" s="105">
        <v>66</v>
      </c>
      <c r="D13" s="105">
        <v>12</v>
      </c>
      <c r="E13" s="105" t="s">
        <v>490</v>
      </c>
      <c r="G13" s="105" t="s">
        <v>592</v>
      </c>
      <c r="H13" s="105" t="s">
        <v>621</v>
      </c>
      <c r="I13" s="105">
        <v>59</v>
      </c>
      <c r="J13" s="105">
        <v>12</v>
      </c>
      <c r="K13" s="105" t="s">
        <v>622</v>
      </c>
    </row>
    <row r="14" spans="1:11" x14ac:dyDescent="0.25">
      <c r="A14" s="105" t="s">
        <v>418</v>
      </c>
      <c r="B14" s="105" t="s">
        <v>491</v>
      </c>
      <c r="C14" s="105">
        <v>79</v>
      </c>
      <c r="D14" s="105">
        <v>13</v>
      </c>
      <c r="E14" s="105" t="s">
        <v>492</v>
      </c>
      <c r="G14" s="105" t="s">
        <v>595</v>
      </c>
      <c r="H14" s="105" t="s">
        <v>623</v>
      </c>
      <c r="I14" s="105">
        <v>72</v>
      </c>
      <c r="J14" s="105">
        <v>13</v>
      </c>
      <c r="K14" s="105" t="s">
        <v>624</v>
      </c>
    </row>
    <row r="15" spans="1:11" x14ac:dyDescent="0.25">
      <c r="A15" s="105" t="s">
        <v>421</v>
      </c>
      <c r="B15" s="105" t="s">
        <v>493</v>
      </c>
      <c r="C15" s="105">
        <v>96</v>
      </c>
      <c r="D15" s="105">
        <v>17</v>
      </c>
      <c r="E15" s="105" t="s">
        <v>494</v>
      </c>
      <c r="G15" s="105" t="s">
        <v>598</v>
      </c>
      <c r="H15" s="105" t="s">
        <v>625</v>
      </c>
      <c r="I15" s="105">
        <v>89</v>
      </c>
      <c r="J15" s="105">
        <v>17</v>
      </c>
      <c r="K15" s="105" t="s">
        <v>626</v>
      </c>
    </row>
    <row r="16" spans="1:11" x14ac:dyDescent="0.25">
      <c r="A16" s="105" t="s">
        <v>424</v>
      </c>
      <c r="B16" s="105" t="s">
        <v>495</v>
      </c>
      <c r="C16" s="105">
        <v>119</v>
      </c>
      <c r="D16" s="105">
        <v>23</v>
      </c>
      <c r="E16" s="105" t="s">
        <v>496</v>
      </c>
      <c r="G16" s="105" t="s">
        <v>601</v>
      </c>
      <c r="H16" s="105" t="s">
        <v>627</v>
      </c>
      <c r="I16" s="105">
        <v>112</v>
      </c>
      <c r="J16" s="105">
        <v>23</v>
      </c>
      <c r="K16" s="105" t="s">
        <v>628</v>
      </c>
    </row>
    <row r="17" spans="1:11" x14ac:dyDescent="0.25">
      <c r="A17" s="105" t="s">
        <v>427</v>
      </c>
      <c r="B17" s="105" t="s">
        <v>497</v>
      </c>
      <c r="C17" s="105">
        <v>156</v>
      </c>
      <c r="D17" s="105">
        <v>37</v>
      </c>
      <c r="E17" s="105" t="s">
        <v>498</v>
      </c>
      <c r="G17" s="105" t="s">
        <v>604</v>
      </c>
      <c r="H17" s="105" t="s">
        <v>629</v>
      </c>
      <c r="I17" s="105">
        <v>150</v>
      </c>
      <c r="J17" s="105">
        <v>38</v>
      </c>
      <c r="K17" s="105" t="s">
        <v>630</v>
      </c>
    </row>
    <row r="18" spans="1:11" x14ac:dyDescent="0.25">
      <c r="A18" s="105"/>
      <c r="B18" s="105"/>
      <c r="C18" s="105"/>
      <c r="D18" s="105"/>
      <c r="E18" s="105"/>
      <c r="G18" s="105"/>
      <c r="H18" s="105"/>
      <c r="I18" s="105"/>
      <c r="J18" s="105"/>
      <c r="K18" s="105"/>
    </row>
    <row r="19" spans="1:11" x14ac:dyDescent="0.25">
      <c r="A19" s="105"/>
      <c r="B19" s="105"/>
      <c r="C19" s="105"/>
      <c r="D19" s="105"/>
      <c r="E19" s="105"/>
      <c r="G19" s="105"/>
      <c r="H19" s="105"/>
      <c r="I19" s="105"/>
      <c r="J19" s="105"/>
      <c r="K19" s="105"/>
    </row>
    <row r="22" spans="1:11" x14ac:dyDescent="0.25">
      <c r="G22" s="204"/>
      <c r="H22" s="204"/>
      <c r="I22" s="204"/>
      <c r="J22" s="204"/>
      <c r="K22" s="204"/>
    </row>
    <row r="23" spans="1:11" x14ac:dyDescent="0.25">
      <c r="G23" s="228"/>
      <c r="H23" s="227"/>
      <c r="I23" s="227"/>
      <c r="J23" s="227"/>
      <c r="K23" s="227"/>
    </row>
    <row r="24" spans="1:11" x14ac:dyDescent="0.25">
      <c r="G24" s="228"/>
      <c r="H24" s="227"/>
      <c r="I24" s="227"/>
      <c r="J24" s="227"/>
      <c r="K24" s="227"/>
    </row>
    <row r="25" spans="1:11" x14ac:dyDescent="0.25">
      <c r="G25" s="228"/>
      <c r="H25" s="227"/>
      <c r="I25" s="227"/>
      <c r="J25" s="227"/>
      <c r="K25" s="227"/>
    </row>
    <row r="26" spans="1:11" x14ac:dyDescent="0.25">
      <c r="G26" s="228"/>
      <c r="H26" s="227"/>
      <c r="I26" s="227"/>
      <c r="J26" s="227"/>
      <c r="K26" s="227"/>
    </row>
    <row r="27" spans="1:11" x14ac:dyDescent="0.25">
      <c r="G27" s="228"/>
      <c r="H27" s="227"/>
      <c r="I27" s="227"/>
      <c r="J27" s="227"/>
      <c r="K27" s="227"/>
    </row>
    <row r="28" spans="1:11" x14ac:dyDescent="0.25">
      <c r="G28" s="228"/>
      <c r="H28" s="227"/>
      <c r="I28" s="227"/>
      <c r="J28" s="227"/>
      <c r="K28" s="227"/>
    </row>
    <row r="29" spans="1:11" x14ac:dyDescent="0.25">
      <c r="G29" s="228"/>
      <c r="H29" s="227"/>
      <c r="I29" s="227"/>
      <c r="J29" s="227"/>
      <c r="K29" s="227"/>
    </row>
    <row r="30" spans="1:11" x14ac:dyDescent="0.25">
      <c r="G30" s="228"/>
      <c r="H30" s="227"/>
      <c r="I30" s="227"/>
      <c r="J30" s="227"/>
      <c r="K30" s="227"/>
    </row>
    <row r="31" spans="1:11" x14ac:dyDescent="0.25">
      <c r="G31" s="228"/>
      <c r="H31" s="227"/>
      <c r="I31" s="227"/>
      <c r="J31" s="227"/>
      <c r="K31" s="227"/>
    </row>
    <row r="32" spans="1:11" x14ac:dyDescent="0.25">
      <c r="G32" s="228"/>
      <c r="H32" s="227"/>
      <c r="I32" s="227"/>
      <c r="J32" s="227"/>
      <c r="K32" s="227"/>
    </row>
    <row r="33" spans="7:11" x14ac:dyDescent="0.25">
      <c r="G33" s="228"/>
      <c r="H33" s="227"/>
      <c r="I33" s="227"/>
      <c r="J33" s="227"/>
      <c r="K33" s="227"/>
    </row>
    <row r="34" spans="7:11" x14ac:dyDescent="0.25">
      <c r="G34" s="228"/>
      <c r="H34" s="227"/>
      <c r="I34" s="227"/>
      <c r="J34" s="227"/>
      <c r="K34" s="2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I5" sqref="I5"/>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 bestFit="1" customWidth="1"/>
    <col min="8" max="8" width="21.7109375" bestFit="1" customWidth="1"/>
    <col min="9" max="9" width="17.85546875" bestFit="1" customWidth="1"/>
    <col min="10" max="10" width="21.42578125" bestFit="1" customWidth="1"/>
    <col min="11" max="11" width="7.85546875" bestFit="1" customWidth="1"/>
  </cols>
  <sheetData>
    <row r="1" spans="1:11" x14ac:dyDescent="0.25">
      <c r="A1" s="30">
        <v>43110</v>
      </c>
      <c r="B1" t="s">
        <v>500</v>
      </c>
      <c r="C1" s="47">
        <f>Rendimiento_ENTRENAMIENTO!Y2</f>
        <v>6</v>
      </c>
      <c r="G1" s="30">
        <v>43164</v>
      </c>
      <c r="H1" t="s">
        <v>500</v>
      </c>
      <c r="I1" s="47">
        <f>Rendimiento_ENTRENAMIENTO!AE2</f>
        <v>0</v>
      </c>
    </row>
    <row r="2" spans="1:11" s="52" customFormat="1" x14ac:dyDescent="0.25">
      <c r="A2" s="224" t="s">
        <v>374</v>
      </c>
      <c r="B2" s="223" t="s">
        <v>375</v>
      </c>
      <c r="C2" s="223" t="s">
        <v>376</v>
      </c>
      <c r="D2" s="223" t="s">
        <v>377</v>
      </c>
      <c r="E2" s="223" t="s">
        <v>378</v>
      </c>
      <c r="G2" s="224" t="s">
        <v>374</v>
      </c>
      <c r="H2" s="223" t="s">
        <v>375</v>
      </c>
      <c r="I2" s="223" t="s">
        <v>376</v>
      </c>
      <c r="J2" s="223" t="s">
        <v>377</v>
      </c>
      <c r="K2" s="223" t="s">
        <v>378</v>
      </c>
    </row>
    <row r="3" spans="1:11" x14ac:dyDescent="0.25">
      <c r="A3" s="222" t="s">
        <v>388</v>
      </c>
      <c r="B3" s="105" t="s">
        <v>383</v>
      </c>
      <c r="C3" s="105">
        <v>2</v>
      </c>
      <c r="D3" s="105">
        <v>2</v>
      </c>
      <c r="E3" s="105" t="s">
        <v>475</v>
      </c>
      <c r="G3" s="105"/>
      <c r="H3" s="105"/>
      <c r="I3" s="105"/>
      <c r="J3" s="105"/>
      <c r="K3" s="105"/>
    </row>
    <row r="4" spans="1:11" x14ac:dyDescent="0.25">
      <c r="A4" s="105" t="s">
        <v>391</v>
      </c>
      <c r="B4" s="105" t="s">
        <v>501</v>
      </c>
      <c r="C4" s="105">
        <v>6</v>
      </c>
      <c r="D4" s="105">
        <v>4</v>
      </c>
      <c r="E4" s="105" t="s">
        <v>502</v>
      </c>
      <c r="G4" s="105"/>
      <c r="H4" s="105"/>
      <c r="I4" s="105"/>
      <c r="J4" s="105"/>
      <c r="K4" s="105"/>
    </row>
    <row r="5" spans="1:11" x14ac:dyDescent="0.25">
      <c r="A5" s="105" t="s">
        <v>394</v>
      </c>
      <c r="B5" s="105" t="s">
        <v>446</v>
      </c>
      <c r="C5" s="105">
        <v>10</v>
      </c>
      <c r="D5" s="105">
        <v>4</v>
      </c>
      <c r="E5" s="105" t="s">
        <v>503</v>
      </c>
      <c r="G5" s="105" t="s">
        <v>572</v>
      </c>
      <c r="H5" s="105" t="s">
        <v>571</v>
      </c>
      <c r="I5" s="105">
        <v>3</v>
      </c>
      <c r="J5" s="105">
        <v>3</v>
      </c>
      <c r="K5" s="105" t="s">
        <v>524</v>
      </c>
    </row>
    <row r="6" spans="1:11" x14ac:dyDescent="0.25">
      <c r="A6" s="222" t="s">
        <v>397</v>
      </c>
      <c r="B6" s="222" t="s">
        <v>432</v>
      </c>
      <c r="C6" s="222">
        <v>15</v>
      </c>
      <c r="D6" s="222">
        <v>5</v>
      </c>
      <c r="E6" s="222" t="s">
        <v>504</v>
      </c>
      <c r="G6" s="105" t="s">
        <v>575</v>
      </c>
      <c r="H6" s="105" t="s">
        <v>632</v>
      </c>
      <c r="I6" s="105">
        <v>8</v>
      </c>
      <c r="J6" s="105">
        <v>5</v>
      </c>
      <c r="K6" s="105" t="s">
        <v>633</v>
      </c>
    </row>
    <row r="7" spans="1:11" x14ac:dyDescent="0.25">
      <c r="A7" s="153" t="s">
        <v>400</v>
      </c>
      <c r="B7" s="153" t="s">
        <v>505</v>
      </c>
      <c r="C7" s="153">
        <v>21</v>
      </c>
      <c r="D7" s="153">
        <v>6</v>
      </c>
      <c r="E7" s="153" t="s">
        <v>506</v>
      </c>
      <c r="G7" s="105" t="s">
        <v>578</v>
      </c>
      <c r="H7" s="105" t="s">
        <v>634</v>
      </c>
      <c r="I7" s="105">
        <v>14</v>
      </c>
      <c r="J7" s="105">
        <v>6</v>
      </c>
      <c r="K7" s="105" t="s">
        <v>635</v>
      </c>
    </row>
    <row r="8" spans="1:11" x14ac:dyDescent="0.25">
      <c r="A8" s="153" t="s">
        <v>403</v>
      </c>
      <c r="B8" s="153" t="s">
        <v>507</v>
      </c>
      <c r="C8" s="153">
        <v>27</v>
      </c>
      <c r="D8" s="153">
        <v>6</v>
      </c>
      <c r="E8" s="153" t="s">
        <v>482</v>
      </c>
      <c r="G8" s="105" t="s">
        <v>581</v>
      </c>
      <c r="H8" s="105" t="s">
        <v>636</v>
      </c>
      <c r="I8" s="105">
        <v>20</v>
      </c>
      <c r="J8" s="105">
        <v>6</v>
      </c>
      <c r="K8" s="105" t="s">
        <v>614</v>
      </c>
    </row>
    <row r="9" spans="1:11" x14ac:dyDescent="0.25">
      <c r="A9" s="105" t="s">
        <v>406</v>
      </c>
      <c r="B9" s="105" t="s">
        <v>508</v>
      </c>
      <c r="C9" s="105">
        <v>35</v>
      </c>
      <c r="D9" s="105">
        <v>8</v>
      </c>
      <c r="E9" s="105" t="s">
        <v>509</v>
      </c>
      <c r="G9" s="105" t="s">
        <v>584</v>
      </c>
      <c r="H9" s="105" t="s">
        <v>637</v>
      </c>
      <c r="I9" s="105">
        <v>28</v>
      </c>
      <c r="J9" s="105">
        <v>8</v>
      </c>
      <c r="K9" s="105" t="s">
        <v>638</v>
      </c>
    </row>
    <row r="10" spans="1:11" x14ac:dyDescent="0.25">
      <c r="A10" s="105" t="s">
        <v>409</v>
      </c>
      <c r="B10" s="105" t="s">
        <v>510</v>
      </c>
      <c r="C10" s="105">
        <v>43</v>
      </c>
      <c r="D10" s="105">
        <v>8</v>
      </c>
      <c r="E10" s="105" t="s">
        <v>486</v>
      </c>
      <c r="G10" s="105" t="s">
        <v>587</v>
      </c>
      <c r="H10" s="105" t="s">
        <v>639</v>
      </c>
      <c r="I10" s="105">
        <v>36</v>
      </c>
      <c r="J10" s="105">
        <v>8</v>
      </c>
      <c r="K10" s="105" t="s">
        <v>618</v>
      </c>
    </row>
    <row r="11" spans="1:11" x14ac:dyDescent="0.25">
      <c r="A11" s="105" t="s">
        <v>412</v>
      </c>
      <c r="B11" s="105" t="s">
        <v>438</v>
      </c>
      <c r="C11" s="105">
        <v>53</v>
      </c>
      <c r="D11" s="105">
        <v>10</v>
      </c>
      <c r="E11" s="105" t="s">
        <v>511</v>
      </c>
      <c r="G11" s="105" t="s">
        <v>589</v>
      </c>
      <c r="H11" s="105" t="s">
        <v>640</v>
      </c>
      <c r="I11" s="105">
        <v>46</v>
      </c>
      <c r="J11" s="105">
        <v>10</v>
      </c>
      <c r="K11" s="105" t="s">
        <v>641</v>
      </c>
    </row>
    <row r="12" spans="1:11" x14ac:dyDescent="0.25">
      <c r="A12" s="105" t="s">
        <v>415</v>
      </c>
      <c r="B12" s="105" t="s">
        <v>512</v>
      </c>
      <c r="C12" s="105">
        <v>64</v>
      </c>
      <c r="D12" s="105">
        <v>11</v>
      </c>
      <c r="E12" s="105" t="s">
        <v>513</v>
      </c>
      <c r="G12" s="105" t="s">
        <v>592</v>
      </c>
      <c r="H12" s="105" t="s">
        <v>642</v>
      </c>
      <c r="I12" s="105">
        <v>57</v>
      </c>
      <c r="J12" s="105">
        <v>11</v>
      </c>
      <c r="K12" s="105" t="s">
        <v>622</v>
      </c>
    </row>
    <row r="13" spans="1:11" x14ac:dyDescent="0.25">
      <c r="A13" s="105" t="s">
        <v>418</v>
      </c>
      <c r="B13" s="105" t="s">
        <v>514</v>
      </c>
      <c r="C13" s="105">
        <v>78</v>
      </c>
      <c r="D13" s="105">
        <v>14</v>
      </c>
      <c r="E13" s="105" t="s">
        <v>515</v>
      </c>
      <c r="G13" s="105" t="s">
        <v>595</v>
      </c>
      <c r="H13" s="105" t="s">
        <v>643</v>
      </c>
      <c r="I13" s="105">
        <v>71</v>
      </c>
      <c r="J13" s="105">
        <v>14</v>
      </c>
      <c r="K13" s="105" t="s">
        <v>644</v>
      </c>
    </row>
    <row r="14" spans="1:11" x14ac:dyDescent="0.25">
      <c r="A14" s="105" t="s">
        <v>421</v>
      </c>
      <c r="B14" s="105" t="s">
        <v>516</v>
      </c>
      <c r="C14" s="105">
        <v>95</v>
      </c>
      <c r="D14" s="105">
        <v>17</v>
      </c>
      <c r="E14" s="105" t="s">
        <v>517</v>
      </c>
      <c r="G14" s="105" t="s">
        <v>598</v>
      </c>
      <c r="H14" s="105" t="s">
        <v>645</v>
      </c>
      <c r="I14" s="105">
        <v>88</v>
      </c>
      <c r="J14" s="105">
        <v>17</v>
      </c>
      <c r="K14" s="105" t="s">
        <v>646</v>
      </c>
    </row>
    <row r="15" spans="1:11" x14ac:dyDescent="0.25">
      <c r="A15" s="105" t="s">
        <v>424</v>
      </c>
      <c r="B15" s="105" t="s">
        <v>518</v>
      </c>
      <c r="C15" s="105">
        <v>117</v>
      </c>
      <c r="D15" s="105">
        <v>22</v>
      </c>
      <c r="E15" s="105" t="s">
        <v>496</v>
      </c>
      <c r="G15" s="105" t="s">
        <v>601</v>
      </c>
      <c r="H15" s="105" t="s">
        <v>647</v>
      </c>
      <c r="I15" s="105">
        <v>110</v>
      </c>
      <c r="J15" s="105">
        <v>22</v>
      </c>
      <c r="K15" s="105" t="s">
        <v>628</v>
      </c>
    </row>
    <row r="16" spans="1:11" x14ac:dyDescent="0.25">
      <c r="A16" s="105" t="s">
        <v>427</v>
      </c>
      <c r="B16" s="105" t="s">
        <v>519</v>
      </c>
      <c r="C16" s="105">
        <v>155</v>
      </c>
      <c r="D16" s="105">
        <v>38</v>
      </c>
      <c r="E16" s="105" t="s">
        <v>520</v>
      </c>
      <c r="G16" s="105" t="s">
        <v>604</v>
      </c>
      <c r="H16" s="105" t="s">
        <v>648</v>
      </c>
      <c r="I16" s="105">
        <v>148</v>
      </c>
      <c r="J16" s="105">
        <v>38</v>
      </c>
      <c r="K16" s="105" t="s">
        <v>630</v>
      </c>
    </row>
    <row r="17" spans="1:11" x14ac:dyDescent="0.25">
      <c r="A17" s="105"/>
      <c r="B17" s="105"/>
      <c r="C17" s="105"/>
      <c r="D17" s="105"/>
      <c r="E17" s="105"/>
      <c r="G17" s="105"/>
      <c r="H17" s="105"/>
      <c r="I17" s="105"/>
      <c r="J17" s="105"/>
      <c r="K17" s="105"/>
    </row>
    <row r="18" spans="1:11" x14ac:dyDescent="0.25">
      <c r="A18" s="105"/>
      <c r="B18" s="105"/>
      <c r="C18" s="105"/>
      <c r="D18" s="105"/>
      <c r="E18" s="105"/>
      <c r="G18" s="105"/>
      <c r="H18" s="105"/>
      <c r="I18" s="105"/>
      <c r="J18" s="105"/>
      <c r="K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G6" sqref="G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43110</v>
      </c>
      <c r="B1" t="s">
        <v>293</v>
      </c>
      <c r="C1" s="47">
        <f>Rendimiento_ENTRENAMIENTO!Y2</f>
        <v>6</v>
      </c>
      <c r="G1" s="30">
        <v>43110</v>
      </c>
      <c r="H1" t="s">
        <v>293</v>
      </c>
      <c r="I1" s="47" t="s">
        <v>649</v>
      </c>
    </row>
    <row r="2" spans="1:11" s="52" customFormat="1" x14ac:dyDescent="0.25">
      <c r="A2" s="224" t="s">
        <v>374</v>
      </c>
      <c r="B2" s="223" t="s">
        <v>375</v>
      </c>
      <c r="C2" s="223" t="s">
        <v>376</v>
      </c>
      <c r="D2" s="223" t="s">
        <v>377</v>
      </c>
      <c r="E2" s="223" t="s">
        <v>378</v>
      </c>
      <c r="G2" s="224" t="s">
        <v>374</v>
      </c>
      <c r="H2" s="223" t="s">
        <v>375</v>
      </c>
      <c r="I2" s="223" t="s">
        <v>376</v>
      </c>
      <c r="J2" s="223" t="s">
        <v>377</v>
      </c>
      <c r="K2" s="223" t="s">
        <v>378</v>
      </c>
    </row>
    <row r="3" spans="1:11" x14ac:dyDescent="0.25">
      <c r="A3" s="222" t="s">
        <v>385</v>
      </c>
      <c r="B3" s="105" t="s">
        <v>383</v>
      </c>
      <c r="C3" s="105">
        <v>2</v>
      </c>
      <c r="D3" s="105">
        <v>2</v>
      </c>
      <c r="E3" s="105" t="s">
        <v>521</v>
      </c>
      <c r="G3" s="222"/>
      <c r="H3" s="105"/>
      <c r="I3" s="105"/>
      <c r="J3" s="105"/>
      <c r="K3" s="105"/>
    </row>
    <row r="4" spans="1:11" x14ac:dyDescent="0.25">
      <c r="A4" s="105" t="s">
        <v>388</v>
      </c>
      <c r="B4" s="105" t="s">
        <v>386</v>
      </c>
      <c r="C4" s="105">
        <v>5</v>
      </c>
      <c r="D4" s="105">
        <v>3</v>
      </c>
      <c r="E4" s="105" t="s">
        <v>522</v>
      </c>
    </row>
    <row r="5" spans="1:11" x14ac:dyDescent="0.25">
      <c r="A5" s="105" t="s">
        <v>391</v>
      </c>
      <c r="B5" s="105" t="s">
        <v>389</v>
      </c>
      <c r="C5" s="105">
        <v>8</v>
      </c>
      <c r="D5" s="105">
        <v>3</v>
      </c>
      <c r="E5" s="105" t="s">
        <v>502</v>
      </c>
      <c r="G5" s="105" t="s">
        <v>570</v>
      </c>
      <c r="H5" s="105" t="s">
        <v>650</v>
      </c>
      <c r="I5" s="105">
        <v>1</v>
      </c>
      <c r="J5" s="105">
        <v>1</v>
      </c>
      <c r="K5" s="105" t="s">
        <v>651</v>
      </c>
    </row>
    <row r="6" spans="1:11" x14ac:dyDescent="0.25">
      <c r="A6" s="222" t="s">
        <v>394</v>
      </c>
      <c r="B6" s="222" t="s">
        <v>523</v>
      </c>
      <c r="C6" s="222">
        <v>13</v>
      </c>
      <c r="D6" s="222">
        <v>5</v>
      </c>
      <c r="E6" s="222" t="s">
        <v>524</v>
      </c>
      <c r="G6" s="105" t="s">
        <v>572</v>
      </c>
      <c r="H6" s="105" t="s">
        <v>652</v>
      </c>
      <c r="I6" s="105">
        <v>6</v>
      </c>
      <c r="J6" s="105">
        <v>5</v>
      </c>
      <c r="K6" s="105" t="s">
        <v>653</v>
      </c>
    </row>
    <row r="7" spans="1:11" x14ac:dyDescent="0.25">
      <c r="A7" s="153" t="s">
        <v>397</v>
      </c>
      <c r="B7" s="153" t="s">
        <v>525</v>
      </c>
      <c r="C7" s="153">
        <v>17</v>
      </c>
      <c r="D7" s="153">
        <v>4</v>
      </c>
      <c r="E7" s="153" t="s">
        <v>504</v>
      </c>
      <c r="G7" s="222" t="s">
        <v>575</v>
      </c>
      <c r="H7" s="222" t="s">
        <v>654</v>
      </c>
      <c r="I7" s="222">
        <v>10</v>
      </c>
      <c r="J7" s="222">
        <v>4</v>
      </c>
      <c r="K7" s="222" t="s">
        <v>633</v>
      </c>
    </row>
    <row r="8" spans="1:11" x14ac:dyDescent="0.25">
      <c r="A8" s="153" t="s">
        <v>400</v>
      </c>
      <c r="B8" s="153" t="s">
        <v>526</v>
      </c>
      <c r="C8" s="153">
        <v>23</v>
      </c>
      <c r="D8" s="153">
        <v>6</v>
      </c>
      <c r="E8" s="153" t="s">
        <v>506</v>
      </c>
      <c r="G8" s="153" t="s">
        <v>578</v>
      </c>
      <c r="H8" s="153" t="s">
        <v>655</v>
      </c>
      <c r="I8" s="153">
        <v>16</v>
      </c>
      <c r="J8" s="153">
        <v>6</v>
      </c>
      <c r="K8" s="153" t="s">
        <v>635</v>
      </c>
    </row>
    <row r="9" spans="1:11" x14ac:dyDescent="0.25">
      <c r="A9" s="105" t="s">
        <v>403</v>
      </c>
      <c r="B9" s="105" t="s">
        <v>435</v>
      </c>
      <c r="C9" s="105">
        <v>30</v>
      </c>
      <c r="D9" s="105">
        <v>7</v>
      </c>
      <c r="E9" s="105" t="s">
        <v>527</v>
      </c>
      <c r="G9" s="153" t="s">
        <v>581</v>
      </c>
      <c r="H9" s="153" t="s">
        <v>656</v>
      </c>
      <c r="I9" s="153">
        <v>23</v>
      </c>
      <c r="J9" s="153">
        <v>7</v>
      </c>
      <c r="K9" s="153" t="s">
        <v>657</v>
      </c>
    </row>
    <row r="10" spans="1:11" x14ac:dyDescent="0.25">
      <c r="A10" s="105" t="s">
        <v>406</v>
      </c>
      <c r="B10" s="105" t="s">
        <v>436</v>
      </c>
      <c r="C10" s="105">
        <v>37</v>
      </c>
      <c r="D10" s="105">
        <v>7</v>
      </c>
      <c r="E10" s="105" t="s">
        <v>509</v>
      </c>
      <c r="G10" s="105" t="s">
        <v>584</v>
      </c>
      <c r="H10" s="105" t="s">
        <v>658</v>
      </c>
      <c r="I10" s="105">
        <v>30</v>
      </c>
      <c r="J10" s="105">
        <v>7</v>
      </c>
      <c r="K10" s="105" t="s">
        <v>638</v>
      </c>
    </row>
    <row r="11" spans="1:11" x14ac:dyDescent="0.25">
      <c r="A11" s="105" t="s">
        <v>409</v>
      </c>
      <c r="B11" s="105" t="s">
        <v>528</v>
      </c>
      <c r="C11" s="105">
        <v>46</v>
      </c>
      <c r="D11" s="105">
        <v>9</v>
      </c>
      <c r="E11" s="105" t="s">
        <v>529</v>
      </c>
      <c r="G11" s="105" t="s">
        <v>587</v>
      </c>
      <c r="H11" s="105" t="s">
        <v>659</v>
      </c>
      <c r="I11" s="105">
        <v>39</v>
      </c>
      <c r="J11" s="105">
        <v>9</v>
      </c>
      <c r="K11" s="105" t="s">
        <v>660</v>
      </c>
    </row>
    <row r="12" spans="1:11" x14ac:dyDescent="0.25">
      <c r="A12" s="105" t="s">
        <v>412</v>
      </c>
      <c r="B12" s="105" t="s">
        <v>530</v>
      </c>
      <c r="C12" s="105">
        <v>55</v>
      </c>
      <c r="D12" s="105">
        <v>9</v>
      </c>
      <c r="E12" s="105" t="s">
        <v>511</v>
      </c>
      <c r="G12" s="105" t="s">
        <v>589</v>
      </c>
      <c r="H12" s="105" t="s">
        <v>661</v>
      </c>
      <c r="I12" s="105">
        <v>48</v>
      </c>
      <c r="J12" s="105">
        <v>9</v>
      </c>
      <c r="K12" s="105" t="s">
        <v>641</v>
      </c>
    </row>
    <row r="13" spans="1:11" x14ac:dyDescent="0.25">
      <c r="A13" s="105" t="s">
        <v>415</v>
      </c>
      <c r="B13" s="105" t="s">
        <v>531</v>
      </c>
      <c r="C13" s="105">
        <v>67</v>
      </c>
      <c r="D13" s="105">
        <v>12</v>
      </c>
      <c r="E13" s="105" t="s">
        <v>532</v>
      </c>
      <c r="G13" s="105" t="s">
        <v>592</v>
      </c>
      <c r="H13" s="105" t="s">
        <v>662</v>
      </c>
      <c r="I13" s="105">
        <v>60</v>
      </c>
      <c r="J13" s="105">
        <v>12</v>
      </c>
      <c r="K13" s="105" t="s">
        <v>663</v>
      </c>
    </row>
    <row r="14" spans="1:11" x14ac:dyDescent="0.25">
      <c r="A14" s="105" t="s">
        <v>418</v>
      </c>
      <c r="B14" s="105" t="s">
        <v>533</v>
      </c>
      <c r="C14" s="105">
        <v>80</v>
      </c>
      <c r="D14" s="105">
        <v>13</v>
      </c>
      <c r="E14" s="105" t="s">
        <v>515</v>
      </c>
      <c r="G14" s="105" t="s">
        <v>595</v>
      </c>
      <c r="H14" s="105" t="s">
        <v>664</v>
      </c>
      <c r="I14" s="105">
        <v>74</v>
      </c>
      <c r="J14" s="105">
        <v>14</v>
      </c>
      <c r="K14" s="105" t="s">
        <v>665</v>
      </c>
    </row>
    <row r="15" spans="1:11" x14ac:dyDescent="0.25">
      <c r="A15" s="105" t="s">
        <v>421</v>
      </c>
      <c r="B15" s="105" t="s">
        <v>534</v>
      </c>
      <c r="C15" s="105">
        <v>97</v>
      </c>
      <c r="D15" s="105">
        <v>17</v>
      </c>
      <c r="E15" s="105" t="s">
        <v>517</v>
      </c>
      <c r="G15" s="105" t="s">
        <v>598</v>
      </c>
      <c r="H15" s="105" t="s">
        <v>666</v>
      </c>
      <c r="I15" s="105">
        <v>90</v>
      </c>
      <c r="J15" s="105">
        <v>16</v>
      </c>
      <c r="K15" s="105" t="s">
        <v>646</v>
      </c>
    </row>
    <row r="16" spans="1:11" x14ac:dyDescent="0.25">
      <c r="A16" s="105" t="s">
        <v>424</v>
      </c>
      <c r="B16" s="105" t="s">
        <v>535</v>
      </c>
      <c r="C16" s="105">
        <v>120</v>
      </c>
      <c r="D16" s="105">
        <v>23</v>
      </c>
      <c r="E16" s="105" t="s">
        <v>536</v>
      </c>
      <c r="G16" s="105" t="s">
        <v>601</v>
      </c>
      <c r="H16" s="105" t="s">
        <v>667</v>
      </c>
      <c r="I16" s="105">
        <v>113</v>
      </c>
      <c r="J16" s="105">
        <v>23</v>
      </c>
      <c r="K16" s="105" t="s">
        <v>668</v>
      </c>
    </row>
    <row r="17" spans="1:11" x14ac:dyDescent="0.25">
      <c r="A17" s="105" t="s">
        <v>427</v>
      </c>
      <c r="B17" s="105" t="s">
        <v>537</v>
      </c>
      <c r="C17" s="105">
        <v>158</v>
      </c>
      <c r="D17" s="105">
        <v>38</v>
      </c>
      <c r="E17" s="105" t="s">
        <v>538</v>
      </c>
      <c r="G17" s="105" t="s">
        <v>604</v>
      </c>
      <c r="H17" s="105" t="s">
        <v>669</v>
      </c>
      <c r="I17" s="105">
        <v>151</v>
      </c>
      <c r="J17" s="105">
        <v>38</v>
      </c>
      <c r="K17" s="105" t="s">
        <v>670</v>
      </c>
    </row>
    <row r="18" spans="1:11" x14ac:dyDescent="0.25">
      <c r="A18" s="105"/>
      <c r="B18" s="105"/>
      <c r="C18" s="105"/>
      <c r="D18" s="105"/>
      <c r="E18" s="105"/>
      <c r="G18" s="105"/>
      <c r="H18" s="105"/>
      <c r="I18" s="105"/>
      <c r="J18" s="105"/>
      <c r="K18" s="1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441</v>
      </c>
      <c r="C1" s="47">
        <f>Rendimiento_ENTRENAMIENTO!Y2</f>
        <v>6</v>
      </c>
    </row>
    <row r="2" spans="1:5" s="52" customFormat="1" x14ac:dyDescent="0.25">
      <c r="A2" s="224" t="s">
        <v>374</v>
      </c>
      <c r="B2" s="223" t="s">
        <v>375</v>
      </c>
      <c r="C2" s="223" t="s">
        <v>376</v>
      </c>
      <c r="D2" s="223" t="s">
        <v>377</v>
      </c>
      <c r="E2" s="223" t="s">
        <v>378</v>
      </c>
    </row>
    <row r="3" spans="1:5" x14ac:dyDescent="0.25">
      <c r="A3" s="222" t="s">
        <v>388</v>
      </c>
      <c r="B3" s="105" t="s">
        <v>474</v>
      </c>
      <c r="C3" s="105">
        <v>4</v>
      </c>
      <c r="D3" s="105">
        <v>4</v>
      </c>
      <c r="E3" s="105" t="s">
        <v>473</v>
      </c>
    </row>
    <row r="4" spans="1:5" x14ac:dyDescent="0.25">
      <c r="A4" s="105" t="s">
        <v>391</v>
      </c>
      <c r="B4" s="105" t="s">
        <v>444</v>
      </c>
      <c r="C4" s="105">
        <v>7</v>
      </c>
      <c r="D4" s="105">
        <v>3</v>
      </c>
      <c r="E4" s="105" t="s">
        <v>475</v>
      </c>
    </row>
    <row r="5" spans="1:5" x14ac:dyDescent="0.25">
      <c r="A5" s="153" t="s">
        <v>394</v>
      </c>
      <c r="B5" s="153" t="s">
        <v>392</v>
      </c>
      <c r="C5" s="153">
        <v>11</v>
      </c>
      <c r="D5" s="153">
        <v>4</v>
      </c>
      <c r="E5" s="153" t="s">
        <v>502</v>
      </c>
    </row>
    <row r="6" spans="1:5" x14ac:dyDescent="0.25">
      <c r="A6" s="222" t="s">
        <v>397</v>
      </c>
      <c r="B6" s="222" t="s">
        <v>395</v>
      </c>
      <c r="C6" s="222">
        <v>16</v>
      </c>
      <c r="D6" s="222">
        <v>5</v>
      </c>
      <c r="E6" s="222" t="s">
        <v>524</v>
      </c>
    </row>
    <row r="7" spans="1:5" x14ac:dyDescent="0.25">
      <c r="A7" s="153" t="s">
        <v>400</v>
      </c>
      <c r="B7" s="153" t="s">
        <v>479</v>
      </c>
      <c r="C7" s="153">
        <v>22</v>
      </c>
      <c r="D7" s="153">
        <v>6</v>
      </c>
      <c r="E7" s="153" t="s">
        <v>540</v>
      </c>
    </row>
    <row r="8" spans="1:5" x14ac:dyDescent="0.25">
      <c r="A8" s="153" t="s">
        <v>403</v>
      </c>
      <c r="B8" s="153" t="s">
        <v>541</v>
      </c>
      <c r="C8" s="153">
        <v>28</v>
      </c>
      <c r="D8" s="153">
        <v>6</v>
      </c>
      <c r="E8" s="153" t="s">
        <v>542</v>
      </c>
    </row>
    <row r="9" spans="1:5" x14ac:dyDescent="0.25">
      <c r="A9" s="105" t="s">
        <v>406</v>
      </c>
      <c r="B9" s="105" t="s">
        <v>483</v>
      </c>
      <c r="C9" s="105">
        <v>36</v>
      </c>
      <c r="D9" s="105">
        <v>8</v>
      </c>
      <c r="E9" s="105" t="s">
        <v>543</v>
      </c>
    </row>
    <row r="10" spans="1:5" x14ac:dyDescent="0.25">
      <c r="A10" s="105" t="s">
        <v>409</v>
      </c>
      <c r="B10" s="105" t="s">
        <v>437</v>
      </c>
      <c r="C10" s="105">
        <v>44</v>
      </c>
      <c r="D10" s="105">
        <v>8</v>
      </c>
      <c r="E10" s="105" t="s">
        <v>544</v>
      </c>
    </row>
    <row r="11" spans="1:5" x14ac:dyDescent="0.25">
      <c r="A11" s="105" t="s">
        <v>412</v>
      </c>
      <c r="B11" s="105" t="s">
        <v>487</v>
      </c>
      <c r="C11" s="105">
        <v>54</v>
      </c>
      <c r="D11" s="105">
        <v>10</v>
      </c>
      <c r="E11" s="105" t="s">
        <v>545</v>
      </c>
    </row>
    <row r="12" spans="1:5" x14ac:dyDescent="0.25">
      <c r="A12" s="105" t="s">
        <v>415</v>
      </c>
      <c r="B12" s="105" t="s">
        <v>546</v>
      </c>
      <c r="C12" s="105">
        <v>65</v>
      </c>
      <c r="D12" s="105">
        <v>11</v>
      </c>
      <c r="E12" s="105" t="s">
        <v>547</v>
      </c>
    </row>
    <row r="13" spans="1:5" x14ac:dyDescent="0.25">
      <c r="A13" s="105" t="s">
        <v>418</v>
      </c>
      <c r="B13" s="105" t="s">
        <v>491</v>
      </c>
      <c r="C13" s="105">
        <v>79</v>
      </c>
      <c r="D13" s="105">
        <v>14</v>
      </c>
      <c r="E13" s="105" t="s">
        <v>548</v>
      </c>
    </row>
    <row r="14" spans="1:5" x14ac:dyDescent="0.25">
      <c r="A14" s="105" t="s">
        <v>421</v>
      </c>
      <c r="B14" s="105" t="s">
        <v>493</v>
      </c>
      <c r="C14" s="105">
        <v>96</v>
      </c>
      <c r="D14" s="105">
        <v>17</v>
      </c>
      <c r="E14" s="105" t="s">
        <v>549</v>
      </c>
    </row>
    <row r="15" spans="1:5" x14ac:dyDescent="0.25">
      <c r="A15" s="105" t="s">
        <v>424</v>
      </c>
      <c r="B15" s="105" t="s">
        <v>550</v>
      </c>
      <c r="C15" s="105">
        <v>118</v>
      </c>
      <c r="D15" s="105">
        <v>22</v>
      </c>
      <c r="E15" s="105" t="s">
        <v>551</v>
      </c>
    </row>
    <row r="16" spans="1:5" x14ac:dyDescent="0.25">
      <c r="A16" s="105" t="s">
        <v>427</v>
      </c>
      <c r="B16" s="105" t="s">
        <v>519</v>
      </c>
      <c r="C16" s="105">
        <v>155</v>
      </c>
      <c r="D16" s="105">
        <v>37</v>
      </c>
      <c r="E16" s="105" t="s">
        <v>552</v>
      </c>
    </row>
  </sheetData>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7"/>
  <sheetViews>
    <sheetView workbookViewId="0">
      <selection activeCell="H5" sqref="H5"/>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43124</v>
      </c>
      <c r="B1" t="s">
        <v>555</v>
      </c>
      <c r="C1" s="47">
        <f>Rendimiento_ENTRENAMIENTO!Y2</f>
        <v>6</v>
      </c>
      <c r="G1" s="30">
        <v>43164</v>
      </c>
      <c r="H1" t="s">
        <v>555</v>
      </c>
      <c r="I1" s="47">
        <f>Rendimiento_ENTRENAMIENTO!AE2</f>
        <v>0</v>
      </c>
    </row>
    <row r="2" spans="1:11" s="52" customFormat="1" x14ac:dyDescent="0.25">
      <c r="A2" s="224" t="s">
        <v>374</v>
      </c>
      <c r="B2" s="223" t="s">
        <v>375</v>
      </c>
      <c r="C2" s="223" t="s">
        <v>376</v>
      </c>
      <c r="D2" s="223" t="s">
        <v>377</v>
      </c>
      <c r="E2" s="223" t="s">
        <v>378</v>
      </c>
      <c r="G2" s="224" t="s">
        <v>374</v>
      </c>
      <c r="H2" s="223" t="s">
        <v>375</v>
      </c>
      <c r="I2" s="223" t="s">
        <v>376</v>
      </c>
      <c r="J2" s="223" t="s">
        <v>377</v>
      </c>
      <c r="K2" s="223" t="s">
        <v>378</v>
      </c>
    </row>
    <row r="3" spans="1:11" x14ac:dyDescent="0.25">
      <c r="A3" s="222" t="s">
        <v>385</v>
      </c>
      <c r="B3" s="105" t="s">
        <v>386</v>
      </c>
      <c r="C3" s="105">
        <v>3</v>
      </c>
      <c r="D3" s="105">
        <v>3</v>
      </c>
      <c r="E3" s="105" t="s">
        <v>556</v>
      </c>
      <c r="G3" s="222"/>
      <c r="H3" s="105"/>
      <c r="I3" s="105"/>
      <c r="J3" s="105"/>
      <c r="K3" s="105"/>
    </row>
    <row r="4" spans="1:11" x14ac:dyDescent="0.25">
      <c r="A4" s="105" t="s">
        <v>388</v>
      </c>
      <c r="B4" s="105" t="s">
        <v>389</v>
      </c>
      <c r="C4" s="105">
        <v>6</v>
      </c>
      <c r="D4" s="105">
        <v>3</v>
      </c>
      <c r="E4" s="105" t="s">
        <v>557</v>
      </c>
      <c r="G4" s="105" t="s">
        <v>671</v>
      </c>
      <c r="H4" s="105" t="s">
        <v>650</v>
      </c>
      <c r="I4" s="105">
        <v>1</v>
      </c>
      <c r="J4" s="105">
        <v>1</v>
      </c>
      <c r="K4" s="105" t="s">
        <v>672</v>
      </c>
    </row>
    <row r="5" spans="1:11" x14ac:dyDescent="0.25">
      <c r="A5" s="222" t="s">
        <v>391</v>
      </c>
      <c r="B5" s="222" t="s">
        <v>558</v>
      </c>
      <c r="C5" s="222">
        <v>10</v>
      </c>
      <c r="D5" s="222">
        <v>4</v>
      </c>
      <c r="E5" s="222" t="s">
        <v>559</v>
      </c>
      <c r="G5" s="222" t="s">
        <v>570</v>
      </c>
      <c r="H5" s="222" t="s">
        <v>673</v>
      </c>
      <c r="I5" s="222">
        <v>4</v>
      </c>
      <c r="J5" s="222">
        <v>3</v>
      </c>
      <c r="K5" s="222" t="s">
        <v>674</v>
      </c>
    </row>
    <row r="6" spans="1:11" x14ac:dyDescent="0.25">
      <c r="A6" s="153" t="s">
        <v>394</v>
      </c>
      <c r="B6" s="153" t="s">
        <v>395</v>
      </c>
      <c r="C6" s="153">
        <v>14</v>
      </c>
      <c r="D6" s="153">
        <v>4</v>
      </c>
      <c r="E6" s="153" t="s">
        <v>560</v>
      </c>
      <c r="G6" s="153" t="s">
        <v>572</v>
      </c>
      <c r="H6" s="153" t="s">
        <v>609</v>
      </c>
      <c r="I6" s="153">
        <v>9</v>
      </c>
      <c r="J6" s="153">
        <v>5</v>
      </c>
      <c r="K6" s="153" t="s">
        <v>675</v>
      </c>
    </row>
    <row r="7" spans="1:11" x14ac:dyDescent="0.25">
      <c r="A7" s="153" t="s">
        <v>397</v>
      </c>
      <c r="B7" s="153" t="s">
        <v>505</v>
      </c>
      <c r="C7" s="153">
        <v>19</v>
      </c>
      <c r="D7" s="153">
        <v>5</v>
      </c>
      <c r="E7" s="153" t="s">
        <v>478</v>
      </c>
      <c r="G7" s="153" t="s">
        <v>575</v>
      </c>
      <c r="H7" s="153" t="s">
        <v>676</v>
      </c>
      <c r="I7" s="153">
        <v>13</v>
      </c>
      <c r="J7" s="153">
        <v>4</v>
      </c>
      <c r="K7" s="153" t="s">
        <v>677</v>
      </c>
    </row>
    <row r="8" spans="1:11" x14ac:dyDescent="0.25">
      <c r="A8" s="153" t="s">
        <v>400</v>
      </c>
      <c r="B8" s="153" t="s">
        <v>507</v>
      </c>
      <c r="C8" s="153">
        <v>25</v>
      </c>
      <c r="D8" s="153">
        <v>6</v>
      </c>
      <c r="E8" s="153" t="s">
        <v>480</v>
      </c>
      <c r="G8" s="153" t="s">
        <v>578</v>
      </c>
      <c r="H8" s="153" t="s">
        <v>678</v>
      </c>
      <c r="I8" s="153">
        <v>19</v>
      </c>
      <c r="J8" s="153">
        <v>6</v>
      </c>
      <c r="K8" s="153" t="s">
        <v>679</v>
      </c>
    </row>
    <row r="9" spans="1:11" x14ac:dyDescent="0.25">
      <c r="A9" s="105" t="s">
        <v>403</v>
      </c>
      <c r="B9" s="105" t="s">
        <v>404</v>
      </c>
      <c r="C9" s="105">
        <v>31</v>
      </c>
      <c r="D9" s="105">
        <v>6</v>
      </c>
      <c r="E9" s="105" t="s">
        <v>561</v>
      </c>
      <c r="G9" s="105" t="s">
        <v>581</v>
      </c>
      <c r="H9" s="105" t="s">
        <v>680</v>
      </c>
      <c r="I9" s="105">
        <v>26</v>
      </c>
      <c r="J9" s="105">
        <v>7</v>
      </c>
      <c r="K9" s="105" t="s">
        <v>681</v>
      </c>
    </row>
    <row r="10" spans="1:11" x14ac:dyDescent="0.25">
      <c r="A10" s="105" t="s">
        <v>406</v>
      </c>
      <c r="B10" s="105" t="s">
        <v>539</v>
      </c>
      <c r="C10" s="105">
        <v>39</v>
      </c>
      <c r="D10" s="105">
        <v>8</v>
      </c>
      <c r="E10" s="105" t="s">
        <v>484</v>
      </c>
      <c r="G10" s="105" t="s">
        <v>584</v>
      </c>
      <c r="H10" s="105" t="s">
        <v>682</v>
      </c>
      <c r="I10" s="105">
        <v>33</v>
      </c>
      <c r="J10" s="105">
        <v>7</v>
      </c>
      <c r="K10" s="105" t="s">
        <v>683</v>
      </c>
    </row>
    <row r="11" spans="1:11" x14ac:dyDescent="0.25">
      <c r="A11" s="105" t="s">
        <v>409</v>
      </c>
      <c r="B11" s="105" t="s">
        <v>410</v>
      </c>
      <c r="C11" s="105">
        <v>47</v>
      </c>
      <c r="D11" s="105">
        <v>8</v>
      </c>
      <c r="E11" s="105" t="s">
        <v>562</v>
      </c>
      <c r="G11" s="105" t="s">
        <v>587</v>
      </c>
      <c r="H11" s="105" t="s">
        <v>684</v>
      </c>
      <c r="I11" s="105">
        <v>42</v>
      </c>
      <c r="J11" s="105">
        <v>9</v>
      </c>
      <c r="K11" s="105" t="s">
        <v>685</v>
      </c>
    </row>
    <row r="12" spans="1:11" x14ac:dyDescent="0.25">
      <c r="A12" s="105" t="s">
        <v>412</v>
      </c>
      <c r="B12" s="105" t="s">
        <v>413</v>
      </c>
      <c r="C12" s="105">
        <v>57</v>
      </c>
      <c r="D12" s="105">
        <v>10</v>
      </c>
      <c r="E12" s="105" t="s">
        <v>488</v>
      </c>
      <c r="G12" s="105" t="s">
        <v>589</v>
      </c>
      <c r="H12" s="105" t="s">
        <v>686</v>
      </c>
      <c r="I12" s="105">
        <v>51</v>
      </c>
      <c r="J12" s="105">
        <v>9</v>
      </c>
      <c r="K12" s="105" t="s">
        <v>687</v>
      </c>
    </row>
    <row r="13" spans="1:11" x14ac:dyDescent="0.25">
      <c r="A13" s="105" t="s">
        <v>415</v>
      </c>
      <c r="B13" s="105" t="s">
        <v>416</v>
      </c>
      <c r="C13" s="105">
        <v>68</v>
      </c>
      <c r="D13" s="105">
        <v>11</v>
      </c>
      <c r="E13" s="105" t="s">
        <v>563</v>
      </c>
      <c r="G13" s="105" t="s">
        <v>592</v>
      </c>
      <c r="H13" s="105" t="s">
        <v>688</v>
      </c>
      <c r="I13" s="105">
        <v>63</v>
      </c>
      <c r="J13" s="105">
        <v>12</v>
      </c>
      <c r="K13" s="105" t="s">
        <v>689</v>
      </c>
    </row>
    <row r="14" spans="1:11" x14ac:dyDescent="0.25">
      <c r="A14" s="105" t="s">
        <v>418</v>
      </c>
      <c r="B14" s="105" t="s">
        <v>419</v>
      </c>
      <c r="C14" s="105">
        <v>82</v>
      </c>
      <c r="D14" s="105">
        <v>14</v>
      </c>
      <c r="E14" s="105" t="s">
        <v>492</v>
      </c>
      <c r="G14" s="105" t="s">
        <v>595</v>
      </c>
      <c r="H14" s="105" t="s">
        <v>596</v>
      </c>
      <c r="I14" s="105">
        <v>76</v>
      </c>
      <c r="J14" s="105">
        <v>13</v>
      </c>
      <c r="K14" s="105" t="s">
        <v>690</v>
      </c>
    </row>
    <row r="15" spans="1:11" x14ac:dyDescent="0.25">
      <c r="A15" s="105" t="s">
        <v>421</v>
      </c>
      <c r="B15" s="105" t="s">
        <v>422</v>
      </c>
      <c r="C15" s="105">
        <v>99</v>
      </c>
      <c r="D15" s="105">
        <v>17</v>
      </c>
      <c r="E15" s="105" t="s">
        <v>494</v>
      </c>
      <c r="G15" s="105" t="s">
        <v>598</v>
      </c>
      <c r="H15" s="105" t="s">
        <v>691</v>
      </c>
      <c r="I15" s="105">
        <v>93</v>
      </c>
      <c r="J15" s="105">
        <v>17</v>
      </c>
      <c r="K15" s="105" t="s">
        <v>692</v>
      </c>
    </row>
    <row r="16" spans="1:11" x14ac:dyDescent="0.25">
      <c r="A16" s="105" t="s">
        <v>424</v>
      </c>
      <c r="B16" s="105" t="s">
        <v>425</v>
      </c>
      <c r="C16" s="105">
        <v>121</v>
      </c>
      <c r="D16" s="105">
        <v>22</v>
      </c>
      <c r="E16" s="105" t="s">
        <v>564</v>
      </c>
      <c r="G16" s="105" t="s">
        <v>601</v>
      </c>
      <c r="H16" s="105" t="s">
        <v>693</v>
      </c>
      <c r="I16" s="105">
        <v>116</v>
      </c>
      <c r="J16" s="105">
        <v>23</v>
      </c>
      <c r="K16" s="105" t="s">
        <v>694</v>
      </c>
    </row>
    <row r="17" spans="1:11" x14ac:dyDescent="0.25">
      <c r="A17" t="s">
        <v>427</v>
      </c>
      <c r="B17" t="s">
        <v>428</v>
      </c>
      <c r="C17">
        <v>159</v>
      </c>
      <c r="D17">
        <v>38</v>
      </c>
      <c r="E17" t="s">
        <v>498</v>
      </c>
      <c r="G17" t="s">
        <v>604</v>
      </c>
      <c r="H17" t="s">
        <v>605</v>
      </c>
      <c r="I17">
        <v>153</v>
      </c>
      <c r="J17">
        <v>37</v>
      </c>
      <c r="K17" t="s">
        <v>695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5"/>
  <sheetViews>
    <sheetView workbookViewId="0">
      <selection activeCell="A4" sqref="A4"/>
    </sheetView>
  </sheetViews>
  <sheetFormatPr baseColWidth="10" defaultColWidth="11.42578125" defaultRowHeight="15" x14ac:dyDescent="0.25"/>
  <cols>
    <col min="1" max="1" width="18" bestFit="1" customWidth="1"/>
    <col min="2" max="2" width="18.85546875" bestFit="1" customWidth="1"/>
    <col min="3" max="3" width="17.42578125" bestFit="1" customWidth="1"/>
    <col min="4" max="4" width="20.7109375" bestFit="1" customWidth="1"/>
    <col min="5" max="5" width="7.85546875" bestFit="1" customWidth="1"/>
  </cols>
  <sheetData>
    <row r="1" spans="1:5" x14ac:dyDescent="0.25">
      <c r="A1" s="30">
        <v>43164</v>
      </c>
    </row>
    <row r="2" spans="1:5" x14ac:dyDescent="0.25">
      <c r="A2" t="s">
        <v>566</v>
      </c>
      <c r="B2" t="s">
        <v>567</v>
      </c>
      <c r="C2" t="s">
        <v>568</v>
      </c>
      <c r="D2" t="s">
        <v>569</v>
      </c>
      <c r="E2" t="s">
        <v>378</v>
      </c>
    </row>
    <row r="3" spans="1:5" x14ac:dyDescent="0.25">
      <c r="A3" t="s">
        <v>570</v>
      </c>
      <c r="B3" t="s">
        <v>673</v>
      </c>
      <c r="C3">
        <v>4</v>
      </c>
      <c r="D3">
        <v>4</v>
      </c>
      <c r="E3" t="s">
        <v>696</v>
      </c>
    </row>
    <row r="4" spans="1:5" x14ac:dyDescent="0.25">
      <c r="A4" t="s">
        <v>572</v>
      </c>
      <c r="B4" t="s">
        <v>632</v>
      </c>
      <c r="C4">
        <v>8</v>
      </c>
      <c r="D4">
        <v>4</v>
      </c>
      <c r="E4" t="s">
        <v>697</v>
      </c>
    </row>
    <row r="5" spans="1:5" x14ac:dyDescent="0.25">
      <c r="A5" t="s">
        <v>575</v>
      </c>
      <c r="B5" t="s">
        <v>676</v>
      </c>
      <c r="C5">
        <v>13</v>
      </c>
      <c r="D5">
        <v>5</v>
      </c>
      <c r="E5" t="s">
        <v>698</v>
      </c>
    </row>
    <row r="6" spans="1:5" x14ac:dyDescent="0.25">
      <c r="A6" t="s">
        <v>578</v>
      </c>
      <c r="B6" t="s">
        <v>678</v>
      </c>
      <c r="C6">
        <v>19</v>
      </c>
      <c r="D6">
        <v>6</v>
      </c>
      <c r="E6" t="s">
        <v>699</v>
      </c>
    </row>
    <row r="7" spans="1:5" x14ac:dyDescent="0.25">
      <c r="A7" t="s">
        <v>581</v>
      </c>
      <c r="B7" t="s">
        <v>582</v>
      </c>
      <c r="C7">
        <v>25</v>
      </c>
      <c r="D7">
        <v>6</v>
      </c>
      <c r="E7" t="s">
        <v>583</v>
      </c>
    </row>
    <row r="8" spans="1:5" x14ac:dyDescent="0.25">
      <c r="A8" t="s">
        <v>584</v>
      </c>
      <c r="B8" t="s">
        <v>682</v>
      </c>
      <c r="C8">
        <v>33</v>
      </c>
      <c r="D8">
        <v>8</v>
      </c>
      <c r="E8" t="s">
        <v>700</v>
      </c>
    </row>
    <row r="9" spans="1:5" x14ac:dyDescent="0.25">
      <c r="A9" t="s">
        <v>587</v>
      </c>
      <c r="B9" t="s">
        <v>684</v>
      </c>
      <c r="C9">
        <v>42</v>
      </c>
      <c r="D9">
        <v>9</v>
      </c>
      <c r="E9" t="s">
        <v>701</v>
      </c>
    </row>
    <row r="10" spans="1:5" x14ac:dyDescent="0.25">
      <c r="A10" t="s">
        <v>589</v>
      </c>
      <c r="B10" t="s">
        <v>686</v>
      </c>
      <c r="C10">
        <v>51</v>
      </c>
      <c r="D10">
        <v>9</v>
      </c>
      <c r="E10" t="s">
        <v>414</v>
      </c>
    </row>
    <row r="11" spans="1:5" x14ac:dyDescent="0.25">
      <c r="A11" t="s">
        <v>592</v>
      </c>
      <c r="B11" t="s">
        <v>688</v>
      </c>
      <c r="C11">
        <v>63</v>
      </c>
      <c r="D11">
        <v>12</v>
      </c>
      <c r="E11" t="s">
        <v>702</v>
      </c>
    </row>
    <row r="12" spans="1:5" x14ac:dyDescent="0.25">
      <c r="A12" t="s">
        <v>595</v>
      </c>
      <c r="B12" t="s">
        <v>703</v>
      </c>
      <c r="C12">
        <v>77</v>
      </c>
      <c r="D12">
        <v>14</v>
      </c>
      <c r="E12" t="s">
        <v>704</v>
      </c>
    </row>
    <row r="13" spans="1:5" x14ac:dyDescent="0.25">
      <c r="A13" t="s">
        <v>598</v>
      </c>
      <c r="B13" t="s">
        <v>691</v>
      </c>
      <c r="C13">
        <v>93</v>
      </c>
      <c r="D13">
        <v>16</v>
      </c>
      <c r="E13" t="s">
        <v>423</v>
      </c>
    </row>
    <row r="14" spans="1:5" x14ac:dyDescent="0.25">
      <c r="A14" t="s">
        <v>601</v>
      </c>
      <c r="B14" t="s">
        <v>693</v>
      </c>
      <c r="C14">
        <v>116</v>
      </c>
      <c r="D14">
        <v>23</v>
      </c>
      <c r="E14" t="s">
        <v>705</v>
      </c>
    </row>
    <row r="15" spans="1:5" x14ac:dyDescent="0.25">
      <c r="A15" t="s">
        <v>604</v>
      </c>
      <c r="B15" t="s">
        <v>706</v>
      </c>
      <c r="C15">
        <v>154</v>
      </c>
      <c r="D15">
        <v>38</v>
      </c>
      <c r="E15" t="s">
        <v>707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268</v>
      </c>
      <c r="M1" s="52" t="s">
        <v>269</v>
      </c>
      <c r="N1" s="52" t="s">
        <v>270</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303</v>
      </c>
      <c r="B1"/>
    </row>
    <row r="2" spans="1:40" x14ac:dyDescent="0.25">
      <c r="A2"/>
      <c r="B2" t="s">
        <v>304</v>
      </c>
    </row>
    <row r="3" spans="1:40" x14ac:dyDescent="0.25">
      <c r="A3" t="s">
        <v>305</v>
      </c>
      <c r="B3"/>
    </row>
    <row r="4" spans="1:40" x14ac:dyDescent="0.25">
      <c r="A4"/>
      <c r="B4" t="s">
        <v>306</v>
      </c>
    </row>
    <row r="5" spans="1:40" x14ac:dyDescent="0.25">
      <c r="A5"/>
      <c r="B5" t="s">
        <v>307</v>
      </c>
    </row>
    <row r="6" spans="1:40" x14ac:dyDescent="0.25">
      <c r="A6" t="s">
        <v>308</v>
      </c>
      <c r="B6"/>
    </row>
    <row r="7" spans="1:40" x14ac:dyDescent="0.25">
      <c r="A7"/>
      <c r="B7" t="s">
        <v>309</v>
      </c>
      <c r="X7">
        <f>X8-112</f>
        <v>80.5</v>
      </c>
    </row>
    <row r="8" spans="1:40" x14ac:dyDescent="0.25">
      <c r="A8" t="s">
        <v>310</v>
      </c>
      <c r="B8"/>
      <c r="X8">
        <f>(X9+X10)*7</f>
        <v>192.5</v>
      </c>
    </row>
    <row r="9" spans="1:40" x14ac:dyDescent="0.25">
      <c r="A9"/>
      <c r="B9" t="s">
        <v>311</v>
      </c>
      <c r="W9" s="197" t="s">
        <v>193</v>
      </c>
      <c r="X9" s="198">
        <v>13.5</v>
      </c>
    </row>
    <row r="10" spans="1:40" x14ac:dyDescent="0.25">
      <c r="A10"/>
      <c r="B10"/>
      <c r="W10" s="197" t="s">
        <v>312</v>
      </c>
      <c r="X10" s="197">
        <v>14</v>
      </c>
    </row>
    <row r="11" spans="1:40" x14ac:dyDescent="0.25">
      <c r="A11"/>
      <c r="B11"/>
      <c r="F11" s="193"/>
      <c r="G11" s="193"/>
      <c r="H11" s="193"/>
      <c r="I11" s="193"/>
      <c r="J11" s="193"/>
      <c r="K11" s="193"/>
      <c r="L11" s="193"/>
      <c r="M11" s="194">
        <f>SUM(M13:M27)</f>
        <v>970</v>
      </c>
      <c r="N11" s="193"/>
      <c r="O11" s="193"/>
      <c r="P11" s="193"/>
      <c r="Q11" s="193"/>
      <c r="R11" s="193"/>
      <c r="S11" s="193"/>
      <c r="T11" s="193"/>
      <c r="U11" s="193"/>
      <c r="Y11" s="193"/>
      <c r="Z11" s="193"/>
      <c r="AA11" s="193"/>
      <c r="AB11" s="193"/>
      <c r="AC11" s="193"/>
      <c r="AD11" s="193"/>
      <c r="AE11" s="193"/>
      <c r="AF11" s="194">
        <f>SUM(AF13:AF27)</f>
        <v>5644.4400000000005</v>
      </c>
      <c r="AG11" s="193"/>
      <c r="AH11" s="193"/>
      <c r="AI11" s="193"/>
      <c r="AJ11" s="193"/>
      <c r="AK11" s="193"/>
      <c r="AL11" s="193"/>
      <c r="AM11" s="193"/>
      <c r="AN11" s="193"/>
    </row>
    <row r="12" spans="1:40" x14ac:dyDescent="0.25">
      <c r="A12" s="10" t="s">
        <v>170</v>
      </c>
      <c r="B12" s="10" t="s">
        <v>313</v>
      </c>
      <c r="C12" s="10" t="s">
        <v>84</v>
      </c>
      <c r="D12" s="10" t="s">
        <v>314</v>
      </c>
      <c r="E12" s="10" t="s">
        <v>315</v>
      </c>
      <c r="F12" s="10" t="s">
        <v>15</v>
      </c>
      <c r="G12" s="10" t="s">
        <v>16</v>
      </c>
      <c r="H12" s="10" t="s">
        <v>17</v>
      </c>
      <c r="I12" s="10" t="s">
        <v>18</v>
      </c>
      <c r="J12" s="10" t="s">
        <v>19</v>
      </c>
      <c r="K12" s="10" t="s">
        <v>20</v>
      </c>
      <c r="L12" s="10" t="s">
        <v>6</v>
      </c>
      <c r="M12" s="10" t="s">
        <v>68</v>
      </c>
      <c r="N12" s="10" t="s">
        <v>316</v>
      </c>
      <c r="O12" s="10" t="s">
        <v>317</v>
      </c>
      <c r="P12" s="10" t="s">
        <v>318</v>
      </c>
      <c r="Q12" s="10" t="s">
        <v>319</v>
      </c>
      <c r="R12" s="10" t="s">
        <v>320</v>
      </c>
      <c r="S12" s="10" t="s">
        <v>321</v>
      </c>
      <c r="T12" s="10" t="s">
        <v>322</v>
      </c>
      <c r="U12" s="10" t="s">
        <v>323</v>
      </c>
      <c r="W12" s="10" t="s">
        <v>314</v>
      </c>
      <c r="X12" s="10" t="s">
        <v>315</v>
      </c>
      <c r="Y12" s="10" t="s">
        <v>15</v>
      </c>
      <c r="Z12" s="10" t="s">
        <v>16</v>
      </c>
      <c r="AA12" s="10" t="s">
        <v>17</v>
      </c>
      <c r="AB12" s="10" t="s">
        <v>18</v>
      </c>
      <c r="AC12" s="10" t="s">
        <v>19</v>
      </c>
      <c r="AD12" s="10" t="s">
        <v>20</v>
      </c>
      <c r="AE12" s="10" t="s">
        <v>6</v>
      </c>
      <c r="AF12" s="10" t="s">
        <v>68</v>
      </c>
      <c r="AG12" s="10" t="s">
        <v>316</v>
      </c>
      <c r="AH12" s="10" t="s">
        <v>317</v>
      </c>
      <c r="AI12" s="10" t="s">
        <v>318</v>
      </c>
      <c r="AJ12" s="10" t="s">
        <v>319</v>
      </c>
      <c r="AK12" s="10" t="s">
        <v>320</v>
      </c>
      <c r="AL12" s="10" t="s">
        <v>321</v>
      </c>
      <c r="AM12" s="10" t="s">
        <v>322</v>
      </c>
      <c r="AN12" s="10" t="s">
        <v>323</v>
      </c>
    </row>
    <row r="13" spans="1:40" x14ac:dyDescent="0.25">
      <c r="A13" t="s">
        <v>29</v>
      </c>
      <c r="B13" s="15"/>
      <c r="C13" s="18"/>
      <c r="D13" s="18"/>
      <c r="E13" s="18"/>
      <c r="F13" s="111">
        <v>2</v>
      </c>
      <c r="G13" s="19">
        <v>2</v>
      </c>
      <c r="H13" s="111">
        <v>0</v>
      </c>
      <c r="I13" s="19">
        <v>0</v>
      </c>
      <c r="J13" s="111">
        <v>0</v>
      </c>
      <c r="K13" s="19">
        <v>0</v>
      </c>
      <c r="L13" s="111">
        <v>2</v>
      </c>
      <c r="M13" s="47"/>
      <c r="N13" s="193">
        <v>0</v>
      </c>
      <c r="O13" s="193">
        <v>0</v>
      </c>
      <c r="P13" s="193">
        <v>0</v>
      </c>
      <c r="Q13" s="195">
        <v>0</v>
      </c>
      <c r="R13" s="195">
        <v>0</v>
      </c>
      <c r="S13" s="195">
        <v>0</v>
      </c>
      <c r="T13" s="195">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3">
        <v>0</v>
      </c>
      <c r="AH13" s="193">
        <v>0</v>
      </c>
      <c r="AI13" s="193">
        <v>0</v>
      </c>
      <c r="AJ13" s="195">
        <v>0</v>
      </c>
      <c r="AK13" s="195">
        <v>0</v>
      </c>
      <c r="AL13" s="195">
        <v>0</v>
      </c>
      <c r="AM13" s="195">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3">
        <v>0</v>
      </c>
      <c r="O14" s="193">
        <v>0</v>
      </c>
      <c r="P14" s="193">
        <v>0</v>
      </c>
      <c r="Q14" s="193">
        <v>0</v>
      </c>
      <c r="R14" s="193">
        <v>0</v>
      </c>
      <c r="S14" s="193">
        <v>0</v>
      </c>
      <c r="T14" s="193">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3">
        <v>0</v>
      </c>
      <c r="AH14" s="193">
        <v>0</v>
      </c>
      <c r="AI14" s="193">
        <v>0</v>
      </c>
      <c r="AJ14" s="193">
        <v>0</v>
      </c>
      <c r="AK14" s="193">
        <v>0</v>
      </c>
      <c r="AL14" s="193">
        <v>0</v>
      </c>
      <c r="AM14" s="193">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3">
        <v>0</v>
      </c>
      <c r="O15" s="193">
        <v>0</v>
      </c>
      <c r="P15" s="193">
        <v>0</v>
      </c>
      <c r="Q15" s="193">
        <v>0</v>
      </c>
      <c r="R15" s="193">
        <v>0</v>
      </c>
      <c r="S15" s="193">
        <v>0</v>
      </c>
      <c r="T15" s="193">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3">
        <v>0</v>
      </c>
      <c r="AH15" s="193">
        <v>0</v>
      </c>
      <c r="AI15" s="193">
        <v>0</v>
      </c>
      <c r="AJ15" s="193">
        <v>0</v>
      </c>
      <c r="AK15" s="193">
        <v>0</v>
      </c>
      <c r="AL15" s="193">
        <v>0</v>
      </c>
      <c r="AM15" s="193">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3">
        <v>0</v>
      </c>
      <c r="O16" s="193">
        <v>0</v>
      </c>
      <c r="P16" s="193">
        <v>0</v>
      </c>
      <c r="Q16" s="193">
        <v>0</v>
      </c>
      <c r="R16" s="193">
        <v>0</v>
      </c>
      <c r="S16" s="193">
        <v>0</v>
      </c>
      <c r="T16" s="193">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3">
        <v>0</v>
      </c>
      <c r="AH16" s="193">
        <v>0</v>
      </c>
      <c r="AI16" s="193">
        <v>0</v>
      </c>
      <c r="AJ16" s="193">
        <v>0</v>
      </c>
      <c r="AK16" s="193">
        <v>0</v>
      </c>
      <c r="AL16" s="193">
        <v>0</v>
      </c>
      <c r="AM16" s="193">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3">
        <v>0</v>
      </c>
      <c r="O17" s="193">
        <v>0</v>
      </c>
      <c r="P17" s="193">
        <v>0</v>
      </c>
      <c r="Q17" s="193">
        <v>0</v>
      </c>
      <c r="R17" s="193">
        <v>0</v>
      </c>
      <c r="S17" s="193">
        <v>0</v>
      </c>
      <c r="T17" s="193">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3">
        <v>0</v>
      </c>
      <c r="AH17" s="193">
        <v>0</v>
      </c>
      <c r="AI17" s="193">
        <v>0</v>
      </c>
      <c r="AJ17" s="193">
        <v>0</v>
      </c>
      <c r="AK17" s="193">
        <v>0</v>
      </c>
      <c r="AL17" s="193">
        <v>0</v>
      </c>
      <c r="AM17" s="193">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3">
        <v>0</v>
      </c>
      <c r="O18" s="193">
        <v>0</v>
      </c>
      <c r="P18" s="193">
        <v>0</v>
      </c>
      <c r="Q18" s="193">
        <v>0</v>
      </c>
      <c r="R18" s="193">
        <v>0</v>
      </c>
      <c r="S18" s="193">
        <v>0</v>
      </c>
      <c r="T18" s="193">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3">
        <v>0</v>
      </c>
      <c r="AH18" s="193">
        <v>0</v>
      </c>
      <c r="AI18" s="193">
        <v>0</v>
      </c>
      <c r="AJ18" s="193">
        <v>0</v>
      </c>
      <c r="AK18" s="193">
        <v>0</v>
      </c>
      <c r="AL18" s="193">
        <v>0</v>
      </c>
      <c r="AM18" s="193">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3">
        <v>0</v>
      </c>
      <c r="O19" s="193">
        <v>0</v>
      </c>
      <c r="P19" s="193">
        <v>0</v>
      </c>
      <c r="Q19" s="193">
        <v>0</v>
      </c>
      <c r="R19" s="193">
        <v>0</v>
      </c>
      <c r="S19" s="193">
        <v>0</v>
      </c>
      <c r="T19" s="193">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3">
        <v>0</v>
      </c>
      <c r="AH19" s="193">
        <v>0</v>
      </c>
      <c r="AI19" s="193">
        <v>0</v>
      </c>
      <c r="AJ19" s="193">
        <v>0</v>
      </c>
      <c r="AK19" s="193">
        <v>0</v>
      </c>
      <c r="AL19" s="193">
        <v>0</v>
      </c>
      <c r="AM19" s="193">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3">
        <v>0</v>
      </c>
      <c r="O20" s="193">
        <v>0</v>
      </c>
      <c r="P20" s="193">
        <v>0</v>
      </c>
      <c r="Q20" s="193">
        <v>0</v>
      </c>
      <c r="R20" s="193">
        <v>0</v>
      </c>
      <c r="S20" s="193">
        <v>0</v>
      </c>
      <c r="T20" s="193">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3">
        <v>0</v>
      </c>
      <c r="AH20" s="193">
        <v>0</v>
      </c>
      <c r="AI20" s="193">
        <v>0</v>
      </c>
      <c r="AJ20" s="193">
        <v>0</v>
      </c>
      <c r="AK20" s="193">
        <v>0</v>
      </c>
      <c r="AL20" s="193">
        <v>0</v>
      </c>
      <c r="AM20" s="193">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3">
        <v>0</v>
      </c>
      <c r="O21" s="193">
        <v>0</v>
      </c>
      <c r="P21" s="193">
        <v>0</v>
      </c>
      <c r="Q21" s="193">
        <v>0</v>
      </c>
      <c r="R21" s="193">
        <v>0</v>
      </c>
      <c r="S21" s="193">
        <v>0</v>
      </c>
      <c r="T21" s="193">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3">
        <v>0</v>
      </c>
      <c r="AH21" s="193">
        <v>0</v>
      </c>
      <c r="AI21" s="193">
        <v>0</v>
      </c>
      <c r="AJ21" s="193">
        <v>0</v>
      </c>
      <c r="AK21" s="193">
        <v>0</v>
      </c>
      <c r="AL21" s="193">
        <v>0</v>
      </c>
      <c r="AM21" s="193">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3">
        <v>0</v>
      </c>
      <c r="O22" s="193">
        <v>0</v>
      </c>
      <c r="P22" s="193">
        <v>0</v>
      </c>
      <c r="Q22" s="193">
        <v>0</v>
      </c>
      <c r="R22" s="193">
        <v>0</v>
      </c>
      <c r="S22" s="193">
        <v>0</v>
      </c>
      <c r="T22" s="193">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3">
        <v>0</v>
      </c>
      <c r="AH22" s="193">
        <v>0</v>
      </c>
      <c r="AI22" s="193">
        <v>0</v>
      </c>
      <c r="AJ22" s="193">
        <v>0</v>
      </c>
      <c r="AK22" s="193">
        <v>0</v>
      </c>
      <c r="AL22" s="193">
        <v>0</v>
      </c>
      <c r="AM22" s="193">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3">
        <v>0</v>
      </c>
      <c r="O23" s="193">
        <v>0</v>
      </c>
      <c r="P23" s="193">
        <v>0</v>
      </c>
      <c r="Q23" s="193">
        <v>0</v>
      </c>
      <c r="R23" s="193">
        <v>0</v>
      </c>
      <c r="S23" s="193">
        <v>0</v>
      </c>
      <c r="T23" s="193">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3">
        <v>0</v>
      </c>
      <c r="AH23" s="193">
        <v>0</v>
      </c>
      <c r="AI23" s="193">
        <v>0</v>
      </c>
      <c r="AJ23" s="193">
        <v>0</v>
      </c>
      <c r="AK23" s="193">
        <v>0</v>
      </c>
      <c r="AL23" s="193">
        <v>0</v>
      </c>
      <c r="AM23" s="193">
        <v>0</v>
      </c>
      <c r="AN23" s="66">
        <f t="shared" si="3"/>
        <v>0</v>
      </c>
    </row>
    <row r="24" spans="1:40" x14ac:dyDescent="0.25">
      <c r="A24" t="s">
        <v>40</v>
      </c>
      <c r="B24" s="15" t="s">
        <v>324</v>
      </c>
      <c r="C24" s="3" t="s">
        <v>45</v>
      </c>
      <c r="D24" s="3">
        <v>17</v>
      </c>
      <c r="E24" s="3">
        <v>15</v>
      </c>
      <c r="F24" s="112">
        <v>0</v>
      </c>
      <c r="G24" s="25">
        <v>2</v>
      </c>
      <c r="H24" s="112">
        <v>5.7</v>
      </c>
      <c r="I24" s="25">
        <v>5.5</v>
      </c>
      <c r="J24" s="112">
        <v>5</v>
      </c>
      <c r="K24" s="25">
        <v>3</v>
      </c>
      <c r="L24" s="112">
        <v>2</v>
      </c>
      <c r="M24" s="47">
        <v>350</v>
      </c>
      <c r="N24" s="193">
        <v>0</v>
      </c>
      <c r="O24" s="193">
        <v>0</v>
      </c>
      <c r="P24" s="193">
        <v>11</v>
      </c>
      <c r="Q24" s="193">
        <f>5.5+1.5</f>
        <v>7</v>
      </c>
      <c r="R24" s="193">
        <v>7</v>
      </c>
      <c r="S24" s="193">
        <v>2</v>
      </c>
      <c r="T24" s="193">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3">
        <f>N24</f>
        <v>0</v>
      </c>
      <c r="AH24" s="193">
        <f t="shared" ref="AH24:AM26" si="4">O24</f>
        <v>0</v>
      </c>
      <c r="AI24" s="193">
        <f t="shared" si="4"/>
        <v>11</v>
      </c>
      <c r="AJ24" s="39">
        <f>Q24+X9</f>
        <v>20.5</v>
      </c>
      <c r="AK24" s="193">
        <f>R24+X10</f>
        <v>21</v>
      </c>
      <c r="AL24" s="193">
        <f t="shared" si="4"/>
        <v>2</v>
      </c>
      <c r="AM24" s="193">
        <f t="shared" si="4"/>
        <v>0</v>
      </c>
      <c r="AN24" s="66">
        <f t="shared" si="3"/>
        <v>54.5</v>
      </c>
    </row>
    <row r="25" spans="1:40" x14ac:dyDescent="0.25">
      <c r="A25" t="s">
        <v>34</v>
      </c>
      <c r="B25" s="15" t="s">
        <v>325</v>
      </c>
      <c r="C25" s="3" t="s">
        <v>295</v>
      </c>
      <c r="D25" s="3">
        <v>17</v>
      </c>
      <c r="E25" s="3">
        <v>19</v>
      </c>
      <c r="F25" s="112">
        <v>0</v>
      </c>
      <c r="G25" s="25">
        <v>6</v>
      </c>
      <c r="H25" s="112">
        <v>3</v>
      </c>
      <c r="I25" s="25">
        <v>3</v>
      </c>
      <c r="J25" s="112">
        <v>5</v>
      </c>
      <c r="K25" s="25">
        <v>2</v>
      </c>
      <c r="L25" s="112">
        <v>0</v>
      </c>
      <c r="M25" s="47">
        <v>330</v>
      </c>
      <c r="N25" s="193">
        <v>0</v>
      </c>
      <c r="O25" s="193">
        <v>14</v>
      </c>
      <c r="P25" s="193">
        <v>3</v>
      </c>
      <c r="Q25" s="193">
        <v>1.5</v>
      </c>
      <c r="R25" s="193">
        <v>7</v>
      </c>
      <c r="S25" s="193">
        <v>0</v>
      </c>
      <c r="T25" s="193">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3">
        <f>N25</f>
        <v>0</v>
      </c>
      <c r="AH25" s="193">
        <f t="shared" si="4"/>
        <v>14</v>
      </c>
      <c r="AI25" s="193">
        <f t="shared" si="4"/>
        <v>3</v>
      </c>
      <c r="AJ25" s="39">
        <f>Q25+X9</f>
        <v>15</v>
      </c>
      <c r="AK25" s="193">
        <f>R25+X10</f>
        <v>21</v>
      </c>
      <c r="AL25" s="193">
        <f t="shared" si="4"/>
        <v>0</v>
      </c>
      <c r="AM25" s="193">
        <f t="shared" si="4"/>
        <v>-2</v>
      </c>
      <c r="AN25" s="66">
        <f>SUM(AG25:AM25)</f>
        <v>51</v>
      </c>
    </row>
    <row r="26" spans="1:40" x14ac:dyDescent="0.25">
      <c r="A26" t="s">
        <v>42</v>
      </c>
      <c r="B26" s="15" t="s">
        <v>326</v>
      </c>
      <c r="C26" s="3" t="s">
        <v>295</v>
      </c>
      <c r="D26" s="3">
        <v>17</v>
      </c>
      <c r="E26" s="3">
        <v>15</v>
      </c>
      <c r="F26" s="112">
        <v>0</v>
      </c>
      <c r="G26" s="25">
        <v>3</v>
      </c>
      <c r="H26" s="112">
        <v>5</v>
      </c>
      <c r="I26" s="25">
        <v>4</v>
      </c>
      <c r="J26" s="112">
        <v>4</v>
      </c>
      <c r="K26" s="25">
        <v>3</v>
      </c>
      <c r="L26" s="112">
        <v>0</v>
      </c>
      <c r="M26" s="47">
        <v>290</v>
      </c>
      <c r="N26" s="193">
        <v>0</v>
      </c>
      <c r="O26" s="193">
        <v>3</v>
      </c>
      <c r="P26" s="193">
        <v>9</v>
      </c>
      <c r="Q26" s="193">
        <v>3.5</v>
      </c>
      <c r="R26" s="193">
        <v>4</v>
      </c>
      <c r="S26" s="193">
        <v>2</v>
      </c>
      <c r="T26" s="193">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3">
        <f>N26</f>
        <v>0</v>
      </c>
      <c r="AH26" s="193">
        <f t="shared" si="4"/>
        <v>3</v>
      </c>
      <c r="AI26" s="193">
        <f t="shared" si="4"/>
        <v>9</v>
      </c>
      <c r="AJ26" s="193">
        <f>Q26+X10</f>
        <v>17.5</v>
      </c>
      <c r="AK26" s="193">
        <f>R26+X10</f>
        <v>18</v>
      </c>
      <c r="AL26" s="193">
        <f t="shared" si="4"/>
        <v>2</v>
      </c>
      <c r="AM26" s="193">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3">
        <v>0</v>
      </c>
      <c r="O27" s="193">
        <v>0</v>
      </c>
      <c r="P27" s="193">
        <v>0</v>
      </c>
      <c r="Q27" s="193">
        <v>0</v>
      </c>
      <c r="R27" s="193">
        <v>0</v>
      </c>
      <c r="S27" s="193">
        <v>0</v>
      </c>
      <c r="T27" s="193">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3">
        <v>0</v>
      </c>
      <c r="AH27" s="193">
        <v>0</v>
      </c>
      <c r="AI27" s="193">
        <v>0</v>
      </c>
      <c r="AJ27" s="193">
        <v>0</v>
      </c>
      <c r="AK27" s="193">
        <v>0</v>
      </c>
      <c r="AL27" s="193">
        <v>0</v>
      </c>
      <c r="AM27" s="193">
        <v>0</v>
      </c>
      <c r="AN27" s="66">
        <f>SUM(AG27:AM27)</f>
        <v>0</v>
      </c>
    </row>
    <row r="28" spans="1:40" x14ac:dyDescent="0.25">
      <c r="A28" t="s">
        <v>327</v>
      </c>
      <c r="B28" s="15"/>
      <c r="C28" s="3"/>
      <c r="D28" s="3"/>
      <c r="E28" s="3"/>
      <c r="F28" s="112">
        <v>0</v>
      </c>
      <c r="G28" s="25">
        <v>2</v>
      </c>
      <c r="H28" s="112">
        <v>2</v>
      </c>
      <c r="I28" s="25">
        <v>2</v>
      </c>
      <c r="J28" s="112">
        <v>2</v>
      </c>
      <c r="K28" s="25">
        <v>2</v>
      </c>
      <c r="L28" s="112">
        <v>2</v>
      </c>
      <c r="M28" s="47"/>
      <c r="N28" s="193">
        <v>0</v>
      </c>
      <c r="O28" s="193">
        <v>0</v>
      </c>
      <c r="P28" s="193">
        <v>0</v>
      </c>
      <c r="Q28" s="193">
        <v>0</v>
      </c>
      <c r="R28" s="193">
        <v>0</v>
      </c>
      <c r="S28" s="193">
        <v>0</v>
      </c>
      <c r="T28" s="193">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3">
        <v>0</v>
      </c>
      <c r="AH28" s="193">
        <v>0</v>
      </c>
      <c r="AI28" s="193">
        <v>0</v>
      </c>
      <c r="AJ28" s="193">
        <v>0</v>
      </c>
      <c r="AK28" s="193">
        <v>0</v>
      </c>
      <c r="AL28" s="193">
        <v>0</v>
      </c>
      <c r="AM28" s="193">
        <v>0</v>
      </c>
      <c r="AN28" s="66">
        <f>SUM(AG28:AM28)</f>
        <v>0</v>
      </c>
    </row>
    <row r="29" spans="1:40" x14ac:dyDescent="0.25">
      <c r="A29"/>
      <c r="B29"/>
      <c r="F29" s="193"/>
      <c r="G29" s="193"/>
      <c r="H29" s="193"/>
      <c r="I29" s="193"/>
      <c r="J29" s="193"/>
      <c r="K29" s="193"/>
      <c r="L29" s="193"/>
      <c r="M29" s="194">
        <f>SUM(M31:M45)</f>
        <v>15124.68</v>
      </c>
      <c r="N29" s="193"/>
      <c r="O29" s="193"/>
      <c r="P29" s="193"/>
      <c r="Q29" s="193"/>
      <c r="R29" s="193"/>
      <c r="S29" s="193"/>
      <c r="T29" s="193"/>
      <c r="U29" s="193"/>
      <c r="Y29" s="193"/>
      <c r="Z29" s="193"/>
      <c r="AA29" s="193"/>
      <c r="AB29" s="193"/>
      <c r="AC29" s="193"/>
      <c r="AD29" s="193"/>
      <c r="AE29" s="193"/>
      <c r="AF29" s="194">
        <f>SUM(AF31:AF45)</f>
        <v>42675.44</v>
      </c>
      <c r="AG29" s="193"/>
      <c r="AH29" s="193"/>
      <c r="AI29" s="193"/>
      <c r="AJ29" s="193"/>
      <c r="AK29" s="193"/>
      <c r="AL29" s="193"/>
      <c r="AM29" s="193"/>
      <c r="AN29" s="193"/>
    </row>
    <row r="30" spans="1:40" x14ac:dyDescent="0.25">
      <c r="A30" s="10" t="s">
        <v>170</v>
      </c>
      <c r="B30" s="10" t="s">
        <v>2</v>
      </c>
      <c r="C30" s="10" t="s">
        <v>84</v>
      </c>
      <c r="D30" s="10" t="s">
        <v>314</v>
      </c>
      <c r="E30" s="10" t="s">
        <v>315</v>
      </c>
      <c r="F30" s="10" t="s">
        <v>15</v>
      </c>
      <c r="G30" s="10" t="s">
        <v>16</v>
      </c>
      <c r="H30" s="10" t="s">
        <v>17</v>
      </c>
      <c r="I30" s="10" t="s">
        <v>18</v>
      </c>
      <c r="J30" s="10" t="s">
        <v>19</v>
      </c>
      <c r="K30" s="10" t="s">
        <v>20</v>
      </c>
      <c r="L30" s="10" t="s">
        <v>6</v>
      </c>
      <c r="M30" s="10" t="s">
        <v>68</v>
      </c>
      <c r="N30" s="10" t="s">
        <v>316</v>
      </c>
      <c r="O30" s="10" t="s">
        <v>317</v>
      </c>
      <c r="P30" s="10" t="s">
        <v>318</v>
      </c>
      <c r="Q30" s="10" t="s">
        <v>319</v>
      </c>
      <c r="R30" s="10" t="s">
        <v>320</v>
      </c>
      <c r="S30" s="10" t="s">
        <v>321</v>
      </c>
      <c r="T30" s="10" t="s">
        <v>322</v>
      </c>
      <c r="U30" s="10" t="s">
        <v>323</v>
      </c>
      <c r="W30" s="10" t="s">
        <v>314</v>
      </c>
      <c r="X30" s="10" t="s">
        <v>315</v>
      </c>
      <c r="Y30" s="10" t="s">
        <v>15</v>
      </c>
      <c r="Z30" s="10" t="s">
        <v>16</v>
      </c>
      <c r="AA30" s="10" t="s">
        <v>17</v>
      </c>
      <c r="AB30" s="10" t="s">
        <v>18</v>
      </c>
      <c r="AC30" s="10" t="s">
        <v>19</v>
      </c>
      <c r="AD30" s="10" t="s">
        <v>20</v>
      </c>
      <c r="AE30" s="10" t="s">
        <v>6</v>
      </c>
      <c r="AF30" s="10" t="s">
        <v>68</v>
      </c>
      <c r="AG30" s="10" t="s">
        <v>316</v>
      </c>
      <c r="AH30" s="10" t="s">
        <v>317</v>
      </c>
      <c r="AI30" s="10" t="s">
        <v>318</v>
      </c>
      <c r="AJ30" s="10" t="s">
        <v>319</v>
      </c>
      <c r="AK30" s="10" t="s">
        <v>320</v>
      </c>
      <c r="AL30" s="10" t="s">
        <v>321</v>
      </c>
      <c r="AM30" s="10" t="s">
        <v>322</v>
      </c>
      <c r="AN30" s="10" t="s">
        <v>323</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3">
        <f>AG13</f>
        <v>0</v>
      </c>
      <c r="O31" s="193">
        <f t="shared" ref="O31:T46" si="6">AH13</f>
        <v>0</v>
      </c>
      <c r="P31" s="193">
        <f t="shared" si="6"/>
        <v>0</v>
      </c>
      <c r="Q31" s="193">
        <f t="shared" si="6"/>
        <v>0</v>
      </c>
      <c r="R31" s="193">
        <f t="shared" si="6"/>
        <v>0</v>
      </c>
      <c r="S31" s="193">
        <f t="shared" si="6"/>
        <v>0</v>
      </c>
      <c r="T31" s="193">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3">
        <f>N31</f>
        <v>0</v>
      </c>
      <c r="AH31" s="193">
        <f t="shared" ref="AH31:AM46" si="8">O31</f>
        <v>0</v>
      </c>
      <c r="AI31" s="193">
        <f t="shared" si="8"/>
        <v>0</v>
      </c>
      <c r="AJ31" s="193">
        <f t="shared" si="8"/>
        <v>0</v>
      </c>
      <c r="AK31" s="193">
        <f t="shared" si="8"/>
        <v>0</v>
      </c>
      <c r="AL31" s="193">
        <f t="shared" si="8"/>
        <v>0</v>
      </c>
      <c r="AM31" s="193">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3">
        <f t="shared" ref="N32:N46" si="10">AG14</f>
        <v>0</v>
      </c>
      <c r="O32" s="193">
        <f t="shared" si="6"/>
        <v>0</v>
      </c>
      <c r="P32" s="193">
        <f t="shared" si="6"/>
        <v>0</v>
      </c>
      <c r="Q32" s="193">
        <f t="shared" si="6"/>
        <v>0</v>
      </c>
      <c r="R32" s="193">
        <f t="shared" si="6"/>
        <v>0</v>
      </c>
      <c r="S32" s="193">
        <f t="shared" si="6"/>
        <v>0</v>
      </c>
      <c r="T32" s="193">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3">
        <f t="shared" ref="AG32:AG46" si="12">N32</f>
        <v>0</v>
      </c>
      <c r="AH32" s="193">
        <f t="shared" si="8"/>
        <v>0</v>
      </c>
      <c r="AI32" s="193">
        <f t="shared" si="8"/>
        <v>0</v>
      </c>
      <c r="AJ32" s="193">
        <f t="shared" si="8"/>
        <v>0</v>
      </c>
      <c r="AK32" s="193">
        <f t="shared" si="8"/>
        <v>0</v>
      </c>
      <c r="AL32" s="193">
        <f t="shared" si="8"/>
        <v>0</v>
      </c>
      <c r="AM32" s="193">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3">
        <f t="shared" si="10"/>
        <v>0</v>
      </c>
      <c r="O33" s="193">
        <f t="shared" si="6"/>
        <v>0</v>
      </c>
      <c r="P33" s="193">
        <f t="shared" si="6"/>
        <v>0</v>
      </c>
      <c r="Q33" s="193">
        <f t="shared" si="6"/>
        <v>0</v>
      </c>
      <c r="R33" s="193">
        <f t="shared" si="6"/>
        <v>0</v>
      </c>
      <c r="S33" s="193">
        <f t="shared" si="6"/>
        <v>0</v>
      </c>
      <c r="T33" s="193">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3">
        <f t="shared" si="12"/>
        <v>0</v>
      </c>
      <c r="AH33" s="193">
        <f t="shared" si="8"/>
        <v>0</v>
      </c>
      <c r="AI33" s="193">
        <f t="shared" si="8"/>
        <v>0</v>
      </c>
      <c r="AJ33" s="193">
        <f t="shared" si="8"/>
        <v>0</v>
      </c>
      <c r="AK33" s="193">
        <f t="shared" si="8"/>
        <v>0</v>
      </c>
      <c r="AL33" s="193">
        <f t="shared" si="8"/>
        <v>0</v>
      </c>
      <c r="AM33" s="193">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3">
        <f t="shared" si="10"/>
        <v>0</v>
      </c>
      <c r="O34" s="193">
        <f t="shared" si="6"/>
        <v>0</v>
      </c>
      <c r="P34" s="193">
        <f t="shared" si="6"/>
        <v>0</v>
      </c>
      <c r="Q34" s="193">
        <f t="shared" si="6"/>
        <v>0</v>
      </c>
      <c r="R34" s="193">
        <f t="shared" si="6"/>
        <v>0</v>
      </c>
      <c r="S34" s="193">
        <f t="shared" si="6"/>
        <v>0</v>
      </c>
      <c r="T34" s="193">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3">
        <f t="shared" si="12"/>
        <v>0</v>
      </c>
      <c r="AH34" s="193">
        <f t="shared" si="8"/>
        <v>0</v>
      </c>
      <c r="AI34" s="193">
        <f t="shared" si="8"/>
        <v>0</v>
      </c>
      <c r="AJ34" s="193">
        <f t="shared" si="8"/>
        <v>0</v>
      </c>
      <c r="AK34" s="193">
        <f t="shared" si="8"/>
        <v>0</v>
      </c>
      <c r="AL34" s="193">
        <f t="shared" si="8"/>
        <v>0</v>
      </c>
      <c r="AM34" s="193">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3">
        <f t="shared" si="10"/>
        <v>0</v>
      </c>
      <c r="O35" s="193">
        <f t="shared" si="6"/>
        <v>0</v>
      </c>
      <c r="P35" s="193">
        <f t="shared" si="6"/>
        <v>0</v>
      </c>
      <c r="Q35" s="193">
        <f t="shared" si="6"/>
        <v>0</v>
      </c>
      <c r="R35" s="193">
        <f t="shared" si="6"/>
        <v>0</v>
      </c>
      <c r="S35" s="193">
        <f t="shared" si="6"/>
        <v>0</v>
      </c>
      <c r="T35" s="193">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3">
        <f t="shared" si="12"/>
        <v>0</v>
      </c>
      <c r="AH35" s="193">
        <f t="shared" si="8"/>
        <v>0</v>
      </c>
      <c r="AI35" s="193">
        <f t="shared" si="8"/>
        <v>0</v>
      </c>
      <c r="AJ35" s="193">
        <f t="shared" si="8"/>
        <v>0</v>
      </c>
      <c r="AK35" s="193">
        <f t="shared" si="8"/>
        <v>0</v>
      </c>
      <c r="AL35" s="193">
        <f t="shared" si="8"/>
        <v>0</v>
      </c>
      <c r="AM35" s="193">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3">
        <f t="shared" si="10"/>
        <v>0</v>
      </c>
      <c r="O36" s="193">
        <f t="shared" si="6"/>
        <v>0</v>
      </c>
      <c r="P36" s="193">
        <f t="shared" si="6"/>
        <v>0</v>
      </c>
      <c r="Q36" s="193">
        <f t="shared" si="6"/>
        <v>0</v>
      </c>
      <c r="R36" s="193">
        <f t="shared" si="6"/>
        <v>0</v>
      </c>
      <c r="S36" s="193">
        <f t="shared" si="6"/>
        <v>0</v>
      </c>
      <c r="T36" s="193">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3">
        <f t="shared" si="12"/>
        <v>0</v>
      </c>
      <c r="AH36" s="193">
        <f t="shared" si="8"/>
        <v>0</v>
      </c>
      <c r="AI36" s="193">
        <f t="shared" si="8"/>
        <v>0</v>
      </c>
      <c r="AJ36" s="193">
        <f t="shared" si="8"/>
        <v>0</v>
      </c>
      <c r="AK36" s="193">
        <f t="shared" si="8"/>
        <v>0</v>
      </c>
      <c r="AL36" s="193">
        <f t="shared" si="8"/>
        <v>0</v>
      </c>
      <c r="AM36" s="193">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3">
        <f t="shared" si="10"/>
        <v>0</v>
      </c>
      <c r="O37" s="193">
        <f t="shared" si="6"/>
        <v>0</v>
      </c>
      <c r="P37" s="193">
        <f t="shared" si="6"/>
        <v>0</v>
      </c>
      <c r="Q37" s="193">
        <f t="shared" si="6"/>
        <v>0</v>
      </c>
      <c r="R37" s="193">
        <f t="shared" si="6"/>
        <v>0</v>
      </c>
      <c r="S37" s="193">
        <f t="shared" si="6"/>
        <v>0</v>
      </c>
      <c r="T37" s="193">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3">
        <f t="shared" si="12"/>
        <v>0</v>
      </c>
      <c r="AH37" s="193">
        <f t="shared" si="8"/>
        <v>0</v>
      </c>
      <c r="AI37" s="193">
        <f t="shared" si="8"/>
        <v>0</v>
      </c>
      <c r="AJ37" s="193">
        <f t="shared" si="8"/>
        <v>0</v>
      </c>
      <c r="AK37" s="193">
        <f t="shared" si="8"/>
        <v>0</v>
      </c>
      <c r="AL37" s="193">
        <f t="shared" si="8"/>
        <v>0</v>
      </c>
      <c r="AM37" s="193">
        <f t="shared" si="8"/>
        <v>0</v>
      </c>
      <c r="AN37" s="66">
        <f t="shared" si="14"/>
        <v>0</v>
      </c>
      <c r="AP37" s="197" t="s">
        <v>90</v>
      </c>
      <c r="AQ37" s="197">
        <v>33</v>
      </c>
      <c r="AR37" s="197" t="s">
        <v>88</v>
      </c>
      <c r="AS37" s="197">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3">
        <f t="shared" si="10"/>
        <v>0</v>
      </c>
      <c r="O38" s="193">
        <f t="shared" si="6"/>
        <v>0</v>
      </c>
      <c r="P38" s="193">
        <f t="shared" si="6"/>
        <v>0</v>
      </c>
      <c r="Q38" s="193">
        <f t="shared" si="6"/>
        <v>0</v>
      </c>
      <c r="R38" s="193">
        <f t="shared" si="6"/>
        <v>0</v>
      </c>
      <c r="S38" s="193">
        <f t="shared" si="6"/>
        <v>0</v>
      </c>
      <c r="T38" s="193">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3">
        <f t="shared" si="12"/>
        <v>0</v>
      </c>
      <c r="AH38" s="193">
        <f t="shared" si="8"/>
        <v>0</v>
      </c>
      <c r="AI38" s="193">
        <f t="shared" si="8"/>
        <v>0</v>
      </c>
      <c r="AJ38" s="193">
        <f t="shared" si="8"/>
        <v>0</v>
      </c>
      <c r="AK38" s="193">
        <f t="shared" si="8"/>
        <v>0</v>
      </c>
      <c r="AL38" s="193">
        <f t="shared" si="8"/>
        <v>0</v>
      </c>
      <c r="AM38" s="193">
        <f t="shared" si="8"/>
        <v>0</v>
      </c>
      <c r="AN38" s="66">
        <f t="shared" si="14"/>
        <v>0</v>
      </c>
      <c r="AQ38">
        <f>AQ37*7</f>
        <v>231</v>
      </c>
      <c r="AS38">
        <f>AS37*7</f>
        <v>105</v>
      </c>
      <c r="AT38">
        <f>AQ38+AS38</f>
        <v>336</v>
      </c>
    </row>
    <row r="39" spans="1:46" x14ac:dyDescent="0.25">
      <c r="A39" t="s">
        <v>43</v>
      </c>
      <c r="B39" s="15" t="s">
        <v>328</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3">
        <f t="shared" si="10"/>
        <v>0</v>
      </c>
      <c r="O39" s="193">
        <v>18</v>
      </c>
      <c r="P39" s="193">
        <v>33</v>
      </c>
      <c r="Q39" s="193">
        <f t="shared" si="6"/>
        <v>0</v>
      </c>
      <c r="R39" s="193">
        <f t="shared" si="6"/>
        <v>0</v>
      </c>
      <c r="S39" s="193">
        <f t="shared" si="6"/>
        <v>0</v>
      </c>
      <c r="T39" s="193">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3">
        <f t="shared" si="12"/>
        <v>0</v>
      </c>
      <c r="AH39" s="193">
        <f t="shared" si="8"/>
        <v>18</v>
      </c>
      <c r="AI39" s="193">
        <v>48</v>
      </c>
      <c r="AJ39" s="193">
        <f t="shared" si="8"/>
        <v>0</v>
      </c>
      <c r="AK39" s="193">
        <f t="shared" si="8"/>
        <v>0</v>
      </c>
      <c r="AL39" s="193">
        <v>33</v>
      </c>
      <c r="AM39" s="193">
        <f t="shared" si="8"/>
        <v>0</v>
      </c>
      <c r="AN39" s="66">
        <f t="shared" si="14"/>
        <v>99</v>
      </c>
      <c r="AQ39">
        <f>AQ38-112</f>
        <v>119</v>
      </c>
      <c r="AT39">
        <f>AT38-112</f>
        <v>224</v>
      </c>
    </row>
    <row r="40" spans="1:46" x14ac:dyDescent="0.25">
      <c r="A40" t="s">
        <v>37</v>
      </c>
      <c r="B40" s="15" t="s">
        <v>328</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3">
        <f t="shared" si="10"/>
        <v>0</v>
      </c>
      <c r="O40" s="193">
        <v>18</v>
      </c>
      <c r="P40" s="193">
        <v>33</v>
      </c>
      <c r="Q40" s="193">
        <f t="shared" si="6"/>
        <v>0</v>
      </c>
      <c r="R40" s="193">
        <f t="shared" si="6"/>
        <v>0</v>
      </c>
      <c r="S40" s="193">
        <f t="shared" si="6"/>
        <v>0</v>
      </c>
      <c r="T40" s="193">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3">
        <f t="shared" si="12"/>
        <v>0</v>
      </c>
      <c r="AH40" s="193">
        <f t="shared" si="8"/>
        <v>18</v>
      </c>
      <c r="AI40" s="193">
        <v>48</v>
      </c>
      <c r="AJ40" s="193">
        <f t="shared" si="8"/>
        <v>0</v>
      </c>
      <c r="AK40" s="193">
        <f t="shared" si="8"/>
        <v>0</v>
      </c>
      <c r="AL40" s="193">
        <v>33</v>
      </c>
      <c r="AM40" s="193">
        <f t="shared" si="8"/>
        <v>0</v>
      </c>
      <c r="AN40" s="66">
        <f t="shared" si="14"/>
        <v>99</v>
      </c>
      <c r="AQ40">
        <f>AQ39-112</f>
        <v>7</v>
      </c>
      <c r="AT40">
        <f>AT39-112</f>
        <v>112</v>
      </c>
    </row>
    <row r="41" spans="1:46" x14ac:dyDescent="0.25">
      <c r="A41" t="s">
        <v>36</v>
      </c>
      <c r="B41" s="15" t="s">
        <v>328</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3">
        <f t="shared" si="10"/>
        <v>0</v>
      </c>
      <c r="O41" s="193">
        <v>18</v>
      </c>
      <c r="P41" s="193">
        <v>33</v>
      </c>
      <c r="Q41" s="193">
        <f t="shared" si="6"/>
        <v>0</v>
      </c>
      <c r="R41" s="193">
        <f t="shared" si="6"/>
        <v>0</v>
      </c>
      <c r="S41" s="193">
        <f t="shared" si="6"/>
        <v>0</v>
      </c>
      <c r="T41" s="193">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3">
        <f t="shared" si="12"/>
        <v>0</v>
      </c>
      <c r="AH41" s="193">
        <f t="shared" si="8"/>
        <v>18</v>
      </c>
      <c r="AI41" s="193">
        <v>48</v>
      </c>
      <c r="AJ41" s="193">
        <f t="shared" si="8"/>
        <v>0</v>
      </c>
      <c r="AK41" s="193">
        <f t="shared" si="8"/>
        <v>0</v>
      </c>
      <c r="AL41" s="193">
        <v>33</v>
      </c>
      <c r="AM41" s="193">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3">
        <f t="shared" si="10"/>
        <v>0</v>
      </c>
      <c r="O42" s="193">
        <f t="shared" si="6"/>
        <v>0</v>
      </c>
      <c r="P42" s="193">
        <f t="shared" si="6"/>
        <v>11</v>
      </c>
      <c r="Q42" s="193">
        <f t="shared" si="6"/>
        <v>20.5</v>
      </c>
      <c r="R42" s="193">
        <f t="shared" si="6"/>
        <v>21</v>
      </c>
      <c r="S42" s="193">
        <f t="shared" si="6"/>
        <v>2</v>
      </c>
      <c r="T42" s="193">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3">
        <f t="shared" si="12"/>
        <v>0</v>
      </c>
      <c r="AH42" s="193">
        <f t="shared" si="8"/>
        <v>0</v>
      </c>
      <c r="AI42" s="193">
        <f>P42+15</f>
        <v>26</v>
      </c>
      <c r="AJ42" s="193">
        <f t="shared" si="8"/>
        <v>20.5</v>
      </c>
      <c r="AK42" s="193">
        <f t="shared" si="8"/>
        <v>21</v>
      </c>
      <c r="AL42" s="193">
        <f>2+33</f>
        <v>35</v>
      </c>
      <c r="AM42" s="193">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3">
        <f t="shared" si="10"/>
        <v>0</v>
      </c>
      <c r="O43" s="193">
        <f t="shared" si="6"/>
        <v>14</v>
      </c>
      <c r="P43" s="193">
        <f t="shared" si="6"/>
        <v>3</v>
      </c>
      <c r="Q43" s="193">
        <f t="shared" si="6"/>
        <v>15</v>
      </c>
      <c r="R43" s="193">
        <f t="shared" si="6"/>
        <v>21</v>
      </c>
      <c r="S43" s="193">
        <f t="shared" si="6"/>
        <v>0</v>
      </c>
      <c r="T43" s="193">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3">
        <f t="shared" si="12"/>
        <v>0</v>
      </c>
      <c r="AH43" s="193">
        <f t="shared" si="8"/>
        <v>14</v>
      </c>
      <c r="AI43" s="193">
        <f>P43+15</f>
        <v>18</v>
      </c>
      <c r="AJ43" s="193">
        <f t="shared" si="8"/>
        <v>15</v>
      </c>
      <c r="AK43" s="193">
        <f t="shared" si="8"/>
        <v>21</v>
      </c>
      <c r="AL43" s="193">
        <v>33</v>
      </c>
      <c r="AM43" s="193">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3">
        <f t="shared" si="10"/>
        <v>0</v>
      </c>
      <c r="O44" s="193">
        <f t="shared" si="6"/>
        <v>3</v>
      </c>
      <c r="P44" s="193">
        <f t="shared" si="6"/>
        <v>9</v>
      </c>
      <c r="Q44" s="193">
        <f t="shared" si="6"/>
        <v>17.5</v>
      </c>
      <c r="R44" s="193">
        <f t="shared" si="6"/>
        <v>18</v>
      </c>
      <c r="S44" s="193">
        <f t="shared" si="6"/>
        <v>2</v>
      </c>
      <c r="T44" s="193">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3">
        <f t="shared" si="12"/>
        <v>0</v>
      </c>
      <c r="AH44" s="193">
        <f t="shared" si="8"/>
        <v>3</v>
      </c>
      <c r="AI44" s="193">
        <f>P44+15</f>
        <v>24</v>
      </c>
      <c r="AJ44" s="193">
        <f t="shared" si="8"/>
        <v>17.5</v>
      </c>
      <c r="AK44" s="193">
        <f t="shared" si="8"/>
        <v>18</v>
      </c>
      <c r="AL44" s="193">
        <f>2+33</f>
        <v>35</v>
      </c>
      <c r="AM44" s="193">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3">
        <f t="shared" si="10"/>
        <v>0</v>
      </c>
      <c r="O45" s="193">
        <f t="shared" si="6"/>
        <v>0</v>
      </c>
      <c r="P45" s="193">
        <f t="shared" si="6"/>
        <v>0</v>
      </c>
      <c r="Q45" s="193">
        <f t="shared" si="6"/>
        <v>0</v>
      </c>
      <c r="R45" s="193">
        <f t="shared" si="6"/>
        <v>0</v>
      </c>
      <c r="S45" s="193">
        <f t="shared" si="6"/>
        <v>0</v>
      </c>
      <c r="T45" s="193">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3">
        <f t="shared" si="12"/>
        <v>0</v>
      </c>
      <c r="AH45" s="193">
        <f t="shared" si="8"/>
        <v>0</v>
      </c>
      <c r="AI45" s="193">
        <f t="shared" si="8"/>
        <v>0</v>
      </c>
      <c r="AJ45" s="193">
        <f t="shared" si="8"/>
        <v>0</v>
      </c>
      <c r="AK45" s="193">
        <f t="shared" si="8"/>
        <v>0</v>
      </c>
      <c r="AL45" s="193">
        <f t="shared" si="8"/>
        <v>0</v>
      </c>
      <c r="AM45" s="193">
        <f t="shared" si="8"/>
        <v>0</v>
      </c>
      <c r="AN45" s="66">
        <f>SUM(AG45:AM45)</f>
        <v>0</v>
      </c>
    </row>
    <row r="46" spans="1:46" x14ac:dyDescent="0.25">
      <c r="A46" t="s">
        <v>327</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3">
        <f t="shared" si="10"/>
        <v>0</v>
      </c>
      <c r="O46" s="193">
        <f t="shared" si="6"/>
        <v>0</v>
      </c>
      <c r="P46" s="193">
        <f t="shared" si="6"/>
        <v>0</v>
      </c>
      <c r="Q46" s="193">
        <f t="shared" si="6"/>
        <v>0</v>
      </c>
      <c r="R46" s="193">
        <f t="shared" si="6"/>
        <v>0</v>
      </c>
      <c r="S46" s="193">
        <f t="shared" si="6"/>
        <v>0</v>
      </c>
      <c r="T46" s="193">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3">
        <f t="shared" si="12"/>
        <v>0</v>
      </c>
      <c r="AH46" s="193">
        <f t="shared" si="8"/>
        <v>0</v>
      </c>
      <c r="AI46" s="193">
        <f t="shared" si="8"/>
        <v>0</v>
      </c>
      <c r="AJ46" s="193">
        <f t="shared" si="8"/>
        <v>0</v>
      </c>
      <c r="AK46" s="193">
        <f t="shared" si="8"/>
        <v>0</v>
      </c>
      <c r="AL46" s="193">
        <f t="shared" si="8"/>
        <v>0</v>
      </c>
      <c r="AM46" s="193">
        <f t="shared" si="8"/>
        <v>0</v>
      </c>
      <c r="AN46" s="66">
        <f>SUM(AG46:AM46)</f>
        <v>0</v>
      </c>
    </row>
    <row r="47" spans="1:46" x14ac:dyDescent="0.25">
      <c r="A47"/>
      <c r="B47"/>
      <c r="F47" s="193"/>
      <c r="G47" s="193"/>
      <c r="H47" s="193"/>
      <c r="I47" s="193"/>
      <c r="J47" s="193"/>
      <c r="K47" s="193"/>
      <c r="L47" s="193"/>
      <c r="M47" s="194">
        <f>SUM(M49:M63)</f>
        <v>64407.92</v>
      </c>
      <c r="N47" s="193"/>
      <c r="O47" s="193"/>
      <c r="P47" s="193"/>
      <c r="Q47" s="193"/>
      <c r="R47" s="193"/>
      <c r="S47" s="193"/>
      <c r="T47" s="193"/>
      <c r="U47" s="193"/>
      <c r="Y47" s="193"/>
      <c r="Z47" s="193"/>
      <c r="AA47" s="193"/>
      <c r="AB47" s="193"/>
      <c r="AC47" s="193"/>
      <c r="AD47" s="193"/>
      <c r="AE47" s="193"/>
      <c r="AF47" s="194">
        <f>SUM(AF49:AF63)</f>
        <v>89732.88</v>
      </c>
      <c r="AG47" s="193"/>
      <c r="AH47" s="193"/>
      <c r="AI47" s="193"/>
      <c r="AJ47" s="193"/>
      <c r="AK47" s="193"/>
      <c r="AL47" s="193"/>
      <c r="AM47" s="193"/>
      <c r="AN47" s="193"/>
    </row>
    <row r="48" spans="1:46" x14ac:dyDescent="0.25">
      <c r="A48" s="10" t="s">
        <v>170</v>
      </c>
      <c r="B48" s="10" t="s">
        <v>2</v>
      </c>
      <c r="C48" s="10" t="s">
        <v>84</v>
      </c>
      <c r="D48" s="10" t="s">
        <v>314</v>
      </c>
      <c r="E48" s="10" t="s">
        <v>315</v>
      </c>
      <c r="F48" s="10" t="s">
        <v>15</v>
      </c>
      <c r="G48" s="10" t="s">
        <v>16</v>
      </c>
      <c r="H48" s="10" t="s">
        <v>17</v>
      </c>
      <c r="I48" s="10" t="s">
        <v>18</v>
      </c>
      <c r="J48" s="10" t="s">
        <v>19</v>
      </c>
      <c r="K48" s="10" t="s">
        <v>20</v>
      </c>
      <c r="L48" s="10" t="s">
        <v>6</v>
      </c>
      <c r="M48" s="10" t="s">
        <v>68</v>
      </c>
      <c r="N48" s="10" t="s">
        <v>316</v>
      </c>
      <c r="O48" s="10" t="s">
        <v>317</v>
      </c>
      <c r="P48" s="10" t="s">
        <v>318</v>
      </c>
      <c r="Q48" s="10" t="s">
        <v>319</v>
      </c>
      <c r="R48" s="10" t="s">
        <v>320</v>
      </c>
      <c r="S48" s="10" t="s">
        <v>321</v>
      </c>
      <c r="T48" s="10" t="s">
        <v>322</v>
      </c>
      <c r="U48" s="10" t="s">
        <v>323</v>
      </c>
      <c r="W48" s="10" t="s">
        <v>314</v>
      </c>
      <c r="X48" s="10" t="s">
        <v>315</v>
      </c>
      <c r="Y48" s="10" t="s">
        <v>15</v>
      </c>
      <c r="Z48" s="10" t="s">
        <v>16</v>
      </c>
      <c r="AA48" s="10" t="s">
        <v>17</v>
      </c>
      <c r="AB48" s="10" t="s">
        <v>18</v>
      </c>
      <c r="AC48" s="10" t="s">
        <v>19</v>
      </c>
      <c r="AD48" s="10" t="s">
        <v>20</v>
      </c>
      <c r="AE48" s="10" t="s">
        <v>6</v>
      </c>
      <c r="AF48" s="10" t="s">
        <v>68</v>
      </c>
      <c r="AG48" s="10" t="s">
        <v>316</v>
      </c>
      <c r="AH48" s="10" t="s">
        <v>317</v>
      </c>
      <c r="AI48" s="10" t="s">
        <v>318</v>
      </c>
      <c r="AJ48" s="10" t="s">
        <v>319</v>
      </c>
      <c r="AK48" s="10" t="s">
        <v>320</v>
      </c>
      <c r="AL48" s="10" t="s">
        <v>321</v>
      </c>
      <c r="AM48" s="10" t="s">
        <v>322</v>
      </c>
      <c r="AN48" s="10" t="s">
        <v>323</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3">
        <f>AG31</f>
        <v>0</v>
      </c>
      <c r="O49" s="193">
        <f t="shared" ref="O49:T64" si="20">AH31</f>
        <v>0</v>
      </c>
      <c r="P49" s="193">
        <f t="shared" si="20"/>
        <v>0</v>
      </c>
      <c r="Q49" s="193">
        <f t="shared" si="20"/>
        <v>0</v>
      </c>
      <c r="R49" s="193">
        <f t="shared" si="20"/>
        <v>0</v>
      </c>
      <c r="S49" s="193">
        <f t="shared" si="20"/>
        <v>0</v>
      </c>
      <c r="T49" s="193">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3">
        <f>N49</f>
        <v>0</v>
      </c>
      <c r="AH49" s="193">
        <f t="shared" ref="AH49:AM64" si="22">O49</f>
        <v>0</v>
      </c>
      <c r="AI49" s="193">
        <f t="shared" si="22"/>
        <v>0</v>
      </c>
      <c r="AJ49" s="193">
        <f t="shared" si="22"/>
        <v>0</v>
      </c>
      <c r="AK49" s="193">
        <f t="shared" si="22"/>
        <v>0</v>
      </c>
      <c r="AL49" s="193">
        <f t="shared" si="22"/>
        <v>0</v>
      </c>
      <c r="AM49" s="193">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3">
        <f t="shared" si="19"/>
        <v>0</v>
      </c>
      <c r="O50" s="193">
        <f t="shared" si="20"/>
        <v>0</v>
      </c>
      <c r="P50" s="193">
        <f t="shared" si="20"/>
        <v>0</v>
      </c>
      <c r="Q50" s="193">
        <f t="shared" si="20"/>
        <v>0</v>
      </c>
      <c r="R50" s="193">
        <f t="shared" si="20"/>
        <v>0</v>
      </c>
      <c r="S50" s="193">
        <f t="shared" si="20"/>
        <v>0</v>
      </c>
      <c r="T50" s="193">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3">
        <f t="shared" ref="AG50:AG64" si="25">N50</f>
        <v>0</v>
      </c>
      <c r="AH50" s="193">
        <f t="shared" si="22"/>
        <v>0</v>
      </c>
      <c r="AI50" s="193">
        <f t="shared" si="22"/>
        <v>0</v>
      </c>
      <c r="AJ50" s="193">
        <f t="shared" si="22"/>
        <v>0</v>
      </c>
      <c r="AK50" s="193">
        <f t="shared" si="22"/>
        <v>0</v>
      </c>
      <c r="AL50" s="193">
        <f t="shared" si="22"/>
        <v>0</v>
      </c>
      <c r="AM50" s="193">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3">
        <f t="shared" si="19"/>
        <v>0</v>
      </c>
      <c r="O51" s="193">
        <f t="shared" si="20"/>
        <v>0</v>
      </c>
      <c r="P51" s="193">
        <f t="shared" si="20"/>
        <v>0</v>
      </c>
      <c r="Q51" s="193">
        <f t="shared" si="20"/>
        <v>0</v>
      </c>
      <c r="R51" s="193">
        <f t="shared" si="20"/>
        <v>0</v>
      </c>
      <c r="S51" s="193">
        <f t="shared" si="20"/>
        <v>0</v>
      </c>
      <c r="T51" s="193">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3">
        <f t="shared" si="25"/>
        <v>0</v>
      </c>
      <c r="AH51" s="193">
        <f t="shared" si="22"/>
        <v>0</v>
      </c>
      <c r="AI51" s="193">
        <f t="shared" si="22"/>
        <v>0</v>
      </c>
      <c r="AJ51" s="193">
        <f t="shared" si="22"/>
        <v>0</v>
      </c>
      <c r="AK51" s="193">
        <f t="shared" si="22"/>
        <v>0</v>
      </c>
      <c r="AL51" s="193">
        <f t="shared" si="22"/>
        <v>0</v>
      </c>
      <c r="AM51" s="193">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3">
        <f t="shared" si="19"/>
        <v>0</v>
      </c>
      <c r="O52" s="193">
        <f t="shared" si="20"/>
        <v>0</v>
      </c>
      <c r="P52" s="193">
        <f t="shared" si="20"/>
        <v>0</v>
      </c>
      <c r="Q52" s="193">
        <f t="shared" si="20"/>
        <v>0</v>
      </c>
      <c r="R52" s="193">
        <f t="shared" si="20"/>
        <v>0</v>
      </c>
      <c r="S52" s="193">
        <f t="shared" si="20"/>
        <v>0</v>
      </c>
      <c r="T52" s="193">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3">
        <f t="shared" si="25"/>
        <v>0</v>
      </c>
      <c r="AH52" s="193">
        <f t="shared" si="22"/>
        <v>0</v>
      </c>
      <c r="AI52" s="193">
        <f t="shared" si="22"/>
        <v>0</v>
      </c>
      <c r="AJ52" s="193">
        <f t="shared" si="22"/>
        <v>0</v>
      </c>
      <c r="AK52" s="193">
        <f t="shared" si="22"/>
        <v>0</v>
      </c>
      <c r="AL52" s="193">
        <f t="shared" si="22"/>
        <v>0</v>
      </c>
      <c r="AM52" s="193">
        <f t="shared" si="22"/>
        <v>0</v>
      </c>
      <c r="AN52" s="66">
        <f>SUM(AG52:AM52)</f>
        <v>0</v>
      </c>
    </row>
    <row r="53" spans="1:43" x14ac:dyDescent="0.25">
      <c r="A53" t="s">
        <v>41</v>
      </c>
      <c r="B53" s="15" t="s">
        <v>329</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3">
        <f t="shared" si="19"/>
        <v>0</v>
      </c>
      <c r="O53" s="193">
        <v>30</v>
      </c>
      <c r="P53" s="193">
        <v>33</v>
      </c>
      <c r="Q53" s="193">
        <f t="shared" si="20"/>
        <v>0</v>
      </c>
      <c r="R53" s="193">
        <f t="shared" si="20"/>
        <v>0</v>
      </c>
      <c r="S53" s="193">
        <v>33</v>
      </c>
      <c r="T53" s="193">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3">
        <f t="shared" si="25"/>
        <v>0</v>
      </c>
      <c r="AH53" s="193">
        <f>O53+$AQ$54</f>
        <v>56</v>
      </c>
      <c r="AI53" s="193">
        <f t="shared" si="22"/>
        <v>33</v>
      </c>
      <c r="AJ53" s="193">
        <f t="shared" si="22"/>
        <v>0</v>
      </c>
      <c r="AK53" s="193">
        <f t="shared" si="22"/>
        <v>0</v>
      </c>
      <c r="AL53" s="193">
        <f t="shared" si="22"/>
        <v>33</v>
      </c>
      <c r="AM53" s="193">
        <f t="shared" si="22"/>
        <v>0</v>
      </c>
      <c r="AN53" s="66">
        <f t="shared" ref="AN53:AN60" si="27">SUM(AG53:AM53)</f>
        <v>122</v>
      </c>
    </row>
    <row r="54" spans="1:43" x14ac:dyDescent="0.25">
      <c r="A54" t="s">
        <v>38</v>
      </c>
      <c r="B54" s="15" t="s">
        <v>329</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3">
        <f t="shared" si="19"/>
        <v>0</v>
      </c>
      <c r="O54" s="193">
        <v>30</v>
      </c>
      <c r="P54" s="193">
        <v>33</v>
      </c>
      <c r="Q54" s="193">
        <f t="shared" si="20"/>
        <v>0</v>
      </c>
      <c r="R54" s="193">
        <f t="shared" si="20"/>
        <v>0</v>
      </c>
      <c r="S54" s="193">
        <v>33</v>
      </c>
      <c r="T54" s="193">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3">
        <f t="shared" si="25"/>
        <v>0</v>
      </c>
      <c r="AH54" s="193">
        <f t="shared" ref="AH54:AH62" si="30">O54+$AQ$54</f>
        <v>56</v>
      </c>
      <c r="AI54" s="193">
        <f t="shared" si="22"/>
        <v>33</v>
      </c>
      <c r="AJ54" s="193">
        <f t="shared" si="22"/>
        <v>0</v>
      </c>
      <c r="AK54" s="193">
        <f t="shared" si="22"/>
        <v>0</v>
      </c>
      <c r="AL54" s="193">
        <f t="shared" si="22"/>
        <v>33</v>
      </c>
      <c r="AM54" s="193">
        <f t="shared" si="22"/>
        <v>0</v>
      </c>
      <c r="AN54" s="66">
        <f t="shared" si="27"/>
        <v>122</v>
      </c>
      <c r="AP54" s="197" t="s">
        <v>30</v>
      </c>
      <c r="AQ54" s="197">
        <v>26</v>
      </c>
    </row>
    <row r="55" spans="1:43" x14ac:dyDescent="0.25">
      <c r="A55" t="s">
        <v>35</v>
      </c>
      <c r="B55" s="15" t="s">
        <v>329</v>
      </c>
      <c r="C55" s="3" t="s">
        <v>295</v>
      </c>
      <c r="D55" s="3">
        <v>21</v>
      </c>
      <c r="E55" s="3">
        <v>70</v>
      </c>
      <c r="F55" s="111">
        <f t="shared" si="23"/>
        <v>0</v>
      </c>
      <c r="G55" s="111">
        <v>9</v>
      </c>
      <c r="H55" s="111">
        <v>10</v>
      </c>
      <c r="I55" s="111">
        <f t="shared" si="19"/>
        <v>2</v>
      </c>
      <c r="J55" s="111">
        <f t="shared" si="19"/>
        <v>2</v>
      </c>
      <c r="K55" s="111">
        <v>10</v>
      </c>
      <c r="L55" s="111">
        <f t="shared" si="19"/>
        <v>2</v>
      </c>
      <c r="M55" s="47">
        <f>(2910+1315+1165)*1.008</f>
        <v>5433.12</v>
      </c>
      <c r="N55" s="193">
        <f t="shared" si="19"/>
        <v>0</v>
      </c>
      <c r="O55" s="193">
        <v>30</v>
      </c>
      <c r="P55" s="193">
        <v>33</v>
      </c>
      <c r="Q55" s="193">
        <f t="shared" si="20"/>
        <v>0</v>
      </c>
      <c r="R55" s="193">
        <f t="shared" si="20"/>
        <v>0</v>
      </c>
      <c r="S55" s="193">
        <v>33</v>
      </c>
      <c r="T55" s="193">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3">
        <f t="shared" si="25"/>
        <v>0</v>
      </c>
      <c r="AH55" s="193">
        <f t="shared" si="30"/>
        <v>56</v>
      </c>
      <c r="AI55" s="193">
        <f t="shared" si="22"/>
        <v>33</v>
      </c>
      <c r="AJ55" s="193">
        <f t="shared" si="22"/>
        <v>0</v>
      </c>
      <c r="AK55" s="193">
        <f t="shared" si="22"/>
        <v>0</v>
      </c>
      <c r="AL55" s="193">
        <f t="shared" si="22"/>
        <v>33</v>
      </c>
      <c r="AM55" s="193">
        <f t="shared" si="22"/>
        <v>0</v>
      </c>
      <c r="AN55" s="66">
        <f t="shared" si="27"/>
        <v>122</v>
      </c>
      <c r="AQ55">
        <f>AQ54*7</f>
        <v>182</v>
      </c>
    </row>
    <row r="56" spans="1:43" x14ac:dyDescent="0.25">
      <c r="A56" t="s">
        <v>31</v>
      </c>
      <c r="B56" s="15" t="s">
        <v>329</v>
      </c>
      <c r="C56" s="3" t="s">
        <v>295</v>
      </c>
      <c r="D56" s="3">
        <v>21</v>
      </c>
      <c r="E56" s="3">
        <v>70</v>
      </c>
      <c r="F56" s="111">
        <f t="shared" si="23"/>
        <v>0</v>
      </c>
      <c r="G56" s="111">
        <v>9</v>
      </c>
      <c r="H56" s="111">
        <v>10</v>
      </c>
      <c r="I56" s="111">
        <f t="shared" si="19"/>
        <v>2</v>
      </c>
      <c r="J56" s="111">
        <f t="shared" si="19"/>
        <v>2</v>
      </c>
      <c r="K56" s="111">
        <v>10</v>
      </c>
      <c r="L56" s="111">
        <f t="shared" si="19"/>
        <v>2</v>
      </c>
      <c r="M56" s="47">
        <f>(2910+1315+1165)*1.008</f>
        <v>5433.12</v>
      </c>
      <c r="N56" s="193">
        <f t="shared" si="19"/>
        <v>0</v>
      </c>
      <c r="O56" s="193">
        <v>30</v>
      </c>
      <c r="P56" s="193">
        <v>33</v>
      </c>
      <c r="Q56" s="193">
        <f t="shared" si="20"/>
        <v>0</v>
      </c>
      <c r="R56" s="193">
        <f t="shared" si="20"/>
        <v>0</v>
      </c>
      <c r="S56" s="193">
        <v>33</v>
      </c>
      <c r="T56" s="193">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3">
        <f t="shared" si="25"/>
        <v>0</v>
      </c>
      <c r="AH56" s="193">
        <f t="shared" si="30"/>
        <v>56</v>
      </c>
      <c r="AI56" s="193">
        <f t="shared" si="22"/>
        <v>33</v>
      </c>
      <c r="AJ56" s="193">
        <f t="shared" si="22"/>
        <v>0</v>
      </c>
      <c r="AK56" s="193">
        <f t="shared" si="22"/>
        <v>0</v>
      </c>
      <c r="AL56" s="193">
        <f t="shared" si="22"/>
        <v>33</v>
      </c>
      <c r="AM56" s="193">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3">
        <f t="shared" si="19"/>
        <v>0</v>
      </c>
      <c r="O57" s="193">
        <f t="shared" si="20"/>
        <v>18</v>
      </c>
      <c r="P57" s="193">
        <f t="shared" si="20"/>
        <v>48</v>
      </c>
      <c r="Q57" s="193">
        <f t="shared" si="20"/>
        <v>0</v>
      </c>
      <c r="R57" s="193">
        <f t="shared" si="20"/>
        <v>0</v>
      </c>
      <c r="S57" s="193">
        <f t="shared" si="20"/>
        <v>33</v>
      </c>
      <c r="T57" s="193">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3">
        <f t="shared" si="25"/>
        <v>0</v>
      </c>
      <c r="AH57" s="193">
        <f t="shared" si="30"/>
        <v>44</v>
      </c>
      <c r="AI57" s="193">
        <f t="shared" si="22"/>
        <v>48</v>
      </c>
      <c r="AJ57" s="193">
        <f t="shared" si="22"/>
        <v>0</v>
      </c>
      <c r="AK57" s="193">
        <f t="shared" si="22"/>
        <v>0</v>
      </c>
      <c r="AL57" s="193">
        <f t="shared" si="22"/>
        <v>33</v>
      </c>
      <c r="AM57" s="193">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3">
        <f t="shared" si="19"/>
        <v>0</v>
      </c>
      <c r="O58" s="193">
        <f t="shared" si="20"/>
        <v>18</v>
      </c>
      <c r="P58" s="193">
        <f t="shared" si="20"/>
        <v>48</v>
      </c>
      <c r="Q58" s="193">
        <f t="shared" si="20"/>
        <v>0</v>
      </c>
      <c r="R58" s="193">
        <f t="shared" si="20"/>
        <v>0</v>
      </c>
      <c r="S58" s="193">
        <f t="shared" si="20"/>
        <v>33</v>
      </c>
      <c r="T58" s="193">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3">
        <f t="shared" si="25"/>
        <v>0</v>
      </c>
      <c r="AH58" s="193">
        <f t="shared" si="30"/>
        <v>44</v>
      </c>
      <c r="AI58" s="193">
        <f t="shared" si="22"/>
        <v>48</v>
      </c>
      <c r="AJ58" s="193">
        <f t="shared" si="22"/>
        <v>0</v>
      </c>
      <c r="AK58" s="193">
        <f t="shared" si="22"/>
        <v>0</v>
      </c>
      <c r="AL58" s="193">
        <f t="shared" si="22"/>
        <v>33</v>
      </c>
      <c r="AM58" s="193">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3">
        <f t="shared" si="19"/>
        <v>0</v>
      </c>
      <c r="O59" s="193">
        <f t="shared" si="20"/>
        <v>18</v>
      </c>
      <c r="P59" s="193">
        <f t="shared" si="20"/>
        <v>48</v>
      </c>
      <c r="Q59" s="193">
        <f t="shared" si="20"/>
        <v>0</v>
      </c>
      <c r="R59" s="193">
        <f t="shared" si="20"/>
        <v>0</v>
      </c>
      <c r="S59" s="193">
        <f t="shared" si="20"/>
        <v>33</v>
      </c>
      <c r="T59" s="193">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3">
        <f t="shared" si="25"/>
        <v>0</v>
      </c>
      <c r="AH59" s="193">
        <f t="shared" si="30"/>
        <v>44</v>
      </c>
      <c r="AI59" s="193">
        <f t="shared" si="22"/>
        <v>48</v>
      </c>
      <c r="AJ59" s="193">
        <f t="shared" si="22"/>
        <v>0</v>
      </c>
      <c r="AK59" s="193">
        <f t="shared" si="22"/>
        <v>0</v>
      </c>
      <c r="AL59" s="193">
        <f t="shared" si="22"/>
        <v>33</v>
      </c>
      <c r="AM59" s="193">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3">
        <f t="shared" si="19"/>
        <v>0</v>
      </c>
      <c r="O60" s="193">
        <f t="shared" si="20"/>
        <v>0</v>
      </c>
      <c r="P60" s="193">
        <f t="shared" si="20"/>
        <v>26</v>
      </c>
      <c r="Q60" s="193">
        <f t="shared" si="20"/>
        <v>20.5</v>
      </c>
      <c r="R60" s="193">
        <f t="shared" si="20"/>
        <v>21</v>
      </c>
      <c r="S60" s="193">
        <f t="shared" si="20"/>
        <v>35</v>
      </c>
      <c r="T60" s="193">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3">
        <f t="shared" si="25"/>
        <v>0</v>
      </c>
      <c r="AH60" s="193">
        <f t="shared" si="30"/>
        <v>26</v>
      </c>
      <c r="AI60" s="193">
        <f t="shared" si="22"/>
        <v>26</v>
      </c>
      <c r="AJ60" s="193">
        <f t="shared" si="22"/>
        <v>20.5</v>
      </c>
      <c r="AK60" s="193">
        <f t="shared" si="22"/>
        <v>21</v>
      </c>
      <c r="AL60" s="193">
        <f t="shared" si="22"/>
        <v>35</v>
      </c>
      <c r="AM60" s="193">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3">
        <f t="shared" si="19"/>
        <v>0</v>
      </c>
      <c r="O61" s="193">
        <f t="shared" si="20"/>
        <v>14</v>
      </c>
      <c r="P61" s="193">
        <f t="shared" si="20"/>
        <v>18</v>
      </c>
      <c r="Q61" s="193">
        <f t="shared" si="20"/>
        <v>15</v>
      </c>
      <c r="R61" s="193">
        <f t="shared" si="20"/>
        <v>21</v>
      </c>
      <c r="S61" s="193">
        <f t="shared" si="20"/>
        <v>33</v>
      </c>
      <c r="T61" s="193">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3">
        <f t="shared" si="25"/>
        <v>0</v>
      </c>
      <c r="AH61" s="193">
        <f t="shared" si="30"/>
        <v>40</v>
      </c>
      <c r="AI61" s="193">
        <f t="shared" si="22"/>
        <v>18</v>
      </c>
      <c r="AJ61" s="193">
        <f t="shared" si="22"/>
        <v>15</v>
      </c>
      <c r="AK61" s="193">
        <f t="shared" si="22"/>
        <v>21</v>
      </c>
      <c r="AL61" s="193">
        <f t="shared" si="22"/>
        <v>33</v>
      </c>
      <c r="AM61" s="193">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3">
        <f t="shared" si="19"/>
        <v>0</v>
      </c>
      <c r="O62" s="193">
        <f t="shared" si="20"/>
        <v>3</v>
      </c>
      <c r="P62" s="193">
        <f t="shared" si="20"/>
        <v>24</v>
      </c>
      <c r="Q62" s="193">
        <f t="shared" si="20"/>
        <v>17.5</v>
      </c>
      <c r="R62" s="193">
        <f t="shared" si="20"/>
        <v>18</v>
      </c>
      <c r="S62" s="193">
        <f t="shared" si="20"/>
        <v>35</v>
      </c>
      <c r="T62" s="193">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3">
        <f t="shared" si="25"/>
        <v>0</v>
      </c>
      <c r="AH62" s="193">
        <f t="shared" si="30"/>
        <v>29</v>
      </c>
      <c r="AI62" s="193">
        <f t="shared" si="22"/>
        <v>24</v>
      </c>
      <c r="AJ62" s="193">
        <f t="shared" si="22"/>
        <v>17.5</v>
      </c>
      <c r="AK62" s="193">
        <f t="shared" si="22"/>
        <v>18</v>
      </c>
      <c r="AL62" s="193">
        <f t="shared" si="22"/>
        <v>35</v>
      </c>
      <c r="AM62" s="193">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3">
        <f t="shared" si="19"/>
        <v>0</v>
      </c>
      <c r="O63" s="193">
        <f t="shared" si="20"/>
        <v>0</v>
      </c>
      <c r="P63" s="193">
        <f t="shared" si="20"/>
        <v>0</v>
      </c>
      <c r="Q63" s="193">
        <f t="shared" si="20"/>
        <v>0</v>
      </c>
      <c r="R63" s="193">
        <f t="shared" si="20"/>
        <v>0</v>
      </c>
      <c r="S63" s="193">
        <f t="shared" si="20"/>
        <v>0</v>
      </c>
      <c r="T63" s="193">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3">
        <f t="shared" si="25"/>
        <v>0</v>
      </c>
      <c r="AH63" s="193">
        <f t="shared" si="22"/>
        <v>0</v>
      </c>
      <c r="AI63" s="193">
        <f t="shared" si="22"/>
        <v>0</v>
      </c>
      <c r="AJ63" s="193">
        <f t="shared" si="22"/>
        <v>0</v>
      </c>
      <c r="AK63" s="193">
        <f t="shared" si="22"/>
        <v>0</v>
      </c>
      <c r="AL63" s="193">
        <f t="shared" si="22"/>
        <v>0</v>
      </c>
      <c r="AM63" s="193">
        <f t="shared" si="22"/>
        <v>0</v>
      </c>
      <c r="AN63" s="66">
        <f>SUM(AG63:AM63)</f>
        <v>0</v>
      </c>
    </row>
    <row r="64" spans="1:43" x14ac:dyDescent="0.25">
      <c r="A64" t="s">
        <v>327</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3">
        <f t="shared" si="19"/>
        <v>0</v>
      </c>
      <c r="O64" s="193">
        <f t="shared" si="20"/>
        <v>0</v>
      </c>
      <c r="P64" s="193">
        <f t="shared" si="20"/>
        <v>0</v>
      </c>
      <c r="Q64" s="193">
        <f t="shared" si="20"/>
        <v>0</v>
      </c>
      <c r="R64" s="193">
        <f t="shared" si="20"/>
        <v>0</v>
      </c>
      <c r="S64" s="193">
        <f t="shared" si="20"/>
        <v>0</v>
      </c>
      <c r="T64" s="193">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3">
        <f t="shared" si="25"/>
        <v>0</v>
      </c>
      <c r="AH64" s="193">
        <f t="shared" si="22"/>
        <v>0</v>
      </c>
      <c r="AI64" s="193">
        <f t="shared" si="22"/>
        <v>0</v>
      </c>
      <c r="AJ64" s="193">
        <f t="shared" si="22"/>
        <v>0</v>
      </c>
      <c r="AK64" s="193">
        <f t="shared" si="22"/>
        <v>0</v>
      </c>
      <c r="AL64" s="193">
        <f t="shared" si="22"/>
        <v>0</v>
      </c>
      <c r="AM64" s="193">
        <f t="shared" si="22"/>
        <v>0</v>
      </c>
      <c r="AN64" s="66">
        <f>SUM(AG64:AM64)</f>
        <v>0</v>
      </c>
    </row>
    <row r="65" spans="1:43" x14ac:dyDescent="0.25">
      <c r="A65"/>
      <c r="B65"/>
      <c r="F65" s="193"/>
      <c r="G65" s="193"/>
      <c r="H65" s="193"/>
      <c r="I65" s="193"/>
      <c r="J65" s="193"/>
      <c r="K65" s="193"/>
      <c r="L65" s="193"/>
      <c r="M65" s="194">
        <f>SUM(M67:M81)</f>
        <v>151807.20000000001</v>
      </c>
      <c r="N65" s="193"/>
      <c r="O65" s="193"/>
      <c r="P65" s="193"/>
      <c r="Q65" s="193"/>
      <c r="R65" s="193"/>
      <c r="S65" s="193"/>
      <c r="T65" s="193"/>
      <c r="U65" s="193"/>
      <c r="Y65" s="193"/>
      <c r="Z65" s="193"/>
      <c r="AA65" s="193"/>
      <c r="AB65" s="193"/>
      <c r="AC65" s="193"/>
      <c r="AD65" s="193"/>
      <c r="AE65" s="193"/>
      <c r="AF65" s="194">
        <f>SUM(AF67:AF81)</f>
        <v>157600.34499999997</v>
      </c>
      <c r="AG65" s="193"/>
      <c r="AH65" s="193"/>
      <c r="AI65" s="193"/>
      <c r="AJ65" s="193"/>
      <c r="AK65" s="193"/>
      <c r="AL65" s="193"/>
      <c r="AM65" s="193"/>
      <c r="AN65" s="193"/>
    </row>
    <row r="66" spans="1:43" x14ac:dyDescent="0.25">
      <c r="A66" s="10" t="s">
        <v>170</v>
      </c>
      <c r="B66" s="10" t="s">
        <v>2</v>
      </c>
      <c r="C66" s="10" t="s">
        <v>84</v>
      </c>
      <c r="D66" s="10" t="s">
        <v>314</v>
      </c>
      <c r="E66" s="10" t="s">
        <v>315</v>
      </c>
      <c r="F66" s="10" t="s">
        <v>15</v>
      </c>
      <c r="G66" s="10" t="s">
        <v>16</v>
      </c>
      <c r="H66" s="10" t="s">
        <v>17</v>
      </c>
      <c r="I66" s="10" t="s">
        <v>18</v>
      </c>
      <c r="J66" s="10" t="s">
        <v>19</v>
      </c>
      <c r="K66" s="10" t="s">
        <v>20</v>
      </c>
      <c r="L66" s="10" t="s">
        <v>6</v>
      </c>
      <c r="M66" s="10" t="s">
        <v>68</v>
      </c>
      <c r="N66" s="10" t="s">
        <v>316</v>
      </c>
      <c r="O66" s="10" t="s">
        <v>317</v>
      </c>
      <c r="P66" s="10" t="s">
        <v>318</v>
      </c>
      <c r="Q66" s="10" t="s">
        <v>319</v>
      </c>
      <c r="R66" s="10" t="s">
        <v>320</v>
      </c>
      <c r="S66" s="10" t="s">
        <v>321</v>
      </c>
      <c r="T66" s="10" t="s">
        <v>322</v>
      </c>
      <c r="U66" s="10" t="s">
        <v>323</v>
      </c>
      <c r="W66" s="10" t="s">
        <v>314</v>
      </c>
      <c r="X66" s="10" t="s">
        <v>315</v>
      </c>
      <c r="Y66" s="10" t="s">
        <v>15</v>
      </c>
      <c r="Z66" s="10" t="s">
        <v>16</v>
      </c>
      <c r="AA66" s="10" t="s">
        <v>17</v>
      </c>
      <c r="AB66" s="10" t="s">
        <v>18</v>
      </c>
      <c r="AC66" s="10" t="s">
        <v>19</v>
      </c>
      <c r="AD66" s="10" t="s">
        <v>20</v>
      </c>
      <c r="AE66" s="10" t="s">
        <v>6</v>
      </c>
      <c r="AF66" s="10" t="s">
        <v>68</v>
      </c>
      <c r="AG66" s="10" t="s">
        <v>316</v>
      </c>
      <c r="AH66" s="10" t="s">
        <v>317</v>
      </c>
      <c r="AI66" s="10" t="s">
        <v>318</v>
      </c>
      <c r="AJ66" s="10" t="s">
        <v>319</v>
      </c>
      <c r="AK66" s="10" t="s">
        <v>320</v>
      </c>
      <c r="AL66" s="10" t="s">
        <v>321</v>
      </c>
      <c r="AM66" s="10" t="s">
        <v>322</v>
      </c>
      <c r="AN66" s="10" t="s">
        <v>323</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3">
        <v>52</v>
      </c>
      <c r="O67" s="193">
        <v>37</v>
      </c>
      <c r="P67" s="193">
        <f t="shared" ref="P67:S82" si="34">AI49</f>
        <v>0</v>
      </c>
      <c r="Q67" s="193">
        <f t="shared" si="34"/>
        <v>0</v>
      </c>
      <c r="R67" s="193">
        <f t="shared" si="34"/>
        <v>0</v>
      </c>
      <c r="S67" s="193">
        <f t="shared" si="34"/>
        <v>0</v>
      </c>
      <c r="T67" s="193">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3">
        <f>N67</f>
        <v>52</v>
      </c>
      <c r="AH67" s="193">
        <f t="shared" ref="AH67:AL82" si="36">O67</f>
        <v>37</v>
      </c>
      <c r="AI67" s="193">
        <f t="shared" si="36"/>
        <v>0</v>
      </c>
      <c r="AJ67" s="193">
        <f t="shared" si="36"/>
        <v>0</v>
      </c>
      <c r="AK67" s="193">
        <f t="shared" si="36"/>
        <v>0</v>
      </c>
      <c r="AL67" s="193">
        <f t="shared" si="36"/>
        <v>0</v>
      </c>
      <c r="AM67" s="193">
        <f>T67+$AQ$74</f>
        <v>30</v>
      </c>
      <c r="AN67" s="66">
        <f>SUM(AG67:AM67)</f>
        <v>119</v>
      </c>
    </row>
    <row r="68" spans="1:43" x14ac:dyDescent="0.25">
      <c r="A68" t="s">
        <v>32</v>
      </c>
      <c r="B68" s="15" t="s">
        <v>329</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3">
        <f t="shared" si="37"/>
        <v>0</v>
      </c>
      <c r="O68" s="193">
        <v>56</v>
      </c>
      <c r="P68" s="193">
        <v>16</v>
      </c>
      <c r="Q68" s="193">
        <f t="shared" si="34"/>
        <v>0</v>
      </c>
      <c r="R68" s="193">
        <f t="shared" si="34"/>
        <v>0</v>
      </c>
      <c r="S68" s="193">
        <v>33</v>
      </c>
      <c r="T68" s="193">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3">
        <f t="shared" ref="AG68:AG82" si="40">N68</f>
        <v>0</v>
      </c>
      <c r="AH68" s="193">
        <f t="shared" si="36"/>
        <v>56</v>
      </c>
      <c r="AI68" s="193">
        <f t="shared" si="36"/>
        <v>16</v>
      </c>
      <c r="AJ68" s="193">
        <f t="shared" si="36"/>
        <v>0</v>
      </c>
      <c r="AK68" s="193">
        <f t="shared" si="36"/>
        <v>0</v>
      </c>
      <c r="AL68" s="193">
        <f t="shared" si="36"/>
        <v>33</v>
      </c>
      <c r="AM68" s="193">
        <f t="shared" ref="AM68:AM82" si="41">T68+$AQ$74</f>
        <v>25</v>
      </c>
      <c r="AN68" s="66">
        <f>SUM(AG68:AM68)</f>
        <v>130</v>
      </c>
    </row>
    <row r="69" spans="1:43" x14ac:dyDescent="0.25">
      <c r="A69" t="s">
        <v>33</v>
      </c>
      <c r="B69" s="15" t="s">
        <v>329</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3">
        <f t="shared" si="37"/>
        <v>0</v>
      </c>
      <c r="O69" s="193">
        <v>56</v>
      </c>
      <c r="P69" s="193">
        <v>16</v>
      </c>
      <c r="Q69" s="193">
        <f t="shared" si="34"/>
        <v>0</v>
      </c>
      <c r="R69" s="193">
        <f t="shared" si="34"/>
        <v>0</v>
      </c>
      <c r="S69" s="193">
        <v>33</v>
      </c>
      <c r="T69" s="193">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3">
        <f t="shared" si="40"/>
        <v>0</v>
      </c>
      <c r="AH69" s="193">
        <f t="shared" si="36"/>
        <v>56</v>
      </c>
      <c r="AI69" s="193">
        <f t="shared" si="36"/>
        <v>16</v>
      </c>
      <c r="AJ69" s="193">
        <f t="shared" si="36"/>
        <v>0</v>
      </c>
      <c r="AK69" s="193">
        <f t="shared" si="36"/>
        <v>0</v>
      </c>
      <c r="AL69" s="193">
        <f t="shared" si="36"/>
        <v>33</v>
      </c>
      <c r="AM69" s="193">
        <f t="shared" si="41"/>
        <v>25</v>
      </c>
      <c r="AN69" s="66">
        <f>SUM(AG69:AM69)</f>
        <v>130</v>
      </c>
    </row>
    <row r="70" spans="1:43" x14ac:dyDescent="0.25">
      <c r="A70" t="s">
        <v>39</v>
      </c>
      <c r="B70" s="15" t="s">
        <v>329</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3">
        <f t="shared" si="37"/>
        <v>0</v>
      </c>
      <c r="O70" s="193">
        <v>56</v>
      </c>
      <c r="P70" s="193">
        <v>16</v>
      </c>
      <c r="Q70" s="193">
        <f t="shared" si="34"/>
        <v>0</v>
      </c>
      <c r="R70" s="193">
        <f t="shared" si="34"/>
        <v>0</v>
      </c>
      <c r="S70" s="193">
        <v>33</v>
      </c>
      <c r="T70" s="193">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3">
        <f t="shared" si="40"/>
        <v>0</v>
      </c>
      <c r="AH70" s="193">
        <f t="shared" si="36"/>
        <v>56</v>
      </c>
      <c r="AI70" s="193">
        <f t="shared" si="36"/>
        <v>16</v>
      </c>
      <c r="AJ70" s="193">
        <f t="shared" si="36"/>
        <v>0</v>
      </c>
      <c r="AK70" s="193">
        <f t="shared" si="36"/>
        <v>0</v>
      </c>
      <c r="AL70" s="193">
        <f t="shared" si="36"/>
        <v>33</v>
      </c>
      <c r="AM70" s="193">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3">
        <f t="shared" si="37"/>
        <v>0</v>
      </c>
      <c r="O71" s="193">
        <f t="shared" si="37"/>
        <v>56</v>
      </c>
      <c r="P71" s="193">
        <f t="shared" si="37"/>
        <v>33</v>
      </c>
      <c r="Q71" s="193">
        <f t="shared" si="34"/>
        <v>0</v>
      </c>
      <c r="R71" s="193">
        <f t="shared" si="34"/>
        <v>0</v>
      </c>
      <c r="S71" s="193">
        <f t="shared" si="34"/>
        <v>33</v>
      </c>
      <c r="T71" s="193">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3">
        <f t="shared" si="40"/>
        <v>0</v>
      </c>
      <c r="AH71" s="193">
        <f t="shared" si="36"/>
        <v>56</v>
      </c>
      <c r="AI71" s="193">
        <f t="shared" si="36"/>
        <v>33</v>
      </c>
      <c r="AJ71" s="193">
        <f t="shared" si="36"/>
        <v>0</v>
      </c>
      <c r="AK71" s="193">
        <f t="shared" si="36"/>
        <v>0</v>
      </c>
      <c r="AL71" s="193">
        <f t="shared" si="36"/>
        <v>33</v>
      </c>
      <c r="AM71" s="193">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3">
        <f t="shared" si="37"/>
        <v>0</v>
      </c>
      <c r="O72" s="193">
        <f t="shared" si="37"/>
        <v>56</v>
      </c>
      <c r="P72" s="193">
        <f t="shared" si="37"/>
        <v>33</v>
      </c>
      <c r="Q72" s="193">
        <f t="shared" si="34"/>
        <v>0</v>
      </c>
      <c r="R72" s="193">
        <f t="shared" si="34"/>
        <v>0</v>
      </c>
      <c r="S72" s="193">
        <f t="shared" si="34"/>
        <v>33</v>
      </c>
      <c r="T72" s="193">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3">
        <f t="shared" si="40"/>
        <v>0</v>
      </c>
      <c r="AH72" s="193">
        <f t="shared" si="36"/>
        <v>56</v>
      </c>
      <c r="AI72" s="193">
        <f t="shared" si="36"/>
        <v>33</v>
      </c>
      <c r="AJ72" s="193">
        <f t="shared" si="36"/>
        <v>0</v>
      </c>
      <c r="AK72" s="193">
        <f t="shared" si="36"/>
        <v>0</v>
      </c>
      <c r="AL72" s="193">
        <f t="shared" si="36"/>
        <v>33</v>
      </c>
      <c r="AM72" s="193">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3">
        <f t="shared" si="37"/>
        <v>0</v>
      </c>
      <c r="O73" s="193">
        <f t="shared" si="37"/>
        <v>56</v>
      </c>
      <c r="P73" s="193">
        <f t="shared" si="37"/>
        <v>33</v>
      </c>
      <c r="Q73" s="193">
        <f t="shared" si="34"/>
        <v>0</v>
      </c>
      <c r="R73" s="193">
        <f t="shared" si="34"/>
        <v>0</v>
      </c>
      <c r="S73" s="193">
        <f t="shared" si="34"/>
        <v>33</v>
      </c>
      <c r="T73" s="193">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3">
        <f t="shared" si="40"/>
        <v>0</v>
      </c>
      <c r="AH73" s="193">
        <f t="shared" si="36"/>
        <v>56</v>
      </c>
      <c r="AI73" s="193">
        <f t="shared" si="36"/>
        <v>33</v>
      </c>
      <c r="AJ73" s="193">
        <f t="shared" si="36"/>
        <v>0</v>
      </c>
      <c r="AK73" s="193">
        <f t="shared" si="36"/>
        <v>0</v>
      </c>
      <c r="AL73" s="193">
        <f t="shared" si="36"/>
        <v>33</v>
      </c>
      <c r="AM73" s="193">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3">
        <f t="shared" si="37"/>
        <v>0</v>
      </c>
      <c r="O74" s="193">
        <f t="shared" si="37"/>
        <v>56</v>
      </c>
      <c r="P74" s="193">
        <f t="shared" si="37"/>
        <v>33</v>
      </c>
      <c r="Q74" s="193">
        <f t="shared" si="34"/>
        <v>0</v>
      </c>
      <c r="R74" s="193">
        <f t="shared" si="34"/>
        <v>0</v>
      </c>
      <c r="S74" s="193">
        <f t="shared" si="34"/>
        <v>33</v>
      </c>
      <c r="T74" s="193">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3">
        <f t="shared" si="40"/>
        <v>0</v>
      </c>
      <c r="AH74" s="193">
        <f t="shared" si="36"/>
        <v>56</v>
      </c>
      <c r="AI74" s="193">
        <f t="shared" si="36"/>
        <v>33</v>
      </c>
      <c r="AJ74" s="193">
        <f t="shared" si="36"/>
        <v>0</v>
      </c>
      <c r="AK74" s="193">
        <f t="shared" si="36"/>
        <v>0</v>
      </c>
      <c r="AL74" s="193">
        <f t="shared" si="36"/>
        <v>33</v>
      </c>
      <c r="AM74" s="193">
        <f t="shared" si="41"/>
        <v>25</v>
      </c>
      <c r="AN74" s="66">
        <f t="shared" si="47"/>
        <v>147</v>
      </c>
      <c r="AP74" s="197" t="s">
        <v>47</v>
      </c>
      <c r="AQ74" s="197">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3">
        <f t="shared" si="37"/>
        <v>0</v>
      </c>
      <c r="O75" s="193">
        <f t="shared" si="37"/>
        <v>44</v>
      </c>
      <c r="P75" s="193">
        <f t="shared" si="37"/>
        <v>48</v>
      </c>
      <c r="Q75" s="193">
        <f t="shared" si="34"/>
        <v>0</v>
      </c>
      <c r="R75" s="193">
        <f t="shared" si="34"/>
        <v>0</v>
      </c>
      <c r="S75" s="193">
        <f t="shared" si="34"/>
        <v>33</v>
      </c>
      <c r="T75" s="193">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3">
        <f t="shared" si="40"/>
        <v>0</v>
      </c>
      <c r="AH75" s="193">
        <f t="shared" si="36"/>
        <v>44</v>
      </c>
      <c r="AI75" s="193">
        <f t="shared" si="36"/>
        <v>48</v>
      </c>
      <c r="AJ75" s="193">
        <f t="shared" si="36"/>
        <v>0</v>
      </c>
      <c r="AK75" s="193">
        <f t="shared" si="36"/>
        <v>0</v>
      </c>
      <c r="AL75" s="193">
        <f t="shared" si="36"/>
        <v>33</v>
      </c>
      <c r="AM75" s="193">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3">
        <f t="shared" si="37"/>
        <v>0</v>
      </c>
      <c r="O76" s="193">
        <f t="shared" si="37"/>
        <v>44</v>
      </c>
      <c r="P76" s="193">
        <f t="shared" si="37"/>
        <v>48</v>
      </c>
      <c r="Q76" s="193">
        <f t="shared" si="34"/>
        <v>0</v>
      </c>
      <c r="R76" s="193">
        <f t="shared" si="34"/>
        <v>0</v>
      </c>
      <c r="S76" s="193">
        <f t="shared" si="34"/>
        <v>33</v>
      </c>
      <c r="T76" s="193">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3">
        <f t="shared" si="40"/>
        <v>0</v>
      </c>
      <c r="AH76" s="193">
        <f t="shared" si="36"/>
        <v>44</v>
      </c>
      <c r="AI76" s="193">
        <f t="shared" si="36"/>
        <v>48</v>
      </c>
      <c r="AJ76" s="193">
        <f t="shared" si="36"/>
        <v>0</v>
      </c>
      <c r="AK76" s="193">
        <f t="shared" si="36"/>
        <v>0</v>
      </c>
      <c r="AL76" s="193">
        <f t="shared" si="36"/>
        <v>33</v>
      </c>
      <c r="AM76" s="193">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3">
        <f t="shared" si="37"/>
        <v>0</v>
      </c>
      <c r="O77" s="193">
        <f t="shared" si="37"/>
        <v>44</v>
      </c>
      <c r="P77" s="193">
        <f t="shared" si="37"/>
        <v>48</v>
      </c>
      <c r="Q77" s="193">
        <f t="shared" si="34"/>
        <v>0</v>
      </c>
      <c r="R77" s="193">
        <f t="shared" si="34"/>
        <v>0</v>
      </c>
      <c r="S77" s="193">
        <f t="shared" si="34"/>
        <v>33</v>
      </c>
      <c r="T77" s="193">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3">
        <f t="shared" si="40"/>
        <v>0</v>
      </c>
      <c r="AH77" s="193">
        <f t="shared" si="36"/>
        <v>44</v>
      </c>
      <c r="AI77" s="193">
        <f t="shared" si="36"/>
        <v>48</v>
      </c>
      <c r="AJ77" s="193">
        <f t="shared" si="36"/>
        <v>0</v>
      </c>
      <c r="AK77" s="193">
        <f t="shared" si="36"/>
        <v>0</v>
      </c>
      <c r="AL77" s="193">
        <f t="shared" si="36"/>
        <v>33</v>
      </c>
      <c r="AM77" s="193">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3">
        <f t="shared" si="37"/>
        <v>0</v>
      </c>
      <c r="O78" s="193">
        <f t="shared" si="37"/>
        <v>26</v>
      </c>
      <c r="P78" s="193">
        <f t="shared" si="37"/>
        <v>26</v>
      </c>
      <c r="Q78" s="193">
        <f t="shared" si="34"/>
        <v>20.5</v>
      </c>
      <c r="R78" s="193">
        <f t="shared" si="34"/>
        <v>21</v>
      </c>
      <c r="S78" s="193">
        <f t="shared" si="34"/>
        <v>35</v>
      </c>
      <c r="T78" s="193">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3">
        <f t="shared" si="40"/>
        <v>0</v>
      </c>
      <c r="AH78" s="193">
        <f t="shared" si="36"/>
        <v>26</v>
      </c>
      <c r="AI78" s="193">
        <f t="shared" si="36"/>
        <v>26</v>
      </c>
      <c r="AJ78" s="193">
        <f t="shared" si="36"/>
        <v>20.5</v>
      </c>
      <c r="AK78" s="193">
        <f t="shared" si="36"/>
        <v>21</v>
      </c>
      <c r="AL78" s="193">
        <f t="shared" si="36"/>
        <v>35</v>
      </c>
      <c r="AM78" s="193">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3">
        <f t="shared" si="37"/>
        <v>0</v>
      </c>
      <c r="O79" s="193">
        <f t="shared" si="37"/>
        <v>40</v>
      </c>
      <c r="P79" s="193">
        <f t="shared" si="37"/>
        <v>18</v>
      </c>
      <c r="Q79" s="193">
        <f t="shared" si="34"/>
        <v>15</v>
      </c>
      <c r="R79" s="193">
        <f t="shared" si="34"/>
        <v>21</v>
      </c>
      <c r="S79" s="193">
        <f t="shared" si="34"/>
        <v>33</v>
      </c>
      <c r="T79" s="193">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3">
        <f t="shared" si="40"/>
        <v>0</v>
      </c>
      <c r="AH79" s="193">
        <f t="shared" si="36"/>
        <v>40</v>
      </c>
      <c r="AI79" s="193">
        <f t="shared" si="36"/>
        <v>18</v>
      </c>
      <c r="AJ79" s="193">
        <f t="shared" si="36"/>
        <v>15</v>
      </c>
      <c r="AK79" s="193">
        <f t="shared" si="36"/>
        <v>21</v>
      </c>
      <c r="AL79" s="193">
        <f t="shared" si="36"/>
        <v>33</v>
      </c>
      <c r="AM79" s="193">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3">
        <f t="shared" si="37"/>
        <v>0</v>
      </c>
      <c r="O80" s="193">
        <f t="shared" si="37"/>
        <v>29</v>
      </c>
      <c r="P80" s="193">
        <f t="shared" si="37"/>
        <v>24</v>
      </c>
      <c r="Q80" s="193">
        <f t="shared" si="34"/>
        <v>17.5</v>
      </c>
      <c r="R80" s="193">
        <f t="shared" si="34"/>
        <v>18</v>
      </c>
      <c r="S80" s="193">
        <f t="shared" si="34"/>
        <v>35</v>
      </c>
      <c r="T80" s="193">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3">
        <f t="shared" si="40"/>
        <v>0</v>
      </c>
      <c r="AH80" s="193">
        <f t="shared" si="36"/>
        <v>29</v>
      </c>
      <c r="AI80" s="193">
        <f t="shared" si="36"/>
        <v>24</v>
      </c>
      <c r="AJ80" s="193">
        <f t="shared" si="36"/>
        <v>17.5</v>
      </c>
      <c r="AK80" s="193">
        <f t="shared" si="36"/>
        <v>18</v>
      </c>
      <c r="AL80" s="193">
        <f t="shared" si="36"/>
        <v>35</v>
      </c>
      <c r="AM80" s="193">
        <f t="shared" si="41"/>
        <v>23</v>
      </c>
      <c r="AN80" s="66">
        <f>SUM(AG80:AM80)</f>
        <v>146.5</v>
      </c>
    </row>
    <row r="81" spans="1:40" x14ac:dyDescent="0.25">
      <c r="A81" t="s">
        <v>46</v>
      </c>
      <c r="B81" s="15" t="s">
        <v>330</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3">
        <f t="shared" si="37"/>
        <v>0</v>
      </c>
      <c r="O81" s="193">
        <f t="shared" si="37"/>
        <v>0</v>
      </c>
      <c r="P81" s="193">
        <v>48</v>
      </c>
      <c r="Q81" s="193">
        <f t="shared" si="34"/>
        <v>0</v>
      </c>
      <c r="R81" s="193">
        <f t="shared" si="34"/>
        <v>0</v>
      </c>
      <c r="S81" s="193">
        <v>33</v>
      </c>
      <c r="T81" s="193">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3">
        <f t="shared" si="40"/>
        <v>0</v>
      </c>
      <c r="AH81" s="193">
        <f t="shared" si="36"/>
        <v>0</v>
      </c>
      <c r="AI81" s="193">
        <f t="shared" si="36"/>
        <v>48</v>
      </c>
      <c r="AJ81" s="193">
        <f t="shared" si="36"/>
        <v>0</v>
      </c>
      <c r="AK81" s="193">
        <f t="shared" si="36"/>
        <v>0</v>
      </c>
      <c r="AL81" s="193">
        <f t="shared" si="36"/>
        <v>33</v>
      </c>
      <c r="AM81" s="193">
        <f t="shared" si="41"/>
        <v>30</v>
      </c>
      <c r="AN81" s="66">
        <f>SUM(AG81:AM81)</f>
        <v>111</v>
      </c>
    </row>
    <row r="82" spans="1:40" x14ac:dyDescent="0.25">
      <c r="A82" t="s">
        <v>327</v>
      </c>
      <c r="B82" s="15" t="s">
        <v>330</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3">
        <f t="shared" si="37"/>
        <v>0</v>
      </c>
      <c r="O82" s="193">
        <f t="shared" si="37"/>
        <v>0</v>
      </c>
      <c r="P82" s="193">
        <v>48</v>
      </c>
      <c r="Q82" s="193">
        <f t="shared" si="34"/>
        <v>0</v>
      </c>
      <c r="R82" s="193">
        <f t="shared" si="34"/>
        <v>0</v>
      </c>
      <c r="S82" s="193">
        <v>33</v>
      </c>
      <c r="T82" s="193">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3">
        <f t="shared" si="40"/>
        <v>0</v>
      </c>
      <c r="AH82" s="193">
        <f t="shared" si="36"/>
        <v>0</v>
      </c>
      <c r="AI82" s="193">
        <f t="shared" si="36"/>
        <v>48</v>
      </c>
      <c r="AJ82" s="193">
        <f t="shared" si="36"/>
        <v>0</v>
      </c>
      <c r="AK82" s="193">
        <f t="shared" si="36"/>
        <v>0</v>
      </c>
      <c r="AL82" s="193">
        <f t="shared" si="36"/>
        <v>33</v>
      </c>
      <c r="AM82" s="193">
        <f t="shared" si="41"/>
        <v>30</v>
      </c>
      <c r="AN82" s="66">
        <f>SUM(AG82:AM82)</f>
        <v>111</v>
      </c>
    </row>
    <row r="83" spans="1:40" x14ac:dyDescent="0.25">
      <c r="A83"/>
      <c r="B83"/>
      <c r="M83" s="196"/>
    </row>
    <row r="84" spans="1:40" x14ac:dyDescent="0.25">
      <c r="A84"/>
      <c r="B84"/>
      <c r="M84" s="196"/>
    </row>
    <row r="85" spans="1:40" x14ac:dyDescent="0.25">
      <c r="A85"/>
      <c r="B85"/>
      <c r="M85" s="196"/>
    </row>
    <row r="86" spans="1:40" x14ac:dyDescent="0.25">
      <c r="A86"/>
      <c r="B86"/>
      <c r="M86" s="196"/>
    </row>
    <row r="87" spans="1:40" x14ac:dyDescent="0.25">
      <c r="A87"/>
      <c r="B87"/>
      <c r="M87" s="196"/>
    </row>
    <row r="88" spans="1:40" x14ac:dyDescent="0.25">
      <c r="A88"/>
      <c r="B88"/>
      <c r="M88" s="196"/>
    </row>
    <row r="89" spans="1:40" x14ac:dyDescent="0.25">
      <c r="A89"/>
      <c r="B89"/>
      <c r="M89" s="196"/>
    </row>
    <row r="90" spans="1:40" x14ac:dyDescent="0.25">
      <c r="A90"/>
      <c r="B90"/>
      <c r="M90" s="196"/>
    </row>
    <row r="91" spans="1:40" x14ac:dyDescent="0.25">
      <c r="A91"/>
      <c r="B91"/>
      <c r="M91" s="196"/>
    </row>
    <row r="92" spans="1:40" x14ac:dyDescent="0.25">
      <c r="A92"/>
      <c r="B92"/>
      <c r="M92" s="196"/>
    </row>
    <row r="93" spans="1:40" x14ac:dyDescent="0.25">
      <c r="A93"/>
      <c r="B93"/>
      <c r="M93" s="196"/>
    </row>
    <row r="94" spans="1:40" x14ac:dyDescent="0.25">
      <c r="A94"/>
      <c r="B94"/>
      <c r="M94" s="196"/>
    </row>
    <row r="95" spans="1:40" x14ac:dyDescent="0.25">
      <c r="A95"/>
      <c r="B95"/>
      <c r="M95" s="196"/>
    </row>
    <row r="96" spans="1:40" x14ac:dyDescent="0.25">
      <c r="A96"/>
      <c r="B96"/>
      <c r="R96" s="196"/>
    </row>
    <row r="97" spans="1:18" x14ac:dyDescent="0.25">
      <c r="A97"/>
      <c r="B97"/>
      <c r="R97" s="196"/>
    </row>
    <row r="98" spans="1:18" x14ac:dyDescent="0.25">
      <c r="A98"/>
      <c r="B98"/>
      <c r="R98" s="196"/>
    </row>
    <row r="99" spans="1:18" x14ac:dyDescent="0.25">
      <c r="A99"/>
      <c r="B99"/>
      <c r="R99" s="196"/>
    </row>
    <row r="100" spans="1:18" x14ac:dyDescent="0.25">
      <c r="A100"/>
      <c r="B100"/>
      <c r="R100" s="196"/>
    </row>
    <row r="101" spans="1:18" x14ac:dyDescent="0.25">
      <c r="A101"/>
      <c r="B101"/>
      <c r="R101" s="196"/>
    </row>
    <row r="102" spans="1:18" x14ac:dyDescent="0.25">
      <c r="A102"/>
      <c r="B102"/>
      <c r="R102" s="196"/>
    </row>
    <row r="103" spans="1:18" x14ac:dyDescent="0.25">
      <c r="A103"/>
      <c r="B103"/>
      <c r="R103" s="196"/>
    </row>
    <row r="104" spans="1:18" x14ac:dyDescent="0.25">
      <c r="A104"/>
      <c r="B104"/>
      <c r="R104" s="196"/>
    </row>
    <row r="105" spans="1:18" x14ac:dyDescent="0.25">
      <c r="A105"/>
      <c r="B105"/>
      <c r="R105" s="196"/>
    </row>
    <row r="106" spans="1:18" x14ac:dyDescent="0.25">
      <c r="A106"/>
      <c r="B106"/>
      <c r="R106" s="196"/>
    </row>
    <row r="107" spans="1:18" x14ac:dyDescent="0.25">
      <c r="A107"/>
      <c r="B107"/>
      <c r="R107" s="196"/>
    </row>
    <row r="108" spans="1:18" x14ac:dyDescent="0.25">
      <c r="A108"/>
      <c r="B108"/>
      <c r="R108" s="196"/>
    </row>
    <row r="109" spans="1:18" x14ac:dyDescent="0.25">
      <c r="A109"/>
      <c r="B109"/>
      <c r="R109" s="196"/>
    </row>
    <row r="110" spans="1:18" x14ac:dyDescent="0.25">
      <c r="A110"/>
      <c r="B110"/>
      <c r="R110" s="196"/>
    </row>
    <row r="111" spans="1:18" x14ac:dyDescent="0.25">
      <c r="A111"/>
      <c r="B111"/>
      <c r="R111" s="196"/>
    </row>
    <row r="112" spans="1:18" x14ac:dyDescent="0.25">
      <c r="A112"/>
      <c r="B112"/>
      <c r="R112" s="196"/>
    </row>
    <row r="113" spans="1:18" x14ac:dyDescent="0.25">
      <c r="A113"/>
      <c r="B113"/>
      <c r="R113" s="196"/>
    </row>
    <row r="114" spans="1:18" x14ac:dyDescent="0.25">
      <c r="A114"/>
      <c r="B114"/>
      <c r="R114" s="196"/>
    </row>
    <row r="115" spans="1:18" x14ac:dyDescent="0.25">
      <c r="A115"/>
      <c r="B115"/>
      <c r="R115" s="196"/>
    </row>
    <row r="116" spans="1:18" x14ac:dyDescent="0.25">
      <c r="A116"/>
      <c r="B116"/>
      <c r="R116" s="196"/>
    </row>
    <row r="117" spans="1:18" x14ac:dyDescent="0.25">
      <c r="A117"/>
      <c r="B117"/>
      <c r="R117" s="196"/>
    </row>
    <row r="118" spans="1:18" x14ac:dyDescent="0.25">
      <c r="A118"/>
      <c r="B118"/>
      <c r="R118" s="196"/>
    </row>
    <row r="119" spans="1:18" x14ac:dyDescent="0.25">
      <c r="A119"/>
      <c r="B119"/>
      <c r="R119" s="196"/>
    </row>
    <row r="120" spans="1:18" x14ac:dyDescent="0.25">
      <c r="A120"/>
      <c r="B120"/>
      <c r="R120" s="196"/>
    </row>
    <row r="121" spans="1:18" x14ac:dyDescent="0.25">
      <c r="A121"/>
      <c r="B121"/>
      <c r="R121" s="196"/>
    </row>
    <row r="122" spans="1:18" x14ac:dyDescent="0.25">
      <c r="A122"/>
      <c r="B122"/>
      <c r="R122" s="196"/>
    </row>
    <row r="123" spans="1:18" x14ac:dyDescent="0.25">
      <c r="A123"/>
      <c r="B123"/>
      <c r="R123" s="196"/>
    </row>
    <row r="124" spans="1:18" x14ac:dyDescent="0.25">
      <c r="A124"/>
      <c r="B124"/>
      <c r="R124" s="196"/>
    </row>
    <row r="125" spans="1:18" x14ac:dyDescent="0.25">
      <c r="A125"/>
      <c r="B125"/>
      <c r="R125" s="196"/>
    </row>
    <row r="126" spans="1:18" x14ac:dyDescent="0.25">
      <c r="A126"/>
      <c r="B126"/>
      <c r="R126" s="196"/>
    </row>
    <row r="127" spans="1:18" x14ac:dyDescent="0.25">
      <c r="A127"/>
      <c r="B127"/>
      <c r="R127" s="196"/>
    </row>
    <row r="128" spans="1:18" x14ac:dyDescent="0.25">
      <c r="A128"/>
      <c r="B128"/>
      <c r="R128" s="196"/>
    </row>
    <row r="129" spans="1:18" x14ac:dyDescent="0.25">
      <c r="A129"/>
      <c r="B129"/>
      <c r="R129" s="196"/>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L22" sqref="L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362</v>
      </c>
      <c r="AQ1" s="110"/>
    </row>
    <row r="2" spans="1:45" x14ac:dyDescent="0.25">
      <c r="B2" t="s">
        <v>363</v>
      </c>
      <c r="AQ2" s="110"/>
      <c r="AR2" s="52" t="s">
        <v>364</v>
      </c>
      <c r="AS2" s="52" t="s">
        <v>365</v>
      </c>
    </row>
    <row r="3" spans="1:45" x14ac:dyDescent="0.25">
      <c r="B3" t="s">
        <v>366</v>
      </c>
      <c r="AQ3" s="110"/>
      <c r="AR3">
        <f>AR18+AR33+AR52</f>
        <v>102.5</v>
      </c>
      <c r="AS3">
        <f>AR3/16</f>
        <v>6.40625</v>
      </c>
    </row>
    <row r="4" spans="1:45" x14ac:dyDescent="0.25">
      <c r="B4" t="s">
        <v>367</v>
      </c>
      <c r="AQ4" s="110"/>
    </row>
    <row r="5" spans="1:45" x14ac:dyDescent="0.25">
      <c r="B5" t="s">
        <v>368</v>
      </c>
      <c r="AQ5" s="110"/>
    </row>
    <row r="6" spans="1:45" x14ac:dyDescent="0.25">
      <c r="B6" t="s">
        <v>369</v>
      </c>
      <c r="AQ6" s="110"/>
    </row>
    <row r="7" spans="1:45" x14ac:dyDescent="0.25">
      <c r="B7" t="s">
        <v>370</v>
      </c>
      <c r="AQ7" s="110"/>
    </row>
    <row r="8" spans="1:45" x14ac:dyDescent="0.25">
      <c r="AQ8" s="110"/>
    </row>
    <row r="9" spans="1:45" x14ac:dyDescent="0.25">
      <c r="N9" s="196">
        <f>SUM(N11:N25)</f>
        <v>1964.2160000000001</v>
      </c>
      <c r="AH9" s="196">
        <f>SUM(AH11:AH25)</f>
        <v>25277.456000000002</v>
      </c>
      <c r="AQ9" s="110"/>
    </row>
    <row r="10" spans="1:45" x14ac:dyDescent="0.25">
      <c r="A10" s="10" t="s">
        <v>170</v>
      </c>
      <c r="B10" s="10" t="s">
        <v>2</v>
      </c>
      <c r="C10" s="10" t="s">
        <v>84</v>
      </c>
      <c r="D10" s="10" t="s">
        <v>171</v>
      </c>
      <c r="E10" s="10" t="s">
        <v>314</v>
      </c>
      <c r="F10" s="10" t="s">
        <v>315</v>
      </c>
      <c r="G10" s="10" t="s">
        <v>15</v>
      </c>
      <c r="H10" s="10" t="s">
        <v>16</v>
      </c>
      <c r="I10" s="10" t="s">
        <v>17</v>
      </c>
      <c r="J10" s="10" t="s">
        <v>18</v>
      </c>
      <c r="K10" s="10" t="s">
        <v>19</v>
      </c>
      <c r="L10" s="10" t="s">
        <v>20</v>
      </c>
      <c r="M10" s="10" t="s">
        <v>6</v>
      </c>
      <c r="N10" s="10" t="s">
        <v>68</v>
      </c>
      <c r="O10" s="10" t="s">
        <v>316</v>
      </c>
      <c r="P10" s="10" t="s">
        <v>317</v>
      </c>
      <c r="Q10" s="10" t="s">
        <v>318</v>
      </c>
      <c r="R10" s="10" t="s">
        <v>319</v>
      </c>
      <c r="S10" s="10" t="s">
        <v>320</v>
      </c>
      <c r="T10" s="10" t="s">
        <v>321</v>
      </c>
      <c r="U10" s="10" t="s">
        <v>322</v>
      </c>
      <c r="V10" s="10" t="s">
        <v>323</v>
      </c>
      <c r="X10" s="10" t="s">
        <v>170</v>
      </c>
      <c r="Y10" s="10" t="s">
        <v>314</v>
      </c>
      <c r="Z10" s="10" t="s">
        <v>315</v>
      </c>
      <c r="AA10" s="10" t="s">
        <v>15</v>
      </c>
      <c r="AB10" s="10" t="s">
        <v>16</v>
      </c>
      <c r="AC10" s="10" t="s">
        <v>17</v>
      </c>
      <c r="AD10" s="10" t="s">
        <v>18</v>
      </c>
      <c r="AE10" s="10" t="s">
        <v>19</v>
      </c>
      <c r="AF10" s="10" t="s">
        <v>20</v>
      </c>
      <c r="AG10" s="10" t="s">
        <v>6</v>
      </c>
      <c r="AH10" s="10" t="s">
        <v>68</v>
      </c>
      <c r="AI10" s="10" t="s">
        <v>316</v>
      </c>
      <c r="AJ10" s="10" t="s">
        <v>317</v>
      </c>
      <c r="AK10" s="10" t="s">
        <v>318</v>
      </c>
      <c r="AL10" s="10" t="s">
        <v>319</v>
      </c>
      <c r="AM10" s="10" t="s">
        <v>320</v>
      </c>
      <c r="AN10" s="10" t="s">
        <v>321</v>
      </c>
      <c r="AO10" s="10" t="s">
        <v>322</v>
      </c>
      <c r="AP10" s="10" t="s">
        <v>323</v>
      </c>
      <c r="AQ10" s="110"/>
    </row>
    <row r="11" spans="1:45" x14ac:dyDescent="0.25">
      <c r="A11" t="s">
        <v>29</v>
      </c>
      <c r="B11" s="15" t="s">
        <v>28</v>
      </c>
      <c r="C11" s="18"/>
      <c r="D11" s="18"/>
      <c r="E11" s="18"/>
      <c r="F11" s="18"/>
      <c r="G11" s="217">
        <v>2</v>
      </c>
      <c r="H11" s="131">
        <v>2</v>
      </c>
      <c r="I11" s="217">
        <v>0</v>
      </c>
      <c r="J11" s="131">
        <v>0</v>
      </c>
      <c r="K11" s="217">
        <v>0</v>
      </c>
      <c r="L11" s="131">
        <v>0</v>
      </c>
      <c r="M11" s="217">
        <v>2</v>
      </c>
      <c r="N11" s="47"/>
      <c r="O11" s="216">
        <v>0</v>
      </c>
      <c r="P11" s="216">
        <v>0</v>
      </c>
      <c r="Q11" s="216">
        <v>0</v>
      </c>
      <c r="R11" s="195">
        <v>0</v>
      </c>
      <c r="S11" s="195">
        <v>0</v>
      </c>
      <c r="T11" s="195">
        <v>0</v>
      </c>
      <c r="U11" s="195">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6">
        <f>O11</f>
        <v>0</v>
      </c>
      <c r="AJ11" s="216">
        <f t="shared" ref="AJ11:AO26" si="1">P11</f>
        <v>0</v>
      </c>
      <c r="AK11" s="216">
        <f t="shared" si="1"/>
        <v>0</v>
      </c>
      <c r="AL11" s="216">
        <f t="shared" si="1"/>
        <v>0</v>
      </c>
      <c r="AM11" s="216">
        <f t="shared" si="1"/>
        <v>0</v>
      </c>
      <c r="AN11" s="216">
        <f t="shared" si="1"/>
        <v>0</v>
      </c>
      <c r="AO11" s="216">
        <f t="shared" si="1"/>
        <v>0</v>
      </c>
      <c r="AP11" s="66">
        <f>SUM(AI11:AO11)</f>
        <v>0</v>
      </c>
      <c r="AQ11" s="110"/>
    </row>
    <row r="12" spans="1:45" x14ac:dyDescent="0.25">
      <c r="A12" t="s">
        <v>32</v>
      </c>
      <c r="B12" s="15" t="s">
        <v>30</v>
      </c>
      <c r="C12" s="3" t="s">
        <v>70</v>
      </c>
      <c r="D12" s="3" t="s">
        <v>371</v>
      </c>
      <c r="E12" s="3">
        <v>17</v>
      </c>
      <c r="F12" s="3">
        <v>50</v>
      </c>
      <c r="G12" s="217">
        <v>0</v>
      </c>
      <c r="H12" s="131">
        <v>6</v>
      </c>
      <c r="I12" s="217">
        <v>5</v>
      </c>
      <c r="J12" s="131">
        <v>6</v>
      </c>
      <c r="K12" s="217">
        <v>5</v>
      </c>
      <c r="L12" s="131">
        <v>4</v>
      </c>
      <c r="M12" s="217">
        <v>0</v>
      </c>
      <c r="N12" s="47">
        <v>370</v>
      </c>
      <c r="O12" s="216">
        <v>0</v>
      </c>
      <c r="P12" s="216">
        <v>14</v>
      </c>
      <c r="Q12" s="216">
        <v>9</v>
      </c>
      <c r="R12" s="195">
        <v>3.5</v>
      </c>
      <c r="S12" s="195">
        <v>7</v>
      </c>
      <c r="T12" s="195">
        <v>5</v>
      </c>
      <c r="U12" s="195">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6">
        <f t="shared" ref="AI12:AI26" si="4">O12</f>
        <v>0</v>
      </c>
      <c r="AJ12" s="216">
        <f t="shared" si="1"/>
        <v>14</v>
      </c>
      <c r="AK12" s="216">
        <f t="shared" si="1"/>
        <v>9</v>
      </c>
      <c r="AL12" s="216">
        <f>R12+AR17</f>
        <v>35</v>
      </c>
      <c r="AM12" s="216">
        <f t="shared" si="1"/>
        <v>7</v>
      </c>
      <c r="AN12" s="216">
        <f>T12+AR16</f>
        <v>21</v>
      </c>
      <c r="AO12" s="216">
        <f t="shared" si="1"/>
        <v>0</v>
      </c>
      <c r="AP12" s="66">
        <f>SUM(AI12:AO12)</f>
        <v>86</v>
      </c>
      <c r="AQ12" s="110"/>
    </row>
    <row r="13" spans="1:45" x14ac:dyDescent="0.25">
      <c r="A13" t="s">
        <v>33</v>
      </c>
      <c r="B13" s="15" t="s">
        <v>30</v>
      </c>
      <c r="C13" s="3"/>
      <c r="D13" s="3"/>
      <c r="E13" s="3"/>
      <c r="F13" s="3"/>
      <c r="G13" s="217">
        <v>0</v>
      </c>
      <c r="H13" s="131">
        <v>2</v>
      </c>
      <c r="I13" s="217">
        <v>2</v>
      </c>
      <c r="J13" s="131">
        <v>2</v>
      </c>
      <c r="K13" s="217">
        <v>2</v>
      </c>
      <c r="L13" s="131">
        <v>2</v>
      </c>
      <c r="M13" s="217">
        <v>2</v>
      </c>
      <c r="N13" s="47"/>
      <c r="O13" s="216">
        <v>0</v>
      </c>
      <c r="P13" s="216">
        <v>0</v>
      </c>
      <c r="Q13" s="216">
        <v>0</v>
      </c>
      <c r="R13" s="195">
        <v>0</v>
      </c>
      <c r="S13" s="195">
        <v>0</v>
      </c>
      <c r="T13" s="195">
        <v>0</v>
      </c>
      <c r="U13" s="195">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6">
        <f t="shared" si="4"/>
        <v>0</v>
      </c>
      <c r="AJ13" s="216">
        <f t="shared" si="1"/>
        <v>0</v>
      </c>
      <c r="AK13" s="216">
        <f t="shared" si="1"/>
        <v>0</v>
      </c>
      <c r="AL13" s="216">
        <f t="shared" si="1"/>
        <v>0</v>
      </c>
      <c r="AM13" s="216">
        <f t="shared" si="1"/>
        <v>0</v>
      </c>
      <c r="AN13" s="216">
        <f t="shared" si="1"/>
        <v>0</v>
      </c>
      <c r="AO13" s="216">
        <f t="shared" si="1"/>
        <v>0</v>
      </c>
      <c r="AP13" s="66">
        <f>SUM(AI13:AO13)</f>
        <v>0</v>
      </c>
      <c r="AQ13" s="110"/>
    </row>
    <row r="14" spans="1:45" x14ac:dyDescent="0.25">
      <c r="A14" t="s">
        <v>39</v>
      </c>
      <c r="B14" s="15" t="s">
        <v>30</v>
      </c>
      <c r="C14" s="3"/>
      <c r="D14" s="3"/>
      <c r="E14" s="3"/>
      <c r="F14" s="3"/>
      <c r="G14" s="217">
        <v>0</v>
      </c>
      <c r="H14" s="131">
        <v>2</v>
      </c>
      <c r="I14" s="217">
        <v>2</v>
      </c>
      <c r="J14" s="131">
        <v>2</v>
      </c>
      <c r="K14" s="217">
        <v>2</v>
      </c>
      <c r="L14" s="131">
        <v>2</v>
      </c>
      <c r="M14" s="217">
        <v>2</v>
      </c>
      <c r="N14" s="47"/>
      <c r="O14" s="216">
        <v>0</v>
      </c>
      <c r="P14" s="216">
        <v>0</v>
      </c>
      <c r="Q14" s="216">
        <v>0</v>
      </c>
      <c r="R14" s="195">
        <v>0</v>
      </c>
      <c r="S14" s="195">
        <v>0</v>
      </c>
      <c r="T14" s="195">
        <v>0</v>
      </c>
      <c r="U14" s="195">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6">
        <f t="shared" si="4"/>
        <v>0</v>
      </c>
      <c r="AJ14" s="216">
        <f t="shared" si="1"/>
        <v>0</v>
      </c>
      <c r="AK14" s="216">
        <f t="shared" si="1"/>
        <v>0</v>
      </c>
      <c r="AL14" s="216">
        <f t="shared" si="1"/>
        <v>0</v>
      </c>
      <c r="AM14" s="216">
        <f t="shared" si="1"/>
        <v>0</v>
      </c>
      <c r="AN14" s="216">
        <f t="shared" si="1"/>
        <v>0</v>
      </c>
      <c r="AO14" s="216">
        <f t="shared" si="1"/>
        <v>0</v>
      </c>
      <c r="AP14" s="66">
        <f>SUM(AI14:AO14)</f>
        <v>0</v>
      </c>
      <c r="AQ14" s="110"/>
    </row>
    <row r="15" spans="1:45" x14ac:dyDescent="0.25">
      <c r="A15" t="s">
        <v>41</v>
      </c>
      <c r="B15" s="15" t="s">
        <v>30</v>
      </c>
      <c r="C15" s="3"/>
      <c r="D15" s="3"/>
      <c r="E15" s="3"/>
      <c r="F15" s="3"/>
      <c r="G15" s="217">
        <v>0</v>
      </c>
      <c r="H15" s="131">
        <v>2</v>
      </c>
      <c r="I15" s="217">
        <v>2</v>
      </c>
      <c r="J15" s="131">
        <v>2</v>
      </c>
      <c r="K15" s="217">
        <v>2</v>
      </c>
      <c r="L15" s="131">
        <v>2</v>
      </c>
      <c r="M15" s="217">
        <v>2</v>
      </c>
      <c r="N15" s="47"/>
      <c r="O15" s="216">
        <v>0</v>
      </c>
      <c r="P15" s="216">
        <v>0</v>
      </c>
      <c r="Q15" s="216">
        <v>0</v>
      </c>
      <c r="R15" s="195">
        <v>0</v>
      </c>
      <c r="S15" s="195">
        <v>0</v>
      </c>
      <c r="T15" s="195">
        <v>0</v>
      </c>
      <c r="U15" s="195">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6">
        <f t="shared" si="4"/>
        <v>0</v>
      </c>
      <c r="AJ15" s="216">
        <f t="shared" si="1"/>
        <v>0</v>
      </c>
      <c r="AK15" s="216">
        <f t="shared" si="1"/>
        <v>0</v>
      </c>
      <c r="AL15" s="216">
        <f t="shared" si="1"/>
        <v>0</v>
      </c>
      <c r="AM15" s="216">
        <f t="shared" si="1"/>
        <v>0</v>
      </c>
      <c r="AN15" s="216">
        <f t="shared" si="1"/>
        <v>0</v>
      </c>
      <c r="AO15" s="216">
        <f t="shared" si="1"/>
        <v>0</v>
      </c>
      <c r="AP15" s="66">
        <f t="shared" ref="AP15:AP21" si="5">SUM(AI15:AO15)</f>
        <v>0</v>
      </c>
      <c r="AQ15" s="110"/>
      <c r="AR15" s="52" t="s">
        <v>364</v>
      </c>
      <c r="AS15" s="52" t="s">
        <v>365</v>
      </c>
    </row>
    <row r="16" spans="1:45" x14ac:dyDescent="0.25">
      <c r="A16" t="s">
        <v>38</v>
      </c>
      <c r="B16" s="15" t="s">
        <v>30</v>
      </c>
      <c r="C16" s="3"/>
      <c r="D16" s="3"/>
      <c r="E16" s="3"/>
      <c r="F16" s="3"/>
      <c r="G16" s="217">
        <v>0</v>
      </c>
      <c r="H16" s="131">
        <v>2</v>
      </c>
      <c r="I16" s="217">
        <v>2</v>
      </c>
      <c r="J16" s="131">
        <v>2</v>
      </c>
      <c r="K16" s="217">
        <v>2</v>
      </c>
      <c r="L16" s="131">
        <v>2</v>
      </c>
      <c r="M16" s="217">
        <v>2</v>
      </c>
      <c r="N16" s="47"/>
      <c r="O16" s="216">
        <v>0</v>
      </c>
      <c r="P16" s="216">
        <v>0</v>
      </c>
      <c r="Q16" s="216">
        <v>0</v>
      </c>
      <c r="R16" s="195">
        <v>0</v>
      </c>
      <c r="S16" s="195">
        <v>0</v>
      </c>
      <c r="T16" s="195">
        <v>0</v>
      </c>
      <c r="U16" s="195">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6">
        <f t="shared" si="4"/>
        <v>0</v>
      </c>
      <c r="AJ16" s="216">
        <f t="shared" si="1"/>
        <v>0</v>
      </c>
      <c r="AK16" s="216">
        <f t="shared" si="1"/>
        <v>0</v>
      </c>
      <c r="AL16" s="216">
        <f t="shared" si="1"/>
        <v>0</v>
      </c>
      <c r="AM16" s="216">
        <f t="shared" si="1"/>
        <v>0</v>
      </c>
      <c r="AN16" s="216">
        <f t="shared" si="1"/>
        <v>0</v>
      </c>
      <c r="AO16" s="216">
        <f t="shared" si="1"/>
        <v>0</v>
      </c>
      <c r="AP16" s="66">
        <f t="shared" si="5"/>
        <v>0</v>
      </c>
      <c r="AQ16" s="218" t="s">
        <v>90</v>
      </c>
      <c r="AR16">
        <v>16</v>
      </c>
      <c r="AS16" s="37">
        <f>AR16/16</f>
        <v>1</v>
      </c>
    </row>
    <row r="17" spans="1:45" x14ac:dyDescent="0.25">
      <c r="A17" t="s">
        <v>35</v>
      </c>
      <c r="B17" s="15" t="s">
        <v>30</v>
      </c>
      <c r="C17" s="3"/>
      <c r="D17" s="3"/>
      <c r="E17" s="3"/>
      <c r="F17" s="3"/>
      <c r="G17" s="217">
        <v>0</v>
      </c>
      <c r="H17" s="131">
        <v>2</v>
      </c>
      <c r="I17" s="217">
        <v>2</v>
      </c>
      <c r="J17" s="131">
        <v>2</v>
      </c>
      <c r="K17" s="217">
        <v>2</v>
      </c>
      <c r="L17" s="131">
        <v>2</v>
      </c>
      <c r="M17" s="217">
        <v>2</v>
      </c>
      <c r="N17" s="47"/>
      <c r="O17" s="216">
        <v>0</v>
      </c>
      <c r="P17" s="216">
        <v>0</v>
      </c>
      <c r="Q17" s="216">
        <v>0</v>
      </c>
      <c r="R17" s="195">
        <v>0</v>
      </c>
      <c r="S17" s="195">
        <v>0</v>
      </c>
      <c r="T17" s="195">
        <v>0</v>
      </c>
      <c r="U17" s="195">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6">
        <f t="shared" si="4"/>
        <v>0</v>
      </c>
      <c r="AJ17" s="216">
        <f t="shared" si="1"/>
        <v>0</v>
      </c>
      <c r="AK17" s="216">
        <f t="shared" si="1"/>
        <v>0</v>
      </c>
      <c r="AL17" s="216">
        <f t="shared" si="1"/>
        <v>0</v>
      </c>
      <c r="AM17" s="216">
        <f t="shared" si="1"/>
        <v>0</v>
      </c>
      <c r="AN17" s="216">
        <f t="shared" si="1"/>
        <v>0</v>
      </c>
      <c r="AO17" s="216">
        <f t="shared" si="1"/>
        <v>0</v>
      </c>
      <c r="AP17" s="66">
        <f t="shared" si="5"/>
        <v>0</v>
      </c>
      <c r="AQ17" s="218" t="s">
        <v>193</v>
      </c>
      <c r="AR17">
        <v>31.5</v>
      </c>
      <c r="AS17" s="37">
        <f>AR17/16</f>
        <v>1.96875</v>
      </c>
    </row>
    <row r="18" spans="1:45" x14ac:dyDescent="0.25">
      <c r="A18" t="s">
        <v>31</v>
      </c>
      <c r="B18" s="15" t="s">
        <v>30</v>
      </c>
      <c r="C18" s="3"/>
      <c r="D18" s="3"/>
      <c r="E18" s="3"/>
      <c r="F18" s="3"/>
      <c r="G18" s="217">
        <v>0</v>
      </c>
      <c r="H18" s="131">
        <v>2</v>
      </c>
      <c r="I18" s="217">
        <v>2</v>
      </c>
      <c r="J18" s="131">
        <v>2</v>
      </c>
      <c r="K18" s="217">
        <v>2</v>
      </c>
      <c r="L18" s="131">
        <v>2</v>
      </c>
      <c r="M18" s="217">
        <v>2</v>
      </c>
      <c r="N18" s="47"/>
      <c r="O18" s="216">
        <v>0</v>
      </c>
      <c r="P18" s="216">
        <v>0</v>
      </c>
      <c r="Q18" s="216">
        <v>0</v>
      </c>
      <c r="R18" s="195">
        <v>0</v>
      </c>
      <c r="S18" s="195">
        <v>0</v>
      </c>
      <c r="T18" s="195">
        <v>0</v>
      </c>
      <c r="U18" s="195">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6">
        <f t="shared" si="4"/>
        <v>0</v>
      </c>
      <c r="AJ18" s="216">
        <f t="shared" si="1"/>
        <v>0</v>
      </c>
      <c r="AK18" s="216">
        <f t="shared" si="1"/>
        <v>0</v>
      </c>
      <c r="AL18" s="216">
        <f t="shared" si="1"/>
        <v>0</v>
      </c>
      <c r="AM18" s="216">
        <f t="shared" si="1"/>
        <v>0</v>
      </c>
      <c r="AN18" s="216">
        <f t="shared" si="1"/>
        <v>0</v>
      </c>
      <c r="AO18" s="216">
        <f t="shared" si="1"/>
        <v>0</v>
      </c>
      <c r="AP18" s="66">
        <f t="shared" si="5"/>
        <v>0</v>
      </c>
      <c r="AQ18" s="110"/>
      <c r="AR18" s="52">
        <f>AR17+AR16</f>
        <v>47.5</v>
      </c>
      <c r="AS18" s="52">
        <f>AS17+AS16</f>
        <v>2.96875</v>
      </c>
    </row>
    <row r="19" spans="1:45" x14ac:dyDescent="0.25">
      <c r="A19" t="s">
        <v>43</v>
      </c>
      <c r="B19" s="15" t="s">
        <v>372</v>
      </c>
      <c r="C19" s="3"/>
      <c r="D19" s="3"/>
      <c r="E19" s="3"/>
      <c r="F19" s="3"/>
      <c r="G19" s="217">
        <v>0</v>
      </c>
      <c r="H19" s="131">
        <v>2</v>
      </c>
      <c r="I19" s="217">
        <v>2</v>
      </c>
      <c r="J19" s="131">
        <v>2</v>
      </c>
      <c r="K19" s="217">
        <v>2</v>
      </c>
      <c r="L19" s="131">
        <v>2</v>
      </c>
      <c r="M19" s="217">
        <v>2</v>
      </c>
      <c r="N19" s="47"/>
      <c r="O19" s="216">
        <v>0</v>
      </c>
      <c r="P19" s="216">
        <v>0</v>
      </c>
      <c r="Q19" s="216">
        <v>0</v>
      </c>
      <c r="R19" s="195">
        <v>0</v>
      </c>
      <c r="S19" s="195">
        <v>0</v>
      </c>
      <c r="T19" s="195">
        <v>0</v>
      </c>
      <c r="U19" s="195">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6">
        <f t="shared" si="4"/>
        <v>0</v>
      </c>
      <c r="AJ19" s="216">
        <f t="shared" si="1"/>
        <v>0</v>
      </c>
      <c r="AK19" s="216">
        <f t="shared" si="1"/>
        <v>0</v>
      </c>
      <c r="AL19" s="216">
        <f t="shared" si="1"/>
        <v>0</v>
      </c>
      <c r="AM19" s="216">
        <f t="shared" si="1"/>
        <v>0</v>
      </c>
      <c r="AN19" s="216">
        <f t="shared" si="1"/>
        <v>0</v>
      </c>
      <c r="AO19" s="216">
        <f t="shared" si="1"/>
        <v>0</v>
      </c>
      <c r="AP19" s="66">
        <f t="shared" si="5"/>
        <v>0</v>
      </c>
      <c r="AQ19" s="110"/>
    </row>
    <row r="20" spans="1:45" x14ac:dyDescent="0.25">
      <c r="A20" t="s">
        <v>43</v>
      </c>
      <c r="B20" s="15" t="s">
        <v>372</v>
      </c>
      <c r="C20" s="3"/>
      <c r="D20" s="3"/>
      <c r="E20" s="3"/>
      <c r="F20" s="3"/>
      <c r="G20" s="217">
        <v>0</v>
      </c>
      <c r="H20" s="131">
        <v>2</v>
      </c>
      <c r="I20" s="217">
        <v>2</v>
      </c>
      <c r="J20" s="131">
        <v>2</v>
      </c>
      <c r="K20" s="217">
        <v>2</v>
      </c>
      <c r="L20" s="131">
        <v>2</v>
      </c>
      <c r="M20" s="217">
        <v>2</v>
      </c>
      <c r="N20" s="47"/>
      <c r="O20" s="216">
        <v>0</v>
      </c>
      <c r="P20" s="216">
        <v>0</v>
      </c>
      <c r="Q20" s="216">
        <v>0</v>
      </c>
      <c r="R20" s="195">
        <v>0</v>
      </c>
      <c r="S20" s="195">
        <v>0</v>
      </c>
      <c r="T20" s="195">
        <v>0</v>
      </c>
      <c r="U20" s="195">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6">
        <f t="shared" si="4"/>
        <v>0</v>
      </c>
      <c r="AJ20" s="216">
        <f t="shared" si="1"/>
        <v>0</v>
      </c>
      <c r="AK20" s="216">
        <f t="shared" si="1"/>
        <v>0</v>
      </c>
      <c r="AL20" s="216">
        <f t="shared" si="1"/>
        <v>0</v>
      </c>
      <c r="AM20" s="216">
        <f t="shared" si="1"/>
        <v>0</v>
      </c>
      <c r="AN20" s="216">
        <f t="shared" si="1"/>
        <v>0</v>
      </c>
      <c r="AO20" s="216">
        <f t="shared" si="1"/>
        <v>0</v>
      </c>
      <c r="AP20" s="66">
        <f t="shared" si="5"/>
        <v>0</v>
      </c>
      <c r="AQ20" s="110"/>
    </row>
    <row r="21" spans="1:45" x14ac:dyDescent="0.25">
      <c r="A21" t="s">
        <v>36</v>
      </c>
      <c r="B21" s="15" t="s">
        <v>71</v>
      </c>
      <c r="C21" s="3" t="s">
        <v>45</v>
      </c>
      <c r="D21" s="3" t="s">
        <v>324</v>
      </c>
      <c r="E21" s="3">
        <v>17</v>
      </c>
      <c r="F21" s="3">
        <v>37</v>
      </c>
      <c r="G21" s="217">
        <v>0</v>
      </c>
      <c r="H21" s="131">
        <v>2</v>
      </c>
      <c r="I21" s="217">
        <v>5.7</v>
      </c>
      <c r="J21" s="131">
        <v>5.5</v>
      </c>
      <c r="K21" s="217">
        <v>5.25</v>
      </c>
      <c r="L21" s="131">
        <v>3</v>
      </c>
      <c r="M21" s="217">
        <v>5</v>
      </c>
      <c r="N21" s="47">
        <f>(310+135+140)*1.016</f>
        <v>594.36</v>
      </c>
      <c r="O21" s="216">
        <v>0</v>
      </c>
      <c r="P21" s="216">
        <v>0</v>
      </c>
      <c r="Q21" s="216">
        <v>13</v>
      </c>
      <c r="R21" s="195">
        <v>10.5</v>
      </c>
      <c r="S21" s="195">
        <v>8</v>
      </c>
      <c r="T21" s="195">
        <v>2</v>
      </c>
      <c r="U21" s="195">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6">
        <f t="shared" si="4"/>
        <v>0</v>
      </c>
      <c r="AJ21" s="216">
        <f t="shared" si="1"/>
        <v>0</v>
      </c>
      <c r="AK21" s="216">
        <f t="shared" si="1"/>
        <v>13</v>
      </c>
      <c r="AL21" s="216">
        <f>R21+AR17</f>
        <v>42</v>
      </c>
      <c r="AM21" s="216">
        <f t="shared" si="1"/>
        <v>8</v>
      </c>
      <c r="AN21" s="216">
        <f>T21+AR16</f>
        <v>18</v>
      </c>
      <c r="AO21" s="216">
        <f t="shared" si="1"/>
        <v>3</v>
      </c>
      <c r="AP21" s="66">
        <f t="shared" si="5"/>
        <v>84</v>
      </c>
      <c r="AQ21" s="110"/>
    </row>
    <row r="22" spans="1:45" x14ac:dyDescent="0.25">
      <c r="A22" t="s">
        <v>40</v>
      </c>
      <c r="B22" s="15" t="s">
        <v>71</v>
      </c>
      <c r="C22" s="3" t="s">
        <v>295</v>
      </c>
      <c r="D22" s="3" t="s">
        <v>325</v>
      </c>
      <c r="E22" s="3">
        <v>17</v>
      </c>
      <c r="F22" s="3">
        <v>41</v>
      </c>
      <c r="G22" s="217">
        <v>0</v>
      </c>
      <c r="H22" s="131">
        <v>6</v>
      </c>
      <c r="I22" s="217">
        <v>3</v>
      </c>
      <c r="J22" s="131">
        <v>3</v>
      </c>
      <c r="K22" s="217">
        <v>5.2</v>
      </c>
      <c r="L22" s="131">
        <v>2</v>
      </c>
      <c r="M22" s="217">
        <v>3</v>
      </c>
      <c r="N22" s="47">
        <f>(330+138)*1.012</f>
        <v>473.61599999999999</v>
      </c>
      <c r="O22" s="216">
        <v>0</v>
      </c>
      <c r="P22" s="216">
        <v>14</v>
      </c>
      <c r="Q22" s="216">
        <v>3</v>
      </c>
      <c r="R22" s="195">
        <v>1.5</v>
      </c>
      <c r="S22" s="195">
        <v>8</v>
      </c>
      <c r="T22" s="195">
        <v>0</v>
      </c>
      <c r="U22" s="195">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6">
        <f t="shared" si="4"/>
        <v>0</v>
      </c>
      <c r="AJ22" s="216">
        <f t="shared" si="1"/>
        <v>14</v>
      </c>
      <c r="AK22" s="216">
        <f t="shared" si="1"/>
        <v>3</v>
      </c>
      <c r="AL22" s="216">
        <f>R22+AR17</f>
        <v>33</v>
      </c>
      <c r="AM22" s="216">
        <f t="shared" si="1"/>
        <v>8</v>
      </c>
      <c r="AN22" s="216">
        <f>T22+AR16</f>
        <v>16</v>
      </c>
      <c r="AO22" s="216">
        <f t="shared" si="1"/>
        <v>1</v>
      </c>
      <c r="AP22" s="66">
        <f>SUM(AI22:AO22)</f>
        <v>75</v>
      </c>
      <c r="AQ22" s="110"/>
    </row>
    <row r="23" spans="1:45" x14ac:dyDescent="0.25">
      <c r="A23" t="s">
        <v>34</v>
      </c>
      <c r="B23" s="15" t="s">
        <v>71</v>
      </c>
      <c r="C23" s="3" t="s">
        <v>295</v>
      </c>
      <c r="D23" s="3" t="s">
        <v>326</v>
      </c>
      <c r="E23" s="3">
        <v>17</v>
      </c>
      <c r="F23" s="3">
        <v>37</v>
      </c>
      <c r="G23" s="217">
        <v>0</v>
      </c>
      <c r="H23" s="131">
        <v>3</v>
      </c>
      <c r="I23" s="217">
        <v>5</v>
      </c>
      <c r="J23" s="131">
        <v>4</v>
      </c>
      <c r="K23" s="217">
        <v>4</v>
      </c>
      <c r="L23" s="131">
        <v>3</v>
      </c>
      <c r="M23" s="217">
        <v>3</v>
      </c>
      <c r="N23" s="47">
        <f>(270+125+125)*1.012</f>
        <v>526.24</v>
      </c>
      <c r="O23" s="216">
        <v>0</v>
      </c>
      <c r="P23" s="216">
        <v>3</v>
      </c>
      <c r="Q23" s="216">
        <v>9</v>
      </c>
      <c r="R23" s="195">
        <v>3.5</v>
      </c>
      <c r="S23" s="195">
        <v>4</v>
      </c>
      <c r="T23" s="195">
        <v>2</v>
      </c>
      <c r="U23" s="195">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6">
        <f t="shared" si="4"/>
        <v>0</v>
      </c>
      <c r="AJ23" s="216">
        <f t="shared" si="1"/>
        <v>3</v>
      </c>
      <c r="AK23" s="216">
        <f t="shared" si="1"/>
        <v>9</v>
      </c>
      <c r="AL23" s="216">
        <f>R23+AR17</f>
        <v>35</v>
      </c>
      <c r="AM23" s="216">
        <f t="shared" si="1"/>
        <v>4</v>
      </c>
      <c r="AN23" s="216">
        <f>T23+AR16</f>
        <v>18</v>
      </c>
      <c r="AO23" s="216">
        <f t="shared" si="1"/>
        <v>1</v>
      </c>
      <c r="AP23" s="66">
        <f>SUM(AI23:AO23)</f>
        <v>70</v>
      </c>
      <c r="AQ23" s="110"/>
    </row>
    <row r="24" spans="1:45" x14ac:dyDescent="0.25">
      <c r="A24" t="s">
        <v>42</v>
      </c>
      <c r="B24" s="15" t="s">
        <v>44</v>
      </c>
      <c r="C24" s="3"/>
      <c r="D24" s="3"/>
      <c r="E24" s="3"/>
      <c r="F24" s="3"/>
      <c r="G24" s="217">
        <v>0</v>
      </c>
      <c r="H24" s="131">
        <v>2</v>
      </c>
      <c r="I24" s="217">
        <v>2</v>
      </c>
      <c r="J24" s="131">
        <v>2</v>
      </c>
      <c r="K24" s="217">
        <v>2</v>
      </c>
      <c r="L24" s="131">
        <v>2</v>
      </c>
      <c r="M24" s="217">
        <v>2</v>
      </c>
      <c r="N24" s="47"/>
      <c r="O24" s="216">
        <v>0</v>
      </c>
      <c r="P24" s="216">
        <v>0</v>
      </c>
      <c r="Q24" s="216">
        <v>0</v>
      </c>
      <c r="R24" s="195">
        <v>0</v>
      </c>
      <c r="S24" s="195">
        <v>0</v>
      </c>
      <c r="T24" s="195">
        <v>0</v>
      </c>
      <c r="U24" s="195">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6">
        <f t="shared" si="4"/>
        <v>0</v>
      </c>
      <c r="AJ24" s="216">
        <f t="shared" si="1"/>
        <v>0</v>
      </c>
      <c r="AK24" s="216">
        <f t="shared" si="1"/>
        <v>0</v>
      </c>
      <c r="AL24" s="216">
        <f t="shared" si="1"/>
        <v>0</v>
      </c>
      <c r="AM24" s="216">
        <f t="shared" si="1"/>
        <v>0</v>
      </c>
      <c r="AN24" s="216">
        <f t="shared" si="1"/>
        <v>0</v>
      </c>
      <c r="AO24" s="216">
        <f t="shared" si="1"/>
        <v>0</v>
      </c>
      <c r="AP24" s="66">
        <f>SUM(AI24:AO24)</f>
        <v>0</v>
      </c>
      <c r="AQ24" s="110"/>
    </row>
    <row r="25" spans="1:45" x14ac:dyDescent="0.25">
      <c r="A25" t="s">
        <v>46</v>
      </c>
      <c r="B25" s="15" t="s">
        <v>44</v>
      </c>
      <c r="C25" s="3"/>
      <c r="D25" s="3"/>
      <c r="E25" s="3"/>
      <c r="F25" s="3"/>
      <c r="G25" s="217">
        <v>0</v>
      </c>
      <c r="H25" s="131">
        <v>2</v>
      </c>
      <c r="I25" s="217">
        <v>2</v>
      </c>
      <c r="J25" s="131">
        <v>2</v>
      </c>
      <c r="K25" s="217">
        <v>2</v>
      </c>
      <c r="L25" s="131">
        <v>2</v>
      </c>
      <c r="M25" s="217">
        <v>2</v>
      </c>
      <c r="N25" s="47"/>
      <c r="O25" s="216">
        <v>0</v>
      </c>
      <c r="P25" s="216">
        <v>0</v>
      </c>
      <c r="Q25" s="216">
        <v>0</v>
      </c>
      <c r="R25" s="195">
        <v>0</v>
      </c>
      <c r="S25" s="195">
        <v>0</v>
      </c>
      <c r="T25" s="195">
        <v>0</v>
      </c>
      <c r="U25" s="195">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6">
        <f t="shared" si="4"/>
        <v>0</v>
      </c>
      <c r="AJ25" s="216">
        <f t="shared" si="1"/>
        <v>0</v>
      </c>
      <c r="AK25" s="216">
        <f t="shared" si="1"/>
        <v>0</v>
      </c>
      <c r="AL25" s="216">
        <f t="shared" si="1"/>
        <v>0</v>
      </c>
      <c r="AM25" s="216">
        <f t="shared" si="1"/>
        <v>0</v>
      </c>
      <c r="AN25" s="216">
        <f t="shared" si="1"/>
        <v>0</v>
      </c>
      <c r="AO25" s="216">
        <f t="shared" si="1"/>
        <v>0</v>
      </c>
      <c r="AP25" s="66">
        <f>SUM(AI25:AO25)</f>
        <v>0</v>
      </c>
      <c r="AQ25" s="110"/>
    </row>
    <row r="26" spans="1:45" x14ac:dyDescent="0.25">
      <c r="A26" t="s">
        <v>327</v>
      </c>
      <c r="B26" s="15" t="s">
        <v>44</v>
      </c>
      <c r="C26" s="3"/>
      <c r="D26" s="3"/>
      <c r="E26" s="3"/>
      <c r="F26" s="3"/>
      <c r="G26" s="217">
        <v>0</v>
      </c>
      <c r="H26" s="131">
        <v>2</v>
      </c>
      <c r="I26" s="217">
        <v>2</v>
      </c>
      <c r="J26" s="131">
        <v>2</v>
      </c>
      <c r="K26" s="217">
        <v>2</v>
      </c>
      <c r="L26" s="131">
        <v>2</v>
      </c>
      <c r="M26" s="217">
        <v>2</v>
      </c>
      <c r="N26" s="47"/>
      <c r="O26" s="216">
        <v>0</v>
      </c>
      <c r="P26" s="216">
        <v>0</v>
      </c>
      <c r="Q26" s="216">
        <v>0</v>
      </c>
      <c r="R26" s="195">
        <v>0</v>
      </c>
      <c r="S26" s="195">
        <v>0</v>
      </c>
      <c r="T26" s="195">
        <v>0</v>
      </c>
      <c r="U26" s="195">
        <v>0</v>
      </c>
      <c r="V26" s="66">
        <f>SUM(O26:U26)</f>
        <v>0</v>
      </c>
      <c r="X26" t="s">
        <v>327</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6">
        <f t="shared" si="4"/>
        <v>0</v>
      </c>
      <c r="AJ26" s="216">
        <f t="shared" si="1"/>
        <v>0</v>
      </c>
      <c r="AK26" s="216">
        <f t="shared" si="1"/>
        <v>0</v>
      </c>
      <c r="AL26" s="216">
        <f t="shared" si="1"/>
        <v>0</v>
      </c>
      <c r="AM26" s="216">
        <f t="shared" si="1"/>
        <v>0</v>
      </c>
      <c r="AN26" s="216">
        <f t="shared" si="1"/>
        <v>0</v>
      </c>
      <c r="AO26" s="216">
        <f t="shared" si="1"/>
        <v>0</v>
      </c>
      <c r="AP26" s="66">
        <f>SUM(AI26:AO26)</f>
        <v>0</v>
      </c>
      <c r="AQ26" s="110"/>
    </row>
    <row r="27" spans="1:45" x14ac:dyDescent="0.25">
      <c r="N27" s="196">
        <f>SUM(N29:N43)</f>
        <v>74210.815999999992</v>
      </c>
      <c r="AH27" s="196">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316</v>
      </c>
      <c r="P28" s="10" t="s">
        <v>317</v>
      </c>
      <c r="Q28" s="10" t="s">
        <v>318</v>
      </c>
      <c r="R28" s="10" t="s">
        <v>319</v>
      </c>
      <c r="S28" s="10" t="s">
        <v>320</v>
      </c>
      <c r="T28" s="10" t="s">
        <v>321</v>
      </c>
      <c r="U28" s="10" t="s">
        <v>322</v>
      </c>
      <c r="V28" s="10" t="s">
        <v>323</v>
      </c>
      <c r="X28" s="10" t="s">
        <v>170</v>
      </c>
      <c r="Y28" s="10" t="str">
        <f>Y10</f>
        <v>Año</v>
      </c>
      <c r="Z28" s="10" t="str">
        <f>Z10</f>
        <v>Dia</v>
      </c>
      <c r="AA28" s="10" t="s">
        <v>15</v>
      </c>
      <c r="AB28" s="10" t="s">
        <v>16</v>
      </c>
      <c r="AC28" s="10" t="s">
        <v>17</v>
      </c>
      <c r="AD28" s="10" t="s">
        <v>18</v>
      </c>
      <c r="AE28" s="10" t="s">
        <v>19</v>
      </c>
      <c r="AF28" s="10" t="s">
        <v>20</v>
      </c>
      <c r="AG28" s="10" t="s">
        <v>6</v>
      </c>
      <c r="AH28" s="10" t="s">
        <v>68</v>
      </c>
      <c r="AI28" s="10" t="s">
        <v>316</v>
      </c>
      <c r="AJ28" s="10" t="s">
        <v>317</v>
      </c>
      <c r="AK28" s="10" t="s">
        <v>318</v>
      </c>
      <c r="AL28" s="10" t="s">
        <v>319</v>
      </c>
      <c r="AM28" s="10" t="s">
        <v>320</v>
      </c>
      <c r="AN28" s="10" t="s">
        <v>321</v>
      </c>
      <c r="AO28" s="10" t="s">
        <v>322</v>
      </c>
      <c r="AP28" s="10" t="s">
        <v>323</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6">
        <v>62</v>
      </c>
      <c r="P29" s="216">
        <f t="shared" ref="P29:U44" si="7">AJ11</f>
        <v>0</v>
      </c>
      <c r="Q29" s="216">
        <f t="shared" si="7"/>
        <v>0</v>
      </c>
      <c r="R29" s="216">
        <f t="shared" si="7"/>
        <v>0</v>
      </c>
      <c r="S29" s="216">
        <f t="shared" si="7"/>
        <v>0</v>
      </c>
      <c r="T29" s="216">
        <f t="shared" si="7"/>
        <v>0</v>
      </c>
      <c r="U29" s="216">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6">
        <f>O29</f>
        <v>62</v>
      </c>
      <c r="AJ29" s="216">
        <f>P29+AR33</f>
        <v>30</v>
      </c>
      <c r="AK29" s="216">
        <f t="shared" ref="AK29:AO44" si="9">Q29</f>
        <v>0</v>
      </c>
      <c r="AL29" s="216">
        <f t="shared" si="9"/>
        <v>0</v>
      </c>
      <c r="AM29" s="216">
        <f t="shared" si="9"/>
        <v>0</v>
      </c>
      <c r="AN29" s="216">
        <f t="shared" si="9"/>
        <v>0</v>
      </c>
      <c r="AO29" s="216">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6">
        <f t="shared" si="6"/>
        <v>0</v>
      </c>
      <c r="P30" s="216">
        <f t="shared" si="7"/>
        <v>14</v>
      </c>
      <c r="Q30" s="216">
        <f t="shared" si="7"/>
        <v>9</v>
      </c>
      <c r="R30" s="216">
        <f t="shared" si="7"/>
        <v>35</v>
      </c>
      <c r="S30" s="216">
        <f t="shared" si="7"/>
        <v>7</v>
      </c>
      <c r="T30" s="216">
        <f t="shared" si="7"/>
        <v>21</v>
      </c>
      <c r="U30" s="216">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6">
        <f t="shared" ref="AI30:AJ44" si="12">O30</f>
        <v>0</v>
      </c>
      <c r="AJ30" s="216">
        <f>P30+AR33</f>
        <v>44</v>
      </c>
      <c r="AK30" s="216">
        <f t="shared" si="9"/>
        <v>9</v>
      </c>
      <c r="AL30" s="216">
        <f t="shared" si="9"/>
        <v>35</v>
      </c>
      <c r="AM30" s="216">
        <f t="shared" si="9"/>
        <v>7</v>
      </c>
      <c r="AN30" s="216">
        <f t="shared" si="9"/>
        <v>21</v>
      </c>
      <c r="AO30" s="216">
        <f t="shared" si="9"/>
        <v>-2</v>
      </c>
      <c r="AP30" s="66">
        <f>SUM(AI30:AO30)</f>
        <v>114</v>
      </c>
      <c r="AQ30" s="110"/>
    </row>
    <row r="31" spans="1:45" x14ac:dyDescent="0.25">
      <c r="A31" t="s">
        <v>33</v>
      </c>
      <c r="B31" s="15" t="str">
        <f t="shared" si="10"/>
        <v>DEF</v>
      </c>
      <c r="C31" s="18" t="s">
        <v>45</v>
      </c>
      <c r="D31" s="18" t="s">
        <v>329</v>
      </c>
      <c r="E31" s="18">
        <v>20</v>
      </c>
      <c r="F31" s="18">
        <v>50</v>
      </c>
      <c r="G31" s="111">
        <f>AA13</f>
        <v>0</v>
      </c>
      <c r="H31" s="111">
        <v>10</v>
      </c>
      <c r="I31" s="111">
        <v>4</v>
      </c>
      <c r="J31" s="111">
        <v>4</v>
      </c>
      <c r="K31" s="111">
        <v>10</v>
      </c>
      <c r="L31" s="111">
        <f t="shared" si="6"/>
        <v>2</v>
      </c>
      <c r="M31" s="111">
        <f t="shared" si="6"/>
        <v>2</v>
      </c>
      <c r="N31" s="47">
        <f>(2330+125+125+785)*1.008</f>
        <v>3391.92</v>
      </c>
      <c r="O31" s="216">
        <f t="shared" si="6"/>
        <v>0</v>
      </c>
      <c r="P31" s="216">
        <v>37</v>
      </c>
      <c r="Q31" s="216">
        <v>6</v>
      </c>
      <c r="R31" s="216">
        <v>3.5</v>
      </c>
      <c r="S31" s="216">
        <v>29</v>
      </c>
      <c r="T31" s="216">
        <f t="shared" si="7"/>
        <v>0</v>
      </c>
      <c r="U31" s="216">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6">
        <f t="shared" si="12"/>
        <v>0</v>
      </c>
      <c r="AJ31" s="216">
        <f>P31+AR33</f>
        <v>67</v>
      </c>
      <c r="AK31" s="216">
        <f t="shared" si="9"/>
        <v>6</v>
      </c>
      <c r="AL31" s="216">
        <f t="shared" si="9"/>
        <v>3.5</v>
      </c>
      <c r="AM31" s="216">
        <f t="shared" si="9"/>
        <v>29</v>
      </c>
      <c r="AN31" s="216">
        <f t="shared" si="9"/>
        <v>0</v>
      </c>
      <c r="AO31" s="216">
        <f t="shared" si="9"/>
        <v>0</v>
      </c>
      <c r="AP31" s="66">
        <f>SUM(AI31:AO31)</f>
        <v>105.5</v>
      </c>
      <c r="AQ31" s="110"/>
    </row>
    <row r="32" spans="1:45" x14ac:dyDescent="0.25">
      <c r="A32" t="s">
        <v>39</v>
      </c>
      <c r="B32" s="15" t="str">
        <f t="shared" si="10"/>
        <v>DEF</v>
      </c>
      <c r="C32" s="18" t="s">
        <v>177</v>
      </c>
      <c r="D32" s="18" t="s">
        <v>329</v>
      </c>
      <c r="E32" s="18">
        <v>20</v>
      </c>
      <c r="F32" s="18">
        <v>50</v>
      </c>
      <c r="G32" s="111">
        <f>AA14</f>
        <v>0</v>
      </c>
      <c r="H32" s="111">
        <v>10</v>
      </c>
      <c r="I32" s="111">
        <v>4</v>
      </c>
      <c r="J32" s="111">
        <v>4</v>
      </c>
      <c r="K32" s="111">
        <v>10</v>
      </c>
      <c r="L32" s="111">
        <f t="shared" si="6"/>
        <v>2</v>
      </c>
      <c r="M32" s="111">
        <f t="shared" si="6"/>
        <v>2</v>
      </c>
      <c r="N32" s="47">
        <f>(2330+125+125+785)*1.008</f>
        <v>3391.92</v>
      </c>
      <c r="O32" s="216">
        <f t="shared" si="6"/>
        <v>0</v>
      </c>
      <c r="P32" s="216">
        <v>37</v>
      </c>
      <c r="Q32" s="216">
        <v>6</v>
      </c>
      <c r="R32" s="216">
        <v>3.5</v>
      </c>
      <c r="S32" s="216">
        <v>29</v>
      </c>
      <c r="T32" s="216">
        <f t="shared" si="7"/>
        <v>0</v>
      </c>
      <c r="U32" s="216">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6">
        <f t="shared" si="12"/>
        <v>0</v>
      </c>
      <c r="AJ32" s="216">
        <f>P32+AR33</f>
        <v>67</v>
      </c>
      <c r="AK32" s="216">
        <f t="shared" si="9"/>
        <v>6</v>
      </c>
      <c r="AL32" s="216">
        <f t="shared" si="9"/>
        <v>3.5</v>
      </c>
      <c r="AM32" s="216">
        <f t="shared" si="9"/>
        <v>29</v>
      </c>
      <c r="AN32" s="216">
        <f t="shared" si="9"/>
        <v>0</v>
      </c>
      <c r="AO32" s="216">
        <f t="shared" si="9"/>
        <v>0</v>
      </c>
      <c r="AP32" s="66">
        <f>SUM(AI32:AO32)</f>
        <v>105.5</v>
      </c>
      <c r="AQ32" s="110"/>
      <c r="AR32" t="s">
        <v>364</v>
      </c>
      <c r="AS32" t="s">
        <v>365</v>
      </c>
    </row>
    <row r="33" spans="1:45" x14ac:dyDescent="0.25">
      <c r="A33" t="s">
        <v>41</v>
      </c>
      <c r="B33" s="15" t="str">
        <f t="shared" si="10"/>
        <v>DEF</v>
      </c>
      <c r="C33" s="18" t="s">
        <v>0</v>
      </c>
      <c r="D33" s="18" t="s">
        <v>329</v>
      </c>
      <c r="E33" s="18">
        <v>20</v>
      </c>
      <c r="F33" s="18">
        <v>50</v>
      </c>
      <c r="G33" s="111">
        <f>AA15</f>
        <v>0</v>
      </c>
      <c r="H33" s="111">
        <v>10</v>
      </c>
      <c r="I33" s="111">
        <v>4</v>
      </c>
      <c r="J33" s="111">
        <v>4</v>
      </c>
      <c r="K33" s="111">
        <v>10</v>
      </c>
      <c r="L33" s="111">
        <f t="shared" si="6"/>
        <v>2</v>
      </c>
      <c r="M33" s="111">
        <f t="shared" si="6"/>
        <v>2</v>
      </c>
      <c r="N33" s="47">
        <f>(2330+125+125+785)*1.008</f>
        <v>3391.92</v>
      </c>
      <c r="O33" s="216">
        <f t="shared" si="6"/>
        <v>0</v>
      </c>
      <c r="P33" s="216">
        <v>37</v>
      </c>
      <c r="Q33" s="216">
        <v>6</v>
      </c>
      <c r="R33" s="216">
        <v>3.5</v>
      </c>
      <c r="S33" s="216">
        <v>29</v>
      </c>
      <c r="T33" s="216">
        <f t="shared" si="7"/>
        <v>0</v>
      </c>
      <c r="U33" s="216">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6">
        <f t="shared" si="12"/>
        <v>0</v>
      </c>
      <c r="AJ33" s="216">
        <f>P33+AR33</f>
        <v>67</v>
      </c>
      <c r="AK33" s="216">
        <f t="shared" si="9"/>
        <v>6</v>
      </c>
      <c r="AL33" s="216">
        <f t="shared" si="9"/>
        <v>3.5</v>
      </c>
      <c r="AM33" s="216">
        <f t="shared" si="9"/>
        <v>29</v>
      </c>
      <c r="AN33" s="216">
        <f t="shared" si="9"/>
        <v>0</v>
      </c>
      <c r="AO33" s="216">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329</v>
      </c>
      <c r="E34" s="18">
        <v>20</v>
      </c>
      <c r="F34" s="18">
        <v>50</v>
      </c>
      <c r="G34" s="111">
        <f>AA16</f>
        <v>0</v>
      </c>
      <c r="H34" s="111">
        <v>10</v>
      </c>
      <c r="I34" s="111">
        <v>4</v>
      </c>
      <c r="J34" s="111">
        <v>4</v>
      </c>
      <c r="K34" s="111">
        <v>10</v>
      </c>
      <c r="L34" s="111">
        <f t="shared" si="6"/>
        <v>2</v>
      </c>
      <c r="M34" s="111">
        <f t="shared" si="6"/>
        <v>2</v>
      </c>
      <c r="N34" s="47">
        <f>(2330+125+125+785)*1.008</f>
        <v>3391.92</v>
      </c>
      <c r="O34" s="216">
        <f t="shared" si="6"/>
        <v>0</v>
      </c>
      <c r="P34" s="216">
        <v>37</v>
      </c>
      <c r="Q34" s="216">
        <v>6</v>
      </c>
      <c r="R34" s="216">
        <v>3.5</v>
      </c>
      <c r="S34" s="216">
        <v>29</v>
      </c>
      <c r="T34" s="216">
        <f t="shared" si="7"/>
        <v>0</v>
      </c>
      <c r="U34" s="216">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6">
        <f t="shared" si="12"/>
        <v>0</v>
      </c>
      <c r="AJ34" s="216">
        <f>P34+AR33</f>
        <v>67</v>
      </c>
      <c r="AK34" s="216">
        <f t="shared" si="9"/>
        <v>6</v>
      </c>
      <c r="AL34" s="216">
        <f t="shared" si="9"/>
        <v>3.5</v>
      </c>
      <c r="AM34" s="216">
        <f t="shared" si="9"/>
        <v>29</v>
      </c>
      <c r="AN34" s="216">
        <f t="shared" si="9"/>
        <v>0</v>
      </c>
      <c r="AO34" s="216">
        <f t="shared" si="9"/>
        <v>0</v>
      </c>
      <c r="AP34" s="66">
        <f t="shared" si="14"/>
        <v>105.5</v>
      </c>
      <c r="AQ34" s="110"/>
    </row>
    <row r="35" spans="1:45" x14ac:dyDescent="0.25">
      <c r="A35" t="s">
        <v>35</v>
      </c>
      <c r="B35" s="15" t="str">
        <f t="shared" si="10"/>
        <v>DEF</v>
      </c>
      <c r="C35" s="18" t="s">
        <v>0</v>
      </c>
      <c r="D35" s="18" t="s">
        <v>329</v>
      </c>
      <c r="E35" s="18">
        <v>20</v>
      </c>
      <c r="F35" s="18">
        <v>50</v>
      </c>
      <c r="G35" s="111">
        <f>AA17</f>
        <v>0</v>
      </c>
      <c r="H35" s="111">
        <v>10</v>
      </c>
      <c r="I35" s="111">
        <v>4</v>
      </c>
      <c r="J35" s="111">
        <v>4</v>
      </c>
      <c r="K35" s="111">
        <v>10</v>
      </c>
      <c r="L35" s="111">
        <f t="shared" si="6"/>
        <v>2</v>
      </c>
      <c r="M35" s="111">
        <f t="shared" si="6"/>
        <v>2</v>
      </c>
      <c r="N35" s="47">
        <f>(2330+125+125+785)*1.008</f>
        <v>3391.92</v>
      </c>
      <c r="O35" s="216">
        <f t="shared" si="6"/>
        <v>0</v>
      </c>
      <c r="P35" s="216">
        <v>37</v>
      </c>
      <c r="Q35" s="216">
        <v>6</v>
      </c>
      <c r="R35" s="216">
        <v>3.5</v>
      </c>
      <c r="S35" s="216">
        <v>29</v>
      </c>
      <c r="T35" s="216">
        <f t="shared" si="7"/>
        <v>0</v>
      </c>
      <c r="U35" s="216">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6">
        <f t="shared" si="12"/>
        <v>0</v>
      </c>
      <c r="AJ35" s="216">
        <f>P35+AR33</f>
        <v>67</v>
      </c>
      <c r="AK35" s="216">
        <f t="shared" si="9"/>
        <v>6</v>
      </c>
      <c r="AL35" s="216">
        <f t="shared" si="9"/>
        <v>3.5</v>
      </c>
      <c r="AM35" s="216">
        <f t="shared" si="9"/>
        <v>29</v>
      </c>
      <c r="AN35" s="216">
        <f t="shared" si="9"/>
        <v>0</v>
      </c>
      <c r="AO35" s="216">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6">
        <f t="shared" si="6"/>
        <v>0</v>
      </c>
      <c r="P36" s="216">
        <f t="shared" si="7"/>
        <v>0</v>
      </c>
      <c r="Q36" s="216">
        <f t="shared" si="7"/>
        <v>0</v>
      </c>
      <c r="R36" s="216">
        <f t="shared" si="7"/>
        <v>0</v>
      </c>
      <c r="S36" s="216">
        <f t="shared" si="7"/>
        <v>0</v>
      </c>
      <c r="T36" s="216">
        <f t="shared" si="7"/>
        <v>0</v>
      </c>
      <c r="U36" s="216">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6">
        <f t="shared" si="12"/>
        <v>0</v>
      </c>
      <c r="AJ36" s="216">
        <f t="shared" si="12"/>
        <v>0</v>
      </c>
      <c r="AK36" s="216">
        <f t="shared" si="9"/>
        <v>0</v>
      </c>
      <c r="AL36" s="216">
        <f t="shared" si="9"/>
        <v>0</v>
      </c>
      <c r="AM36" s="216">
        <f t="shared" si="9"/>
        <v>0</v>
      </c>
      <c r="AN36" s="216">
        <f t="shared" si="9"/>
        <v>0</v>
      </c>
      <c r="AO36" s="216">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6">
        <f t="shared" si="6"/>
        <v>0</v>
      </c>
      <c r="P37" s="216">
        <f t="shared" si="7"/>
        <v>0</v>
      </c>
      <c r="Q37" s="216">
        <f t="shared" si="7"/>
        <v>0</v>
      </c>
      <c r="R37" s="216">
        <f t="shared" si="7"/>
        <v>0</v>
      </c>
      <c r="S37" s="216">
        <f t="shared" si="7"/>
        <v>0</v>
      </c>
      <c r="T37" s="216">
        <f t="shared" si="7"/>
        <v>0</v>
      </c>
      <c r="U37" s="216">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6">
        <f t="shared" si="12"/>
        <v>0</v>
      </c>
      <c r="AJ37" s="216">
        <f t="shared" si="12"/>
        <v>0</v>
      </c>
      <c r="AK37" s="216">
        <f t="shared" si="9"/>
        <v>0</v>
      </c>
      <c r="AL37" s="216">
        <f t="shared" si="9"/>
        <v>0</v>
      </c>
      <c r="AM37" s="216">
        <f t="shared" si="9"/>
        <v>0</v>
      </c>
      <c r="AN37" s="216">
        <f t="shared" si="9"/>
        <v>0</v>
      </c>
      <c r="AO37" s="216">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6">
        <f t="shared" si="6"/>
        <v>0</v>
      </c>
      <c r="P38" s="216">
        <f t="shared" si="7"/>
        <v>0</v>
      </c>
      <c r="Q38" s="216">
        <f t="shared" si="7"/>
        <v>0</v>
      </c>
      <c r="R38" s="216">
        <f t="shared" si="7"/>
        <v>0</v>
      </c>
      <c r="S38" s="216">
        <f t="shared" si="7"/>
        <v>0</v>
      </c>
      <c r="T38" s="216">
        <f t="shared" si="7"/>
        <v>0</v>
      </c>
      <c r="U38" s="216">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6">
        <f t="shared" si="12"/>
        <v>0</v>
      </c>
      <c r="AJ38" s="216">
        <f t="shared" si="12"/>
        <v>0</v>
      </c>
      <c r="AK38" s="216">
        <f t="shared" si="9"/>
        <v>0</v>
      </c>
      <c r="AL38" s="216">
        <f t="shared" si="9"/>
        <v>0</v>
      </c>
      <c r="AM38" s="216">
        <f t="shared" si="9"/>
        <v>0</v>
      </c>
      <c r="AN38" s="216">
        <f t="shared" si="9"/>
        <v>0</v>
      </c>
      <c r="AO38" s="216">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6">
        <f t="shared" si="6"/>
        <v>0</v>
      </c>
      <c r="P39" s="216">
        <f t="shared" si="7"/>
        <v>0</v>
      </c>
      <c r="Q39" s="216">
        <f t="shared" si="7"/>
        <v>13</v>
      </c>
      <c r="R39" s="216">
        <f t="shared" si="7"/>
        <v>42</v>
      </c>
      <c r="S39" s="216">
        <f t="shared" si="7"/>
        <v>8</v>
      </c>
      <c r="T39" s="216">
        <f t="shared" si="7"/>
        <v>18</v>
      </c>
      <c r="U39" s="216">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6">
        <f t="shared" si="12"/>
        <v>0</v>
      </c>
      <c r="AJ39" s="216">
        <f>P39+AR33</f>
        <v>30</v>
      </c>
      <c r="AK39" s="216">
        <f t="shared" si="9"/>
        <v>13</v>
      </c>
      <c r="AL39" s="216">
        <f t="shared" si="9"/>
        <v>42</v>
      </c>
      <c r="AM39" s="216">
        <f t="shared" si="9"/>
        <v>8</v>
      </c>
      <c r="AN39" s="216">
        <f t="shared" si="9"/>
        <v>18</v>
      </c>
      <c r="AO39" s="216">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6">
        <f t="shared" si="6"/>
        <v>0</v>
      </c>
      <c r="P40" s="216">
        <f t="shared" si="7"/>
        <v>14</v>
      </c>
      <c r="Q40" s="216">
        <f t="shared" si="7"/>
        <v>3</v>
      </c>
      <c r="R40" s="216">
        <f t="shared" si="7"/>
        <v>33</v>
      </c>
      <c r="S40" s="216">
        <f t="shared" si="7"/>
        <v>8</v>
      </c>
      <c r="T40" s="216">
        <f t="shared" si="7"/>
        <v>16</v>
      </c>
      <c r="U40" s="216">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6">
        <f t="shared" si="12"/>
        <v>0</v>
      </c>
      <c r="AJ40" s="216">
        <f>P40+AR33</f>
        <v>44</v>
      </c>
      <c r="AK40" s="216">
        <f t="shared" si="9"/>
        <v>3</v>
      </c>
      <c r="AL40" s="216">
        <f t="shared" si="9"/>
        <v>33</v>
      </c>
      <c r="AM40" s="216">
        <f t="shared" si="9"/>
        <v>8</v>
      </c>
      <c r="AN40" s="216">
        <f t="shared" si="9"/>
        <v>16</v>
      </c>
      <c r="AO40" s="216">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6">
        <f t="shared" si="6"/>
        <v>0</v>
      </c>
      <c r="P41" s="216">
        <f t="shared" si="7"/>
        <v>3</v>
      </c>
      <c r="Q41" s="216">
        <f t="shared" si="7"/>
        <v>9</v>
      </c>
      <c r="R41" s="216">
        <f t="shared" si="7"/>
        <v>35</v>
      </c>
      <c r="S41" s="216">
        <f t="shared" si="7"/>
        <v>4</v>
      </c>
      <c r="T41" s="216">
        <f t="shared" si="7"/>
        <v>18</v>
      </c>
      <c r="U41" s="216">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6">
        <f t="shared" si="12"/>
        <v>0</v>
      </c>
      <c r="AJ41" s="216">
        <f>P41+AR33</f>
        <v>33</v>
      </c>
      <c r="AK41" s="216">
        <f t="shared" si="9"/>
        <v>9</v>
      </c>
      <c r="AL41" s="216">
        <f t="shared" si="9"/>
        <v>35</v>
      </c>
      <c r="AM41" s="216">
        <f t="shared" si="9"/>
        <v>4</v>
      </c>
      <c r="AN41" s="216">
        <f t="shared" si="9"/>
        <v>18</v>
      </c>
      <c r="AO41" s="216">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6">
        <f t="shared" si="6"/>
        <v>0</v>
      </c>
      <c r="P42" s="216">
        <f t="shared" si="7"/>
        <v>0</v>
      </c>
      <c r="Q42" s="216">
        <f t="shared" si="7"/>
        <v>0</v>
      </c>
      <c r="R42" s="216">
        <f t="shared" si="7"/>
        <v>0</v>
      </c>
      <c r="S42" s="216">
        <f t="shared" si="7"/>
        <v>0</v>
      </c>
      <c r="T42" s="216">
        <f t="shared" si="7"/>
        <v>0</v>
      </c>
      <c r="U42" s="216">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6">
        <f t="shared" si="12"/>
        <v>0</v>
      </c>
      <c r="AJ42" s="216">
        <f t="shared" si="12"/>
        <v>0</v>
      </c>
      <c r="AK42" s="216">
        <f t="shared" si="9"/>
        <v>0</v>
      </c>
      <c r="AL42" s="216">
        <f t="shared" si="9"/>
        <v>0</v>
      </c>
      <c r="AM42" s="216">
        <f t="shared" si="9"/>
        <v>0</v>
      </c>
      <c r="AN42" s="216">
        <f t="shared" si="9"/>
        <v>0</v>
      </c>
      <c r="AO42" s="216">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6">
        <f t="shared" si="6"/>
        <v>0</v>
      </c>
      <c r="P43" s="216">
        <f t="shared" si="7"/>
        <v>0</v>
      </c>
      <c r="Q43" s="216">
        <f t="shared" si="7"/>
        <v>0</v>
      </c>
      <c r="R43" s="216">
        <f t="shared" si="7"/>
        <v>0</v>
      </c>
      <c r="S43" s="216">
        <f t="shared" si="7"/>
        <v>0</v>
      </c>
      <c r="T43" s="216">
        <f t="shared" si="7"/>
        <v>0</v>
      </c>
      <c r="U43" s="216">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6">
        <f t="shared" si="12"/>
        <v>0</v>
      </c>
      <c r="AJ43" s="216">
        <f t="shared" si="12"/>
        <v>0</v>
      </c>
      <c r="AK43" s="216">
        <f t="shared" si="9"/>
        <v>0</v>
      </c>
      <c r="AL43" s="216">
        <f t="shared" si="9"/>
        <v>0</v>
      </c>
      <c r="AM43" s="216">
        <f t="shared" si="9"/>
        <v>0</v>
      </c>
      <c r="AN43" s="216">
        <f t="shared" si="9"/>
        <v>0</v>
      </c>
      <c r="AO43" s="216">
        <f t="shared" si="9"/>
        <v>0</v>
      </c>
      <c r="AP43" s="66">
        <f>SUM(AI43:AO43)</f>
        <v>0</v>
      </c>
      <c r="AQ43" s="110"/>
    </row>
    <row r="44" spans="1:45" x14ac:dyDescent="0.25">
      <c r="A44" t="s">
        <v>327</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6">
        <f t="shared" si="6"/>
        <v>0</v>
      </c>
      <c r="P44" s="216">
        <f t="shared" si="7"/>
        <v>0</v>
      </c>
      <c r="Q44" s="216">
        <f t="shared" si="7"/>
        <v>0</v>
      </c>
      <c r="R44" s="216">
        <f t="shared" si="7"/>
        <v>0</v>
      </c>
      <c r="S44" s="216">
        <f t="shared" si="7"/>
        <v>0</v>
      </c>
      <c r="T44" s="216">
        <f t="shared" si="7"/>
        <v>0</v>
      </c>
      <c r="U44" s="216">
        <f t="shared" si="7"/>
        <v>0</v>
      </c>
      <c r="V44" s="66">
        <f>SUM(O44:U44)</f>
        <v>0</v>
      </c>
      <c r="X44" t="s">
        <v>327</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6">
        <f t="shared" si="12"/>
        <v>0</v>
      </c>
      <c r="AJ44" s="216">
        <f t="shared" si="12"/>
        <v>0</v>
      </c>
      <c r="AK44" s="216">
        <f t="shared" si="9"/>
        <v>0</v>
      </c>
      <c r="AL44" s="216">
        <f t="shared" si="9"/>
        <v>0</v>
      </c>
      <c r="AM44" s="216">
        <f t="shared" si="9"/>
        <v>0</v>
      </c>
      <c r="AN44" s="216">
        <f t="shared" si="9"/>
        <v>0</v>
      </c>
      <c r="AO44" s="216">
        <f t="shared" si="9"/>
        <v>0</v>
      </c>
      <c r="AP44" s="66">
        <f>SUM(AI44:AO44)</f>
        <v>0</v>
      </c>
      <c r="AQ44" s="110"/>
    </row>
    <row r="45" spans="1:45" x14ac:dyDescent="0.25">
      <c r="N45" s="196">
        <f>SUM(N47:N61)</f>
        <v>173422.41600000003</v>
      </c>
      <c r="AH45" s="196">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316</v>
      </c>
      <c r="P46" s="10" t="s">
        <v>317</v>
      </c>
      <c r="Q46" s="10" t="s">
        <v>318</v>
      </c>
      <c r="R46" s="10" t="s">
        <v>319</v>
      </c>
      <c r="S46" s="10" t="s">
        <v>320</v>
      </c>
      <c r="T46" s="10" t="s">
        <v>321</v>
      </c>
      <c r="U46" s="10" t="s">
        <v>322</v>
      </c>
      <c r="V46" s="10" t="s">
        <v>323</v>
      </c>
      <c r="X46" s="10" t="s">
        <v>170</v>
      </c>
      <c r="Y46" s="10" t="str">
        <f>Y28</f>
        <v>Año</v>
      </c>
      <c r="Z46" s="10" t="str">
        <f>Z28</f>
        <v>Dia</v>
      </c>
      <c r="AA46" s="10" t="s">
        <v>15</v>
      </c>
      <c r="AB46" s="10" t="s">
        <v>16</v>
      </c>
      <c r="AC46" s="10" t="s">
        <v>17</v>
      </c>
      <c r="AD46" s="10" t="s">
        <v>18</v>
      </c>
      <c r="AE46" s="10" t="s">
        <v>19</v>
      </c>
      <c r="AF46" s="10" t="s">
        <v>20</v>
      </c>
      <c r="AG46" s="10" t="s">
        <v>6</v>
      </c>
      <c r="AH46" s="10" t="s">
        <v>68</v>
      </c>
      <c r="AI46" s="10" t="s">
        <v>316</v>
      </c>
      <c r="AJ46" s="10" t="s">
        <v>317</v>
      </c>
      <c r="AK46" s="10" t="s">
        <v>318</v>
      </c>
      <c r="AL46" s="10" t="s">
        <v>319</v>
      </c>
      <c r="AM46" s="10" t="s">
        <v>320</v>
      </c>
      <c r="AN46" s="10" t="s">
        <v>321</v>
      </c>
      <c r="AO46" s="10" t="s">
        <v>322</v>
      </c>
      <c r="AP46" s="10" t="s">
        <v>323</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6">
        <f>AI29</f>
        <v>62</v>
      </c>
      <c r="P47" s="216">
        <f t="shared" ref="P47:U62" si="17">AJ29</f>
        <v>30</v>
      </c>
      <c r="Q47" s="216">
        <f t="shared" si="17"/>
        <v>0</v>
      </c>
      <c r="R47" s="216">
        <f t="shared" si="17"/>
        <v>0</v>
      </c>
      <c r="S47" s="216">
        <f t="shared" si="17"/>
        <v>0</v>
      </c>
      <c r="T47" s="216">
        <f t="shared" si="17"/>
        <v>0</v>
      </c>
      <c r="U47" s="216">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6">
        <f>O47</f>
        <v>62</v>
      </c>
      <c r="AJ47" s="216">
        <f t="shared" ref="AJ47:AO62" si="19">P47</f>
        <v>30</v>
      </c>
      <c r="AK47" s="216">
        <f t="shared" si="19"/>
        <v>0</v>
      </c>
      <c r="AL47" s="216">
        <f t="shared" si="19"/>
        <v>0</v>
      </c>
      <c r="AM47" s="216">
        <f t="shared" si="19"/>
        <v>0</v>
      </c>
      <c r="AN47" s="216">
        <f t="shared" si="19"/>
        <v>0</v>
      </c>
      <c r="AO47" s="216">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6">
        <f t="shared" si="16"/>
        <v>0</v>
      </c>
      <c r="P48" s="216">
        <f t="shared" si="17"/>
        <v>44</v>
      </c>
      <c r="Q48" s="216">
        <f t="shared" si="17"/>
        <v>9</v>
      </c>
      <c r="R48" s="216">
        <f t="shared" si="17"/>
        <v>35</v>
      </c>
      <c r="S48" s="216">
        <f t="shared" si="17"/>
        <v>7</v>
      </c>
      <c r="T48" s="216">
        <f t="shared" si="17"/>
        <v>21</v>
      </c>
      <c r="U48" s="216">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6">
        <f t="shared" ref="AI48:AI62" si="23">O48</f>
        <v>0</v>
      </c>
      <c r="AJ48" s="216">
        <f t="shared" si="19"/>
        <v>44</v>
      </c>
      <c r="AK48" s="216">
        <f t="shared" si="19"/>
        <v>9</v>
      </c>
      <c r="AL48" s="216">
        <f t="shared" si="19"/>
        <v>35</v>
      </c>
      <c r="AM48" s="216">
        <f t="shared" si="19"/>
        <v>7</v>
      </c>
      <c r="AN48" s="216">
        <f t="shared" si="19"/>
        <v>21</v>
      </c>
      <c r="AO48" s="216">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6">
        <f t="shared" si="16"/>
        <v>0</v>
      </c>
      <c r="P49" s="216">
        <f t="shared" si="17"/>
        <v>67</v>
      </c>
      <c r="Q49" s="216">
        <f t="shared" si="17"/>
        <v>6</v>
      </c>
      <c r="R49" s="216">
        <f t="shared" si="17"/>
        <v>3.5</v>
      </c>
      <c r="S49" s="216">
        <f t="shared" si="17"/>
        <v>29</v>
      </c>
      <c r="T49" s="216">
        <f t="shared" si="17"/>
        <v>0</v>
      </c>
      <c r="U49" s="216">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6">
        <f t="shared" si="23"/>
        <v>0</v>
      </c>
      <c r="AJ49" s="216">
        <f t="shared" si="19"/>
        <v>67</v>
      </c>
      <c r="AK49" s="216">
        <f t="shared" si="19"/>
        <v>6</v>
      </c>
      <c r="AL49" s="216">
        <f t="shared" si="19"/>
        <v>3.5</v>
      </c>
      <c r="AM49" s="216">
        <f t="shared" si="19"/>
        <v>29</v>
      </c>
      <c r="AN49" s="216">
        <f t="shared" si="19"/>
        <v>0</v>
      </c>
      <c r="AO49" s="216">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6">
        <f t="shared" si="16"/>
        <v>0</v>
      </c>
      <c r="P50" s="216">
        <f t="shared" si="17"/>
        <v>67</v>
      </c>
      <c r="Q50" s="216">
        <f t="shared" si="17"/>
        <v>6</v>
      </c>
      <c r="R50" s="216">
        <f t="shared" si="17"/>
        <v>3.5</v>
      </c>
      <c r="S50" s="216">
        <f t="shared" si="17"/>
        <v>29</v>
      </c>
      <c r="T50" s="216">
        <f t="shared" si="17"/>
        <v>0</v>
      </c>
      <c r="U50" s="216">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6">
        <f t="shared" si="23"/>
        <v>0</v>
      </c>
      <c r="AJ50" s="216">
        <f t="shared" si="19"/>
        <v>67</v>
      </c>
      <c r="AK50" s="216">
        <f t="shared" si="19"/>
        <v>6</v>
      </c>
      <c r="AL50" s="216">
        <f t="shared" si="19"/>
        <v>3.5</v>
      </c>
      <c r="AM50" s="216">
        <f t="shared" si="19"/>
        <v>29</v>
      </c>
      <c r="AN50" s="216">
        <f t="shared" si="19"/>
        <v>0</v>
      </c>
      <c r="AO50" s="216">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6">
        <f t="shared" si="16"/>
        <v>0</v>
      </c>
      <c r="P51" s="216">
        <f t="shared" si="17"/>
        <v>67</v>
      </c>
      <c r="Q51" s="216">
        <f t="shared" si="17"/>
        <v>6</v>
      </c>
      <c r="R51" s="216">
        <f t="shared" si="17"/>
        <v>3.5</v>
      </c>
      <c r="S51" s="216">
        <f t="shared" si="17"/>
        <v>29</v>
      </c>
      <c r="T51" s="216">
        <f t="shared" si="17"/>
        <v>0</v>
      </c>
      <c r="U51" s="216">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6">
        <f t="shared" si="23"/>
        <v>0</v>
      </c>
      <c r="AJ51" s="216">
        <f t="shared" si="19"/>
        <v>67</v>
      </c>
      <c r="AK51" s="216">
        <f t="shared" si="19"/>
        <v>6</v>
      </c>
      <c r="AL51" s="216">
        <f t="shared" si="19"/>
        <v>3.5</v>
      </c>
      <c r="AM51" s="216">
        <f t="shared" si="19"/>
        <v>29</v>
      </c>
      <c r="AN51" s="216">
        <f t="shared" si="19"/>
        <v>0</v>
      </c>
      <c r="AO51" s="216">
        <f>U51+AR52</f>
        <v>25</v>
      </c>
      <c r="AP51" s="66">
        <f t="shared" ref="AP51:AP57" si="25">SUM(AI51:AO51)</f>
        <v>130.5</v>
      </c>
      <c r="AQ51" s="110"/>
      <c r="AR51" t="s">
        <v>364</v>
      </c>
      <c r="AS51" t="s">
        <v>365</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6">
        <f t="shared" si="16"/>
        <v>0</v>
      </c>
      <c r="P52" s="216">
        <f t="shared" si="17"/>
        <v>67</v>
      </c>
      <c r="Q52" s="216">
        <f t="shared" si="17"/>
        <v>6</v>
      </c>
      <c r="R52" s="216">
        <f t="shared" si="17"/>
        <v>3.5</v>
      </c>
      <c r="S52" s="216">
        <f t="shared" si="17"/>
        <v>29</v>
      </c>
      <c r="T52" s="216">
        <f t="shared" si="17"/>
        <v>0</v>
      </c>
      <c r="U52" s="216">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6">
        <f t="shared" si="23"/>
        <v>0</v>
      </c>
      <c r="AJ52" s="216">
        <f t="shared" si="19"/>
        <v>67</v>
      </c>
      <c r="AK52" s="216">
        <f t="shared" si="19"/>
        <v>6</v>
      </c>
      <c r="AL52" s="216">
        <f t="shared" si="19"/>
        <v>3.5</v>
      </c>
      <c r="AM52" s="216">
        <f t="shared" si="19"/>
        <v>29</v>
      </c>
      <c r="AN52" s="216">
        <f t="shared" si="19"/>
        <v>0</v>
      </c>
      <c r="AO52" s="216">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6">
        <f t="shared" si="16"/>
        <v>0</v>
      </c>
      <c r="P53" s="216">
        <f t="shared" si="17"/>
        <v>67</v>
      </c>
      <c r="Q53" s="216">
        <f t="shared" si="17"/>
        <v>6</v>
      </c>
      <c r="R53" s="216">
        <f t="shared" si="17"/>
        <v>3.5</v>
      </c>
      <c r="S53" s="216">
        <f t="shared" si="17"/>
        <v>29</v>
      </c>
      <c r="T53" s="216">
        <f t="shared" si="17"/>
        <v>0</v>
      </c>
      <c r="U53" s="216">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6">
        <f t="shared" si="23"/>
        <v>0</v>
      </c>
      <c r="AJ53" s="216">
        <f t="shared" si="19"/>
        <v>67</v>
      </c>
      <c r="AK53" s="216">
        <f t="shared" si="19"/>
        <v>6</v>
      </c>
      <c r="AL53" s="216">
        <f t="shared" si="19"/>
        <v>3.5</v>
      </c>
      <c r="AM53" s="216">
        <f t="shared" si="19"/>
        <v>29</v>
      </c>
      <c r="AN53" s="216">
        <f t="shared" si="19"/>
        <v>0</v>
      </c>
      <c r="AO53" s="216">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6">
        <f t="shared" si="16"/>
        <v>0</v>
      </c>
      <c r="P54" s="216">
        <f t="shared" si="17"/>
        <v>0</v>
      </c>
      <c r="Q54" s="216">
        <f t="shared" si="17"/>
        <v>0</v>
      </c>
      <c r="R54" s="216">
        <f t="shared" si="17"/>
        <v>0</v>
      </c>
      <c r="S54" s="216">
        <f t="shared" si="17"/>
        <v>0</v>
      </c>
      <c r="T54" s="216">
        <f t="shared" si="17"/>
        <v>0</v>
      </c>
      <c r="U54" s="216">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6">
        <f t="shared" si="23"/>
        <v>0</v>
      </c>
      <c r="AJ54" s="216">
        <f t="shared" si="19"/>
        <v>0</v>
      </c>
      <c r="AK54" s="216">
        <f t="shared" si="19"/>
        <v>0</v>
      </c>
      <c r="AL54" s="216">
        <f t="shared" si="19"/>
        <v>0</v>
      </c>
      <c r="AM54" s="216">
        <f t="shared" si="19"/>
        <v>0</v>
      </c>
      <c r="AN54" s="216">
        <f t="shared" si="19"/>
        <v>0</v>
      </c>
      <c r="AO54" s="216">
        <f t="shared" si="19"/>
        <v>0</v>
      </c>
      <c r="AP54" s="66">
        <f t="shared" si="25"/>
        <v>0</v>
      </c>
      <c r="AQ54" s="110"/>
    </row>
    <row r="55" spans="1:45" x14ac:dyDescent="0.25">
      <c r="A55" t="s">
        <v>43</v>
      </c>
      <c r="B55" s="15" t="str">
        <f t="shared" ref="B55:D62" si="26">B37</f>
        <v>INN</v>
      </c>
      <c r="C55" s="18" t="s">
        <v>177</v>
      </c>
      <c r="D55" s="18" t="s">
        <v>328</v>
      </c>
      <c r="E55" s="18">
        <v>22</v>
      </c>
      <c r="F55" s="18">
        <v>70</v>
      </c>
      <c r="G55" s="111">
        <f t="shared" si="21"/>
        <v>0</v>
      </c>
      <c r="H55" s="111">
        <v>11</v>
      </c>
      <c r="I55" s="111">
        <v>12</v>
      </c>
      <c r="J55" s="111">
        <f t="shared" si="16"/>
        <v>2</v>
      </c>
      <c r="K55" s="111">
        <v>8</v>
      </c>
      <c r="L55" s="111">
        <v>5</v>
      </c>
      <c r="M55" s="111">
        <f t="shared" si="16"/>
        <v>2</v>
      </c>
      <c r="N55" s="47">
        <f>(8670+1165+135+125)*1.008</f>
        <v>10175.76</v>
      </c>
      <c r="O55" s="216">
        <f t="shared" si="16"/>
        <v>0</v>
      </c>
      <c r="P55" s="216">
        <v>37</v>
      </c>
      <c r="Q55" s="216">
        <v>48</v>
      </c>
      <c r="R55" s="216">
        <f t="shared" si="17"/>
        <v>0</v>
      </c>
      <c r="S55" s="216">
        <v>18</v>
      </c>
      <c r="T55" s="216">
        <v>8</v>
      </c>
      <c r="U55" s="216">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6">
        <f t="shared" si="23"/>
        <v>0</v>
      </c>
      <c r="AJ55" s="216">
        <f t="shared" si="19"/>
        <v>37</v>
      </c>
      <c r="AK55" s="216">
        <f t="shared" si="19"/>
        <v>48</v>
      </c>
      <c r="AL55" s="216">
        <f t="shared" si="19"/>
        <v>0</v>
      </c>
      <c r="AM55" s="216">
        <f t="shared" si="19"/>
        <v>18</v>
      </c>
      <c r="AN55" s="216">
        <f t="shared" si="19"/>
        <v>8</v>
      </c>
      <c r="AO55" s="216">
        <f>U55+AR52</f>
        <v>25</v>
      </c>
      <c r="AP55" s="66">
        <f t="shared" si="25"/>
        <v>136</v>
      </c>
      <c r="AQ55" s="110"/>
    </row>
    <row r="56" spans="1:45" x14ac:dyDescent="0.25">
      <c r="A56" t="s">
        <v>43</v>
      </c>
      <c r="B56" s="15" t="str">
        <f t="shared" si="26"/>
        <v>INN</v>
      </c>
      <c r="C56" s="18" t="s">
        <v>0</v>
      </c>
      <c r="D56" s="18" t="s">
        <v>328</v>
      </c>
      <c r="E56" s="18">
        <v>22</v>
      </c>
      <c r="F56" s="18">
        <v>70</v>
      </c>
      <c r="G56" s="111">
        <f t="shared" si="21"/>
        <v>0</v>
      </c>
      <c r="H56" s="111">
        <v>11</v>
      </c>
      <c r="I56" s="111">
        <v>12</v>
      </c>
      <c r="J56" s="111">
        <f t="shared" si="16"/>
        <v>2</v>
      </c>
      <c r="K56" s="111">
        <v>8</v>
      </c>
      <c r="L56" s="111">
        <v>5</v>
      </c>
      <c r="M56" s="111">
        <f t="shared" si="16"/>
        <v>2</v>
      </c>
      <c r="N56" s="47">
        <f>(8670+1165+135+125)*1.008</f>
        <v>10175.76</v>
      </c>
      <c r="O56" s="216">
        <f t="shared" si="16"/>
        <v>0</v>
      </c>
      <c r="P56" s="216">
        <v>37</v>
      </c>
      <c r="Q56" s="216">
        <v>48</v>
      </c>
      <c r="R56" s="216">
        <f t="shared" si="17"/>
        <v>0</v>
      </c>
      <c r="S56" s="216">
        <v>18</v>
      </c>
      <c r="T56" s="216">
        <v>8</v>
      </c>
      <c r="U56" s="216">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6">
        <f t="shared" si="23"/>
        <v>0</v>
      </c>
      <c r="AJ56" s="216">
        <f t="shared" si="19"/>
        <v>37</v>
      </c>
      <c r="AK56" s="216">
        <f t="shared" si="19"/>
        <v>48</v>
      </c>
      <c r="AL56" s="216">
        <f t="shared" si="19"/>
        <v>0</v>
      </c>
      <c r="AM56" s="216">
        <f t="shared" si="19"/>
        <v>18</v>
      </c>
      <c r="AN56" s="216">
        <f t="shared" si="19"/>
        <v>8</v>
      </c>
      <c r="AO56" s="216">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6">
        <f t="shared" si="16"/>
        <v>0</v>
      </c>
      <c r="P57" s="216">
        <f t="shared" si="17"/>
        <v>30</v>
      </c>
      <c r="Q57" s="216">
        <f t="shared" si="17"/>
        <v>13</v>
      </c>
      <c r="R57" s="216">
        <f t="shared" si="17"/>
        <v>42</v>
      </c>
      <c r="S57" s="216">
        <f t="shared" si="17"/>
        <v>8</v>
      </c>
      <c r="T57" s="216">
        <f t="shared" si="17"/>
        <v>18</v>
      </c>
      <c r="U57" s="216">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6">
        <f t="shared" si="23"/>
        <v>0</v>
      </c>
      <c r="AJ57" s="216">
        <f t="shared" si="19"/>
        <v>30</v>
      </c>
      <c r="AK57" s="216">
        <f t="shared" si="19"/>
        <v>13</v>
      </c>
      <c r="AL57" s="216">
        <f t="shared" si="19"/>
        <v>42</v>
      </c>
      <c r="AM57" s="216">
        <f t="shared" si="19"/>
        <v>8</v>
      </c>
      <c r="AN57" s="216">
        <f t="shared" si="19"/>
        <v>18</v>
      </c>
      <c r="AO57" s="216">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6">
        <f t="shared" si="16"/>
        <v>0</v>
      </c>
      <c r="P58" s="216">
        <f t="shared" si="17"/>
        <v>44</v>
      </c>
      <c r="Q58" s="216">
        <f t="shared" si="17"/>
        <v>3</v>
      </c>
      <c r="R58" s="216">
        <f t="shared" si="17"/>
        <v>33</v>
      </c>
      <c r="S58" s="216">
        <f t="shared" si="17"/>
        <v>8</v>
      </c>
      <c r="T58" s="216">
        <f t="shared" si="17"/>
        <v>16</v>
      </c>
      <c r="U58" s="216">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6">
        <f t="shared" si="23"/>
        <v>0</v>
      </c>
      <c r="AJ58" s="216">
        <f t="shared" si="19"/>
        <v>44</v>
      </c>
      <c r="AK58" s="216">
        <f t="shared" si="19"/>
        <v>3</v>
      </c>
      <c r="AL58" s="216">
        <f t="shared" si="19"/>
        <v>33</v>
      </c>
      <c r="AM58" s="216">
        <f t="shared" si="19"/>
        <v>8</v>
      </c>
      <c r="AN58" s="216">
        <f t="shared" si="19"/>
        <v>16</v>
      </c>
      <c r="AO58" s="216">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6">
        <f t="shared" si="16"/>
        <v>0</v>
      </c>
      <c r="P59" s="216">
        <f t="shared" si="17"/>
        <v>33</v>
      </c>
      <c r="Q59" s="216">
        <f t="shared" si="17"/>
        <v>9</v>
      </c>
      <c r="R59" s="216">
        <f t="shared" si="17"/>
        <v>35</v>
      </c>
      <c r="S59" s="216">
        <f t="shared" si="17"/>
        <v>4</v>
      </c>
      <c r="T59" s="216">
        <f t="shared" si="17"/>
        <v>18</v>
      </c>
      <c r="U59" s="216">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6">
        <f t="shared" si="23"/>
        <v>0</v>
      </c>
      <c r="AJ59" s="216">
        <f t="shared" si="19"/>
        <v>33</v>
      </c>
      <c r="AK59" s="216">
        <f t="shared" si="19"/>
        <v>9</v>
      </c>
      <c r="AL59" s="216">
        <f t="shared" si="19"/>
        <v>35</v>
      </c>
      <c r="AM59" s="216">
        <f t="shared" si="19"/>
        <v>4</v>
      </c>
      <c r="AN59" s="216">
        <f t="shared" si="19"/>
        <v>18</v>
      </c>
      <c r="AO59" s="216">
        <f>U59+AR52</f>
        <v>26</v>
      </c>
      <c r="AP59" s="66">
        <f>SUM(AI59:AO59)</f>
        <v>125</v>
      </c>
      <c r="AQ59" s="110"/>
    </row>
    <row r="60" spans="1:45" x14ac:dyDescent="0.25">
      <c r="A60" t="s">
        <v>42</v>
      </c>
      <c r="B60" s="15" t="str">
        <f t="shared" si="26"/>
        <v>DAV</v>
      </c>
      <c r="C60" s="18" t="s">
        <v>0</v>
      </c>
      <c r="D60" s="18" t="s">
        <v>330</v>
      </c>
      <c r="E60" s="18">
        <v>22</v>
      </c>
      <c r="F60" s="18">
        <v>64</v>
      </c>
      <c r="G60" s="111">
        <f t="shared" si="27"/>
        <v>0</v>
      </c>
      <c r="H60" s="111">
        <f t="shared" si="16"/>
        <v>2</v>
      </c>
      <c r="I60" s="111">
        <f t="shared" si="16"/>
        <v>2</v>
      </c>
      <c r="J60" s="111">
        <v>8</v>
      </c>
      <c r="K60" s="111">
        <v>8</v>
      </c>
      <c r="L60" s="111">
        <v>13</v>
      </c>
      <c r="M60" s="111">
        <v>10</v>
      </c>
      <c r="N60" s="47">
        <f>(12930+275+135)*1.023</f>
        <v>13646.819999999998</v>
      </c>
      <c r="O60" s="216">
        <f t="shared" si="16"/>
        <v>0</v>
      </c>
      <c r="P60" s="216">
        <f t="shared" si="17"/>
        <v>0</v>
      </c>
      <c r="Q60" s="216">
        <f t="shared" si="17"/>
        <v>0</v>
      </c>
      <c r="R60" s="216">
        <v>15</v>
      </c>
      <c r="S60" s="216">
        <v>18</v>
      </c>
      <c r="T60" s="216">
        <v>59</v>
      </c>
      <c r="U60" s="216">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6">
        <f t="shared" si="23"/>
        <v>0</v>
      </c>
      <c r="AJ60" s="216">
        <f t="shared" si="19"/>
        <v>0</v>
      </c>
      <c r="AK60" s="216">
        <f t="shared" si="19"/>
        <v>0</v>
      </c>
      <c r="AL60" s="216">
        <f t="shared" si="19"/>
        <v>15</v>
      </c>
      <c r="AM60" s="216">
        <f t="shared" si="19"/>
        <v>18</v>
      </c>
      <c r="AN60" s="216">
        <f t="shared" si="19"/>
        <v>59</v>
      </c>
      <c r="AO60" s="216">
        <f>U60+AR52</f>
        <v>33</v>
      </c>
      <c r="AP60" s="66">
        <f>SUM(AI60:AO60)</f>
        <v>125</v>
      </c>
      <c r="AQ60" s="110"/>
    </row>
    <row r="61" spans="1:45" x14ac:dyDescent="0.25">
      <c r="A61" t="s">
        <v>46</v>
      </c>
      <c r="B61" s="15" t="str">
        <f t="shared" si="26"/>
        <v>DAV</v>
      </c>
      <c r="C61" s="18" t="s">
        <v>45</v>
      </c>
      <c r="D61" s="18" t="s">
        <v>330</v>
      </c>
      <c r="E61" s="18">
        <v>22</v>
      </c>
      <c r="F61" s="18">
        <v>64</v>
      </c>
      <c r="G61" s="111">
        <f t="shared" si="27"/>
        <v>0</v>
      </c>
      <c r="H61" s="111">
        <f t="shared" si="16"/>
        <v>2</v>
      </c>
      <c r="I61" s="111">
        <f t="shared" si="16"/>
        <v>2</v>
      </c>
      <c r="J61" s="111">
        <v>8</v>
      </c>
      <c r="K61" s="111">
        <v>8</v>
      </c>
      <c r="L61" s="111">
        <v>13</v>
      </c>
      <c r="M61" s="111">
        <v>10</v>
      </c>
      <c r="N61" s="47">
        <f>(12930+275+135)*1.023</f>
        <v>13646.819999999998</v>
      </c>
      <c r="O61" s="216">
        <f t="shared" si="16"/>
        <v>0</v>
      </c>
      <c r="P61" s="216">
        <f t="shared" si="17"/>
        <v>0</v>
      </c>
      <c r="Q61" s="216">
        <f t="shared" si="17"/>
        <v>0</v>
      </c>
      <c r="R61" s="216">
        <v>15</v>
      </c>
      <c r="S61" s="216">
        <v>18</v>
      </c>
      <c r="T61" s="216">
        <v>59</v>
      </c>
      <c r="U61" s="216">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6">
        <f t="shared" si="23"/>
        <v>0</v>
      </c>
      <c r="AJ61" s="216">
        <f t="shared" si="19"/>
        <v>0</v>
      </c>
      <c r="AK61" s="216">
        <f t="shared" si="19"/>
        <v>0</v>
      </c>
      <c r="AL61" s="216">
        <f t="shared" si="19"/>
        <v>15</v>
      </c>
      <c r="AM61" s="216">
        <f t="shared" si="19"/>
        <v>18</v>
      </c>
      <c r="AN61" s="216">
        <f t="shared" si="19"/>
        <v>59</v>
      </c>
      <c r="AO61" s="216">
        <f>U61+AR52</f>
        <v>33</v>
      </c>
      <c r="AP61" s="66">
        <f>SUM(AI61:AO61)</f>
        <v>125</v>
      </c>
      <c r="AQ61" s="110"/>
    </row>
    <row r="62" spans="1:45" x14ac:dyDescent="0.25">
      <c r="A62" t="s">
        <v>327</v>
      </c>
      <c r="B62" s="15" t="str">
        <f t="shared" si="26"/>
        <v>DAV</v>
      </c>
      <c r="C62" s="18" t="s">
        <v>295</v>
      </c>
      <c r="D62" s="18" t="s">
        <v>330</v>
      </c>
      <c r="E62" s="18">
        <v>22</v>
      </c>
      <c r="F62" s="18">
        <v>64</v>
      </c>
      <c r="G62" s="111">
        <f t="shared" si="27"/>
        <v>0</v>
      </c>
      <c r="H62" s="111">
        <f t="shared" si="16"/>
        <v>2</v>
      </c>
      <c r="I62" s="111">
        <f t="shared" si="16"/>
        <v>2</v>
      </c>
      <c r="J62" s="111">
        <v>8</v>
      </c>
      <c r="K62" s="111">
        <v>8</v>
      </c>
      <c r="L62" s="111">
        <v>13</v>
      </c>
      <c r="M62" s="111">
        <v>10</v>
      </c>
      <c r="N62" s="47">
        <f>(12930+275+135)*1.023</f>
        <v>13646.819999999998</v>
      </c>
      <c r="O62" s="216">
        <f t="shared" si="16"/>
        <v>0</v>
      </c>
      <c r="P62" s="216">
        <f t="shared" si="17"/>
        <v>0</v>
      </c>
      <c r="Q62" s="216">
        <f t="shared" si="17"/>
        <v>0</v>
      </c>
      <c r="R62" s="216">
        <v>15</v>
      </c>
      <c r="S62" s="216">
        <v>18</v>
      </c>
      <c r="T62" s="216">
        <v>59</v>
      </c>
      <c r="U62" s="216">
        <v>8</v>
      </c>
      <c r="V62" s="66">
        <f>SUM(O62:U62)</f>
        <v>100</v>
      </c>
      <c r="X62" t="s">
        <v>327</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6">
        <f t="shared" si="23"/>
        <v>0</v>
      </c>
      <c r="AJ62" s="216">
        <f t="shared" si="19"/>
        <v>0</v>
      </c>
      <c r="AK62" s="216">
        <f t="shared" si="19"/>
        <v>0</v>
      </c>
      <c r="AL62" s="216">
        <f t="shared" si="19"/>
        <v>15</v>
      </c>
      <c r="AM62" s="216">
        <f t="shared" si="19"/>
        <v>18</v>
      </c>
      <c r="AN62" s="216">
        <f t="shared" si="19"/>
        <v>59</v>
      </c>
      <c r="AO62" s="216">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271</v>
      </c>
      <c r="B1" s="190" t="s">
        <v>277</v>
      </c>
      <c r="C1" s="190" t="s">
        <v>272</v>
      </c>
      <c r="D1" s="190" t="s">
        <v>276</v>
      </c>
      <c r="E1" s="190" t="s">
        <v>273</v>
      </c>
      <c r="F1" s="190" t="s">
        <v>268</v>
      </c>
      <c r="G1" s="190" t="s">
        <v>269</v>
      </c>
      <c r="H1" s="190" t="s">
        <v>270</v>
      </c>
    </row>
    <row r="2" spans="1:11" x14ac:dyDescent="0.25">
      <c r="A2" s="189">
        <v>54</v>
      </c>
      <c r="B2" s="189" t="s">
        <v>278</v>
      </c>
      <c r="C2" s="189" t="s">
        <v>274</v>
      </c>
      <c r="D2" s="191">
        <v>0.17499999999999999</v>
      </c>
      <c r="E2" s="67">
        <v>0.3</v>
      </c>
      <c r="F2" s="189">
        <f>Empleados!L5</f>
        <v>-0.31299999999999994</v>
      </c>
      <c r="G2" s="46">
        <f>Empleados!M5</f>
        <v>-5.0079999999999991</v>
      </c>
      <c r="H2" s="46">
        <f>Empleados!N5</f>
        <v>-35.055999999999997</v>
      </c>
    </row>
    <row r="3" spans="1:11" x14ac:dyDescent="0.25">
      <c r="A3" s="189">
        <v>55</v>
      </c>
      <c r="B3" s="189" t="s">
        <v>279</v>
      </c>
      <c r="C3" s="189" t="s">
        <v>274</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280</v>
      </c>
      <c r="C4" s="189" t="s">
        <v>275</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281</v>
      </c>
      <c r="C5" s="189" t="s">
        <v>275</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282</v>
      </c>
      <c r="C6" s="189" t="s">
        <v>275</v>
      </c>
      <c r="D6" s="67">
        <v>0.35</v>
      </c>
      <c r="E6" s="67">
        <v>0.05</v>
      </c>
      <c r="F6" s="189">
        <f t="shared" si="0"/>
        <v>0.16500000000000004</v>
      </c>
      <c r="G6" s="46">
        <f t="shared" si="0"/>
        <v>2.6400000000000006</v>
      </c>
      <c r="H6" s="46">
        <f t="shared" si="0"/>
        <v>18.480000000000004</v>
      </c>
    </row>
    <row r="7" spans="1:11" x14ac:dyDescent="0.25">
      <c r="A7" s="189">
        <v>59</v>
      </c>
      <c r="B7" s="189" t="s">
        <v>283</v>
      </c>
      <c r="C7" s="189" t="s">
        <v>275</v>
      </c>
      <c r="D7" s="67">
        <v>0.35</v>
      </c>
      <c r="E7" s="67">
        <v>0.05</v>
      </c>
      <c r="F7" s="189">
        <f t="shared" si="0"/>
        <v>0.16500000000000004</v>
      </c>
      <c r="G7" s="46">
        <f t="shared" si="0"/>
        <v>2.6400000000000006</v>
      </c>
      <c r="H7" s="46">
        <f t="shared" si="0"/>
        <v>18.480000000000004</v>
      </c>
    </row>
    <row r="8" spans="1:11" x14ac:dyDescent="0.25">
      <c r="A8" s="189">
        <v>60</v>
      </c>
      <c r="B8" s="189" t="s">
        <v>284</v>
      </c>
      <c r="C8" s="189" t="s">
        <v>275</v>
      </c>
      <c r="D8" s="67">
        <v>0.35</v>
      </c>
      <c r="E8" s="67">
        <v>0.1</v>
      </c>
      <c r="F8" s="189">
        <f>Empleados!L8</f>
        <v>0.11499999999999999</v>
      </c>
      <c r="G8" s="189">
        <f>Empleados!M8</f>
        <v>1.8399999999999999</v>
      </c>
      <c r="H8" s="189">
        <f>Empleados!N8</f>
        <v>12.879999999999999</v>
      </c>
    </row>
    <row r="9" spans="1:11" x14ac:dyDescent="0.25">
      <c r="A9" s="189">
        <v>61</v>
      </c>
      <c r="B9" s="189" t="s">
        <v>285</v>
      </c>
      <c r="C9" s="189" t="s">
        <v>275</v>
      </c>
      <c r="D9" s="67">
        <v>0.35</v>
      </c>
      <c r="E9" s="67">
        <v>0.1</v>
      </c>
      <c r="F9" s="189">
        <f t="shared" ref="F9:H13" si="1">F8</f>
        <v>0.11499999999999999</v>
      </c>
      <c r="G9" s="189">
        <f t="shared" si="1"/>
        <v>1.8399999999999999</v>
      </c>
      <c r="H9" s="189">
        <f t="shared" si="1"/>
        <v>12.879999999999999</v>
      </c>
    </row>
    <row r="10" spans="1:11" x14ac:dyDescent="0.25">
      <c r="A10" s="189">
        <v>62</v>
      </c>
      <c r="B10" s="189" t="s">
        <v>286</v>
      </c>
      <c r="C10" s="189" t="s">
        <v>275</v>
      </c>
      <c r="D10" s="67">
        <v>0.35</v>
      </c>
      <c r="E10" s="67">
        <v>0.1</v>
      </c>
      <c r="F10" s="189">
        <f t="shared" si="1"/>
        <v>0.11499999999999999</v>
      </c>
      <c r="G10" s="189">
        <f t="shared" si="1"/>
        <v>1.8399999999999999</v>
      </c>
      <c r="H10" s="189">
        <f t="shared" si="1"/>
        <v>12.879999999999999</v>
      </c>
    </row>
    <row r="11" spans="1:11" x14ac:dyDescent="0.25">
      <c r="A11" s="189">
        <v>63</v>
      </c>
      <c r="B11" s="189" t="s">
        <v>287</v>
      </c>
      <c r="C11" s="189" t="s">
        <v>275</v>
      </c>
      <c r="D11" s="67">
        <v>0.35</v>
      </c>
      <c r="E11" s="67">
        <v>0.1</v>
      </c>
      <c r="F11" s="189">
        <f t="shared" si="1"/>
        <v>0.11499999999999999</v>
      </c>
      <c r="G11" s="189">
        <f t="shared" si="1"/>
        <v>1.8399999999999999</v>
      </c>
      <c r="H11" s="189">
        <f t="shared" si="1"/>
        <v>12.879999999999999</v>
      </c>
    </row>
    <row r="12" spans="1:11" x14ac:dyDescent="0.25">
      <c r="A12" s="189">
        <v>64</v>
      </c>
      <c r="B12" s="189" t="s">
        <v>288</v>
      </c>
      <c r="C12" s="189" t="s">
        <v>275</v>
      </c>
      <c r="D12" s="67">
        <v>0.35</v>
      </c>
      <c r="E12" s="67">
        <v>0.1</v>
      </c>
      <c r="F12" s="189">
        <f t="shared" si="1"/>
        <v>0.11499999999999999</v>
      </c>
      <c r="G12" s="189">
        <f t="shared" si="1"/>
        <v>1.8399999999999999</v>
      </c>
      <c r="H12" s="189">
        <f t="shared" si="1"/>
        <v>12.879999999999999</v>
      </c>
    </row>
    <row r="13" spans="1:11" x14ac:dyDescent="0.25">
      <c r="A13" s="189">
        <v>65</v>
      </c>
      <c r="B13" s="189" t="s">
        <v>289</v>
      </c>
      <c r="C13" s="189" t="s">
        <v>275</v>
      </c>
      <c r="D13" s="67">
        <v>0.35</v>
      </c>
      <c r="E13" s="67">
        <v>0.1</v>
      </c>
      <c r="F13" s="189">
        <f t="shared" si="1"/>
        <v>0.11499999999999999</v>
      </c>
      <c r="G13" s="189">
        <f t="shared" si="1"/>
        <v>1.8399999999999999</v>
      </c>
      <c r="H13" s="189">
        <f t="shared" si="1"/>
        <v>12.879999999999999</v>
      </c>
    </row>
    <row r="14" spans="1:11" x14ac:dyDescent="0.25">
      <c r="A14" s="189">
        <v>66</v>
      </c>
      <c r="B14" s="189" t="s">
        <v>290</v>
      </c>
      <c r="C14" s="189" t="s">
        <v>275</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T27"/>
  <sheetViews>
    <sheetView tabSelected="1" zoomScaleNormal="100" workbookViewId="0">
      <pane xSplit="4" ySplit="3" topLeftCell="E4" activePane="bottomRight" state="frozen"/>
      <selection pane="topRight" activeCell="E1" sqref="E1"/>
      <selection pane="bottomLeft" activeCell="A4" sqref="A4"/>
      <selection pane="bottomRight" activeCell="Q17" sqref="Q17"/>
    </sheetView>
  </sheetViews>
  <sheetFormatPr baseColWidth="10" defaultColWidth="9.140625" defaultRowHeight="15" x14ac:dyDescent="0.25"/>
  <cols>
    <col min="1" max="1" width="4.7109375" bestFit="1" customWidth="1"/>
    <col min="2" max="2" width="5" bestFit="1" customWidth="1"/>
    <col min="3" max="3" width="6.140625" bestFit="1" customWidth="1"/>
    <col min="4" max="4" width="16.42578125" bestFit="1" customWidth="1"/>
    <col min="5" max="5" width="5.5703125" bestFit="1" customWidth="1"/>
    <col min="6" max="6" width="5" bestFit="1" customWidth="1"/>
    <col min="7" max="7" width="4.5703125" bestFit="1" customWidth="1"/>
    <col min="8" max="8" width="3.7109375" bestFit="1" customWidth="1"/>
    <col min="9" max="9" width="4.42578125" bestFit="1" customWidth="1"/>
    <col min="10" max="10" width="5.28515625" bestFit="1" customWidth="1"/>
    <col min="11" max="12" width="4.7109375" bestFit="1" customWidth="1"/>
    <col min="13" max="13" width="10.42578125" bestFit="1" customWidth="1"/>
    <col min="14" max="14" width="4.5703125" bestFit="1" customWidth="1"/>
    <col min="15" max="15" width="4.28515625" bestFit="1" customWidth="1"/>
    <col min="16" max="16" width="5" bestFit="1" customWidth="1"/>
    <col min="17" max="17" width="4.140625" bestFit="1" customWidth="1"/>
    <col min="18" max="19" width="5.7109375" bestFit="1" customWidth="1"/>
    <col min="20" max="21" width="9.42578125" bestFit="1" customWidth="1"/>
    <col min="22" max="22" width="8.42578125" bestFit="1" customWidth="1"/>
    <col min="23" max="23" width="7.5703125" bestFit="1" customWidth="1"/>
    <col min="24" max="30" width="4.5703125" bestFit="1" customWidth="1"/>
    <col min="31" max="31" width="7" bestFit="1" customWidth="1"/>
    <col min="32" max="32" width="8.5703125" bestFit="1" customWidth="1"/>
    <col min="33" max="33" width="6.42578125" bestFit="1" customWidth="1"/>
    <col min="34" max="34" width="7" bestFit="1" customWidth="1"/>
    <col min="35" max="35" width="6" bestFit="1" customWidth="1"/>
    <col min="36" max="36" width="7.5703125" bestFit="1" customWidth="1"/>
    <col min="37" max="37" width="8.140625" bestFit="1" customWidth="1"/>
    <col min="38" max="41" width="6.5703125" bestFit="1" customWidth="1"/>
    <col min="42" max="42" width="5.28515625" bestFit="1" customWidth="1"/>
    <col min="43" max="43" width="4.85546875" customWidth="1"/>
    <col min="44" max="44" width="3.42578125" bestFit="1" customWidth="1"/>
    <col min="45" max="45" width="3.5703125" bestFit="1" customWidth="1"/>
    <col min="46" max="46" width="7" bestFit="1" customWidth="1"/>
  </cols>
  <sheetData>
    <row r="1" spans="1:46" x14ac:dyDescent="0.25">
      <c r="D1" s="30">
        <v>42268</v>
      </c>
    </row>
    <row r="2" spans="1:46" x14ac:dyDescent="0.25">
      <c r="D2" s="30">
        <f ca="1">TODAY()</f>
        <v>43256</v>
      </c>
      <c r="I2" s="32">
        <f>AVERAGE(I4:I22)</f>
        <v>1.7473684210526317</v>
      </c>
      <c r="J2" s="32"/>
      <c r="N2" s="37">
        <f ca="1">AVERAGE(N4:N22)</f>
        <v>0.91984423577708518</v>
      </c>
      <c r="O2" s="32">
        <f>AVERAGE(O4:O22)</f>
        <v>3.6157894736842113</v>
      </c>
      <c r="Q2" s="32">
        <f>AVERAGE(Q4:Q22)</f>
        <v>5.9473684210526319</v>
      </c>
      <c r="R2" s="116">
        <f>AVERAGE(R4:R22)</f>
        <v>0.91907583779309976</v>
      </c>
      <c r="S2" s="116">
        <f>AVERAGE(S4:S22)</f>
        <v>0.97181832615415409</v>
      </c>
      <c r="T2" s="38">
        <f>SUM(T4:T22)</f>
        <v>85760</v>
      </c>
      <c r="U2" s="38">
        <f>SUM(U4:U22)</f>
        <v>3060</v>
      </c>
      <c r="V2" s="38">
        <f>SUM(V4:V22)</f>
        <v>9650</v>
      </c>
      <c r="W2" s="39">
        <f>T2/V2</f>
        <v>8.8870466321243526</v>
      </c>
      <c r="AD2" s="37">
        <f>AVERAGE(AD4:AD22)</f>
        <v>3.0736842105263156</v>
      </c>
      <c r="AE2" s="33">
        <f>AVERAGE(AE4:AE22)</f>
        <v>514.57894736842104</v>
      </c>
      <c r="AF2" s="33"/>
      <c r="AL2" s="32"/>
      <c r="AM2" s="32"/>
      <c r="AN2" s="32"/>
      <c r="AO2" s="32"/>
      <c r="AQ2" s="32"/>
      <c r="AR2" s="32"/>
      <c r="AS2" s="32"/>
    </row>
    <row r="3" spans="1:46" x14ac:dyDescent="0.25">
      <c r="A3" s="10" t="s">
        <v>1</v>
      </c>
      <c r="B3" s="10" t="s">
        <v>2</v>
      </c>
      <c r="C3" s="11" t="s">
        <v>184</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192</v>
      </c>
      <c r="V3" s="10" t="s">
        <v>13</v>
      </c>
      <c r="W3" s="10" t="s">
        <v>14</v>
      </c>
      <c r="X3" s="10" t="s">
        <v>15</v>
      </c>
      <c r="Y3" s="10" t="s">
        <v>16</v>
      </c>
      <c r="Z3" s="10" t="s">
        <v>17</v>
      </c>
      <c r="AA3" s="10" t="s">
        <v>18</v>
      </c>
      <c r="AB3" s="10" t="s">
        <v>19</v>
      </c>
      <c r="AC3" s="10" t="s">
        <v>20</v>
      </c>
      <c r="AD3" s="10" t="s">
        <v>6</v>
      </c>
      <c r="AE3" s="10" t="s">
        <v>21</v>
      </c>
      <c r="AF3" s="10" t="s">
        <v>296</v>
      </c>
      <c r="AG3" s="14" t="s">
        <v>26</v>
      </c>
      <c r="AH3" s="14" t="s">
        <v>27</v>
      </c>
      <c r="AI3" s="14" t="s">
        <v>88</v>
      </c>
      <c r="AJ3" s="14" t="s">
        <v>175</v>
      </c>
      <c r="AK3" s="14" t="s">
        <v>176</v>
      </c>
      <c r="AL3" s="14" t="s">
        <v>22</v>
      </c>
      <c r="AM3" s="14" t="s">
        <v>23</v>
      </c>
      <c r="AN3" s="14" t="s">
        <v>24</v>
      </c>
      <c r="AO3" s="14" t="s">
        <v>25</v>
      </c>
      <c r="AP3" s="10" t="s">
        <v>180</v>
      </c>
      <c r="AQ3" s="10" t="s">
        <v>182</v>
      </c>
      <c r="AR3" s="10" t="s">
        <v>178</v>
      </c>
      <c r="AS3" s="10" t="s">
        <v>179</v>
      </c>
      <c r="AT3" s="34" t="s">
        <v>291</v>
      </c>
    </row>
    <row r="4" spans="1:46" x14ac:dyDescent="0.25">
      <c r="A4" s="15" t="s">
        <v>29</v>
      </c>
      <c r="B4" s="15" t="s">
        <v>28</v>
      </c>
      <c r="C4" s="121">
        <f ca="1">((33*112)-(E4*112)-(F4))/112</f>
        <v>13.75</v>
      </c>
      <c r="D4" s="214" t="s">
        <v>801</v>
      </c>
      <c r="E4" s="16">
        <v>19</v>
      </c>
      <c r="F4" s="2">
        <f ca="1">$D$2-$D$1-880+32-112</f>
        <v>28</v>
      </c>
      <c r="G4" s="18"/>
      <c r="H4" s="225">
        <v>5</v>
      </c>
      <c r="I4" s="27">
        <v>0.5</v>
      </c>
      <c r="J4" s="22">
        <f>LOG(I4)*4/3</f>
        <v>-0.40137332755197491</v>
      </c>
      <c r="K4" s="6">
        <f>(H4)*(H4)*(I4)</f>
        <v>12.5</v>
      </c>
      <c r="L4" s="6">
        <f>(H4+1)*(H4+1)*I4</f>
        <v>18</v>
      </c>
      <c r="M4" s="130">
        <v>43190</v>
      </c>
      <c r="N4" s="131">
        <f ca="1">IF((TODAY()-M4)&gt;335,1,((TODAY()-M4)^0.64)/(336^0.64))</f>
        <v>0.35289944976629189</v>
      </c>
      <c r="O4" s="19">
        <v>3.5</v>
      </c>
      <c r="P4" s="20">
        <f>O4*10+19</f>
        <v>54</v>
      </c>
      <c r="Q4" s="26">
        <v>6</v>
      </c>
      <c r="R4" s="115">
        <f>(Q4/7)^0.5</f>
        <v>0.92582009977255142</v>
      </c>
      <c r="S4" s="115">
        <f>IF(Q4=7,1,((Q4+0.99)/7)^0.5)</f>
        <v>0.99928545900129484</v>
      </c>
      <c r="T4" s="29">
        <v>3270</v>
      </c>
      <c r="U4" s="29">
        <f>T4-AT4</f>
        <v>-70</v>
      </c>
      <c r="V4" s="29">
        <v>1170</v>
      </c>
      <c r="W4" s="8">
        <f>T4/V4</f>
        <v>2.7948717948717947</v>
      </c>
      <c r="X4" s="21">
        <v>6</v>
      </c>
      <c r="Y4" s="22">
        <v>3</v>
      </c>
      <c r="Z4" s="21">
        <v>0</v>
      </c>
      <c r="AA4" s="22">
        <v>0</v>
      </c>
      <c r="AB4" s="21">
        <v>0</v>
      </c>
      <c r="AC4" s="22">
        <v>1</v>
      </c>
      <c r="AD4" s="21">
        <v>1</v>
      </c>
      <c r="AE4" s="9">
        <v>192</v>
      </c>
      <c r="AF4" s="9">
        <v>1481</v>
      </c>
      <c r="AG4" s="23">
        <f ca="1">(AD4+1+(LOG(I4)*4/3)+N4)*(Q4/7)^0.5</f>
        <v>1.8067621091771993</v>
      </c>
      <c r="AH4" s="23">
        <f ca="1">(AD4+1+N4+(LOG(I4)*4/3))*(IF(Q4=7, (Q4/7)^0.5, ((Q4+1)/7)^0.5))</f>
        <v>1.9515261222143172</v>
      </c>
      <c r="AI4" s="23">
        <f ca="1">(Z4+N4+(LOG(I4)*4/3))</f>
        <v>-4.8473877785683017E-2</v>
      </c>
      <c r="AJ4" s="120">
        <f ca="1">(Z4+N4+(LOG(I4)*4/3))*(Q4/7)^0.5</f>
        <v>-4.4878090367903516E-2</v>
      </c>
      <c r="AK4" s="120">
        <f ca="1">(Z4+N4+(LOG(I4)*4/3))*(IF(Q4=7, (Q4/7)^0.5, ((Q4+1)/7)^0.5))</f>
        <v>-4.8473877785683017E-2</v>
      </c>
      <c r="AL4" s="8">
        <f ca="1">(((Y4+LOG(I4)*4/3+N4)+(AB4+LOG(I4)*4/3+N4)*2)/8)*(Q4/7)^0.5</f>
        <v>0.330353253526743</v>
      </c>
      <c r="AM4" s="8">
        <f ca="1">(AD4+LOG(I4)*4/3+N4)*0.7+(AC4+LOG(I4)*4/3+N4)*0.3</f>
        <v>0.95152612221431698</v>
      </c>
      <c r="AN4" s="8">
        <f t="shared" ref="AN4" ca="1" si="0">(0.5*(AC4+LOG(I4)*4/3+N4)+ 0.3*(AD4+LOG(I4)*4/3+N4))/10</f>
        <v>7.6122089777145366E-2</v>
      </c>
      <c r="AO4" s="8">
        <f t="shared" ref="AO4" ca="1" si="1">(0.4*(Y4+LOG(I4)*4/3+N4)+0.3*(AD4+LOG(I4)*4/3+N4))/10</f>
        <v>0.14660682855500221</v>
      </c>
      <c r="AP4" s="129">
        <f>IF(AR4=4,IF(AS4=0,0.137+0.0697,0.137+0.02),IF(AR4=3,IF(AS4=0,0.0958+0.0697,0.0958+0.02),IF(AR4=2,IF(AS4=0,0.0415+0.0697,0.0415+0.02),IF(AR4=1,IF(AS4=0,0.0294+0.0697,0.0294+0.02),IF(AR4=0,IF(AS4=0,0.0063+0.0697,0.0063+0.02))))))</f>
        <v>2.63E-2</v>
      </c>
      <c r="AQ4" s="20">
        <v>3</v>
      </c>
      <c r="AR4" s="20">
        <v>0</v>
      </c>
      <c r="AS4" s="20">
        <v>2</v>
      </c>
      <c r="AT4" s="213">
        <v>3340</v>
      </c>
    </row>
    <row r="5" spans="1:46" x14ac:dyDescent="0.25">
      <c r="A5" s="15" t="s">
        <v>802</v>
      </c>
      <c r="B5" s="24" t="s">
        <v>28</v>
      </c>
      <c r="C5" s="121">
        <f ca="1">((33*112)-(E5*112)-(F5))/112</f>
        <v>13.8125</v>
      </c>
      <c r="D5" s="215" t="s">
        <v>803</v>
      </c>
      <c r="E5" s="1">
        <v>19</v>
      </c>
      <c r="F5" s="2">
        <f ca="1">$D$2-$D$1-880+25-112</f>
        <v>21</v>
      </c>
      <c r="G5" s="3"/>
      <c r="H5" s="225">
        <v>5</v>
      </c>
      <c r="I5" s="5">
        <v>1</v>
      </c>
      <c r="J5" s="22">
        <f>LOG(I5)*4/3</f>
        <v>0</v>
      </c>
      <c r="K5" s="6">
        <f>(H5)*(H5)*(I5)</f>
        <v>25</v>
      </c>
      <c r="L5" s="6">
        <f>(H5+1)*(H5+1)*I5</f>
        <v>36</v>
      </c>
      <c r="M5" s="130">
        <v>43242</v>
      </c>
      <c r="N5" s="131">
        <v>1.5</v>
      </c>
      <c r="O5" s="25">
        <v>3.5</v>
      </c>
      <c r="P5" s="20">
        <f>O5*10+19</f>
        <v>54</v>
      </c>
      <c r="Q5" s="26">
        <v>5</v>
      </c>
      <c r="R5" s="115">
        <f>(Q5/7)^0.5</f>
        <v>0.84515425472851657</v>
      </c>
      <c r="S5" s="115">
        <f>IF(Q5=7,1,((Q5+0.99)/7)^0.5)</f>
        <v>0.92504826128926143</v>
      </c>
      <c r="T5" s="29">
        <v>1530</v>
      </c>
      <c r="U5" s="29">
        <f>T5-AT5</f>
        <v>0</v>
      </c>
      <c r="V5" s="7">
        <v>830</v>
      </c>
      <c r="W5" s="8">
        <f>T5/V5</f>
        <v>1.8433734939759037</v>
      </c>
      <c r="X5" s="21">
        <v>4</v>
      </c>
      <c r="Y5" s="22">
        <v>3</v>
      </c>
      <c r="Z5" s="21">
        <v>0</v>
      </c>
      <c r="AA5" s="22">
        <v>1</v>
      </c>
      <c r="AB5" s="21">
        <v>1</v>
      </c>
      <c r="AC5" s="22">
        <v>1</v>
      </c>
      <c r="AD5" s="21">
        <v>4</v>
      </c>
      <c r="AE5" s="9">
        <v>183</v>
      </c>
      <c r="AF5" s="9">
        <v>1483</v>
      </c>
      <c r="AG5" s="23">
        <f t="shared" ref="AG5" si="2">(AD5+1+(LOG(I5)*4/3)+N5)*(Q5/7)^0.5</f>
        <v>5.4935026557353579</v>
      </c>
      <c r="AH5" s="23">
        <f t="shared" ref="AH5" si="3">(AD5+1+N5+(LOG(I5)*4/3))*(IF(Q5=7, (Q5/7)^0.5, ((Q5+1)/7)^0.5))</f>
        <v>6.017830648521584</v>
      </c>
      <c r="AI5" s="23">
        <f t="shared" ref="AI5" si="4">(Z5+N5+(LOG(I5)*4/3))</f>
        <v>1.5</v>
      </c>
      <c r="AJ5" s="120">
        <f t="shared" ref="AJ5" si="5">(Z5+N5+(LOG(I5)*4/3))*(Q5/7)^0.5</f>
        <v>1.2677313820927749</v>
      </c>
      <c r="AK5" s="120">
        <f t="shared" ref="AK5" si="6">(Z5+N5+(LOG(I5)*4/3))*(IF(Q5=7, (Q5/7)^0.5, ((Q5+1)/7)^0.5))</f>
        <v>1.3887301496588271</v>
      </c>
      <c r="AL5" s="8">
        <f t="shared" ref="AL5" si="7">(((Y5+LOG(I5)*4/3+N5)+(AB5+LOG(I5)*4/3+N5)*2)/8)*(Q5/7)^0.5</f>
        <v>1.0036206774901135</v>
      </c>
      <c r="AM5" s="8">
        <f t="shared" ref="AM5" si="8">(AD5+LOG(I5)*4/3+N5)*0.7+(AC5+LOG(I5)*4/3+N5)*0.3</f>
        <v>4.5999999999999996</v>
      </c>
      <c r="AN5" s="8">
        <f t="shared" ref="AN5" si="9">(0.5*(AC5+LOG(I5)*4/3+N5)+ 0.3*(AD5+LOG(I5)*4/3+N5))/10</f>
        <v>0.28999999999999998</v>
      </c>
      <c r="AO5" s="8">
        <f t="shared" ref="AO5" si="10">(0.4*(Y5+LOG(I5)*4/3+N5)+0.3*(AD5+LOG(I5)*4/3+N5))/10</f>
        <v>0.34500000000000003</v>
      </c>
      <c r="AP5" s="129">
        <f>IF(AR5=4,IF(AS5=0,0.137+0.0697,0.137+0.02),IF(AR5=3,IF(AS5=0,0.0958+0.0697,0.0958+0.02),IF(AR5=2,IF(AS5=0,0.0415+0.0697,0.0415+0.02),IF(AR5=1,IF(AS5=0,0.0294+0.0697,0.0294+0.02),IF(AR5=0,IF(AS5=0,0.0063+0.0697,0.0063+0.02))))))</f>
        <v>6.1499999999999999E-2</v>
      </c>
      <c r="AQ5" s="20">
        <v>1</v>
      </c>
      <c r="AR5" s="20">
        <v>2</v>
      </c>
      <c r="AS5" s="20">
        <v>4</v>
      </c>
      <c r="AT5" s="213">
        <v>1530</v>
      </c>
    </row>
    <row r="6" spans="1:46" x14ac:dyDescent="0.25">
      <c r="A6" s="15" t="s">
        <v>32</v>
      </c>
      <c r="B6" s="15" t="s">
        <v>360</v>
      </c>
      <c r="C6" s="121">
        <f ca="1">((33*112)-(E6*112)-(F6))/112</f>
        <v>9.5446428571428577</v>
      </c>
      <c r="D6" s="215" t="s">
        <v>439</v>
      </c>
      <c r="E6" s="1">
        <v>23</v>
      </c>
      <c r="F6" s="2">
        <f ca="1">$D$2-$D$1-880+55-112</f>
        <v>51</v>
      </c>
      <c r="G6" s="3" t="s">
        <v>295</v>
      </c>
      <c r="H6" s="4">
        <v>4</v>
      </c>
      <c r="I6" s="5">
        <v>2.9</v>
      </c>
      <c r="J6" s="22">
        <f>LOG(I6)*4/3</f>
        <v>0.61653066386527478</v>
      </c>
      <c r="K6" s="6">
        <f>(H6)*(H6)*(I6)</f>
        <v>46.4</v>
      </c>
      <c r="L6" s="6">
        <f>(H6+1)*(H6+1)*I6</f>
        <v>72.5</v>
      </c>
      <c r="M6" s="130">
        <v>43097</v>
      </c>
      <c r="N6" s="131">
        <f ca="1">IF((TODAY()-M6)&gt;335,1,((TODAY()-M6)^0.64)/(336^0.64))</f>
        <v>0.61949388244133796</v>
      </c>
      <c r="O6" s="25">
        <v>5</v>
      </c>
      <c r="P6" s="20">
        <f>O6*10+19</f>
        <v>69</v>
      </c>
      <c r="Q6" s="26">
        <v>5</v>
      </c>
      <c r="R6" s="115">
        <f>(Q6/7)^0.5</f>
        <v>0.84515425472851657</v>
      </c>
      <c r="S6" s="115">
        <f>IF(Q6=7,1,((Q6+0.99)/7)^0.5)</f>
        <v>0.92504826128926143</v>
      </c>
      <c r="T6" s="29">
        <v>8170</v>
      </c>
      <c r="U6" s="29">
        <f>T6-AT6</f>
        <v>-20</v>
      </c>
      <c r="V6" s="7">
        <v>730</v>
      </c>
      <c r="W6" s="8">
        <f>T6/V6</f>
        <v>11.191780821917808</v>
      </c>
      <c r="X6" s="21">
        <v>0</v>
      </c>
      <c r="Y6" s="22">
        <v>7</v>
      </c>
      <c r="Z6" s="21">
        <v>2</v>
      </c>
      <c r="AA6" s="22">
        <v>5</v>
      </c>
      <c r="AB6" s="21">
        <f>7+0.25*11/90</f>
        <v>7.0305555555555559</v>
      </c>
      <c r="AC6" s="22">
        <f>5+1/21+1/21+1/21+1/21+1/21+1/21+1/21+1/21+1/21+1/21+1/21+1/21</f>
        <v>5.5714285714285694</v>
      </c>
      <c r="AD6" s="21">
        <v>4</v>
      </c>
      <c r="AE6" s="9">
        <v>645</v>
      </c>
      <c r="AF6" s="9">
        <v>1291</v>
      </c>
      <c r="AG6" s="23">
        <f ca="1">(AD6+1+(LOG(I6)*4/3)+N6)*(Q6/7)^0.5</f>
        <v>5.2704026779025011</v>
      </c>
      <c r="AH6" s="23">
        <f ca="1">(AD6+1+N6+(LOG(I6)*4/3))*(IF(Q6=7, (Q6/7)^0.5, ((Q6+1)/7)^0.5))</f>
        <v>5.7734368676456684</v>
      </c>
      <c r="AI6" s="23">
        <f ca="1">(Z6+N6+(LOG(I6)*4/3))</f>
        <v>3.2360245463066128</v>
      </c>
      <c r="AJ6" s="120">
        <f ca="1">(Z6+N6+(LOG(I6)*4/3))*(Q6/7)^0.5</f>
        <v>2.7349399137169512</v>
      </c>
      <c r="AK6" s="120">
        <f ca="1">(Z6+N6+(LOG(I6)*4/3))*(IF(Q6=7, (Q6/7)^0.5, ((Q6+1)/7)^0.5))</f>
        <v>2.9959765683280137</v>
      </c>
      <c r="AL6" s="8">
        <f ca="1">(((Y6+LOG(I6)*4/3+N6)+(AB6+LOG(I6)*4/3+N6)*2)/8)*(Q6/7)^0.5</f>
        <v>2.6167227347056681</v>
      </c>
      <c r="AM6" s="8">
        <f ca="1">(AD6+LOG(I6)*4/3+N6)*0.7+(AC6+LOG(I6)*4/3+N6)*0.3</f>
        <v>5.7074531177351835</v>
      </c>
      <c r="AN6" s="8">
        <f ca="1">(0.5*(AC6+LOG(I6)*4/3+N6)+ 0.3*(AD6+LOG(I6)*4/3+N6))/10</f>
        <v>0.49745339227595747</v>
      </c>
      <c r="AO6" s="8">
        <f ca="1">(0.4*(Y6+LOG(I6)*4/3+N6)+0.3*(AD6+LOG(I6)*4/3+N6))/10</f>
        <v>0.48652171824146284</v>
      </c>
      <c r="AP6" s="129">
        <f>IF(AR6=4,IF(AS6=0,0.137+0.0697,0.137+0.02),IF(AR6=3,IF(AS6=0,0.0958+0.0697,0.0958+0.02),IF(AR6=2,IF(AS6=0,0.0415+0.0697,0.0415+0.02),IF(AR6=1,IF(AS6=0,0.0294+0.0697,0.0294+0.02),IF(AR6=0,IF(AS6=0,0.0063+0.0697,0.0063+0.02))))))</f>
        <v>4.9399999999999999E-2</v>
      </c>
      <c r="AQ6" s="20">
        <v>4</v>
      </c>
      <c r="AR6" s="20">
        <v>1</v>
      </c>
      <c r="AS6" s="20">
        <v>2</v>
      </c>
      <c r="AT6">
        <v>8190</v>
      </c>
    </row>
    <row r="7" spans="1:46" x14ac:dyDescent="0.25">
      <c r="A7" s="15" t="s">
        <v>39</v>
      </c>
      <c r="B7" s="15" t="s">
        <v>360</v>
      </c>
      <c r="C7" s="121">
        <f ca="1">((33*112)-(E7*112)-(F7))/112</f>
        <v>14.535714285714286</v>
      </c>
      <c r="D7" s="214" t="s">
        <v>440</v>
      </c>
      <c r="E7" s="16">
        <v>18</v>
      </c>
      <c r="F7" s="2">
        <f ca="1">$D$2-$D$1-880+56-112</f>
        <v>52</v>
      </c>
      <c r="G7" s="18"/>
      <c r="H7" s="4">
        <v>1</v>
      </c>
      <c r="I7" s="27">
        <v>2.2999999999999998</v>
      </c>
      <c r="J7" s="22">
        <f>LOG(I7)*4/3</f>
        <v>0.48230378135679047</v>
      </c>
      <c r="K7" s="6">
        <f>(H7)*(H7)*(I7)</f>
        <v>2.2999999999999998</v>
      </c>
      <c r="L7" s="6">
        <f>(H7+1)*(H7+1)*I7</f>
        <v>9.1999999999999993</v>
      </c>
      <c r="M7" s="130">
        <v>43097</v>
      </c>
      <c r="N7" s="131">
        <v>1.5</v>
      </c>
      <c r="O7" s="19">
        <v>2.9</v>
      </c>
      <c r="P7" s="20">
        <f>O7*10+19</f>
        <v>48</v>
      </c>
      <c r="Q7" s="20">
        <v>7</v>
      </c>
      <c r="R7" s="115">
        <f>(Q7/7)^0.5</f>
        <v>1</v>
      </c>
      <c r="S7" s="115">
        <f>IF(Q7=7,1,((Q7+0.99)/7)^0.5)</f>
        <v>1</v>
      </c>
      <c r="T7" s="29">
        <v>2390</v>
      </c>
      <c r="U7" s="29">
        <f>T7-AT7</f>
        <v>120</v>
      </c>
      <c r="V7" s="29">
        <v>470</v>
      </c>
      <c r="W7" s="8">
        <f>T7/V7</f>
        <v>5.0851063829787231</v>
      </c>
      <c r="X7" s="21">
        <v>0</v>
      </c>
      <c r="Y7" s="22">
        <v>5</v>
      </c>
      <c r="Z7" s="21">
        <v>6.7</v>
      </c>
      <c r="AA7" s="22">
        <v>6</v>
      </c>
      <c r="AB7" s="21">
        <v>3</v>
      </c>
      <c r="AC7" s="22">
        <f>3+1/15+1/15+1/15+1/15+1/15*80/90+1/15+1/15+1/15+1/15+1/15+1/15+1/15</f>
        <v>3.792592592592595</v>
      </c>
      <c r="AD7" s="21">
        <v>2</v>
      </c>
      <c r="AE7" s="9">
        <v>506</v>
      </c>
      <c r="AF7" s="9">
        <v>1919</v>
      </c>
      <c r="AG7" s="23">
        <f>(AD7+1+(LOG(I7)*4/3)+N7)*(Q7/7)^0.5</f>
        <v>4.9823037813567908</v>
      </c>
      <c r="AH7" s="23">
        <f>(AD7+1+N7+(LOG(I7)*4/3))*(IF(Q7=7, (Q7/7)^0.5, ((Q7+1)/7)^0.5))</f>
        <v>4.9823037813567908</v>
      </c>
      <c r="AI7" s="23">
        <f>(Z7+N7+(LOG(I7)*4/3))</f>
        <v>8.68230378135679</v>
      </c>
      <c r="AJ7" s="120">
        <f>(Z7+N7+(LOG(I7)*4/3))*(Q7/7)^0.5</f>
        <v>8.68230378135679</v>
      </c>
      <c r="AK7" s="120">
        <f>(Z7+N7+(LOG(I7)*4/3))*(IF(Q7=7, (Q7/7)^0.5, ((Q7+1)/7)^0.5))</f>
        <v>8.68230378135679</v>
      </c>
      <c r="AL7" s="8">
        <f>(((Y7+LOG(I7)*4/3+N7)+(AB7+LOG(I7)*4/3+N7)*2)/8)*(Q7/7)^0.5</f>
        <v>2.1183639180087965</v>
      </c>
      <c r="AM7" s="8">
        <f>(AD7+LOG(I7)*4/3+N7)*0.7+(AC7+LOG(I7)*4/3+N7)*0.3</f>
        <v>4.5200815591345691</v>
      </c>
      <c r="AN7" s="8">
        <f>(0.5*(AC7+LOG(I7)*4/3+N7)+ 0.3*(AD7+LOG(I7)*4/3+N7))/10</f>
        <v>0.40821393213817297</v>
      </c>
      <c r="AO7" s="8">
        <f>(0.4*(Y7+LOG(I7)*4/3+N7)+0.3*(AD7+LOG(I7)*4/3+N7))/10</f>
        <v>0.39876126469497536</v>
      </c>
      <c r="AP7" s="129">
        <f>IF(AR7=4,IF(AS7=0,0.137+0.0697,0.137+0.02),IF(AR7=3,IF(AS7=0,0.0958+0.0697,0.0958+0.02),IF(AR7=2,IF(AS7=0,0.0415+0.0697,0.0415+0.02),IF(AR7=1,IF(AS7=0,0.0294+0.0697,0.0294+0.02),IF(AR7=0,IF(AS7=0,0.0063+0.0697,0.0063+0.02))))))</f>
        <v>6.1499999999999999E-2</v>
      </c>
      <c r="AQ7" s="20">
        <v>2</v>
      </c>
      <c r="AR7" s="20">
        <v>2</v>
      </c>
      <c r="AS7" s="20">
        <v>1</v>
      </c>
      <c r="AT7">
        <v>2270</v>
      </c>
    </row>
    <row r="8" spans="1:46" x14ac:dyDescent="0.25">
      <c r="A8" s="15" t="s">
        <v>804</v>
      </c>
      <c r="B8" s="15" t="s">
        <v>360</v>
      </c>
      <c r="C8" s="121">
        <f ca="1">((33*112)-(E8*112)-(F8))/112</f>
        <v>13.857142857142858</v>
      </c>
      <c r="D8" s="214" t="s">
        <v>805</v>
      </c>
      <c r="E8" s="16">
        <v>19</v>
      </c>
      <c r="F8" s="2">
        <f ca="1">$D$2-$D$1-880+25-112-5</f>
        <v>16</v>
      </c>
      <c r="G8" s="18"/>
      <c r="H8" s="4">
        <v>4</v>
      </c>
      <c r="I8" s="27">
        <v>2</v>
      </c>
      <c r="J8" s="22">
        <f>LOG(I8)*4/3</f>
        <v>0.40137332755197491</v>
      </c>
      <c r="K8" s="6">
        <f>(H8)*(H8)*(I8)</f>
        <v>32</v>
      </c>
      <c r="L8" s="6">
        <f>(H8+1)*(H8+1)*I8</f>
        <v>50</v>
      </c>
      <c r="M8" s="130">
        <v>43238</v>
      </c>
      <c r="N8" s="131">
        <v>1.5</v>
      </c>
      <c r="O8" s="19">
        <v>3.5</v>
      </c>
      <c r="P8" s="20">
        <f>O8*10+19</f>
        <v>54</v>
      </c>
      <c r="Q8" s="26">
        <v>4</v>
      </c>
      <c r="R8" s="115">
        <f>(Q8/7)^0.5</f>
        <v>0.7559289460184544</v>
      </c>
      <c r="S8" s="115">
        <f>IF(Q8=7,1,((Q8+0.99)/7)^0.5)</f>
        <v>0.84430867747355465</v>
      </c>
      <c r="T8" s="29">
        <v>610</v>
      </c>
      <c r="U8" s="29">
        <f>T8-AT8</f>
        <v>-70</v>
      </c>
      <c r="V8" s="29">
        <v>350</v>
      </c>
      <c r="W8" s="8">
        <f>T8/V8</f>
        <v>1.7428571428571429</v>
      </c>
      <c r="X8" s="21">
        <v>0</v>
      </c>
      <c r="Y8" s="22">
        <v>6</v>
      </c>
      <c r="Z8" s="21">
        <v>2</v>
      </c>
      <c r="AA8" s="22">
        <v>2</v>
      </c>
      <c r="AB8" s="21">
        <v>2</v>
      </c>
      <c r="AC8" s="22">
        <v>4</v>
      </c>
      <c r="AD8" s="21">
        <v>5</v>
      </c>
      <c r="AE8" s="9">
        <v>376</v>
      </c>
      <c r="AF8" s="9">
        <v>1683</v>
      </c>
      <c r="AG8" s="23">
        <f>(AD8+1+(LOG(I8)*4/3)+N8)*(Q8/7)^0.5</f>
        <v>5.9728768115946922</v>
      </c>
      <c r="AH8" s="23">
        <f>(AD8+1+N8+(LOG(I8)*4/3))*(IF(Q8=7, (Q8/7)^0.5, ((Q8+1)/7)^0.5))</f>
        <v>6.6778792859789684</v>
      </c>
      <c r="AI8" s="23">
        <f>(Z8+N8+(LOG(I8)*4/3))</f>
        <v>3.9013733275519749</v>
      </c>
      <c r="AJ8" s="120">
        <f>(Z8+N8+(LOG(I8)*4/3))*(Q8/7)^0.5</f>
        <v>2.9491610275208746</v>
      </c>
      <c r="AK8" s="120">
        <f>(Z8+N8+(LOG(I8)*4/3))*(IF(Q8=7, (Q8/7)^0.5, ((Q8+1)/7)^0.5))</f>
        <v>3.2972622670649021</v>
      </c>
      <c r="AL8" s="8">
        <f>(((Y8+LOG(I8)*4/3+N8)+(AB8+LOG(I8)*4/3+N8)*2)/8)*(Q8/7)^0.5</f>
        <v>1.4838998583295553</v>
      </c>
      <c r="AM8" s="8">
        <f>(AD8+LOG(I8)*4/3+N8)*0.7+(AC8+LOG(I8)*4/3+N8)*0.3</f>
        <v>6.6013733275519755</v>
      </c>
      <c r="AN8" s="8">
        <f>(0.5*(AC8+LOG(I8)*4/3+N8)+ 0.3*(AD8+LOG(I8)*4/3+N8))/10</f>
        <v>0.50210986620415798</v>
      </c>
      <c r="AO8" s="8">
        <f>(0.4*(Y8+LOG(I8)*4/3+N8)+0.3*(AD8+LOG(I8)*4/3+N8))/10</f>
        <v>0.52309613292863832</v>
      </c>
      <c r="AP8" s="129">
        <f>IF(AR8=4,IF(AS8=0,0.137+0.0697,0.137+0.02),IF(AR8=3,IF(AS8=0,0.0958+0.0697,0.0958+0.02),IF(AR8=2,IF(AS8=0,0.0415+0.0697,0.0415+0.02),IF(AR8=1,IF(AS8=0,0.0294+0.0697,0.0294+0.02),IF(AR8=0,IF(AS8=0,0.0063+0.0697,0.0063+0.02))))))</f>
        <v>4.9399999999999999E-2</v>
      </c>
      <c r="AQ8" s="20">
        <v>2</v>
      </c>
      <c r="AR8" s="20">
        <v>1</v>
      </c>
      <c r="AS8" s="20">
        <v>1</v>
      </c>
      <c r="AT8" s="213">
        <v>680</v>
      </c>
    </row>
    <row r="9" spans="1:46" x14ac:dyDescent="0.25">
      <c r="A9" s="15" t="s">
        <v>38</v>
      </c>
      <c r="B9" s="15" t="s">
        <v>193</v>
      </c>
      <c r="C9" s="121">
        <f t="shared" ref="C9:C16" ca="1" si="11">((33*112)-(E9*112)-(F9))/112</f>
        <v>13.946428571428571</v>
      </c>
      <c r="D9" s="233" t="s">
        <v>371</v>
      </c>
      <c r="E9" s="16">
        <v>19</v>
      </c>
      <c r="F9" s="2">
        <f ca="1">$D$2-$D$1-870-112</f>
        <v>6</v>
      </c>
      <c r="G9" s="18" t="s">
        <v>70</v>
      </c>
      <c r="H9" s="4">
        <v>0</v>
      </c>
      <c r="I9" s="27">
        <v>2.2999999999999998</v>
      </c>
      <c r="J9" s="22">
        <f t="shared" ref="J9:J16" si="12">LOG(I9)*4/3</f>
        <v>0.48230378135679047</v>
      </c>
      <c r="K9" s="6">
        <f t="shared" ref="K9:K16" si="13">(H9)*(H9)*(I9)</f>
        <v>0</v>
      </c>
      <c r="L9" s="6">
        <f t="shared" ref="L9:L16" si="14">(H9+1)*(H9+1)*I9</f>
        <v>2.2999999999999998</v>
      </c>
      <c r="M9" s="130">
        <v>43081</v>
      </c>
      <c r="N9" s="131">
        <f ca="1">IF((TODAY()-M9)&gt;335,1,((TODAY()-M9)^0.64)/(336^0.64))</f>
        <v>0.65869931776506041</v>
      </c>
      <c r="O9" s="19">
        <v>2.9</v>
      </c>
      <c r="P9" s="20">
        <f t="shared" ref="P9:P16" si="15">O9*10+19</f>
        <v>48</v>
      </c>
      <c r="Q9" s="26">
        <v>7</v>
      </c>
      <c r="R9" s="115">
        <f t="shared" ref="R9:R16" si="16">(Q9/7)^0.5</f>
        <v>1</v>
      </c>
      <c r="S9" s="115">
        <f t="shared" ref="S9:S16" si="17">IF(Q9=7,1,((Q9+0.99)/7)^0.5)</f>
        <v>1</v>
      </c>
      <c r="T9" s="29">
        <v>12710</v>
      </c>
      <c r="U9" s="29">
        <f t="shared" ref="U9:U16" si="18">T9-AT9</f>
        <v>340</v>
      </c>
      <c r="V9" s="29">
        <v>550</v>
      </c>
      <c r="W9" s="8">
        <f t="shared" ref="W9:W16" si="19">T9/V9</f>
        <v>23.109090909090909</v>
      </c>
      <c r="X9" s="21">
        <v>0</v>
      </c>
      <c r="Y9" s="22">
        <v>6</v>
      </c>
      <c r="Z9" s="21">
        <v>5</v>
      </c>
      <c r="AA9" s="22">
        <v>8</v>
      </c>
      <c r="AB9" s="21">
        <f>5.8+0.2+0.2</f>
        <v>6.2</v>
      </c>
      <c r="AC9" s="22">
        <f>5+0.34+0.33+0.33+0.25+0.25+0.25+0.25+0.25+0.25+0.25+0.25+0.25</f>
        <v>8.25</v>
      </c>
      <c r="AD9" s="21">
        <v>0</v>
      </c>
      <c r="AE9" s="9">
        <v>830</v>
      </c>
      <c r="AF9" s="9">
        <v>2150</v>
      </c>
      <c r="AG9" s="23">
        <f t="shared" ref="AG9:AG16" ca="1" si="20">(AD9+1+(LOG(I9)*4/3)+N9)*(Q9/7)^0.5</f>
        <v>2.1410030991218507</v>
      </c>
      <c r="AH9" s="23">
        <f t="shared" ref="AH9:AH16" ca="1" si="21">(AD9+1+N9+(LOG(I9)*4/3))*(IF(Q9=7, (Q9/7)^0.5, ((Q9+1)/7)^0.5))</f>
        <v>2.1410030991218507</v>
      </c>
      <c r="AI9" s="23">
        <f t="shared" ref="AI9:AI16" ca="1" si="22">(Z9+N9+(LOG(I9)*4/3))</f>
        <v>6.1410030991218516</v>
      </c>
      <c r="AJ9" s="120">
        <f t="shared" ref="AJ9:AJ16" ca="1" si="23">(Z9+N9+(LOG(I9)*4/3))*(Q9/7)^0.5</f>
        <v>6.1410030991218516</v>
      </c>
      <c r="AK9" s="120">
        <f t="shared" ref="AK9:AK16" ca="1" si="24">(Z9+N9+(LOG(I9)*4/3))*(IF(Q9=7, (Q9/7)^0.5, ((Q9+1)/7)^0.5))</f>
        <v>6.1410030991218516</v>
      </c>
      <c r="AL9" s="8">
        <f t="shared" ref="AL9:AL16" ca="1" si="25">(((Y9+LOG(I9)*4/3+N9)+(AB9+LOG(I9)*4/3+N9)*2)/8)*(Q9/7)^0.5</f>
        <v>2.727876162170694</v>
      </c>
      <c r="AM9" s="8">
        <f t="shared" ref="AM9:AM16" ca="1" si="26">(AD9+LOG(I9)*4/3+N9)*0.7+(AC9+LOG(I9)*4/3+N9)*0.3</f>
        <v>3.6160030991218508</v>
      </c>
      <c r="AN9" s="8">
        <f t="shared" ref="AN9:AN16" ca="1" si="27">(0.5*(AC9+LOG(I9)*4/3+N9)+ 0.3*(AD9+LOG(I9)*4/3+N9))/10</f>
        <v>0.50378024792974807</v>
      </c>
      <c r="AO9" s="8">
        <f t="shared" ref="AO9:AO16" ca="1" si="28">(0.4*(Y9+LOG(I9)*4/3+N9)+0.3*(AD9+LOG(I9)*4/3+N9))/10</f>
        <v>0.31987021693852957</v>
      </c>
      <c r="AP9" s="129">
        <f t="shared" ref="AP9:AP23" si="29">IF(AR9=4,IF(AS9=0,0.137+0.0697,0.137+0.02),IF(AR9=3,IF(AS9=0,0.0958+0.0697,0.0958+0.02),IF(AR9=2,IF(AS9=0,0.0415+0.0697,0.0415+0.02),IF(AR9=1,IF(AS9=0,0.0294+0.0697,0.0294+0.02),IF(AR9=0,IF(AS9=0,0.0063+0.0697,0.0063+0.02))))))</f>
        <v>6.1499999999999999E-2</v>
      </c>
      <c r="AQ9" s="20">
        <v>1</v>
      </c>
      <c r="AR9" s="20">
        <v>2</v>
      </c>
      <c r="AS9" s="20">
        <v>2</v>
      </c>
      <c r="AT9" s="213">
        <v>12370</v>
      </c>
    </row>
    <row r="10" spans="1:46" x14ac:dyDescent="0.25">
      <c r="A10" s="15" t="s">
        <v>43</v>
      </c>
      <c r="B10" s="15" t="s">
        <v>193</v>
      </c>
      <c r="C10" s="121">
        <f t="shared" ca="1" si="11"/>
        <v>14.035714285714286</v>
      </c>
      <c r="D10" s="233" t="s">
        <v>565</v>
      </c>
      <c r="E10" s="1">
        <v>18</v>
      </c>
      <c r="F10" s="2">
        <f ca="1">$D$2-$D$1-880</f>
        <v>108</v>
      </c>
      <c r="G10" s="3" t="s">
        <v>295</v>
      </c>
      <c r="H10" s="225">
        <v>5</v>
      </c>
      <c r="I10" s="5">
        <v>1.8</v>
      </c>
      <c r="J10" s="22">
        <f t="shared" si="12"/>
        <v>0.34036334013774144</v>
      </c>
      <c r="K10" s="6">
        <f t="shared" si="13"/>
        <v>45</v>
      </c>
      <c r="L10" s="6">
        <f t="shared" si="14"/>
        <v>64.8</v>
      </c>
      <c r="M10" s="130">
        <v>43137</v>
      </c>
      <c r="N10" s="131">
        <f ca="1">IF((TODAY()-M10)&gt;335,1,((TODAY()-M10)^0.64)/(336^0.64))</f>
        <v>0.51462741468122808</v>
      </c>
      <c r="O10" s="25">
        <v>2.9</v>
      </c>
      <c r="P10" s="20">
        <f t="shared" si="15"/>
        <v>48</v>
      </c>
      <c r="Q10" s="26">
        <v>5</v>
      </c>
      <c r="R10" s="115">
        <f t="shared" si="16"/>
        <v>0.84515425472851657</v>
      </c>
      <c r="S10" s="115">
        <f t="shared" si="17"/>
        <v>0.92504826128926143</v>
      </c>
      <c r="T10" s="29">
        <v>6770</v>
      </c>
      <c r="U10" s="29">
        <f t="shared" si="18"/>
        <v>430</v>
      </c>
      <c r="V10" s="7">
        <v>790</v>
      </c>
      <c r="W10" s="8">
        <f t="shared" si="19"/>
        <v>8.5696202531645564</v>
      </c>
      <c r="X10" s="21">
        <v>0</v>
      </c>
      <c r="Y10" s="22">
        <v>8</v>
      </c>
      <c r="Z10" s="21">
        <v>4</v>
      </c>
      <c r="AA10" s="22">
        <f>6.3+0.15</f>
        <v>6.45</v>
      </c>
      <c r="AB10" s="21">
        <f>4+0.25</f>
        <v>4.25</v>
      </c>
      <c r="AC10" s="22">
        <f>5.25+0.25+0.25+0.25+0.25+0.25+0.25+0.25</f>
        <v>7</v>
      </c>
      <c r="AD10" s="21">
        <v>3</v>
      </c>
      <c r="AE10" s="9">
        <v>743</v>
      </c>
      <c r="AF10" s="9">
        <v>2078</v>
      </c>
      <c r="AG10" s="23">
        <f t="shared" ca="1" si="20"/>
        <v>4.1032160931028638</v>
      </c>
      <c r="AH10" s="23">
        <f t="shared" ca="1" si="21"/>
        <v>4.4948480250213123</v>
      </c>
      <c r="AI10" s="23">
        <f t="shared" ca="1" si="22"/>
        <v>4.854990754818969</v>
      </c>
      <c r="AJ10" s="120">
        <f t="shared" ca="1" si="23"/>
        <v>4.1032160931028638</v>
      </c>
      <c r="AK10" s="120">
        <f t="shared" ca="1" si="24"/>
        <v>4.4948480250213123</v>
      </c>
      <c r="AL10" s="8">
        <f t="shared" ca="1" si="25"/>
        <v>2.0141053031983649</v>
      </c>
      <c r="AM10" s="8">
        <f t="shared" ca="1" si="26"/>
        <v>5.0549907548189692</v>
      </c>
      <c r="AN10" s="8">
        <f t="shared" ca="1" si="27"/>
        <v>0.50839926038551753</v>
      </c>
      <c r="AO10" s="8">
        <f t="shared" ca="1" si="28"/>
        <v>0.46984935283732793</v>
      </c>
      <c r="AP10" s="129">
        <f t="shared" si="29"/>
        <v>6.1499999999999999E-2</v>
      </c>
      <c r="AQ10" s="20">
        <v>1</v>
      </c>
      <c r="AR10" s="20">
        <v>2</v>
      </c>
      <c r="AS10" s="20">
        <v>3</v>
      </c>
      <c r="AT10">
        <v>6340</v>
      </c>
    </row>
    <row r="11" spans="1:46" x14ac:dyDescent="0.25">
      <c r="A11" s="15" t="s">
        <v>33</v>
      </c>
      <c r="B11" s="15" t="s">
        <v>193</v>
      </c>
      <c r="C11" s="121">
        <f t="shared" ca="1" si="11"/>
        <v>14.383928571428571</v>
      </c>
      <c r="D11" s="233" t="s">
        <v>555</v>
      </c>
      <c r="E11" s="1">
        <v>18</v>
      </c>
      <c r="F11" s="2">
        <f ca="1">$D$2-$D$1-919</f>
        <v>69</v>
      </c>
      <c r="G11" s="3" t="s">
        <v>45</v>
      </c>
      <c r="H11" s="4">
        <v>3</v>
      </c>
      <c r="I11" s="5">
        <v>2.2999999999999998</v>
      </c>
      <c r="J11" s="22">
        <f t="shared" si="12"/>
        <v>0.48230378135679047</v>
      </c>
      <c r="K11" s="6">
        <f t="shared" si="13"/>
        <v>20.7</v>
      </c>
      <c r="L11" s="6">
        <f t="shared" si="14"/>
        <v>36.799999999999997</v>
      </c>
      <c r="M11" s="130">
        <v>43122</v>
      </c>
      <c r="N11" s="131">
        <f ca="1">IF((TODAY()-M11)&gt;335,1,((TODAY()-M11)^0.64)/(336^0.64))</f>
        <v>0.555251746708049</v>
      </c>
      <c r="O11" s="25">
        <v>2.9</v>
      </c>
      <c r="P11" s="20">
        <f t="shared" si="15"/>
        <v>48</v>
      </c>
      <c r="Q11" s="26">
        <v>7</v>
      </c>
      <c r="R11" s="115">
        <f t="shared" si="16"/>
        <v>1</v>
      </c>
      <c r="S11" s="115">
        <f t="shared" si="17"/>
        <v>1</v>
      </c>
      <c r="T11" s="29">
        <v>8870</v>
      </c>
      <c r="U11" s="29">
        <f t="shared" si="18"/>
        <v>550</v>
      </c>
      <c r="V11" s="7">
        <v>610</v>
      </c>
      <c r="W11" s="8">
        <f t="shared" si="19"/>
        <v>14.540983606557377</v>
      </c>
      <c r="X11" s="21">
        <v>0</v>
      </c>
      <c r="Y11" s="22">
        <v>6</v>
      </c>
      <c r="Z11" s="21">
        <v>3</v>
      </c>
      <c r="AA11" s="22">
        <v>7</v>
      </c>
      <c r="AB11" s="21">
        <v>7</v>
      </c>
      <c r="AC11" s="22">
        <f>4.25+0.25+0.25+0.25+0.25+0.25+0.25+0.25+0.25+0.25+0.25+0.25</f>
        <v>7</v>
      </c>
      <c r="AD11" s="21">
        <v>3</v>
      </c>
      <c r="AE11" s="9">
        <v>745</v>
      </c>
      <c r="AF11" s="9">
        <v>2134</v>
      </c>
      <c r="AG11" s="23">
        <f t="shared" ca="1" si="20"/>
        <v>5.0375555280648401</v>
      </c>
      <c r="AH11" s="23">
        <f t="shared" ca="1" si="21"/>
        <v>5.0375555280648401</v>
      </c>
      <c r="AI11" s="23">
        <f t="shared" ca="1" si="22"/>
        <v>4.0375555280648392</v>
      </c>
      <c r="AJ11" s="120">
        <f t="shared" ca="1" si="23"/>
        <v>4.0375555280648392</v>
      </c>
      <c r="AK11" s="120">
        <f t="shared" ca="1" si="24"/>
        <v>4.0375555280648392</v>
      </c>
      <c r="AL11" s="8">
        <f t="shared" ca="1" si="25"/>
        <v>2.8890833230243147</v>
      </c>
      <c r="AM11" s="8">
        <f t="shared" ca="1" si="26"/>
        <v>5.2375555280648385</v>
      </c>
      <c r="AN11" s="8">
        <f t="shared" ca="1" si="27"/>
        <v>0.52300444224518716</v>
      </c>
      <c r="AO11" s="8">
        <f t="shared" ca="1" si="28"/>
        <v>0.4026288869645388</v>
      </c>
      <c r="AP11" s="129">
        <f t="shared" si="29"/>
        <v>2.63E-2</v>
      </c>
      <c r="AQ11" s="20">
        <v>2</v>
      </c>
      <c r="AR11" s="20">
        <v>0</v>
      </c>
      <c r="AS11" s="20">
        <v>2</v>
      </c>
      <c r="AT11" s="213">
        <v>8320</v>
      </c>
    </row>
    <row r="12" spans="1:46" x14ac:dyDescent="0.25">
      <c r="A12" s="15" t="s">
        <v>41</v>
      </c>
      <c r="B12" s="15" t="s">
        <v>193</v>
      </c>
      <c r="C12" s="121">
        <f t="shared" ca="1" si="11"/>
        <v>14.035714285714286</v>
      </c>
      <c r="D12" s="233" t="s">
        <v>301</v>
      </c>
      <c r="E12" s="16">
        <v>18</v>
      </c>
      <c r="F12" s="2">
        <f ca="1">$D$2-$D$1-880</f>
        <v>108</v>
      </c>
      <c r="G12" s="18" t="s">
        <v>295</v>
      </c>
      <c r="H12" s="40">
        <v>6</v>
      </c>
      <c r="I12" s="27">
        <v>2.2999999999999998</v>
      </c>
      <c r="J12" s="22">
        <f t="shared" si="12"/>
        <v>0.48230378135679047</v>
      </c>
      <c r="K12" s="6">
        <f t="shared" si="13"/>
        <v>82.8</v>
      </c>
      <c r="L12" s="6">
        <f t="shared" si="14"/>
        <v>112.69999999999999</v>
      </c>
      <c r="M12" s="130">
        <v>43051</v>
      </c>
      <c r="N12" s="131">
        <f ca="1">IF((TODAY()-M12)&gt;335,1,((TODAY()-M12)^0.64)/(336^0.64))</f>
        <v>0.72889560829313094</v>
      </c>
      <c r="O12" s="19">
        <v>4</v>
      </c>
      <c r="P12" s="20">
        <f t="shared" si="15"/>
        <v>59</v>
      </c>
      <c r="Q12" s="26">
        <v>6</v>
      </c>
      <c r="R12" s="115">
        <f t="shared" si="16"/>
        <v>0.92582009977255142</v>
      </c>
      <c r="S12" s="115">
        <f t="shared" si="17"/>
        <v>0.99928545900129484</v>
      </c>
      <c r="T12" s="29">
        <v>7720</v>
      </c>
      <c r="U12" s="29">
        <f t="shared" si="18"/>
        <v>530</v>
      </c>
      <c r="V12" s="29">
        <v>410</v>
      </c>
      <c r="W12" s="8">
        <f t="shared" si="19"/>
        <v>18.829268292682926</v>
      </c>
      <c r="X12" s="21">
        <v>0</v>
      </c>
      <c r="Y12" s="22">
        <v>6</v>
      </c>
      <c r="Z12" s="21">
        <v>3</v>
      </c>
      <c r="AA12" s="22">
        <v>7</v>
      </c>
      <c r="AB12" s="21">
        <f>5.4+0.2+0.2+0.2</f>
        <v>6.0000000000000009</v>
      </c>
      <c r="AC12" s="22">
        <f>3.34+0.34+0.33+0.33+0.33+0.33+0.33+0.33+0.33+0.26+0.25+0.25+0.25+0.25</f>
        <v>7.25</v>
      </c>
      <c r="AD12" s="21">
        <v>3</v>
      </c>
      <c r="AE12" s="9">
        <v>709</v>
      </c>
      <c r="AF12" s="9">
        <v>2043</v>
      </c>
      <c r="AG12" s="23">
        <f t="shared" ca="1" si="20"/>
        <v>4.8246331388603494</v>
      </c>
      <c r="AH12" s="23">
        <f t="shared" ca="1" si="21"/>
        <v>5.2111993896499218</v>
      </c>
      <c r="AI12" s="23">
        <f t="shared" ca="1" si="22"/>
        <v>4.2111993896499218</v>
      </c>
      <c r="AJ12" s="120">
        <f t="shared" ca="1" si="23"/>
        <v>3.8988130390877984</v>
      </c>
      <c r="AK12" s="120">
        <f t="shared" ca="1" si="24"/>
        <v>4.2111993896499218</v>
      </c>
      <c r="AL12" s="8">
        <f t="shared" ca="1" si="25"/>
        <v>2.5036025019020447</v>
      </c>
      <c r="AM12" s="8">
        <f t="shared" ca="1" si="26"/>
        <v>5.4861993896499204</v>
      </c>
      <c r="AN12" s="8">
        <f t="shared" ca="1" si="27"/>
        <v>0.54939595117199369</v>
      </c>
      <c r="AO12" s="8">
        <f t="shared" ca="1" si="28"/>
        <v>0.4147839572754945</v>
      </c>
      <c r="AP12" s="129">
        <f t="shared" si="29"/>
        <v>6.1499999999999999E-2</v>
      </c>
      <c r="AQ12" s="20">
        <v>2</v>
      </c>
      <c r="AR12" s="20">
        <v>2</v>
      </c>
      <c r="AS12" s="20">
        <v>1</v>
      </c>
      <c r="AT12">
        <v>7190</v>
      </c>
    </row>
    <row r="13" spans="1:46" x14ac:dyDescent="0.25">
      <c r="A13" s="15" t="s">
        <v>35</v>
      </c>
      <c r="B13" s="15" t="s">
        <v>193</v>
      </c>
      <c r="C13" s="121">
        <f t="shared" ca="1" si="11"/>
        <v>14.258928571428571</v>
      </c>
      <c r="D13" s="214" t="s">
        <v>441</v>
      </c>
      <c r="E13" s="16">
        <v>18</v>
      </c>
      <c r="F13" s="2">
        <f ca="1">$D$2-$D$1-880-25</f>
        <v>83</v>
      </c>
      <c r="G13" s="18" t="s">
        <v>45</v>
      </c>
      <c r="H13" s="40">
        <v>6</v>
      </c>
      <c r="I13" s="27">
        <v>1.9</v>
      </c>
      <c r="J13" s="22">
        <f t="shared" si="12"/>
        <v>0.3716714679371052</v>
      </c>
      <c r="K13" s="6">
        <f t="shared" si="13"/>
        <v>68.399999999999991</v>
      </c>
      <c r="L13" s="6">
        <f t="shared" si="14"/>
        <v>93.1</v>
      </c>
      <c r="M13" s="130">
        <v>43097</v>
      </c>
      <c r="N13" s="131">
        <f ca="1">IF((TODAY()-M13)&gt;335,1,((TODAY()-M13)^0.64)/(336^0.64))</f>
        <v>0.61949388244133796</v>
      </c>
      <c r="O13" s="25">
        <v>3.2</v>
      </c>
      <c r="P13" s="20">
        <f t="shared" si="15"/>
        <v>51</v>
      </c>
      <c r="Q13" s="20">
        <v>6</v>
      </c>
      <c r="R13" s="115">
        <f t="shared" si="16"/>
        <v>0.92582009977255142</v>
      </c>
      <c r="S13" s="115">
        <f t="shared" si="17"/>
        <v>0.99928545900129484</v>
      </c>
      <c r="T13" s="29">
        <v>2670</v>
      </c>
      <c r="U13" s="29">
        <f t="shared" si="18"/>
        <v>80</v>
      </c>
      <c r="V13" s="29">
        <v>410</v>
      </c>
      <c r="W13" s="8">
        <f t="shared" si="19"/>
        <v>6.5121951219512191</v>
      </c>
      <c r="X13" s="21">
        <v>0</v>
      </c>
      <c r="Y13" s="22">
        <v>6</v>
      </c>
      <c r="Z13" s="21">
        <v>3</v>
      </c>
      <c r="AA13" s="22">
        <v>6</v>
      </c>
      <c r="AB13" s="21">
        <f>3+0.33</f>
        <v>3.33</v>
      </c>
      <c r="AC13" s="22">
        <f>5.19+0.25+0.25+1/17+0.25+1/21+1/21+1/21+1/21+1/21+1/21+6/90*0.25+1/21</f>
        <v>6.3488235294117636</v>
      </c>
      <c r="AD13" s="21">
        <v>4</v>
      </c>
      <c r="AE13" s="9">
        <v>561</v>
      </c>
      <c r="AF13" s="9">
        <v>1930</v>
      </c>
      <c r="AG13" s="23">
        <f t="shared" ca="1" si="20"/>
        <v>5.5467413024412231</v>
      </c>
      <c r="AH13" s="23">
        <f t="shared" ca="1" si="21"/>
        <v>5.9911653503784432</v>
      </c>
      <c r="AI13" s="23">
        <f t="shared" ca="1" si="22"/>
        <v>3.9911653503784432</v>
      </c>
      <c r="AJ13" s="120">
        <f t="shared" ca="1" si="23"/>
        <v>3.6951011028961203</v>
      </c>
      <c r="AK13" s="120">
        <f t="shared" ca="1" si="24"/>
        <v>3.9911653503784432</v>
      </c>
      <c r="AL13" s="8">
        <f t="shared" ca="1" si="25"/>
        <v>1.8092256092319874</v>
      </c>
      <c r="AM13" s="8">
        <f t="shared" ca="1" si="26"/>
        <v>5.695812409201972</v>
      </c>
      <c r="AN13" s="8">
        <f t="shared" ca="1" si="27"/>
        <v>0.51673440450086372</v>
      </c>
      <c r="AO13" s="8">
        <f t="shared" ca="1" si="28"/>
        <v>0.42938157452649095</v>
      </c>
      <c r="AP13" s="129">
        <f t="shared" si="29"/>
        <v>0.1158</v>
      </c>
      <c r="AQ13" s="20">
        <v>2</v>
      </c>
      <c r="AR13" s="20">
        <v>3</v>
      </c>
      <c r="AS13" s="20">
        <v>1</v>
      </c>
      <c r="AT13">
        <v>2590</v>
      </c>
    </row>
    <row r="14" spans="1:46" x14ac:dyDescent="0.25">
      <c r="A14" s="15" t="s">
        <v>357</v>
      </c>
      <c r="B14" s="24" t="s">
        <v>193</v>
      </c>
      <c r="C14" s="121">
        <f t="shared" ca="1" si="11"/>
        <v>13.642857142857142</v>
      </c>
      <c r="D14" s="215" t="s">
        <v>299</v>
      </c>
      <c r="E14" s="1">
        <v>19</v>
      </c>
      <c r="F14" s="2">
        <f ca="1">$D$2-$D$1-880+44-112</f>
        <v>40</v>
      </c>
      <c r="G14" s="3" t="s">
        <v>70</v>
      </c>
      <c r="H14" s="4">
        <v>2</v>
      </c>
      <c r="I14" s="5">
        <v>1.2</v>
      </c>
      <c r="J14" s="22">
        <f t="shared" si="12"/>
        <v>0.10557499473016642</v>
      </c>
      <c r="K14" s="6">
        <f t="shared" si="13"/>
        <v>4.8</v>
      </c>
      <c r="L14" s="6">
        <f t="shared" si="14"/>
        <v>10.799999999999999</v>
      </c>
      <c r="M14" s="130">
        <v>43046</v>
      </c>
      <c r="N14" s="131">
        <f t="shared" ref="N14:N16" ca="1" si="30">IF((TODAY()-M14)&gt;335,1,((TODAY()-M14)^0.64)/(336^0.64))</f>
        <v>0.74022408377053894</v>
      </c>
      <c r="O14" s="25">
        <v>4.2</v>
      </c>
      <c r="P14" s="20">
        <f t="shared" si="15"/>
        <v>61</v>
      </c>
      <c r="Q14" s="26">
        <v>6</v>
      </c>
      <c r="R14" s="115">
        <f t="shared" si="16"/>
        <v>0.92582009977255142</v>
      </c>
      <c r="S14" s="115">
        <f t="shared" si="17"/>
        <v>0.99928545900129484</v>
      </c>
      <c r="T14" s="29">
        <v>2530</v>
      </c>
      <c r="U14" s="29">
        <f t="shared" si="18"/>
        <v>-80</v>
      </c>
      <c r="V14" s="7">
        <v>450</v>
      </c>
      <c r="W14" s="8">
        <f t="shared" si="19"/>
        <v>5.6222222222222218</v>
      </c>
      <c r="X14" s="21">
        <v>0</v>
      </c>
      <c r="Y14" s="22">
        <v>6</v>
      </c>
      <c r="Z14" s="21">
        <v>4</v>
      </c>
      <c r="AA14" s="22">
        <f>4+1/16</f>
        <v>4.0625</v>
      </c>
      <c r="AB14" s="21">
        <f>2.67+0.33+0.33*0.16+0.25+0.25</f>
        <v>3.5528</v>
      </c>
      <c r="AC14" s="22">
        <f>3.27+0.33+1/15+1/15+1/15+1/15+1/15+1/15+1/15+1/15+1/15+1/15+1/15+1/15+1/15</f>
        <v>4.4666666666666659</v>
      </c>
      <c r="AD14" s="21">
        <v>6</v>
      </c>
      <c r="AE14" s="9">
        <v>488</v>
      </c>
      <c r="AF14" s="9">
        <v>1762</v>
      </c>
      <c r="AG14" s="23">
        <f t="shared" ca="1" si="20"/>
        <v>7.2637984856529156</v>
      </c>
      <c r="AH14" s="23">
        <f t="shared" ca="1" si="21"/>
        <v>7.845799078500705</v>
      </c>
      <c r="AI14" s="23">
        <f t="shared" ca="1" si="22"/>
        <v>4.845799078500705</v>
      </c>
      <c r="AJ14" s="120">
        <f t="shared" ca="1" si="23"/>
        <v>4.48633818633526</v>
      </c>
      <c r="AK14" s="120">
        <f t="shared" ca="1" si="24"/>
        <v>4.845799078500705</v>
      </c>
      <c r="AL14" s="8">
        <f t="shared" ca="1" si="25"/>
        <v>1.8103251576642894</v>
      </c>
      <c r="AM14" s="8">
        <f t="shared" ca="1" si="26"/>
        <v>6.3857990785007051</v>
      </c>
      <c r="AN14" s="8">
        <f t="shared" ca="1" si="27"/>
        <v>0.47099725961338967</v>
      </c>
      <c r="AO14" s="8">
        <f t="shared" ca="1" si="28"/>
        <v>0.47920593549504942</v>
      </c>
      <c r="AP14" s="129">
        <f t="shared" si="29"/>
        <v>2.63E-2</v>
      </c>
      <c r="AQ14" s="20">
        <v>2</v>
      </c>
      <c r="AR14" s="20">
        <v>0</v>
      </c>
      <c r="AS14" s="20">
        <v>3</v>
      </c>
      <c r="AT14" s="229">
        <v>2610</v>
      </c>
    </row>
    <row r="15" spans="1:46" x14ac:dyDescent="0.25">
      <c r="A15" s="15" t="s">
        <v>302</v>
      </c>
      <c r="B15" s="15" t="s">
        <v>193</v>
      </c>
      <c r="C15" s="121">
        <f ca="1">((33*112)-(E15*112)-(F15))/112</f>
        <v>14.071428571428571</v>
      </c>
      <c r="D15" s="215" t="s">
        <v>297</v>
      </c>
      <c r="E15" s="1">
        <v>18</v>
      </c>
      <c r="F15" s="2">
        <f ca="1">$D$2-$D$1-880-4</f>
        <v>104</v>
      </c>
      <c r="G15" s="3" t="s">
        <v>295</v>
      </c>
      <c r="H15" s="4">
        <v>3</v>
      </c>
      <c r="I15" s="5">
        <v>1.5</v>
      </c>
      <c r="J15" s="22">
        <f>LOG(I15)*4/3</f>
        <v>0.23478834540757498</v>
      </c>
      <c r="K15" s="6">
        <f>(H15)*(H15)*(I15)</f>
        <v>13.5</v>
      </c>
      <c r="L15" s="6">
        <f>(H15+1)*(H15+1)*I15</f>
        <v>24</v>
      </c>
      <c r="M15" s="130">
        <v>43045</v>
      </c>
      <c r="N15" s="131">
        <f ca="1">IF((TODAY()-M15)&gt;335,1,((TODAY()-M15)^0.64)/(336^0.64))</f>
        <v>0.74247807530368926</v>
      </c>
      <c r="O15" s="25">
        <v>4</v>
      </c>
      <c r="P15" s="20">
        <f>O15*10+19</f>
        <v>59</v>
      </c>
      <c r="Q15" s="26">
        <v>7</v>
      </c>
      <c r="R15" s="115">
        <f>(Q15/7)^0.5</f>
        <v>1</v>
      </c>
      <c r="S15" s="115">
        <f>IF(Q15=7,1,((Q15+0.99)/7)^0.5)</f>
        <v>1</v>
      </c>
      <c r="T15" s="29">
        <v>1410</v>
      </c>
      <c r="U15" s="29">
        <f>T15-AT15</f>
        <v>10</v>
      </c>
      <c r="V15" s="7">
        <v>330</v>
      </c>
      <c r="W15" s="8">
        <f>T15/V15</f>
        <v>4.2727272727272725</v>
      </c>
      <c r="X15" s="21">
        <v>0</v>
      </c>
      <c r="Y15" s="22">
        <v>5</v>
      </c>
      <c r="Z15" s="21">
        <v>3</v>
      </c>
      <c r="AA15" s="22">
        <v>5.3</v>
      </c>
      <c r="AB15" s="21">
        <v>3</v>
      </c>
      <c r="AC15" s="22">
        <f>3.73+1/15+1/15+1/15+1/15+1/15+1/15+1/15+1/15+1/15+1/15+1/15+1/15+1/15+1/15</f>
        <v>4.6633333333333322</v>
      </c>
      <c r="AD15" s="21">
        <v>3</v>
      </c>
      <c r="AE15" s="9">
        <v>422</v>
      </c>
      <c r="AF15" s="9">
        <v>1763</v>
      </c>
      <c r="AG15" s="23">
        <f ca="1">(AD15+1+(LOG(I15)*4/3)+N15)*(Q15/7)^0.5</f>
        <v>4.9772664207112634</v>
      </c>
      <c r="AH15" s="23">
        <f ca="1">(AD15+1+N15+(LOG(I15)*4/3))*(IF(Q15=7, (Q15/7)^0.5, ((Q15+1)/7)^0.5))</f>
        <v>4.9772664207112634</v>
      </c>
      <c r="AI15" s="23">
        <f ca="1">(Z15+N15+(LOG(I15)*4/3))</f>
        <v>3.9772664207112642</v>
      </c>
      <c r="AJ15" s="120">
        <f ca="1">(Z15+N15+(LOG(I15)*4/3))*(Q15/7)^0.5</f>
        <v>3.9772664207112642</v>
      </c>
      <c r="AK15" s="120">
        <f ca="1">(Z15+N15+(LOG(I15)*4/3))*(IF(Q15=7, (Q15/7)^0.5, ((Q15+1)/7)^0.5))</f>
        <v>3.9772664207112642</v>
      </c>
      <c r="AL15" s="8">
        <f ca="1">(((Y15+LOG(I15)*4/3+N15)+(AB15+LOG(I15)*4/3+N15)*2)/8)*(Q15/7)^0.5</f>
        <v>1.741474907766724</v>
      </c>
      <c r="AM15" s="8">
        <f ca="1">(AD15+LOG(I15)*4/3+N15)*0.7+(AC15+LOG(I15)*4/3+N15)*0.3</f>
        <v>4.476266420711263</v>
      </c>
      <c r="AN15" s="8">
        <f ca="1">(0.5*(AC15+LOG(I15)*4/3+N15)+ 0.3*(AD15+LOG(I15)*4/3+N15))/10</f>
        <v>0.40134798032356772</v>
      </c>
      <c r="AO15" s="8">
        <f ca="1">(0.4*(Y15+LOG(I15)*4/3+N15)+0.3*(AD15+LOG(I15)*4/3+N15))/10</f>
        <v>0.35840864944978845</v>
      </c>
      <c r="AP15" s="129">
        <f>IF(AR15=4,IF(AS15=0,0.137+0.0697,0.137+0.02),IF(AR15=3,IF(AS15=0,0.0958+0.0697,0.0958+0.02),IF(AR15=2,IF(AS15=0,0.0415+0.0697,0.0415+0.02),IF(AR15=1,IF(AS15=0,0.0294+0.0697,0.0294+0.02),IF(AR15=0,IF(AS15=0,0.0063+0.0697,0.0063+0.02))))))</f>
        <v>4.9399999999999999E-2</v>
      </c>
      <c r="AQ15" s="20">
        <v>3</v>
      </c>
      <c r="AR15" s="20">
        <v>1</v>
      </c>
      <c r="AS15" s="20">
        <v>2</v>
      </c>
      <c r="AT15">
        <v>1400</v>
      </c>
    </row>
    <row r="16" spans="1:46" x14ac:dyDescent="0.25">
      <c r="A16" s="15" t="s">
        <v>292</v>
      </c>
      <c r="B16" s="15" t="s">
        <v>95</v>
      </c>
      <c r="C16" s="121">
        <f t="shared" ca="1" si="11"/>
        <v>13.705357142857142</v>
      </c>
      <c r="D16" s="214" t="s">
        <v>294</v>
      </c>
      <c r="E16" s="16">
        <v>19</v>
      </c>
      <c r="F16" s="2">
        <f ca="1">$D$2-$D$1-880+37-112</f>
        <v>33</v>
      </c>
      <c r="G16" s="18" t="s">
        <v>295</v>
      </c>
      <c r="H16" s="4">
        <v>3</v>
      </c>
      <c r="I16" s="27">
        <v>1.7</v>
      </c>
      <c r="J16" s="22">
        <f t="shared" si="12"/>
        <v>0.30726522850436522</v>
      </c>
      <c r="K16" s="6">
        <f t="shared" si="13"/>
        <v>15.299999999999999</v>
      </c>
      <c r="L16" s="6">
        <f t="shared" si="14"/>
        <v>27.2</v>
      </c>
      <c r="M16" s="130">
        <v>43045</v>
      </c>
      <c r="N16" s="131">
        <f t="shared" ca="1" si="30"/>
        <v>0.74247807530368926</v>
      </c>
      <c r="O16" s="19">
        <v>4.2</v>
      </c>
      <c r="P16" s="20">
        <f t="shared" si="15"/>
        <v>61</v>
      </c>
      <c r="Q16" s="20">
        <v>7</v>
      </c>
      <c r="R16" s="115">
        <f t="shared" si="16"/>
        <v>1</v>
      </c>
      <c r="S16" s="115">
        <f t="shared" si="17"/>
        <v>1</v>
      </c>
      <c r="T16" s="29">
        <v>2120</v>
      </c>
      <c r="U16" s="29">
        <f t="shared" si="18"/>
        <v>10</v>
      </c>
      <c r="V16" s="29">
        <v>390</v>
      </c>
      <c r="W16" s="8">
        <f t="shared" si="19"/>
        <v>5.4358974358974361</v>
      </c>
      <c r="X16" s="21">
        <v>0</v>
      </c>
      <c r="Y16" s="22">
        <v>3</v>
      </c>
      <c r="Z16" s="21">
        <v>6</v>
      </c>
      <c r="AA16" s="22">
        <v>4.3</v>
      </c>
      <c r="AB16" s="21">
        <f>3.25+0.25+0.25+0.25+0.25</f>
        <v>4.25</v>
      </c>
      <c r="AC16" s="22">
        <f>4.22+0.33+0.33+1/17+1/17+1/17*79/90+0.33*11/90+1/17+1/17+1/17+1/17+1/17+1/17+1/17+1/17+1/17</f>
        <v>5.6190261437908475</v>
      </c>
      <c r="AD16" s="21">
        <v>3</v>
      </c>
      <c r="AE16" s="9">
        <v>480</v>
      </c>
      <c r="AF16" s="9">
        <v>1763</v>
      </c>
      <c r="AG16" s="23">
        <f t="shared" ca="1" si="20"/>
        <v>5.0497433038080537</v>
      </c>
      <c r="AH16" s="23">
        <f t="shared" ca="1" si="21"/>
        <v>5.0497433038080537</v>
      </c>
      <c r="AI16" s="23">
        <f t="shared" ca="1" si="22"/>
        <v>7.0497433038080537</v>
      </c>
      <c r="AJ16" s="120">
        <f t="shared" ca="1" si="23"/>
        <v>7.0497433038080537</v>
      </c>
      <c r="AK16" s="120">
        <f t="shared" ca="1" si="24"/>
        <v>7.0497433038080537</v>
      </c>
      <c r="AL16" s="8">
        <f t="shared" ca="1" si="25"/>
        <v>1.8311537389280201</v>
      </c>
      <c r="AM16" s="8">
        <f t="shared" ca="1" si="26"/>
        <v>4.8354511469453083</v>
      </c>
      <c r="AN16" s="8">
        <f t="shared" ca="1" si="27"/>
        <v>0.4549307714941867</v>
      </c>
      <c r="AO16" s="8">
        <f t="shared" ca="1" si="28"/>
        <v>0.28348203126656385</v>
      </c>
      <c r="AP16" s="129">
        <f t="shared" si="29"/>
        <v>0.1158</v>
      </c>
      <c r="AQ16" s="20">
        <v>2</v>
      </c>
      <c r="AR16" s="20">
        <v>3</v>
      </c>
      <c r="AS16" s="20">
        <v>2</v>
      </c>
      <c r="AT16">
        <v>2110</v>
      </c>
    </row>
    <row r="17" spans="1:46" x14ac:dyDescent="0.25">
      <c r="A17" s="15" t="s">
        <v>359</v>
      </c>
      <c r="B17" s="15" t="s">
        <v>95</v>
      </c>
      <c r="C17" s="121">
        <f t="shared" ref="C17:C22" ca="1" si="31">((33*112)-(E17*112)-(F17))/112</f>
        <v>14.0625</v>
      </c>
      <c r="D17" s="214" t="s">
        <v>300</v>
      </c>
      <c r="E17" s="16">
        <v>18</v>
      </c>
      <c r="F17" s="2">
        <f ca="1">$D$2-$D$1-880-3</f>
        <v>105</v>
      </c>
      <c r="G17" s="18" t="s">
        <v>177</v>
      </c>
      <c r="H17" s="4">
        <v>3</v>
      </c>
      <c r="I17" s="27">
        <v>1.1000000000000001</v>
      </c>
      <c r="J17" s="22">
        <f t="shared" ref="J17:J22" si="32">LOG(I17)*4/3</f>
        <v>5.5190246877633437E-2</v>
      </c>
      <c r="K17" s="6">
        <f t="shared" ref="K17:K22" si="33">(H17)*(H17)*(I17)</f>
        <v>9.9</v>
      </c>
      <c r="L17" s="6">
        <f t="shared" ref="L17:L22" si="34">(H17+1)*(H17+1)*I17</f>
        <v>17.600000000000001</v>
      </c>
      <c r="M17" s="130">
        <v>43046</v>
      </c>
      <c r="N17" s="131">
        <f ca="1">IF((TODAY()-M17)&gt;335,1,((TODAY()-M17)^0.64)/(336^0.64))</f>
        <v>0.74022408377053894</v>
      </c>
      <c r="O17" s="19">
        <v>3.2</v>
      </c>
      <c r="P17" s="20">
        <f t="shared" ref="P17:P22" si="35">O17*10+19</f>
        <v>51</v>
      </c>
      <c r="Q17" s="26">
        <v>6</v>
      </c>
      <c r="R17" s="115">
        <f t="shared" ref="R17:R22" si="36">(Q17/7)^0.5</f>
        <v>0.92582009977255142</v>
      </c>
      <c r="S17" s="115">
        <f t="shared" ref="S17:S22" si="37">IF(Q17=7,1,((Q17+0.99)/7)^0.5)</f>
        <v>0.99928545900129484</v>
      </c>
      <c r="T17" s="29">
        <v>590</v>
      </c>
      <c r="U17" s="29">
        <f t="shared" ref="U17:U22" si="38">T17-AT17</f>
        <v>20</v>
      </c>
      <c r="V17" s="29">
        <v>270</v>
      </c>
      <c r="W17" s="8">
        <f t="shared" ref="W17:W22" si="39">T17/V17</f>
        <v>2.1851851851851851</v>
      </c>
      <c r="X17" s="21">
        <v>0</v>
      </c>
      <c r="Y17" s="22">
        <v>4</v>
      </c>
      <c r="Z17" s="21">
        <v>4</v>
      </c>
      <c r="AA17" s="22">
        <f>3+1/14</f>
        <v>3.0714285714285716</v>
      </c>
      <c r="AB17" s="21">
        <f>4+0.25+(0.25*0.16*3/90)+0.25*3/90*0.16+0.25*0.16</f>
        <v>4.2926666666666664</v>
      </c>
      <c r="AC17" s="22">
        <f>3+1/15+1/15+1/15+1/15+1/15+1/15+1/15+1/15+1/15+1/15</f>
        <v>3.6666666666666687</v>
      </c>
      <c r="AD17" s="21">
        <v>0.4</v>
      </c>
      <c r="AE17" s="9">
        <v>360</v>
      </c>
      <c r="AF17" s="9">
        <v>1700</v>
      </c>
      <c r="AG17" s="23">
        <f t="shared" ref="AG17:AG22" ca="1" si="40">(AD17+1+(LOG(I17)*4/3)+N17)*(Q17/7)^0.5</f>
        <v>2.0325587146427799</v>
      </c>
      <c r="AH17" s="23">
        <f t="shared" ref="AH17:AH22" ca="1" si="41">(AD17+1+N17+(LOG(I17)*4/3))*(IF(Q17=7, (Q17/7)^0.5, ((Q17+1)/7)^0.5))</f>
        <v>2.1954143306481724</v>
      </c>
      <c r="AI17" s="23">
        <f t="shared" ref="AI17:AI22" ca="1" si="42">(Z17+N17+(LOG(I17)*4/3))</f>
        <v>4.795414330648172</v>
      </c>
      <c r="AJ17" s="120">
        <f t="shared" ref="AJ17:AJ22" ca="1" si="43">(Z17+N17+(LOG(I17)*4/3))*(Q17/7)^0.5</f>
        <v>4.4396909740514134</v>
      </c>
      <c r="AK17" s="120">
        <f t="shared" ref="AK17:AK22" ca="1" si="44">(Z17+N17+(LOG(I17)*4/3))*(IF(Q17=7, (Q17/7)^0.5, ((Q17+1)/7)^0.5))</f>
        <v>4.795414330648172</v>
      </c>
      <c r="AL17" s="8">
        <f t="shared" ref="AL17:AL22" ca="1" si="45">(((Y17+LOG(I17)*4/3+N17)+(AB17+LOG(I17)*4/3+N17)*2)/8)*(Q17/7)^0.5</f>
        <v>1.7326232859026385</v>
      </c>
      <c r="AM17" s="8">
        <f t="shared" ref="AM17:AM22" ca="1" si="46">(AD17+LOG(I17)*4/3+N17)*0.7+(AC17+LOG(I17)*4/3+N17)*0.3</f>
        <v>2.1754143306481728</v>
      </c>
      <c r="AN17" s="8">
        <f t="shared" ref="AN17:AN22" ca="1" si="47">(0.5*(AC17+LOG(I17)*4/3+N17)+ 0.3*(AD17+LOG(I17)*4/3+N17))/10</f>
        <v>0.25896647978518722</v>
      </c>
      <c r="AO17" s="8">
        <f t="shared" ref="AO17:AO22" ca="1" si="48">(0.4*(Y17+LOG(I17)*4/3+N17)+0.3*(AD17+LOG(I17)*4/3+N17))/10</f>
        <v>0.22767900314537209</v>
      </c>
      <c r="AP17" s="129">
        <f t="shared" ref="AP17:AP22" si="49">IF(AR17=4,IF(AS17=0,0.137+0.0697,0.137+0.02),IF(AR17=3,IF(AS17=0,0.0958+0.0697,0.0958+0.02),IF(AR17=2,IF(AS17=0,0.0415+0.0697,0.0415+0.02),IF(AR17=1,IF(AS17=0,0.0294+0.0697,0.0294+0.02),IF(AR17=0,IF(AS17=0,0.0063+0.0697,0.0063+0.02))))))</f>
        <v>4.9399999999999999E-2</v>
      </c>
      <c r="AQ17" s="20">
        <v>1</v>
      </c>
      <c r="AR17" s="20">
        <v>1</v>
      </c>
      <c r="AS17" s="20">
        <v>3</v>
      </c>
      <c r="AT17" s="229">
        <v>570</v>
      </c>
    </row>
    <row r="18" spans="1:46" x14ac:dyDescent="0.25">
      <c r="A18" s="15" t="s">
        <v>553</v>
      </c>
      <c r="B18" s="15" t="s">
        <v>95</v>
      </c>
      <c r="C18" s="121">
        <f t="shared" ca="1" si="31"/>
        <v>12.660714285714286</v>
      </c>
      <c r="D18" s="214" t="s">
        <v>554</v>
      </c>
      <c r="E18" s="16">
        <v>20</v>
      </c>
      <c r="F18" s="2">
        <f ca="1">$D$2-$D$1-880+42-112</f>
        <v>38</v>
      </c>
      <c r="G18" s="18"/>
      <c r="H18" s="225">
        <v>5</v>
      </c>
      <c r="I18" s="27">
        <v>2</v>
      </c>
      <c r="J18" s="22">
        <f t="shared" si="32"/>
        <v>0.40137332755197491</v>
      </c>
      <c r="K18" s="6">
        <f t="shared" si="33"/>
        <v>50</v>
      </c>
      <c r="L18" s="6">
        <f t="shared" si="34"/>
        <v>72</v>
      </c>
      <c r="M18" s="130">
        <v>43108</v>
      </c>
      <c r="N18" s="131">
        <v>1.5</v>
      </c>
      <c r="O18" s="19">
        <v>3.2</v>
      </c>
      <c r="P18" s="20">
        <f t="shared" si="35"/>
        <v>51</v>
      </c>
      <c r="Q18" s="26">
        <v>5</v>
      </c>
      <c r="R18" s="115">
        <f t="shared" si="36"/>
        <v>0.84515425472851657</v>
      </c>
      <c r="S18" s="115">
        <f t="shared" si="37"/>
        <v>0.92504826128926143</v>
      </c>
      <c r="T18" s="29">
        <v>1100</v>
      </c>
      <c r="U18" s="29">
        <f t="shared" si="38"/>
        <v>130</v>
      </c>
      <c r="V18" s="29">
        <v>330</v>
      </c>
      <c r="W18" s="8">
        <f t="shared" si="39"/>
        <v>3.3333333333333335</v>
      </c>
      <c r="X18" s="21">
        <v>0</v>
      </c>
      <c r="Y18" s="22">
        <v>4</v>
      </c>
      <c r="Z18" s="21">
        <v>5</v>
      </c>
      <c r="AA18" s="22">
        <v>3</v>
      </c>
      <c r="AB18" s="21">
        <f>3+0.25</f>
        <v>3.25</v>
      </c>
      <c r="AC18" s="22">
        <f>5+1/20+1/20+1/20+1/20+1/20+1/20+1/20+1/20+1/20+1/20</f>
        <v>5.4999999999999982</v>
      </c>
      <c r="AD18" s="21">
        <v>2</v>
      </c>
      <c r="AE18" s="9">
        <v>430</v>
      </c>
      <c r="AF18" s="9">
        <v>1549</v>
      </c>
      <c r="AG18" s="23">
        <f t="shared" si="40"/>
        <v>4.1424165217934181</v>
      </c>
      <c r="AH18" s="23">
        <f t="shared" si="41"/>
        <v>4.5377899431366924</v>
      </c>
      <c r="AI18" s="23">
        <f t="shared" si="42"/>
        <v>6.9013733275519753</v>
      </c>
      <c r="AJ18" s="120">
        <f t="shared" si="43"/>
        <v>5.8327250312504519</v>
      </c>
      <c r="AK18" s="120">
        <f t="shared" si="44"/>
        <v>6.3894301426817952</v>
      </c>
      <c r="AL18" s="8">
        <f t="shared" si="45"/>
        <v>1.7118726184341289</v>
      </c>
      <c r="AM18" s="8">
        <f t="shared" si="46"/>
        <v>4.9513733275519742</v>
      </c>
      <c r="AN18" s="8">
        <f t="shared" si="47"/>
        <v>0.48710986620415786</v>
      </c>
      <c r="AO18" s="8">
        <f t="shared" si="48"/>
        <v>0.35309613292863828</v>
      </c>
      <c r="AP18" s="129">
        <f t="shared" si="49"/>
        <v>6.1499999999999999E-2</v>
      </c>
      <c r="AQ18" s="20">
        <v>2</v>
      </c>
      <c r="AR18" s="20">
        <v>2</v>
      </c>
      <c r="AS18" s="20">
        <v>2</v>
      </c>
      <c r="AT18" s="213">
        <v>970</v>
      </c>
    </row>
    <row r="19" spans="1:46" x14ac:dyDescent="0.25">
      <c r="A19" s="15" t="s">
        <v>358</v>
      </c>
      <c r="B19" s="24" t="s">
        <v>95</v>
      </c>
      <c r="C19" s="121">
        <f t="shared" ca="1" si="31"/>
        <v>13.8125</v>
      </c>
      <c r="D19" s="215" t="s">
        <v>298</v>
      </c>
      <c r="E19" s="1">
        <v>19</v>
      </c>
      <c r="F19" s="2">
        <f ca="1">$D$2-$D$1-880+25-112</f>
        <v>21</v>
      </c>
      <c r="G19" s="3" t="s">
        <v>0</v>
      </c>
      <c r="H19" s="4">
        <v>4</v>
      </c>
      <c r="I19" s="5">
        <v>1</v>
      </c>
      <c r="J19" s="22">
        <f t="shared" si="32"/>
        <v>0</v>
      </c>
      <c r="K19" s="6">
        <f t="shared" si="33"/>
        <v>16</v>
      </c>
      <c r="L19" s="6">
        <f t="shared" si="34"/>
        <v>25</v>
      </c>
      <c r="M19" s="130">
        <v>43046</v>
      </c>
      <c r="N19" s="131">
        <f ca="1">IF((TODAY()-M19)&gt;335,1,((TODAY()-M19)^0.64)/(336^0.64))</f>
        <v>0.74022408377053894</v>
      </c>
      <c r="O19" s="25">
        <v>4.2</v>
      </c>
      <c r="P19" s="20">
        <f t="shared" si="35"/>
        <v>61</v>
      </c>
      <c r="Q19" s="26">
        <v>6</v>
      </c>
      <c r="R19" s="115">
        <f t="shared" si="36"/>
        <v>0.92582009977255142</v>
      </c>
      <c r="S19" s="115">
        <f t="shared" si="37"/>
        <v>0.99928545900129484</v>
      </c>
      <c r="T19" s="29">
        <v>1470</v>
      </c>
      <c r="U19" s="29">
        <f t="shared" si="38"/>
        <v>20</v>
      </c>
      <c r="V19" s="7">
        <v>370</v>
      </c>
      <c r="W19" s="8">
        <f t="shared" si="39"/>
        <v>3.9729729729729728</v>
      </c>
      <c r="X19" s="21">
        <v>0</v>
      </c>
      <c r="Y19" s="22">
        <v>2</v>
      </c>
      <c r="Z19" s="21">
        <v>5</v>
      </c>
      <c r="AA19" s="22">
        <v>4</v>
      </c>
      <c r="AB19" s="21">
        <v>3</v>
      </c>
      <c r="AC19" s="22">
        <f>5+1/20+1/20+1/20+1/20+1/20+1/20+1/20+1/20+1/20+1/20+1/20+1/20+1/20+1/20</f>
        <v>5.6999999999999975</v>
      </c>
      <c r="AD19" s="21">
        <v>5</v>
      </c>
      <c r="AE19" s="9">
        <v>406</v>
      </c>
      <c r="AF19" s="9">
        <v>1705</v>
      </c>
      <c r="AG19" s="23">
        <f t="shared" ca="1" si="40"/>
        <v>6.2402349337257936</v>
      </c>
      <c r="AH19" s="23">
        <f t="shared" ca="1" si="41"/>
        <v>6.7402240837705385</v>
      </c>
      <c r="AI19" s="23">
        <f t="shared" ca="1" si="42"/>
        <v>5.7402240837705385</v>
      </c>
      <c r="AJ19" s="120">
        <f t="shared" ca="1" si="43"/>
        <v>5.3144148339532427</v>
      </c>
      <c r="AK19" s="120">
        <f t="shared" ca="1" si="44"/>
        <v>5.7402240837705385</v>
      </c>
      <c r="AL19" s="8">
        <f t="shared" ca="1" si="45"/>
        <v>1.1828129754314836</v>
      </c>
      <c r="AM19" s="8">
        <f t="shared" ca="1" si="46"/>
        <v>5.9502240837705376</v>
      </c>
      <c r="AN19" s="8">
        <f t="shared" ca="1" si="47"/>
        <v>0.494217926701643</v>
      </c>
      <c r="AO19" s="8">
        <f t="shared" ca="1" si="48"/>
        <v>0.28181568586393768</v>
      </c>
      <c r="AP19" s="129">
        <f t="shared" si="49"/>
        <v>6.1499999999999999E-2</v>
      </c>
      <c r="AQ19" s="20">
        <v>4</v>
      </c>
      <c r="AR19" s="20">
        <v>2</v>
      </c>
      <c r="AS19" s="20">
        <v>2</v>
      </c>
      <c r="AT19">
        <v>1450</v>
      </c>
    </row>
    <row r="20" spans="1:46" x14ac:dyDescent="0.25">
      <c r="A20" s="15" t="s">
        <v>31</v>
      </c>
      <c r="B20" s="15" t="s">
        <v>71</v>
      </c>
      <c r="C20" s="121">
        <f t="shared" ca="1" si="31"/>
        <v>14.071428571428571</v>
      </c>
      <c r="D20" s="233" t="s">
        <v>293</v>
      </c>
      <c r="E20" s="16">
        <v>18</v>
      </c>
      <c r="F20" s="2">
        <f ca="1">$D$2-$D$1-880-4</f>
        <v>104</v>
      </c>
      <c r="G20" s="18" t="s">
        <v>45</v>
      </c>
      <c r="H20" s="4">
        <v>1</v>
      </c>
      <c r="I20" s="27">
        <v>2.2999999999999998</v>
      </c>
      <c r="J20" s="22">
        <f t="shared" si="32"/>
        <v>0.48230378135679047</v>
      </c>
      <c r="K20" s="6">
        <f t="shared" si="33"/>
        <v>2.2999999999999998</v>
      </c>
      <c r="L20" s="6">
        <f t="shared" si="34"/>
        <v>9.1999999999999993</v>
      </c>
      <c r="M20" s="130">
        <v>43046</v>
      </c>
      <c r="N20" s="131">
        <v>1.5</v>
      </c>
      <c r="O20" s="19">
        <v>4.2</v>
      </c>
      <c r="P20" s="20">
        <f t="shared" si="35"/>
        <v>61</v>
      </c>
      <c r="Q20" s="20">
        <v>7</v>
      </c>
      <c r="R20" s="115">
        <f t="shared" si="36"/>
        <v>1</v>
      </c>
      <c r="S20" s="115">
        <f t="shared" si="37"/>
        <v>1</v>
      </c>
      <c r="T20" s="29">
        <v>12630</v>
      </c>
      <c r="U20" s="29">
        <f t="shared" si="38"/>
        <v>880</v>
      </c>
      <c r="V20" s="29">
        <v>450</v>
      </c>
      <c r="W20" s="8">
        <f t="shared" si="39"/>
        <v>28.066666666666666</v>
      </c>
      <c r="X20" s="21">
        <v>0</v>
      </c>
      <c r="Y20" s="22">
        <v>2</v>
      </c>
      <c r="Z20" s="21">
        <v>5.7</v>
      </c>
      <c r="AA20" s="22">
        <v>8.6</v>
      </c>
      <c r="AB20" s="21">
        <v>6</v>
      </c>
      <c r="AC20" s="22">
        <f>4.25+0.34+0.33+0.33+0.25+0.25+0.25+0.25+0.25+0.25+0.25+0.25+0.25</f>
        <v>7.5</v>
      </c>
      <c r="AD20" s="21">
        <v>5</v>
      </c>
      <c r="AE20" s="9">
        <v>671</v>
      </c>
      <c r="AF20" s="9">
        <v>2012</v>
      </c>
      <c r="AG20" s="23">
        <f t="shared" si="40"/>
        <v>7.9823037813567908</v>
      </c>
      <c r="AH20" s="23">
        <f t="shared" si="41"/>
        <v>7.9823037813567908</v>
      </c>
      <c r="AI20" s="23">
        <f t="shared" si="42"/>
        <v>7.6823037813567909</v>
      </c>
      <c r="AJ20" s="120">
        <f t="shared" si="43"/>
        <v>7.6823037813567909</v>
      </c>
      <c r="AK20" s="120">
        <f t="shared" si="44"/>
        <v>7.6823037813567909</v>
      </c>
      <c r="AL20" s="8">
        <f t="shared" si="45"/>
        <v>2.4933639180087965</v>
      </c>
      <c r="AM20" s="8">
        <f t="shared" si="46"/>
        <v>7.7323037813567908</v>
      </c>
      <c r="AN20" s="8">
        <f t="shared" si="47"/>
        <v>0.6835843025085433</v>
      </c>
      <c r="AO20" s="8">
        <f t="shared" si="48"/>
        <v>0.36876126469497533</v>
      </c>
      <c r="AP20" s="129">
        <f t="shared" si="49"/>
        <v>0.1158</v>
      </c>
      <c r="AQ20" s="20">
        <v>4</v>
      </c>
      <c r="AR20" s="20">
        <v>3</v>
      </c>
      <c r="AS20" s="20">
        <v>2</v>
      </c>
      <c r="AT20">
        <v>11750</v>
      </c>
    </row>
    <row r="21" spans="1:46" x14ac:dyDescent="0.25">
      <c r="A21" s="15" t="s">
        <v>36</v>
      </c>
      <c r="B21" s="15" t="s">
        <v>71</v>
      </c>
      <c r="C21" s="121">
        <f t="shared" ca="1" si="31"/>
        <v>14.071428571428571</v>
      </c>
      <c r="D21" s="233" t="s">
        <v>373</v>
      </c>
      <c r="E21" s="16">
        <v>18</v>
      </c>
      <c r="F21" s="2">
        <f ca="1">$D$2-$D$1-880-4</f>
        <v>104</v>
      </c>
      <c r="G21" s="18" t="s">
        <v>295</v>
      </c>
      <c r="H21" s="40">
        <v>6</v>
      </c>
      <c r="I21" s="27">
        <v>1.9</v>
      </c>
      <c r="J21" s="22">
        <f t="shared" si="32"/>
        <v>0.3716714679371052</v>
      </c>
      <c r="K21" s="6">
        <f t="shared" si="33"/>
        <v>68.399999999999991</v>
      </c>
      <c r="L21" s="6">
        <f t="shared" si="34"/>
        <v>93.1</v>
      </c>
      <c r="M21" s="130">
        <v>43054</v>
      </c>
      <c r="N21" s="131">
        <f ca="1">IF((TODAY()-M21)&gt;335,1,((TODAY()-M21)^0.64)/(336^0.64))</f>
        <v>0.72205077574919119</v>
      </c>
      <c r="O21" s="19">
        <v>3.7</v>
      </c>
      <c r="P21" s="20">
        <f t="shared" si="35"/>
        <v>56</v>
      </c>
      <c r="Q21" s="26">
        <v>5</v>
      </c>
      <c r="R21" s="115">
        <f t="shared" si="36"/>
        <v>0.84515425472851657</v>
      </c>
      <c r="S21" s="115">
        <f t="shared" si="37"/>
        <v>0.92504826128926143</v>
      </c>
      <c r="T21" s="29">
        <v>7830</v>
      </c>
      <c r="U21" s="29">
        <f t="shared" si="38"/>
        <v>230</v>
      </c>
      <c r="V21" s="29">
        <v>430</v>
      </c>
      <c r="W21" s="8">
        <f t="shared" si="39"/>
        <v>18.209302325581394</v>
      </c>
      <c r="X21" s="21">
        <v>0</v>
      </c>
      <c r="Y21" s="22">
        <v>3</v>
      </c>
      <c r="Z21" s="21">
        <v>5</v>
      </c>
      <c r="AA21" s="22">
        <v>8</v>
      </c>
      <c r="AB21" s="21">
        <f>4.5+0.25+0.25</f>
        <v>5</v>
      </c>
      <c r="AC21" s="22">
        <f>4.28+0.34+0.33+0.33+0.33*85/90+0.33+0.33+0.25+0.25+0.25+0.2+0.2+0.2+0.2</f>
        <v>7.8016666666666676</v>
      </c>
      <c r="AD21" s="21">
        <v>3</v>
      </c>
      <c r="AE21" s="9">
        <v>652</v>
      </c>
      <c r="AF21" s="9">
        <v>1992</v>
      </c>
      <c r="AG21" s="23">
        <f t="shared" ca="1" si="40"/>
        <v>4.3049810266567592</v>
      </c>
      <c r="AH21" s="23">
        <f t="shared" ca="1" si="41"/>
        <v>4.7158704358633114</v>
      </c>
      <c r="AI21" s="23">
        <f t="shared" ca="1" si="42"/>
        <v>6.0937222436862966</v>
      </c>
      <c r="AJ21" s="120">
        <f t="shared" ca="1" si="43"/>
        <v>5.1501352813852757</v>
      </c>
      <c r="AK21" s="120">
        <f t="shared" ca="1" si="44"/>
        <v>5.6416905356358633</v>
      </c>
      <c r="AL21" s="8">
        <f t="shared" ca="1" si="45"/>
        <v>1.7200121668373491</v>
      </c>
      <c r="AM21" s="8">
        <f t="shared" ca="1" si="46"/>
        <v>5.5342222436862958</v>
      </c>
      <c r="AN21" s="8">
        <f t="shared" ca="1" si="47"/>
        <v>0.56758111282823709</v>
      </c>
      <c r="AO21" s="8">
        <f t="shared" ca="1" si="48"/>
        <v>0.28656055705804079</v>
      </c>
      <c r="AP21" s="129">
        <f t="shared" si="49"/>
        <v>6.1499999999999999E-2</v>
      </c>
      <c r="AQ21" s="20">
        <v>2</v>
      </c>
      <c r="AR21" s="20">
        <v>2</v>
      </c>
      <c r="AS21" s="20">
        <v>1</v>
      </c>
      <c r="AT21" s="213">
        <v>7600</v>
      </c>
    </row>
    <row r="22" spans="1:46" x14ac:dyDescent="0.25">
      <c r="A22" s="15" t="s">
        <v>806</v>
      </c>
      <c r="B22" s="15" t="s">
        <v>71</v>
      </c>
      <c r="C22" s="121">
        <f t="shared" ca="1" si="31"/>
        <v>15.464285714285714</v>
      </c>
      <c r="D22" s="214" t="s">
        <v>807</v>
      </c>
      <c r="E22" s="16">
        <v>17</v>
      </c>
      <c r="F22" s="2">
        <f ca="1">$D$2-$D$1-880+44-112+20</f>
        <v>60</v>
      </c>
      <c r="G22" s="18"/>
      <c r="H22" s="4">
        <v>3</v>
      </c>
      <c r="I22" s="27">
        <v>1.2</v>
      </c>
      <c r="J22" s="22">
        <f t="shared" si="32"/>
        <v>0.10557499473016642</v>
      </c>
      <c r="K22" s="6">
        <f t="shared" si="33"/>
        <v>10.799999999999999</v>
      </c>
      <c r="L22" s="6">
        <f t="shared" si="34"/>
        <v>19.2</v>
      </c>
      <c r="M22" s="130">
        <v>43200</v>
      </c>
      <c r="N22" s="131">
        <v>1.5</v>
      </c>
      <c r="O22" s="19">
        <v>3.5</v>
      </c>
      <c r="P22" s="20">
        <f t="shared" si="35"/>
        <v>54</v>
      </c>
      <c r="Q22" s="26">
        <v>6</v>
      </c>
      <c r="R22" s="115">
        <f t="shared" si="36"/>
        <v>0.92582009977255142</v>
      </c>
      <c r="S22" s="115">
        <f t="shared" si="37"/>
        <v>0.99928545900129484</v>
      </c>
      <c r="T22" s="29">
        <v>1370</v>
      </c>
      <c r="U22" s="29">
        <f t="shared" si="38"/>
        <v>-50</v>
      </c>
      <c r="V22" s="29">
        <v>310</v>
      </c>
      <c r="W22" s="8">
        <f t="shared" si="39"/>
        <v>4.419354838709677</v>
      </c>
      <c r="X22" s="21">
        <v>0</v>
      </c>
      <c r="Y22" s="22">
        <v>1</v>
      </c>
      <c r="Z22" s="21">
        <v>5</v>
      </c>
      <c r="AA22" s="22">
        <v>6</v>
      </c>
      <c r="AB22" s="21">
        <v>4</v>
      </c>
      <c r="AC22" s="22">
        <v>3</v>
      </c>
      <c r="AD22" s="21">
        <v>2</v>
      </c>
      <c r="AE22" s="9">
        <v>378</v>
      </c>
      <c r="AF22" s="9">
        <v>1941</v>
      </c>
      <c r="AG22" s="23">
        <f t="shared" si="40"/>
        <v>4.2639339011310504</v>
      </c>
      <c r="AH22" s="23">
        <f t="shared" si="41"/>
        <v>4.6055749947301665</v>
      </c>
      <c r="AI22" s="23">
        <f t="shared" si="42"/>
        <v>6.6055749947301665</v>
      </c>
      <c r="AJ22" s="120">
        <f t="shared" si="43"/>
        <v>6.1155741006761533</v>
      </c>
      <c r="AK22" s="120">
        <f t="shared" si="44"/>
        <v>6.6055749947301665</v>
      </c>
      <c r="AL22" s="8">
        <f t="shared" si="45"/>
        <v>1.5989752129241441</v>
      </c>
      <c r="AM22" s="8">
        <f t="shared" si="46"/>
        <v>3.9055749947301663</v>
      </c>
      <c r="AN22" s="8">
        <f t="shared" si="47"/>
        <v>0.33844599957841331</v>
      </c>
      <c r="AO22" s="8">
        <f t="shared" si="48"/>
        <v>0.21239024963111169</v>
      </c>
      <c r="AP22" s="129">
        <f t="shared" si="49"/>
        <v>6.1499999999999999E-2</v>
      </c>
      <c r="AQ22" s="20">
        <v>3</v>
      </c>
      <c r="AR22" s="20">
        <v>2</v>
      </c>
      <c r="AS22" s="20">
        <v>1</v>
      </c>
      <c r="AT22" s="213">
        <v>1420</v>
      </c>
    </row>
    <row r="23" spans="1:46" x14ac:dyDescent="0.25">
      <c r="A23" s="15"/>
      <c r="B23" s="15"/>
      <c r="C23" s="121"/>
      <c r="D23" s="28" t="s">
        <v>183</v>
      </c>
      <c r="E23" s="16"/>
      <c r="F23" s="17"/>
      <c r="G23" s="18"/>
      <c r="H23" s="4"/>
      <c r="I23" s="27"/>
      <c r="J23" s="22"/>
      <c r="K23" s="6"/>
      <c r="L23" s="6"/>
      <c r="M23" s="130"/>
      <c r="N23" s="131"/>
      <c r="O23" s="19"/>
      <c r="P23" s="20"/>
      <c r="Q23" s="20"/>
      <c r="R23" s="115"/>
      <c r="S23" s="115"/>
      <c r="T23" s="29"/>
      <c r="U23" s="29"/>
      <c r="V23" s="29"/>
      <c r="W23" s="8"/>
      <c r="X23" s="21"/>
      <c r="Y23" s="22"/>
      <c r="Z23" s="21"/>
      <c r="AA23" s="22"/>
      <c r="AB23" s="21"/>
      <c r="AC23" s="22"/>
      <c r="AD23" s="21"/>
      <c r="AE23" s="9"/>
      <c r="AF23" s="9"/>
      <c r="AG23" s="23"/>
      <c r="AH23" s="23"/>
      <c r="AI23" s="23"/>
      <c r="AJ23" s="120"/>
      <c r="AK23" s="120"/>
      <c r="AL23" s="8"/>
      <c r="AM23" s="8"/>
      <c r="AN23" s="8"/>
      <c r="AO23" s="8"/>
      <c r="AP23" s="129">
        <f t="shared" si="29"/>
        <v>0.20669999999999999</v>
      </c>
      <c r="AQ23" s="20">
        <v>0</v>
      </c>
      <c r="AR23" s="20">
        <v>4</v>
      </c>
      <c r="AS23" s="20">
        <v>0</v>
      </c>
    </row>
    <row r="24" spans="1:46" x14ac:dyDescent="0.25">
      <c r="V24" s="69"/>
    </row>
    <row r="26" spans="1:46" x14ac:dyDescent="0.25">
      <c r="V26" s="69"/>
    </row>
    <row r="27" spans="1:46" x14ac:dyDescent="0.25">
      <c r="AF27" s="69"/>
    </row>
  </sheetData>
  <sortState ref="A4:AT23">
    <sortCondition descending="1" ref="AF4:AF23"/>
  </sortState>
  <conditionalFormatting sqref="U2">
    <cfRule type="dataBar" priority="475">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3">
    <cfRule type="cellIs" dxfId="16" priority="104" operator="lessThan">
      <formula>6</formula>
    </cfRule>
  </conditionalFormatting>
  <conditionalFormatting sqref="N4:N23">
    <cfRule type="cellIs" dxfId="15" priority="103" operator="lessThan">
      <formula>0.75</formula>
    </cfRule>
  </conditionalFormatting>
  <conditionalFormatting sqref="P4:P23">
    <cfRule type="cellIs" dxfId="14" priority="101" operator="greaterThan">
      <formula>90</formula>
    </cfRule>
    <cfRule type="cellIs" dxfId="13" priority="102" operator="lessThan">
      <formula>85</formula>
    </cfRule>
  </conditionalFormatting>
  <conditionalFormatting sqref="C23">
    <cfRule type="colorScale" priority="5012">
      <colorScale>
        <cfvo type="min"/>
        <cfvo type="max"/>
        <color rgb="FFFFEF9C"/>
        <color rgb="FF63BE7B"/>
      </colorScale>
    </cfRule>
  </conditionalFormatting>
  <conditionalFormatting sqref="C4:C22">
    <cfRule type="colorScale" priority="5145">
      <colorScale>
        <cfvo type="min"/>
        <cfvo type="max"/>
        <color rgb="FFFFEF9C"/>
        <color rgb="FF63BE7B"/>
      </colorScale>
    </cfRule>
  </conditionalFormatting>
  <conditionalFormatting sqref="R4:S22">
    <cfRule type="colorScale" priority="5147">
      <colorScale>
        <cfvo type="min"/>
        <cfvo type="percentile" val="50"/>
        <cfvo type="max"/>
        <color rgb="FFF8696B"/>
        <color rgb="FFFFEB84"/>
        <color rgb="FF63BE7B"/>
      </colorScale>
    </cfRule>
  </conditionalFormatting>
  <conditionalFormatting sqref="T4:T22">
    <cfRule type="dataBar" priority="5149">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2">
    <cfRule type="dataBar" priority="5151">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2">
    <cfRule type="dataBar" priority="5153">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2">
    <cfRule type="dataBar" priority="5155">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2">
    <cfRule type="colorScale" priority="5157">
      <colorScale>
        <cfvo type="min"/>
        <cfvo type="max"/>
        <color rgb="FFFCFCFF"/>
        <color rgb="FFF8696B"/>
      </colorScale>
    </cfRule>
  </conditionalFormatting>
  <conditionalFormatting sqref="AE4:AE22">
    <cfRule type="dataBar" priority="5159">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2">
    <cfRule type="dataBar" priority="5161">
      <dataBar>
        <cfvo type="min"/>
        <cfvo type="max"/>
        <color rgb="FF638EC6"/>
      </dataBar>
      <extLst>
        <ext xmlns:x14="http://schemas.microsoft.com/office/spreadsheetml/2009/9/main" uri="{B025F937-C7B1-47D3-B67F-A62EFF666E3E}">
          <x14:id>{39454924-5FFD-4BA1-95CE-A7F67257BF61}</x14:id>
        </ext>
      </extLst>
    </cfRule>
  </conditionalFormatting>
  <conditionalFormatting sqref="AJ4:AK22">
    <cfRule type="colorScale" priority="5163">
      <colorScale>
        <cfvo type="min"/>
        <cfvo type="percentile" val="50"/>
        <cfvo type="max"/>
        <color rgb="FFF8696B"/>
        <color rgb="FFFFEB84"/>
        <color rgb="FF63BE7B"/>
      </colorScale>
    </cfRule>
  </conditionalFormatting>
  <conditionalFormatting sqref="AL4:AL22">
    <cfRule type="colorScale" priority="5165">
      <colorScale>
        <cfvo type="min"/>
        <cfvo type="percentile" val="50"/>
        <cfvo type="max"/>
        <color rgb="FFF8696B"/>
        <color rgb="FFFCFCFF"/>
        <color rgb="FF63BE7B"/>
      </colorScale>
    </cfRule>
  </conditionalFormatting>
  <conditionalFormatting sqref="AM4:AM22">
    <cfRule type="colorScale" priority="5167">
      <colorScale>
        <cfvo type="min"/>
        <cfvo type="percentile" val="50"/>
        <cfvo type="max"/>
        <color rgb="FFF8696B"/>
        <color rgb="FFFFEB84"/>
        <color rgb="FF63BE7B"/>
      </colorScale>
    </cfRule>
  </conditionalFormatting>
  <conditionalFormatting sqref="AN4:AO22">
    <cfRule type="colorScale" priority="5169">
      <colorScale>
        <cfvo type="min"/>
        <cfvo type="percentile" val="50"/>
        <cfvo type="max"/>
        <color rgb="FFF8696B"/>
        <color rgb="FFFCFCFF"/>
        <color rgb="FF63BE7B"/>
      </colorScale>
    </cfRule>
  </conditionalFormatting>
  <conditionalFormatting sqref="AP4:AP22">
    <cfRule type="colorScale" priority="5171">
      <colorScale>
        <cfvo type="min"/>
        <cfvo type="percentile" val="50"/>
        <cfvo type="max"/>
        <color rgb="FF63BE7B"/>
        <color rgb="FFFFEB84"/>
        <color rgb="FFF8696B"/>
      </colorScale>
    </cfRule>
  </conditionalFormatting>
  <conditionalFormatting sqref="AG4:AI22">
    <cfRule type="colorScale" priority="5173">
      <colorScale>
        <cfvo type="min"/>
        <cfvo type="percentile" val="50"/>
        <cfvo type="max"/>
        <color rgb="FFF8696B"/>
        <color rgb="FFFCFCFF"/>
        <color rgb="FF63BE7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T4:T22</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U4:U22</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V4:V22</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W4:W22</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AE4:AE22</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T31"/>
  <sheetViews>
    <sheetView workbookViewId="0">
      <selection activeCell="O2" sqref="O2"/>
    </sheetView>
  </sheetViews>
  <sheetFormatPr baseColWidth="10" defaultColWidth="11.42578125" defaultRowHeight="15" x14ac:dyDescent="0.25"/>
  <cols>
    <col min="1" max="1" width="12.28515625" bestFit="1" customWidth="1"/>
    <col min="2" max="2" width="15.85546875" bestFit="1" customWidth="1"/>
    <col min="3" max="3" width="10.7109375" bestFit="1" customWidth="1"/>
    <col min="4" max="4" width="7.7109375" bestFit="1" customWidth="1"/>
    <col min="5" max="5" width="5.140625" customWidth="1"/>
    <col min="6" max="6" width="5.28515625" bestFit="1" customWidth="1"/>
    <col min="7" max="7" width="20.85546875" bestFit="1" customWidth="1"/>
    <col min="8" max="8" width="5.85546875" style="230" customWidth="1"/>
    <col min="9" max="9" width="6.85546875" customWidth="1"/>
    <col min="10" max="10" width="5.28515625" bestFit="1" customWidth="1"/>
    <col min="11" max="11" width="17.7109375" bestFit="1" customWidth="1"/>
    <col min="12" max="12" width="5.85546875" customWidth="1"/>
    <col min="13" max="13" width="6.140625" customWidth="1"/>
    <col min="14" max="14" width="5.28515625" bestFit="1" customWidth="1"/>
    <col min="15" max="15" width="22" bestFit="1" customWidth="1"/>
    <col min="16" max="16" width="5.85546875" customWidth="1"/>
    <col min="17" max="17" width="5.140625" customWidth="1"/>
    <col min="18" max="18" width="5.28515625" bestFit="1" customWidth="1"/>
    <col min="19" max="19" width="21.28515625" bestFit="1" customWidth="1"/>
    <col min="20" max="20" width="5.85546875" customWidth="1"/>
  </cols>
  <sheetData>
    <row r="1" spans="1:20" x14ac:dyDescent="0.25">
      <c r="A1" s="231" t="s">
        <v>708</v>
      </c>
      <c r="F1" s="231" t="s">
        <v>756</v>
      </c>
      <c r="G1" s="243" t="s">
        <v>716</v>
      </c>
      <c r="H1" s="243"/>
      <c r="J1" s="231" t="s">
        <v>756</v>
      </c>
      <c r="K1" s="243" t="s">
        <v>757</v>
      </c>
      <c r="L1" s="243"/>
      <c r="N1" s="231" t="s">
        <v>756</v>
      </c>
      <c r="O1" s="243" t="s">
        <v>772</v>
      </c>
      <c r="P1" s="243"/>
      <c r="R1" s="231" t="s">
        <v>756</v>
      </c>
      <c r="S1" s="243" t="s">
        <v>791</v>
      </c>
      <c r="T1" s="243"/>
    </row>
    <row r="2" spans="1:20" x14ac:dyDescent="0.25">
      <c r="A2" s="30">
        <v>43251</v>
      </c>
      <c r="F2" s="52">
        <v>1</v>
      </c>
      <c r="G2" s="232" t="s">
        <v>717</v>
      </c>
      <c r="H2" s="230" t="s">
        <v>718</v>
      </c>
      <c r="J2" s="52">
        <v>1</v>
      </c>
      <c r="K2" s="232" t="s">
        <v>740</v>
      </c>
      <c r="L2" s="230">
        <v>175</v>
      </c>
      <c r="N2" s="52">
        <v>1</v>
      </c>
      <c r="O2" s="232" t="s">
        <v>740</v>
      </c>
      <c r="P2" s="230">
        <v>71</v>
      </c>
      <c r="R2" s="52">
        <v>1</v>
      </c>
      <c r="S2" s="232" t="s">
        <v>725</v>
      </c>
      <c r="T2" s="230">
        <v>58</v>
      </c>
    </row>
    <row r="3" spans="1:20" x14ac:dyDescent="0.25">
      <c r="F3" s="52">
        <v>2</v>
      </c>
      <c r="G3" s="232" t="s">
        <v>719</v>
      </c>
      <c r="H3" s="230" t="s">
        <v>720</v>
      </c>
      <c r="J3" s="52">
        <v>2</v>
      </c>
      <c r="K3" s="232" t="s">
        <v>758</v>
      </c>
      <c r="L3" s="230">
        <v>155</v>
      </c>
      <c r="N3" s="52">
        <v>2</v>
      </c>
      <c r="O3" s="232" t="s">
        <v>761</v>
      </c>
      <c r="P3" s="230">
        <v>29</v>
      </c>
      <c r="R3" s="52">
        <v>2</v>
      </c>
      <c r="S3" s="232" t="s">
        <v>759</v>
      </c>
      <c r="T3" s="230">
        <v>57</v>
      </c>
    </row>
    <row r="4" spans="1:20" x14ac:dyDescent="0.25">
      <c r="A4" s="231" t="s">
        <v>709</v>
      </c>
      <c r="F4" s="52">
        <v>3</v>
      </c>
      <c r="G4" s="232" t="s">
        <v>721</v>
      </c>
      <c r="H4" s="230" t="s">
        <v>722</v>
      </c>
      <c r="J4" s="52">
        <v>3</v>
      </c>
      <c r="K4" s="232" t="s">
        <v>726</v>
      </c>
      <c r="L4" s="230">
        <v>145</v>
      </c>
      <c r="N4" s="52">
        <v>3</v>
      </c>
      <c r="O4" s="232" t="s">
        <v>773</v>
      </c>
      <c r="P4" s="230">
        <v>16</v>
      </c>
      <c r="R4" s="52">
        <v>3</v>
      </c>
      <c r="S4" s="232" t="s">
        <v>719</v>
      </c>
      <c r="T4" s="230">
        <v>44</v>
      </c>
    </row>
    <row r="5" spans="1:20" x14ac:dyDescent="0.25">
      <c r="A5" t="s">
        <v>710</v>
      </c>
      <c r="B5" t="s">
        <v>711</v>
      </c>
      <c r="C5" s="30">
        <v>42847</v>
      </c>
      <c r="D5" t="s">
        <v>712</v>
      </c>
      <c r="F5" s="52">
        <v>4</v>
      </c>
      <c r="G5" s="232" t="s">
        <v>723</v>
      </c>
      <c r="H5" s="230" t="s">
        <v>724</v>
      </c>
      <c r="J5" s="52">
        <v>4</v>
      </c>
      <c r="K5" s="232" t="s">
        <v>723</v>
      </c>
      <c r="L5" s="230">
        <v>144</v>
      </c>
      <c r="N5" s="52">
        <v>4</v>
      </c>
      <c r="O5" s="232" t="s">
        <v>774</v>
      </c>
      <c r="P5" s="230">
        <v>12</v>
      </c>
      <c r="R5" s="52">
        <v>4</v>
      </c>
      <c r="S5" s="232" t="s">
        <v>717</v>
      </c>
      <c r="T5" s="230">
        <v>42</v>
      </c>
    </row>
    <row r="6" spans="1:20" x14ac:dyDescent="0.25">
      <c r="A6" t="s">
        <v>713</v>
      </c>
      <c r="B6" t="s">
        <v>714</v>
      </c>
      <c r="C6" s="30">
        <v>42991</v>
      </c>
      <c r="D6" t="s">
        <v>715</v>
      </c>
      <c r="F6" s="52">
        <v>5</v>
      </c>
      <c r="G6" s="232" t="s">
        <v>725</v>
      </c>
      <c r="H6" s="230" t="s">
        <v>724</v>
      </c>
      <c r="J6" s="52">
        <v>5</v>
      </c>
      <c r="K6" s="232" t="s">
        <v>717</v>
      </c>
      <c r="L6" s="230">
        <v>141</v>
      </c>
      <c r="N6" s="52">
        <v>5</v>
      </c>
      <c r="O6" s="232" t="s">
        <v>775</v>
      </c>
      <c r="P6" s="230">
        <v>11</v>
      </c>
      <c r="R6" s="52">
        <v>5</v>
      </c>
      <c r="S6" s="232" t="s">
        <v>721</v>
      </c>
      <c r="T6" s="230">
        <v>27</v>
      </c>
    </row>
    <row r="7" spans="1:20" x14ac:dyDescent="0.25">
      <c r="F7" s="52">
        <v>6</v>
      </c>
      <c r="G7" s="232" t="s">
        <v>726</v>
      </c>
      <c r="H7" s="230" t="s">
        <v>727</v>
      </c>
      <c r="J7" s="52">
        <v>6</v>
      </c>
      <c r="K7" s="232" t="s">
        <v>759</v>
      </c>
      <c r="L7" s="230">
        <v>140</v>
      </c>
      <c r="N7" s="52">
        <v>5</v>
      </c>
      <c r="O7" s="232" t="s">
        <v>776</v>
      </c>
      <c r="P7" s="230">
        <v>11</v>
      </c>
      <c r="R7" s="52">
        <v>6</v>
      </c>
      <c r="S7" s="232" t="s">
        <v>764</v>
      </c>
      <c r="T7" s="230">
        <v>22</v>
      </c>
    </row>
    <row r="8" spans="1:20" x14ac:dyDescent="0.25">
      <c r="F8" s="52">
        <v>7</v>
      </c>
      <c r="G8" s="232" t="s">
        <v>728</v>
      </c>
      <c r="H8" s="230" t="s">
        <v>729</v>
      </c>
      <c r="J8" s="52">
        <v>7</v>
      </c>
      <c r="K8" s="232" t="s">
        <v>762</v>
      </c>
      <c r="L8" s="230">
        <v>135</v>
      </c>
      <c r="N8" s="52">
        <v>7</v>
      </c>
      <c r="O8" s="232" t="s">
        <v>777</v>
      </c>
      <c r="P8" s="230">
        <v>6</v>
      </c>
      <c r="R8" s="52">
        <v>7</v>
      </c>
      <c r="S8" s="232" t="s">
        <v>792</v>
      </c>
      <c r="T8" s="230">
        <v>20</v>
      </c>
    </row>
    <row r="9" spans="1:20" x14ac:dyDescent="0.25">
      <c r="F9" s="52">
        <v>8</v>
      </c>
      <c r="G9" s="232" t="s">
        <v>731</v>
      </c>
      <c r="H9" s="230" t="s">
        <v>730</v>
      </c>
      <c r="J9" s="52">
        <v>8</v>
      </c>
      <c r="K9" s="232" t="s">
        <v>731</v>
      </c>
      <c r="L9" s="230">
        <v>111</v>
      </c>
      <c r="N9" s="52">
        <v>8</v>
      </c>
      <c r="O9" s="232" t="s">
        <v>778</v>
      </c>
      <c r="P9" s="230">
        <v>4</v>
      </c>
      <c r="R9" s="52">
        <v>8</v>
      </c>
      <c r="S9" s="232" t="s">
        <v>768</v>
      </c>
      <c r="T9" s="230">
        <v>13</v>
      </c>
    </row>
    <row r="10" spans="1:20" x14ac:dyDescent="0.25">
      <c r="F10" s="52">
        <v>9</v>
      </c>
      <c r="G10" s="232" t="s">
        <v>732</v>
      </c>
      <c r="H10" s="230" t="s">
        <v>730</v>
      </c>
      <c r="J10" s="52">
        <v>9</v>
      </c>
      <c r="K10" s="232" t="s">
        <v>760</v>
      </c>
      <c r="L10" s="230">
        <v>105</v>
      </c>
      <c r="N10" s="52">
        <v>9</v>
      </c>
      <c r="O10" s="232" t="s">
        <v>779</v>
      </c>
      <c r="P10" s="230">
        <v>3</v>
      </c>
      <c r="R10" s="52">
        <v>9</v>
      </c>
      <c r="S10" s="232" t="s">
        <v>793</v>
      </c>
      <c r="T10" s="230">
        <v>12</v>
      </c>
    </row>
    <row r="11" spans="1:20" x14ac:dyDescent="0.25">
      <c r="F11" s="52">
        <v>10</v>
      </c>
      <c r="G11" s="232" t="s">
        <v>733</v>
      </c>
      <c r="H11" s="230" t="s">
        <v>730</v>
      </c>
      <c r="J11" s="52">
        <v>10</v>
      </c>
      <c r="K11" s="232" t="s">
        <v>761</v>
      </c>
      <c r="L11" s="230">
        <v>93</v>
      </c>
      <c r="N11" s="52">
        <v>10</v>
      </c>
      <c r="O11" s="232" t="s">
        <v>780</v>
      </c>
      <c r="P11" s="230">
        <v>2</v>
      </c>
      <c r="R11" s="52">
        <v>9</v>
      </c>
      <c r="S11" s="235" t="s">
        <v>439</v>
      </c>
      <c r="T11" s="230">
        <v>12</v>
      </c>
    </row>
    <row r="12" spans="1:20" x14ac:dyDescent="0.25">
      <c r="F12" s="52">
        <v>11</v>
      </c>
      <c r="G12" s="232" t="s">
        <v>734</v>
      </c>
      <c r="H12" s="230" t="s">
        <v>730</v>
      </c>
      <c r="J12" s="52">
        <v>11</v>
      </c>
      <c r="K12" s="232" t="s">
        <v>747</v>
      </c>
      <c r="L12" s="230">
        <v>83</v>
      </c>
      <c r="N12" s="52">
        <v>11</v>
      </c>
      <c r="O12" s="232" t="s">
        <v>781</v>
      </c>
      <c r="P12" s="230">
        <v>1</v>
      </c>
      <c r="R12" s="52">
        <v>9</v>
      </c>
      <c r="S12" s="236" t="s">
        <v>301</v>
      </c>
      <c r="T12" s="234">
        <v>12</v>
      </c>
    </row>
    <row r="13" spans="1:20" x14ac:dyDescent="0.25">
      <c r="F13" s="52">
        <v>12</v>
      </c>
      <c r="G13" s="232" t="s">
        <v>736</v>
      </c>
      <c r="H13" s="230" t="s">
        <v>735</v>
      </c>
      <c r="J13" s="52">
        <v>12</v>
      </c>
      <c r="K13" s="232" t="s">
        <v>748</v>
      </c>
      <c r="L13" s="230">
        <v>78</v>
      </c>
      <c r="N13" s="52">
        <v>11</v>
      </c>
      <c r="O13" s="232" t="s">
        <v>782</v>
      </c>
      <c r="P13" s="230">
        <v>1</v>
      </c>
      <c r="R13" s="52">
        <v>12</v>
      </c>
      <c r="S13" s="232" t="s">
        <v>794</v>
      </c>
      <c r="T13" s="230">
        <v>11</v>
      </c>
    </row>
    <row r="14" spans="1:20" x14ac:dyDescent="0.25">
      <c r="F14" s="52">
        <v>13</v>
      </c>
      <c r="G14" s="232" t="s">
        <v>737</v>
      </c>
      <c r="H14" s="230" t="s">
        <v>735</v>
      </c>
      <c r="J14" s="52">
        <v>13</v>
      </c>
      <c r="K14" s="232" t="s">
        <v>738</v>
      </c>
      <c r="L14" s="230">
        <v>67</v>
      </c>
      <c r="N14" s="52">
        <v>11</v>
      </c>
      <c r="O14" s="232" t="s">
        <v>783</v>
      </c>
      <c r="P14" s="230">
        <v>1</v>
      </c>
      <c r="R14" s="52">
        <v>13</v>
      </c>
      <c r="S14" s="232" t="s">
        <v>775</v>
      </c>
      <c r="T14" s="230">
        <v>11</v>
      </c>
    </row>
    <row r="15" spans="1:20" x14ac:dyDescent="0.25">
      <c r="F15" s="52">
        <v>14</v>
      </c>
      <c r="G15" s="232" t="s">
        <v>738</v>
      </c>
      <c r="H15" s="230" t="s">
        <v>735</v>
      </c>
      <c r="J15" s="52">
        <v>14</v>
      </c>
      <c r="K15" s="232" t="s">
        <v>725</v>
      </c>
      <c r="L15" s="230">
        <v>64</v>
      </c>
      <c r="N15" s="52">
        <v>11</v>
      </c>
      <c r="O15" s="232" t="s">
        <v>784</v>
      </c>
      <c r="P15" s="230">
        <v>1</v>
      </c>
      <c r="R15" s="52">
        <v>14</v>
      </c>
      <c r="S15" s="232" t="s">
        <v>795</v>
      </c>
      <c r="T15" s="230">
        <v>8</v>
      </c>
    </row>
    <row r="16" spans="1:20" x14ac:dyDescent="0.25">
      <c r="F16" s="52">
        <v>15</v>
      </c>
      <c r="G16" s="232" t="s">
        <v>739</v>
      </c>
      <c r="H16" s="230" t="s">
        <v>735</v>
      </c>
      <c r="J16" s="52">
        <v>15</v>
      </c>
      <c r="K16" s="232" t="s">
        <v>749</v>
      </c>
      <c r="L16" s="230">
        <v>60</v>
      </c>
      <c r="N16" s="52">
        <v>11</v>
      </c>
      <c r="O16" s="232" t="s">
        <v>785</v>
      </c>
      <c r="P16" s="230">
        <v>1</v>
      </c>
      <c r="R16" s="52">
        <v>15</v>
      </c>
      <c r="S16" s="232" t="s">
        <v>796</v>
      </c>
      <c r="T16" s="230">
        <v>8</v>
      </c>
    </row>
    <row r="17" spans="6:20" x14ac:dyDescent="0.25">
      <c r="F17" s="52">
        <v>16</v>
      </c>
      <c r="G17" s="232" t="s">
        <v>740</v>
      </c>
      <c r="H17" s="230" t="s">
        <v>735</v>
      </c>
      <c r="J17" s="52">
        <v>15</v>
      </c>
      <c r="K17" s="232" t="s">
        <v>739</v>
      </c>
      <c r="L17" s="230">
        <v>60</v>
      </c>
      <c r="N17" s="52">
        <v>11</v>
      </c>
      <c r="O17" s="232" t="s">
        <v>786</v>
      </c>
      <c r="P17" s="230">
        <v>1</v>
      </c>
      <c r="R17" s="52">
        <v>16</v>
      </c>
      <c r="S17" s="232" t="s">
        <v>766</v>
      </c>
      <c r="T17" s="230">
        <v>8</v>
      </c>
    </row>
    <row r="18" spans="6:20" x14ac:dyDescent="0.25">
      <c r="F18" s="52">
        <v>17</v>
      </c>
      <c r="G18" s="232" t="s">
        <v>742</v>
      </c>
      <c r="H18" s="230" t="s">
        <v>741</v>
      </c>
      <c r="J18" s="52">
        <v>17</v>
      </c>
      <c r="K18" s="232" t="s">
        <v>763</v>
      </c>
      <c r="L18" s="230">
        <v>58</v>
      </c>
      <c r="N18" s="52">
        <v>11</v>
      </c>
      <c r="O18" s="232" t="s">
        <v>787</v>
      </c>
      <c r="P18" s="230">
        <v>1</v>
      </c>
      <c r="R18" s="52">
        <v>17</v>
      </c>
      <c r="S18" s="232" t="s">
        <v>797</v>
      </c>
      <c r="T18" s="230">
        <v>7</v>
      </c>
    </row>
    <row r="19" spans="6:20" x14ac:dyDescent="0.25">
      <c r="F19" s="52">
        <v>18</v>
      </c>
      <c r="G19" s="232" t="s">
        <v>743</v>
      </c>
      <c r="H19" s="230" t="s">
        <v>741</v>
      </c>
      <c r="J19" s="52">
        <v>18</v>
      </c>
      <c r="K19" s="232" t="s">
        <v>764</v>
      </c>
      <c r="L19" s="230">
        <v>57</v>
      </c>
      <c r="N19" s="52">
        <v>11</v>
      </c>
      <c r="O19" s="232" t="s">
        <v>788</v>
      </c>
      <c r="P19" s="230">
        <v>1</v>
      </c>
      <c r="R19" s="52">
        <v>18</v>
      </c>
      <c r="S19" s="232" t="s">
        <v>798</v>
      </c>
      <c r="T19" s="230">
        <v>7</v>
      </c>
    </row>
    <row r="20" spans="6:20" x14ac:dyDescent="0.25">
      <c r="F20" s="52">
        <v>19</v>
      </c>
      <c r="G20" s="232" t="s">
        <v>744</v>
      </c>
      <c r="H20" s="230" t="s">
        <v>741</v>
      </c>
      <c r="J20" s="52">
        <v>18</v>
      </c>
      <c r="K20" s="232" t="s">
        <v>719</v>
      </c>
      <c r="L20" s="230">
        <v>57</v>
      </c>
      <c r="N20" s="52">
        <v>11</v>
      </c>
      <c r="O20" s="232" t="s">
        <v>789</v>
      </c>
      <c r="P20" s="230">
        <v>1</v>
      </c>
      <c r="R20" s="52">
        <v>19</v>
      </c>
      <c r="S20" s="232" t="s">
        <v>799</v>
      </c>
      <c r="T20" s="230">
        <v>6</v>
      </c>
    </row>
    <row r="21" spans="6:20" x14ac:dyDescent="0.25">
      <c r="F21" s="52">
        <v>20</v>
      </c>
      <c r="G21" s="232" t="s">
        <v>745</v>
      </c>
      <c r="H21" s="230" t="s">
        <v>741</v>
      </c>
      <c r="J21" s="52">
        <v>20</v>
      </c>
      <c r="K21" s="232" t="s">
        <v>765</v>
      </c>
      <c r="L21" s="230">
        <v>56</v>
      </c>
      <c r="N21" s="52">
        <v>11</v>
      </c>
      <c r="O21" s="232" t="s">
        <v>790</v>
      </c>
      <c r="P21" s="230">
        <v>1</v>
      </c>
      <c r="R21" s="52">
        <v>20</v>
      </c>
      <c r="S21" s="232" t="s">
        <v>800</v>
      </c>
      <c r="T21" s="230">
        <v>6</v>
      </c>
    </row>
    <row r="22" spans="6:20" x14ac:dyDescent="0.25">
      <c r="F22" s="52">
        <v>21</v>
      </c>
      <c r="G22" s="232" t="s">
        <v>746</v>
      </c>
      <c r="H22" s="230" t="s">
        <v>741</v>
      </c>
      <c r="J22" s="52">
        <v>20</v>
      </c>
      <c r="K22" s="232" t="s">
        <v>743</v>
      </c>
      <c r="L22" s="230">
        <v>56</v>
      </c>
      <c r="N22" s="52">
        <v>11</v>
      </c>
      <c r="O22" s="235" t="s">
        <v>801</v>
      </c>
      <c r="P22" s="230">
        <v>1</v>
      </c>
      <c r="R22" s="52">
        <v>21</v>
      </c>
      <c r="S22" s="232" t="s">
        <v>762</v>
      </c>
      <c r="T22" s="230">
        <v>6</v>
      </c>
    </row>
    <row r="23" spans="6:20" x14ac:dyDescent="0.25">
      <c r="F23" s="52">
        <v>22</v>
      </c>
      <c r="G23" s="232" t="s">
        <v>747</v>
      </c>
      <c r="H23" s="230" t="s">
        <v>741</v>
      </c>
      <c r="J23" s="52">
        <v>22</v>
      </c>
      <c r="K23" s="232" t="s">
        <v>728</v>
      </c>
      <c r="L23" s="230">
        <v>54</v>
      </c>
      <c r="N23" s="52">
        <v>11</v>
      </c>
      <c r="O23" s="235" t="s">
        <v>297</v>
      </c>
      <c r="P23" s="230">
        <v>1</v>
      </c>
    </row>
    <row r="24" spans="6:20" x14ac:dyDescent="0.25">
      <c r="F24" s="52">
        <v>23</v>
      </c>
      <c r="G24" s="232" t="s">
        <v>748</v>
      </c>
      <c r="H24" s="230" t="s">
        <v>741</v>
      </c>
      <c r="J24" s="52">
        <v>23</v>
      </c>
      <c r="K24" s="232" t="s">
        <v>752</v>
      </c>
      <c r="L24" s="230">
        <v>51</v>
      </c>
      <c r="O24" s="110"/>
      <c r="P24" s="230"/>
    </row>
    <row r="25" spans="6:20" x14ac:dyDescent="0.25">
      <c r="F25" s="52">
        <v>24</v>
      </c>
      <c r="G25" s="232" t="s">
        <v>749</v>
      </c>
      <c r="H25" s="230" t="s">
        <v>741</v>
      </c>
      <c r="J25" s="52">
        <v>23</v>
      </c>
      <c r="K25" s="232" t="s">
        <v>766</v>
      </c>
      <c r="L25" s="230">
        <v>51</v>
      </c>
      <c r="O25" s="110"/>
      <c r="P25" s="230"/>
    </row>
    <row r="26" spans="6:20" x14ac:dyDescent="0.25">
      <c r="F26" s="52">
        <v>25</v>
      </c>
      <c r="G26" s="232" t="s">
        <v>750</v>
      </c>
      <c r="H26" s="230" t="s">
        <v>741</v>
      </c>
      <c r="J26" s="52">
        <v>25</v>
      </c>
      <c r="K26" s="232" t="s">
        <v>767</v>
      </c>
      <c r="L26" s="230">
        <v>50</v>
      </c>
      <c r="O26" s="110"/>
      <c r="P26" s="230"/>
    </row>
    <row r="27" spans="6:20" x14ac:dyDescent="0.25">
      <c r="F27" s="52">
        <v>26</v>
      </c>
      <c r="G27" s="232" t="s">
        <v>751</v>
      </c>
      <c r="H27" s="230" t="s">
        <v>741</v>
      </c>
      <c r="J27" s="52">
        <v>26</v>
      </c>
      <c r="K27" s="232" t="s">
        <v>768</v>
      </c>
      <c r="L27" s="230">
        <v>49</v>
      </c>
      <c r="O27" s="110"/>
      <c r="P27" s="230"/>
    </row>
    <row r="28" spans="6:20" x14ac:dyDescent="0.25">
      <c r="F28" s="52">
        <v>27</v>
      </c>
      <c r="G28" s="232" t="s">
        <v>752</v>
      </c>
      <c r="H28" s="230" t="s">
        <v>741</v>
      </c>
      <c r="J28" s="52">
        <v>27</v>
      </c>
      <c r="K28" s="232" t="s">
        <v>769</v>
      </c>
      <c r="L28" s="230">
        <v>46</v>
      </c>
      <c r="O28" s="110"/>
      <c r="P28" s="230"/>
    </row>
    <row r="29" spans="6:20" x14ac:dyDescent="0.25">
      <c r="F29" s="52">
        <v>28</v>
      </c>
      <c r="G29" s="232" t="s">
        <v>753</v>
      </c>
      <c r="H29" s="230" t="s">
        <v>741</v>
      </c>
      <c r="J29" s="52">
        <v>27</v>
      </c>
      <c r="K29" s="232" t="s">
        <v>770</v>
      </c>
      <c r="L29" s="230">
        <v>46</v>
      </c>
      <c r="O29" s="110"/>
      <c r="P29" s="230"/>
    </row>
    <row r="30" spans="6:20" x14ac:dyDescent="0.25">
      <c r="F30" s="52">
        <v>29</v>
      </c>
      <c r="G30" s="232" t="s">
        <v>754</v>
      </c>
      <c r="H30" s="230" t="s">
        <v>741</v>
      </c>
      <c r="J30" s="52">
        <v>29</v>
      </c>
      <c r="K30" s="232" t="s">
        <v>771</v>
      </c>
      <c r="L30" s="230">
        <v>45</v>
      </c>
      <c r="O30" s="110"/>
      <c r="P30" s="230"/>
    </row>
    <row r="31" spans="6:20" x14ac:dyDescent="0.25">
      <c r="F31" s="52">
        <v>30</v>
      </c>
      <c r="G31" s="232" t="s">
        <v>755</v>
      </c>
      <c r="H31" s="230" t="s">
        <v>741</v>
      </c>
      <c r="J31" s="52">
        <v>29</v>
      </c>
      <c r="K31" s="232" t="s">
        <v>755</v>
      </c>
      <c r="L31" s="230">
        <v>45</v>
      </c>
      <c r="O31" s="110"/>
      <c r="P31" s="230"/>
    </row>
  </sheetData>
  <mergeCells count="4">
    <mergeCell ref="G1:H1"/>
    <mergeCell ref="K1:L1"/>
    <mergeCell ref="O1:P1"/>
    <mergeCell ref="S1:T1"/>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10" sqref="J1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199" t="s">
        <v>331</v>
      </c>
      <c r="F1" s="200" t="s">
        <v>332</v>
      </c>
      <c r="G1" s="201"/>
      <c r="H1" s="201"/>
      <c r="I1" s="202" t="s">
        <v>331</v>
      </c>
      <c r="J1" s="203" t="s">
        <v>332</v>
      </c>
      <c r="K1" s="89"/>
      <c r="P1" s="199" t="s">
        <v>331</v>
      </c>
      <c r="Q1" s="200" t="s">
        <v>332</v>
      </c>
      <c r="R1" s="199"/>
      <c r="S1" s="200"/>
    </row>
    <row r="2" spans="1:19" x14ac:dyDescent="0.25">
      <c r="A2" s="204" t="s">
        <v>3</v>
      </c>
      <c r="B2" s="204" t="s">
        <v>333</v>
      </c>
      <c r="C2" s="204" t="s">
        <v>334</v>
      </c>
      <c r="D2" s="204" t="s">
        <v>18</v>
      </c>
      <c r="E2" s="199" t="s">
        <v>8</v>
      </c>
      <c r="F2" s="200" t="s">
        <v>8</v>
      </c>
      <c r="G2" s="201" t="s">
        <v>7</v>
      </c>
      <c r="H2" s="201" t="s">
        <v>7</v>
      </c>
      <c r="I2" s="202" t="s">
        <v>335</v>
      </c>
      <c r="J2" s="203" t="s">
        <v>335</v>
      </c>
      <c r="K2" s="89"/>
      <c r="P2" s="199" t="s">
        <v>8</v>
      </c>
      <c r="Q2" s="200" t="s">
        <v>8</v>
      </c>
      <c r="R2" s="199" t="s">
        <v>7</v>
      </c>
      <c r="S2" s="200" t="s">
        <v>7</v>
      </c>
    </row>
    <row r="3" spans="1:19" x14ac:dyDescent="0.25">
      <c r="A3" s="205" t="str">
        <f>PLANTILLA!D4</f>
        <v>Nicolae Hornet</v>
      </c>
      <c r="B3" s="206">
        <f>PLANTILLA!E4</f>
        <v>19</v>
      </c>
      <c r="C3" s="206">
        <f>PLANTILLA!H4</f>
        <v>5</v>
      </c>
      <c r="D3" s="207">
        <f>PLANTILLA!I4</f>
        <v>0.5</v>
      </c>
      <c r="E3" s="208">
        <f>D3</f>
        <v>0.5</v>
      </c>
      <c r="F3" s="208">
        <f>E3+0.1</f>
        <v>0.6</v>
      </c>
      <c r="G3" s="208">
        <f>C3</f>
        <v>5</v>
      </c>
      <c r="H3" s="208">
        <f>G3+0.99</f>
        <v>5.99</v>
      </c>
      <c r="I3" s="209">
        <f>G3*G3*E3</f>
        <v>12.5</v>
      </c>
      <c r="J3" s="209">
        <f>H3*H3*F3</f>
        <v>21.528060000000004</v>
      </c>
      <c r="K3" s="210"/>
      <c r="N3" s="52" t="s">
        <v>335</v>
      </c>
      <c r="O3" t="str">
        <f>A4</f>
        <v>Pablo Goenaga</v>
      </c>
      <c r="P3" s="211">
        <f>E4</f>
        <v>1</v>
      </c>
      <c r="Q3" s="211">
        <f t="shared" ref="Q3:S3" si="0">F4</f>
        <v>1.1000000000000001</v>
      </c>
      <c r="R3" s="211">
        <f t="shared" si="0"/>
        <v>5</v>
      </c>
      <c r="S3" s="211">
        <f t="shared" si="0"/>
        <v>5.99</v>
      </c>
    </row>
    <row r="4" spans="1:19" x14ac:dyDescent="0.25">
      <c r="A4" s="205" t="str">
        <f>PLANTILLA!D5</f>
        <v>Pablo Goenaga</v>
      </c>
      <c r="B4" s="206">
        <f>PLANTILLA!E5</f>
        <v>19</v>
      </c>
      <c r="C4" s="206">
        <f>PLANTILLA!H5</f>
        <v>5</v>
      </c>
      <c r="D4" s="207">
        <f>PLANTILLA!I5</f>
        <v>1</v>
      </c>
      <c r="E4" s="208">
        <f t="shared" ref="E4:E31" si="1">D4</f>
        <v>1</v>
      </c>
      <c r="F4" s="208">
        <f t="shared" ref="F4:F31" si="2">E4+0.1</f>
        <v>1.1000000000000001</v>
      </c>
      <c r="G4" s="208">
        <f t="shared" ref="G4:G31" si="3">C4</f>
        <v>5</v>
      </c>
      <c r="H4" s="208">
        <f t="shared" ref="H4:H31" si="4">G4+0.99</f>
        <v>5.99</v>
      </c>
      <c r="I4" s="209">
        <f t="shared" ref="I4:I31" si="5">G4*G4*E4</f>
        <v>25</v>
      </c>
      <c r="J4" s="209">
        <f t="shared" ref="J4:J31" si="6">H4*H4*F4</f>
        <v>39.46811000000001</v>
      </c>
      <c r="K4" s="210"/>
      <c r="O4" t="str">
        <f>A5</f>
        <v>Alberto Ercilla</v>
      </c>
      <c r="P4" s="211">
        <f>E5</f>
        <v>2.9</v>
      </c>
      <c r="Q4" s="211">
        <f>F5</f>
        <v>3</v>
      </c>
      <c r="R4" s="211">
        <f>G5</f>
        <v>4</v>
      </c>
      <c r="S4" s="211">
        <f>H5</f>
        <v>4.99</v>
      </c>
    </row>
    <row r="5" spans="1:19" x14ac:dyDescent="0.25">
      <c r="A5" s="205" t="str">
        <f>PLANTILLA!D6</f>
        <v>Alberto Ercilla</v>
      </c>
      <c r="B5" s="206">
        <f>PLANTILLA!E6</f>
        <v>23</v>
      </c>
      <c r="C5" s="206">
        <f>PLANTILLA!H6</f>
        <v>4</v>
      </c>
      <c r="D5" s="207">
        <f>PLANTILLA!I6</f>
        <v>2.9</v>
      </c>
      <c r="E5" s="208">
        <f t="shared" si="1"/>
        <v>2.9</v>
      </c>
      <c r="F5" s="208">
        <f t="shared" si="2"/>
        <v>3</v>
      </c>
      <c r="G5" s="208">
        <f t="shared" si="3"/>
        <v>4</v>
      </c>
      <c r="H5" s="208">
        <f t="shared" si="4"/>
        <v>4.99</v>
      </c>
      <c r="I5" s="209">
        <f t="shared" si="5"/>
        <v>46.4</v>
      </c>
      <c r="J5" s="209">
        <f t="shared" si="6"/>
        <v>74.700299999999999</v>
      </c>
      <c r="K5" s="210"/>
      <c r="L5" s="139"/>
      <c r="O5" t="str">
        <f>A8</f>
        <v>J. G. de Minaya</v>
      </c>
      <c r="P5" s="211">
        <f>E8</f>
        <v>2.2999999999999998</v>
      </c>
      <c r="Q5" s="211">
        <f>F8</f>
        <v>2.4</v>
      </c>
      <c r="R5" s="211">
        <f>G8</f>
        <v>0</v>
      </c>
      <c r="S5" s="211">
        <f>H8</f>
        <v>0.99</v>
      </c>
    </row>
    <row r="6" spans="1:19" x14ac:dyDescent="0.25">
      <c r="A6" s="205" t="str">
        <f>PLANTILLA!D7</f>
        <v>Manuel Parejo</v>
      </c>
      <c r="B6" s="206">
        <f>PLANTILLA!E7</f>
        <v>18</v>
      </c>
      <c r="C6" s="206">
        <f>PLANTILLA!H7</f>
        <v>1</v>
      </c>
      <c r="D6" s="207">
        <f>PLANTILLA!I7</f>
        <v>2.2999999999999998</v>
      </c>
      <c r="E6" s="208">
        <f t="shared" si="1"/>
        <v>2.2999999999999998</v>
      </c>
      <c r="F6" s="208">
        <f t="shared" si="2"/>
        <v>2.4</v>
      </c>
      <c r="G6" s="208">
        <f t="shared" si="3"/>
        <v>1</v>
      </c>
      <c r="H6" s="208">
        <f t="shared" si="4"/>
        <v>1.99</v>
      </c>
      <c r="I6" s="209">
        <f t="shared" si="5"/>
        <v>2.2999999999999998</v>
      </c>
      <c r="J6" s="209">
        <f t="shared" si="6"/>
        <v>9.5042399999999994</v>
      </c>
      <c r="K6" s="210"/>
      <c r="O6" t="str">
        <f>A11</f>
        <v>Valeri Gomis</v>
      </c>
      <c r="P6" s="211">
        <f>E11</f>
        <v>2.2999999999999998</v>
      </c>
      <c r="Q6" s="211">
        <f t="shared" ref="Q6:S6" si="7">F11</f>
        <v>2.4</v>
      </c>
      <c r="R6" s="211">
        <f t="shared" si="7"/>
        <v>6</v>
      </c>
      <c r="S6" s="211">
        <f t="shared" si="7"/>
        <v>6.99</v>
      </c>
    </row>
    <row r="7" spans="1:19" x14ac:dyDescent="0.25">
      <c r="A7" s="205" t="str">
        <f>PLANTILLA!D8</f>
        <v>Felipe Agulló</v>
      </c>
      <c r="B7" s="206">
        <f>PLANTILLA!E8</f>
        <v>19</v>
      </c>
      <c r="C7" s="206">
        <f>PLANTILLA!H8</f>
        <v>4</v>
      </c>
      <c r="D7" s="207">
        <f>PLANTILLA!I8</f>
        <v>2</v>
      </c>
      <c r="E7" s="208">
        <f t="shared" si="1"/>
        <v>2</v>
      </c>
      <c r="F7" s="208">
        <f t="shared" si="2"/>
        <v>2.1</v>
      </c>
      <c r="G7" s="208">
        <f t="shared" si="3"/>
        <v>4</v>
      </c>
      <c r="H7" s="208">
        <f t="shared" si="4"/>
        <v>4.99</v>
      </c>
      <c r="I7" s="209">
        <f t="shared" si="5"/>
        <v>32</v>
      </c>
      <c r="J7" s="209">
        <f t="shared" si="6"/>
        <v>52.290210000000009</v>
      </c>
      <c r="K7" s="210"/>
      <c r="O7" t="str">
        <f>A3</f>
        <v>Nicolae Hornet</v>
      </c>
      <c r="P7" s="211">
        <f>E3</f>
        <v>0.5</v>
      </c>
      <c r="Q7" s="211">
        <f>F3</f>
        <v>0.6</v>
      </c>
      <c r="R7" s="211">
        <f>G3</f>
        <v>5</v>
      </c>
      <c r="S7" s="211">
        <f>H3</f>
        <v>5.99</v>
      </c>
    </row>
    <row r="8" spans="1:19" x14ac:dyDescent="0.25">
      <c r="A8" s="205" t="str">
        <f>PLANTILLA!D9</f>
        <v>J. G. de Minaya</v>
      </c>
      <c r="B8" s="206">
        <f>PLANTILLA!E9</f>
        <v>19</v>
      </c>
      <c r="C8" s="206">
        <f>PLANTILLA!H9</f>
        <v>0</v>
      </c>
      <c r="D8" s="207">
        <f>PLANTILLA!I9</f>
        <v>2.2999999999999998</v>
      </c>
      <c r="E8" s="208">
        <f t="shared" si="1"/>
        <v>2.2999999999999998</v>
      </c>
      <c r="F8" s="208">
        <f t="shared" si="2"/>
        <v>2.4</v>
      </c>
      <c r="G8" s="208">
        <f t="shared" si="3"/>
        <v>0</v>
      </c>
      <c r="H8" s="208">
        <f t="shared" si="4"/>
        <v>0.99</v>
      </c>
      <c r="I8" s="209">
        <f t="shared" si="5"/>
        <v>0</v>
      </c>
      <c r="J8" s="209">
        <f t="shared" si="6"/>
        <v>2.3522399999999997</v>
      </c>
      <c r="K8" s="210"/>
      <c r="O8" t="str">
        <f>A13</f>
        <v>Roberto Montero</v>
      </c>
      <c r="P8" s="211">
        <f>E13</f>
        <v>1.2</v>
      </c>
      <c r="Q8" s="211">
        <f>F13</f>
        <v>1.3</v>
      </c>
      <c r="R8" s="211">
        <f>G13</f>
        <v>2</v>
      </c>
      <c r="S8" s="211">
        <f>H13</f>
        <v>2.99</v>
      </c>
    </row>
    <row r="9" spans="1:19" x14ac:dyDescent="0.25">
      <c r="A9" s="205" t="str">
        <f>PLANTILLA!D10</f>
        <v>Francesc Añigas</v>
      </c>
      <c r="B9" s="206">
        <f>PLANTILLA!E10</f>
        <v>18</v>
      </c>
      <c r="C9" s="206">
        <f>PLANTILLA!H10</f>
        <v>5</v>
      </c>
      <c r="D9" s="207">
        <f>PLANTILLA!I10</f>
        <v>1.8</v>
      </c>
      <c r="E9" s="208">
        <f t="shared" si="1"/>
        <v>1.8</v>
      </c>
      <c r="F9" s="208">
        <f t="shared" si="2"/>
        <v>1.9000000000000001</v>
      </c>
      <c r="G9" s="208">
        <f t="shared" si="3"/>
        <v>5</v>
      </c>
      <c r="H9" s="208">
        <f t="shared" si="4"/>
        <v>5.99</v>
      </c>
      <c r="I9" s="209">
        <f t="shared" si="5"/>
        <v>45</v>
      </c>
      <c r="J9" s="209">
        <f t="shared" si="6"/>
        <v>68.172190000000015</v>
      </c>
      <c r="K9" s="210"/>
      <c r="O9" t="str">
        <f>A16</f>
        <v>Marc Dolz</v>
      </c>
      <c r="P9" s="211">
        <f>E16</f>
        <v>1.1000000000000001</v>
      </c>
      <c r="Q9" s="211">
        <f>F16</f>
        <v>1.2000000000000002</v>
      </c>
      <c r="R9" s="211">
        <f>G16</f>
        <v>3</v>
      </c>
      <c r="S9" s="211">
        <f>H16</f>
        <v>3.99</v>
      </c>
    </row>
    <row r="10" spans="1:19" x14ac:dyDescent="0.25">
      <c r="A10" s="205" t="str">
        <f>PLANTILLA!D11</f>
        <v>Will Duffill</v>
      </c>
      <c r="B10" s="206">
        <f>PLANTILLA!E11</f>
        <v>18</v>
      </c>
      <c r="C10" s="206">
        <f>PLANTILLA!H11</f>
        <v>3</v>
      </c>
      <c r="D10" s="207">
        <f>PLANTILLA!I11</f>
        <v>2.2999999999999998</v>
      </c>
      <c r="E10" s="208">
        <f t="shared" si="1"/>
        <v>2.2999999999999998</v>
      </c>
      <c r="F10" s="208">
        <f t="shared" si="2"/>
        <v>2.4</v>
      </c>
      <c r="G10" s="208">
        <f t="shared" si="3"/>
        <v>3</v>
      </c>
      <c r="H10" s="208">
        <f t="shared" si="4"/>
        <v>3.99</v>
      </c>
      <c r="I10" s="209">
        <f t="shared" si="5"/>
        <v>20.7</v>
      </c>
      <c r="J10" s="209">
        <f t="shared" si="6"/>
        <v>38.208240000000004</v>
      </c>
      <c r="K10" s="210"/>
      <c r="O10" t="str">
        <f>A14</f>
        <v>Eckardt Hägerling</v>
      </c>
      <c r="P10" s="211">
        <f>E14</f>
        <v>1.5</v>
      </c>
      <c r="Q10" s="211">
        <f>F14</f>
        <v>1.6</v>
      </c>
      <c r="R10" s="211">
        <f>G14</f>
        <v>3</v>
      </c>
      <c r="S10" s="211">
        <f>H14</f>
        <v>3.99</v>
      </c>
    </row>
    <row r="11" spans="1:19" x14ac:dyDescent="0.25">
      <c r="A11" s="205" t="str">
        <f>PLANTILLA!D12</f>
        <v>Valeri Gomis</v>
      </c>
      <c r="B11" s="206">
        <f>PLANTILLA!E12</f>
        <v>18</v>
      </c>
      <c r="C11" s="206">
        <f>PLANTILLA!H12</f>
        <v>6</v>
      </c>
      <c r="D11" s="207">
        <f>PLANTILLA!I12</f>
        <v>2.2999999999999998</v>
      </c>
      <c r="E11" s="208">
        <f t="shared" si="1"/>
        <v>2.2999999999999998</v>
      </c>
      <c r="F11" s="208">
        <f t="shared" si="2"/>
        <v>2.4</v>
      </c>
      <c r="G11" s="208">
        <f t="shared" si="3"/>
        <v>6</v>
      </c>
      <c r="H11" s="208">
        <f t="shared" si="4"/>
        <v>6.99</v>
      </c>
      <c r="I11" s="209">
        <f t="shared" si="5"/>
        <v>82.8</v>
      </c>
      <c r="J11" s="209">
        <f t="shared" si="6"/>
        <v>117.26424</v>
      </c>
      <c r="K11" s="210"/>
      <c r="O11" t="str">
        <f>A10</f>
        <v>Will Duffill</v>
      </c>
      <c r="P11" s="211">
        <f>E10</f>
        <v>2.2999999999999998</v>
      </c>
      <c r="Q11" s="211">
        <f>F10</f>
        <v>2.4</v>
      </c>
      <c r="R11" s="211">
        <f>G10</f>
        <v>3</v>
      </c>
      <c r="S11" s="211">
        <f>H10</f>
        <v>3.99</v>
      </c>
    </row>
    <row r="12" spans="1:19" x14ac:dyDescent="0.25">
      <c r="A12" s="205" t="str">
        <f>PLANTILLA!D13</f>
        <v>Raul Riquelme</v>
      </c>
      <c r="B12" s="206">
        <f>PLANTILLA!E13</f>
        <v>18</v>
      </c>
      <c r="C12" s="206">
        <f>PLANTILLA!H13</f>
        <v>6</v>
      </c>
      <c r="D12" s="207">
        <f>PLANTILLA!I13</f>
        <v>1.9</v>
      </c>
      <c r="E12" s="208">
        <f t="shared" si="1"/>
        <v>1.9</v>
      </c>
      <c r="F12" s="208">
        <f t="shared" si="2"/>
        <v>2</v>
      </c>
      <c r="G12" s="208">
        <f t="shared" si="3"/>
        <v>6</v>
      </c>
      <c r="H12" s="208">
        <f t="shared" si="4"/>
        <v>6.99</v>
      </c>
      <c r="I12" s="209">
        <f t="shared" si="5"/>
        <v>68.399999999999991</v>
      </c>
      <c r="J12" s="209">
        <f t="shared" si="6"/>
        <v>97.720200000000006</v>
      </c>
      <c r="K12" s="210"/>
      <c r="O12" t="str">
        <f>A7</f>
        <v>Felipe Agulló</v>
      </c>
      <c r="P12" s="211">
        <f>E7</f>
        <v>2</v>
      </c>
      <c r="Q12" s="211">
        <f t="shared" ref="Q12:S12" si="8">F7</f>
        <v>2.1</v>
      </c>
      <c r="R12" s="211">
        <f t="shared" si="8"/>
        <v>4</v>
      </c>
      <c r="S12" s="211">
        <f t="shared" si="8"/>
        <v>4.99</v>
      </c>
    </row>
    <row r="13" spans="1:19" x14ac:dyDescent="0.25">
      <c r="A13" s="205" t="str">
        <f>PLANTILLA!D14</f>
        <v>Roberto Montero</v>
      </c>
      <c r="B13" s="206">
        <f>PLANTILLA!E14</f>
        <v>19</v>
      </c>
      <c r="C13" s="206">
        <f>PLANTILLA!H14</f>
        <v>2</v>
      </c>
      <c r="D13" s="207">
        <f>PLANTILLA!I14</f>
        <v>1.2</v>
      </c>
      <c r="E13" s="208">
        <f t="shared" si="1"/>
        <v>1.2</v>
      </c>
      <c r="F13" s="208">
        <f t="shared" si="2"/>
        <v>1.3</v>
      </c>
      <c r="G13" s="208">
        <f t="shared" si="3"/>
        <v>2</v>
      </c>
      <c r="H13" s="208">
        <f t="shared" si="4"/>
        <v>2.99</v>
      </c>
      <c r="I13" s="209">
        <f t="shared" si="5"/>
        <v>4.8</v>
      </c>
      <c r="J13" s="209">
        <f t="shared" si="6"/>
        <v>11.622130000000002</v>
      </c>
      <c r="K13" s="210"/>
      <c r="O13" t="str">
        <f>A12</f>
        <v>Raul Riquelme</v>
      </c>
      <c r="P13" s="211">
        <f>E12</f>
        <v>1.9</v>
      </c>
      <c r="Q13" s="211">
        <f>F12</f>
        <v>2</v>
      </c>
      <c r="R13" s="211">
        <f>G12</f>
        <v>6</v>
      </c>
      <c r="S13" s="211">
        <f>H12</f>
        <v>6.99</v>
      </c>
    </row>
    <row r="14" spans="1:19" x14ac:dyDescent="0.25">
      <c r="A14" s="205" t="str">
        <f>PLANTILLA!D15</f>
        <v>Eckardt Hägerling</v>
      </c>
      <c r="B14" s="206">
        <f>PLANTILLA!E15</f>
        <v>18</v>
      </c>
      <c r="C14" s="206">
        <f>PLANTILLA!H15</f>
        <v>3</v>
      </c>
      <c r="D14" s="207">
        <f>PLANTILLA!I15</f>
        <v>1.5</v>
      </c>
      <c r="E14" s="208">
        <f t="shared" si="1"/>
        <v>1.5</v>
      </c>
      <c r="F14" s="208">
        <f t="shared" si="2"/>
        <v>1.6</v>
      </c>
      <c r="G14" s="208">
        <f t="shared" si="3"/>
        <v>3</v>
      </c>
      <c r="H14" s="208">
        <f t="shared" si="4"/>
        <v>3.99</v>
      </c>
      <c r="I14" s="209">
        <f t="shared" si="5"/>
        <v>13.5</v>
      </c>
      <c r="J14" s="209">
        <f t="shared" si="6"/>
        <v>25.472160000000002</v>
      </c>
      <c r="K14" s="210"/>
      <c r="P14" s="37">
        <f>SUM(P4:P13)/10</f>
        <v>1.7999999999999996</v>
      </c>
      <c r="Q14" s="37">
        <f>SUM(Q4:Q13)/10</f>
        <v>1.9000000000000004</v>
      </c>
      <c r="R14" s="37"/>
      <c r="S14" s="37"/>
    </row>
    <row r="15" spans="1:19" x14ac:dyDescent="0.25">
      <c r="A15" s="205" t="str">
        <f>PLANTILLA!D16</f>
        <v>Fernando Gazón</v>
      </c>
      <c r="B15" s="206">
        <f>PLANTILLA!E16</f>
        <v>19</v>
      </c>
      <c r="C15" s="206">
        <f>PLANTILLA!H16</f>
        <v>3</v>
      </c>
      <c r="D15" s="207">
        <f>PLANTILLA!I16</f>
        <v>1.7</v>
      </c>
      <c r="E15" s="208">
        <f t="shared" si="1"/>
        <v>1.7</v>
      </c>
      <c r="F15" s="208">
        <f t="shared" si="2"/>
        <v>1.8</v>
      </c>
      <c r="G15" s="208">
        <f t="shared" si="3"/>
        <v>3</v>
      </c>
      <c r="H15" s="208">
        <f t="shared" si="4"/>
        <v>3.99</v>
      </c>
      <c r="I15" s="209">
        <f t="shared" si="5"/>
        <v>15.299999999999999</v>
      </c>
      <c r="J15" s="209">
        <f t="shared" si="6"/>
        <v>28.656180000000003</v>
      </c>
      <c r="K15" s="210"/>
    </row>
    <row r="16" spans="1:19" x14ac:dyDescent="0.25">
      <c r="A16" s="205" t="str">
        <f>PLANTILLA!D17</f>
        <v>Marc Dolz</v>
      </c>
      <c r="B16" s="206">
        <f>PLANTILLA!E17</f>
        <v>18</v>
      </c>
      <c r="C16" s="206">
        <f>PLANTILLA!H17</f>
        <v>3</v>
      </c>
      <c r="D16" s="207">
        <f>PLANTILLA!I17</f>
        <v>1.1000000000000001</v>
      </c>
      <c r="E16" s="208">
        <f t="shared" si="1"/>
        <v>1.1000000000000001</v>
      </c>
      <c r="F16" s="208">
        <f t="shared" si="2"/>
        <v>1.2000000000000002</v>
      </c>
      <c r="G16" s="208">
        <f t="shared" si="3"/>
        <v>3</v>
      </c>
      <c r="H16" s="208">
        <f t="shared" si="4"/>
        <v>3.99</v>
      </c>
      <c r="I16" s="209">
        <f t="shared" si="5"/>
        <v>9.9</v>
      </c>
      <c r="J16" s="209">
        <f t="shared" si="6"/>
        <v>19.104120000000005</v>
      </c>
      <c r="K16" s="210"/>
      <c r="L16" s="71" t="s">
        <v>336</v>
      </c>
      <c r="O16" t="s">
        <v>337</v>
      </c>
      <c r="P16" s="32">
        <f>SUM(P3:P13)</f>
        <v>18.999999999999996</v>
      </c>
      <c r="Q16" s="32">
        <f>SUM(Q3:Q13)</f>
        <v>20.100000000000001</v>
      </c>
      <c r="R16" s="32"/>
    </row>
    <row r="17" spans="1:18" x14ac:dyDescent="0.25">
      <c r="A17" s="205" t="str">
        <f>PLANTILLA!D18</f>
        <v>Mauro Vaz</v>
      </c>
      <c r="B17" s="206">
        <f>PLANTILLA!E18</f>
        <v>20</v>
      </c>
      <c r="C17" s="206">
        <f>PLANTILLA!H18</f>
        <v>5</v>
      </c>
      <c r="D17" s="207">
        <f>PLANTILLA!I18</f>
        <v>2</v>
      </c>
      <c r="E17" s="208">
        <f t="shared" si="1"/>
        <v>2</v>
      </c>
      <c r="F17" s="208">
        <f t="shared" si="2"/>
        <v>2.1</v>
      </c>
      <c r="G17" s="208">
        <f t="shared" si="3"/>
        <v>5</v>
      </c>
      <c r="H17" s="208">
        <f t="shared" si="4"/>
        <v>5.99</v>
      </c>
      <c r="I17" s="209">
        <f t="shared" si="5"/>
        <v>50</v>
      </c>
      <c r="J17" s="209">
        <f t="shared" si="6"/>
        <v>75.348210000000009</v>
      </c>
      <c r="K17" s="210"/>
      <c r="O17" t="s">
        <v>338</v>
      </c>
      <c r="P17" s="37">
        <f>P16/17</f>
        <v>1.1176470588235292</v>
      </c>
      <c r="Q17" s="37">
        <f>Q16/17</f>
        <v>1.1823529411764706</v>
      </c>
      <c r="R17" s="37"/>
    </row>
    <row r="18" spans="1:18" x14ac:dyDescent="0.25">
      <c r="A18" s="205" t="str">
        <f>PLANTILLA!D19</f>
        <v>Roberto Abenoza</v>
      </c>
      <c r="B18" s="206">
        <f>PLANTILLA!E19</f>
        <v>19</v>
      </c>
      <c r="C18" s="206">
        <f>PLANTILLA!H19</f>
        <v>4</v>
      </c>
      <c r="D18" s="207">
        <f>PLANTILLA!I19</f>
        <v>1</v>
      </c>
      <c r="E18" s="208">
        <f t="shared" si="1"/>
        <v>1</v>
      </c>
      <c r="F18" s="208">
        <f t="shared" si="2"/>
        <v>1.1000000000000001</v>
      </c>
      <c r="G18" s="208">
        <f t="shared" si="3"/>
        <v>4</v>
      </c>
      <c r="H18" s="208">
        <f t="shared" si="4"/>
        <v>4.99</v>
      </c>
      <c r="I18" s="209">
        <f t="shared" si="5"/>
        <v>16</v>
      </c>
      <c r="J18" s="209">
        <f t="shared" si="6"/>
        <v>27.390110000000004</v>
      </c>
      <c r="K18" s="210"/>
      <c r="L18" s="71" t="s">
        <v>339</v>
      </c>
      <c r="O18" t="s">
        <v>340</v>
      </c>
      <c r="P18" s="32">
        <f>R3^2</f>
        <v>25</v>
      </c>
      <c r="Q18" s="32">
        <f>S3^2</f>
        <v>35.880100000000006</v>
      </c>
      <c r="R18" s="32"/>
    </row>
    <row r="19" spans="1:18" x14ac:dyDescent="0.25">
      <c r="A19" s="205" t="str">
        <f>PLANTILLA!D20</f>
        <v>Enrique Cubas</v>
      </c>
      <c r="B19" s="206">
        <f>PLANTILLA!E20</f>
        <v>18</v>
      </c>
      <c r="C19" s="206">
        <f>PLANTILLA!H20</f>
        <v>1</v>
      </c>
      <c r="D19" s="207">
        <f>PLANTILLA!I20</f>
        <v>2.2999999999999998</v>
      </c>
      <c r="E19" s="208">
        <f t="shared" si="1"/>
        <v>2.2999999999999998</v>
      </c>
      <c r="F19" s="208">
        <f t="shared" si="2"/>
        <v>2.4</v>
      </c>
      <c r="G19" s="208">
        <f t="shared" si="3"/>
        <v>1</v>
      </c>
      <c r="H19" s="208">
        <f t="shared" si="4"/>
        <v>1.99</v>
      </c>
      <c r="I19" s="209">
        <f t="shared" si="5"/>
        <v>2.2999999999999998</v>
      </c>
      <c r="J19" s="209">
        <f t="shared" si="6"/>
        <v>9.5042399999999994</v>
      </c>
      <c r="K19" s="210"/>
      <c r="L19" s="71" t="s">
        <v>341</v>
      </c>
      <c r="O19" t="s">
        <v>342</v>
      </c>
      <c r="P19" s="32">
        <f>P18*P3</f>
        <v>25</v>
      </c>
      <c r="Q19" s="32">
        <f>Q18*Q3</f>
        <v>39.46811000000001</v>
      </c>
      <c r="R19" s="32"/>
    </row>
    <row r="20" spans="1:18" x14ac:dyDescent="0.25">
      <c r="A20" s="205" t="str">
        <f>PLANTILLA!D21</f>
        <v>J. G. Peñuela</v>
      </c>
      <c r="B20" s="206">
        <f>PLANTILLA!E21</f>
        <v>18</v>
      </c>
      <c r="C20" s="206">
        <f>PLANTILLA!H21</f>
        <v>6</v>
      </c>
      <c r="D20" s="207">
        <f>PLANTILLA!I21</f>
        <v>1.9</v>
      </c>
      <c r="E20" s="208">
        <f t="shared" si="1"/>
        <v>1.9</v>
      </c>
      <c r="F20" s="208">
        <f t="shared" si="2"/>
        <v>2</v>
      </c>
      <c r="G20" s="208">
        <f t="shared" si="3"/>
        <v>6</v>
      </c>
      <c r="H20" s="208">
        <f t="shared" si="4"/>
        <v>6.99</v>
      </c>
      <c r="I20" s="209">
        <f t="shared" si="5"/>
        <v>68.399999999999991</v>
      </c>
      <c r="J20" s="209">
        <f t="shared" si="6"/>
        <v>97.720200000000006</v>
      </c>
      <c r="K20" s="210"/>
      <c r="L20" s="71" t="s">
        <v>343</v>
      </c>
      <c r="O20" t="s">
        <v>344</v>
      </c>
      <c r="P20" s="37">
        <f>(P19^(2/3))/30</f>
        <v>0.28499599111278268</v>
      </c>
      <c r="Q20" s="37">
        <f>(Q19^(2/3))/30</f>
        <v>0.38640520266153161</v>
      </c>
      <c r="R20" s="37"/>
    </row>
    <row r="21" spans="1:18" x14ac:dyDescent="0.25">
      <c r="A21" s="205" t="str">
        <f>PLANTILLA!D22</f>
        <v>Xofre Taín</v>
      </c>
      <c r="B21" s="206">
        <f>PLANTILLA!E22</f>
        <v>17</v>
      </c>
      <c r="C21" s="206">
        <f>PLANTILLA!H22</f>
        <v>3</v>
      </c>
      <c r="D21" s="207">
        <f>PLANTILLA!I22</f>
        <v>1.2</v>
      </c>
      <c r="E21" s="208">
        <f t="shared" si="1"/>
        <v>1.2</v>
      </c>
      <c r="F21" s="208">
        <f t="shared" si="2"/>
        <v>1.3</v>
      </c>
      <c r="G21" s="208">
        <f t="shared" si="3"/>
        <v>3</v>
      </c>
      <c r="H21" s="208">
        <f t="shared" si="4"/>
        <v>3.99</v>
      </c>
      <c r="I21" s="209">
        <f t="shared" si="5"/>
        <v>10.799999999999999</v>
      </c>
      <c r="J21" s="209">
        <f t="shared" si="6"/>
        <v>20.696130000000004</v>
      </c>
      <c r="K21" s="210"/>
      <c r="L21" s="71" t="s">
        <v>345</v>
      </c>
      <c r="O21" s="110" t="s">
        <v>169</v>
      </c>
      <c r="P21" s="157">
        <f>P17+P20</f>
        <v>1.4026430499363118</v>
      </c>
      <c r="Q21" s="157">
        <f>Q17+Q20</f>
        <v>1.5687581438380023</v>
      </c>
    </row>
    <row r="22" spans="1:18" x14ac:dyDescent="0.25">
      <c r="A22" s="205" t="str">
        <f>PLANTILLA!D23</f>
        <v>A. Ilisie</v>
      </c>
      <c r="B22" s="206">
        <f>PLANTILLA!E23</f>
        <v>0</v>
      </c>
      <c r="C22" s="206">
        <f>PLANTILLA!H23</f>
        <v>0</v>
      </c>
      <c r="D22" s="207">
        <f>PLANTILLA!I23</f>
        <v>0</v>
      </c>
      <c r="E22" s="208">
        <f t="shared" si="1"/>
        <v>0</v>
      </c>
      <c r="F22" s="208">
        <f t="shared" si="2"/>
        <v>0.1</v>
      </c>
      <c r="G22" s="208">
        <f t="shared" si="3"/>
        <v>0</v>
      </c>
      <c r="H22" s="208">
        <f t="shared" si="4"/>
        <v>0.99</v>
      </c>
      <c r="I22" s="209">
        <f t="shared" si="5"/>
        <v>0</v>
      </c>
      <c r="J22" s="209">
        <f t="shared" si="6"/>
        <v>9.801E-2</v>
      </c>
      <c r="K22" s="210"/>
      <c r="L22" t="s">
        <v>346</v>
      </c>
    </row>
    <row r="23" spans="1:18" x14ac:dyDescent="0.25">
      <c r="A23" s="205">
        <f>PLANTILLA!D24</f>
        <v>0</v>
      </c>
      <c r="B23" s="206">
        <f>PLANTILLA!E24</f>
        <v>0</v>
      </c>
      <c r="C23" s="206">
        <f>PLANTILLA!H24</f>
        <v>0</v>
      </c>
      <c r="D23" s="207">
        <f>PLANTILLA!I24</f>
        <v>0</v>
      </c>
      <c r="E23" s="208">
        <f t="shared" si="1"/>
        <v>0</v>
      </c>
      <c r="F23" s="208">
        <f t="shared" si="2"/>
        <v>0.1</v>
      </c>
      <c r="G23" s="208">
        <f t="shared" si="3"/>
        <v>0</v>
      </c>
      <c r="H23" s="208">
        <f t="shared" si="4"/>
        <v>0.99</v>
      </c>
      <c r="I23" s="209">
        <f t="shared" si="5"/>
        <v>0</v>
      </c>
      <c r="J23" s="209">
        <f t="shared" si="6"/>
        <v>9.801E-2</v>
      </c>
      <c r="K23" s="210"/>
      <c r="O23" s="30"/>
    </row>
    <row r="24" spans="1:18" x14ac:dyDescent="0.25">
      <c r="A24" s="205">
        <f>PLANTILLA!D25</f>
        <v>0</v>
      </c>
      <c r="B24" s="206">
        <f>PLANTILLA!E25</f>
        <v>0</v>
      </c>
      <c r="C24" s="206">
        <f>PLANTILLA!H25</f>
        <v>0</v>
      </c>
      <c r="D24" s="207">
        <f>PLANTILLA!I25</f>
        <v>0</v>
      </c>
      <c r="E24" s="208">
        <f t="shared" si="1"/>
        <v>0</v>
      </c>
      <c r="F24" s="208">
        <f t="shared" si="2"/>
        <v>0.1</v>
      </c>
      <c r="G24" s="208">
        <f t="shared" si="3"/>
        <v>0</v>
      </c>
      <c r="H24" s="208">
        <f t="shared" si="4"/>
        <v>0.99</v>
      </c>
      <c r="I24" s="209">
        <f t="shared" si="5"/>
        <v>0</v>
      </c>
      <c r="J24" s="209">
        <f t="shared" si="6"/>
        <v>9.801E-2</v>
      </c>
    </row>
    <row r="25" spans="1:18" x14ac:dyDescent="0.25">
      <c r="A25" s="205">
        <f>PLANTILLA!D26</f>
        <v>0</v>
      </c>
      <c r="B25" s="206">
        <f>PLANTILLA!E26</f>
        <v>0</v>
      </c>
      <c r="C25" s="206">
        <f>PLANTILLA!H26</f>
        <v>0</v>
      </c>
      <c r="D25" s="207">
        <f>PLANTILLA!I26</f>
        <v>0</v>
      </c>
      <c r="E25" s="208">
        <f t="shared" si="1"/>
        <v>0</v>
      </c>
      <c r="F25" s="208">
        <f t="shared" si="2"/>
        <v>0.1</v>
      </c>
      <c r="G25" s="208">
        <f t="shared" si="3"/>
        <v>0</v>
      </c>
      <c r="H25" s="208">
        <f t="shared" si="4"/>
        <v>0.99</v>
      </c>
      <c r="I25" s="209">
        <f t="shared" si="5"/>
        <v>0</v>
      </c>
      <c r="J25" s="209">
        <f t="shared" si="6"/>
        <v>9.801E-2</v>
      </c>
    </row>
    <row r="26" spans="1:18" x14ac:dyDescent="0.25">
      <c r="A26" s="205">
        <f>PLANTILLA!D27</f>
        <v>0</v>
      </c>
      <c r="B26" s="206">
        <f>PLANTILLA!E27</f>
        <v>0</v>
      </c>
      <c r="C26" s="206">
        <f>PLANTILLA!H27</f>
        <v>0</v>
      </c>
      <c r="D26" s="207">
        <f>PLANTILLA!I27</f>
        <v>0</v>
      </c>
      <c r="E26" s="208">
        <f t="shared" si="1"/>
        <v>0</v>
      </c>
      <c r="F26" s="208">
        <f t="shared" si="2"/>
        <v>0.1</v>
      </c>
      <c r="G26" s="208">
        <f t="shared" si="3"/>
        <v>0</v>
      </c>
      <c r="H26" s="208">
        <f t="shared" si="4"/>
        <v>0.99</v>
      </c>
      <c r="I26" s="209">
        <f t="shared" si="5"/>
        <v>0</v>
      </c>
      <c r="J26" s="209">
        <f t="shared" si="6"/>
        <v>9.801E-2</v>
      </c>
    </row>
    <row r="27" spans="1:18" x14ac:dyDescent="0.25">
      <c r="A27" s="205">
        <f>PLANTILLA!D28</f>
        <v>0</v>
      </c>
      <c r="B27" s="206">
        <f>PLANTILLA!E28</f>
        <v>0</v>
      </c>
      <c r="C27" s="206">
        <f>PLANTILLA!H28</f>
        <v>0</v>
      </c>
      <c r="D27" s="207">
        <f>PLANTILLA!I28</f>
        <v>0</v>
      </c>
      <c r="E27" s="208">
        <f t="shared" si="1"/>
        <v>0</v>
      </c>
      <c r="F27" s="208">
        <f t="shared" si="2"/>
        <v>0.1</v>
      </c>
      <c r="G27" s="208">
        <f t="shared" si="3"/>
        <v>0</v>
      </c>
      <c r="H27" s="208">
        <f t="shared" si="4"/>
        <v>0.99</v>
      </c>
      <c r="I27" s="209">
        <f t="shared" si="5"/>
        <v>0</v>
      </c>
      <c r="J27" s="209">
        <f t="shared" si="6"/>
        <v>9.801E-2</v>
      </c>
    </row>
    <row r="28" spans="1:18" x14ac:dyDescent="0.25">
      <c r="A28" s="205">
        <f>PLANTILLA!D29</f>
        <v>0</v>
      </c>
      <c r="B28" s="206">
        <f>PLANTILLA!E29</f>
        <v>0</v>
      </c>
      <c r="C28" s="206">
        <f>PLANTILLA!H29</f>
        <v>0</v>
      </c>
      <c r="D28" s="207">
        <f>PLANTILLA!I29</f>
        <v>0</v>
      </c>
      <c r="E28" s="208">
        <f t="shared" si="1"/>
        <v>0</v>
      </c>
      <c r="F28" s="208">
        <f t="shared" si="2"/>
        <v>0.1</v>
      </c>
      <c r="G28" s="208">
        <f t="shared" si="3"/>
        <v>0</v>
      </c>
      <c r="H28" s="208">
        <f t="shared" si="4"/>
        <v>0.99</v>
      </c>
      <c r="I28" s="209">
        <f t="shared" si="5"/>
        <v>0</v>
      </c>
      <c r="J28" s="209">
        <f t="shared" si="6"/>
        <v>9.801E-2</v>
      </c>
    </row>
    <row r="29" spans="1:18" x14ac:dyDescent="0.25">
      <c r="A29" s="205">
        <f>PLANTILLA!D30</f>
        <v>0</v>
      </c>
      <c r="B29" s="206">
        <f>PLANTILLA!E30</f>
        <v>0</v>
      </c>
      <c r="C29" s="206">
        <f>PLANTILLA!H30</f>
        <v>0</v>
      </c>
      <c r="D29" s="207">
        <f>PLANTILLA!I30</f>
        <v>0</v>
      </c>
      <c r="E29" s="208">
        <f t="shared" si="1"/>
        <v>0</v>
      </c>
      <c r="F29" s="208">
        <f t="shared" si="2"/>
        <v>0.1</v>
      </c>
      <c r="G29" s="208">
        <f t="shared" si="3"/>
        <v>0</v>
      </c>
      <c r="H29" s="208">
        <f t="shared" si="4"/>
        <v>0.99</v>
      </c>
      <c r="I29" s="209">
        <f t="shared" si="5"/>
        <v>0</v>
      </c>
      <c r="J29" s="209">
        <f t="shared" si="6"/>
        <v>9.801E-2</v>
      </c>
    </row>
    <row r="30" spans="1:18" x14ac:dyDescent="0.25">
      <c r="A30" s="205">
        <f>PLANTILLA!D31</f>
        <v>0</v>
      </c>
      <c r="B30" s="206">
        <f>PLANTILLA!E31</f>
        <v>0</v>
      </c>
      <c r="C30" s="206">
        <f>PLANTILLA!H31</f>
        <v>0</v>
      </c>
      <c r="D30" s="207">
        <f>PLANTILLA!I31</f>
        <v>0</v>
      </c>
      <c r="E30" s="208">
        <f t="shared" si="1"/>
        <v>0</v>
      </c>
      <c r="F30" s="208">
        <f t="shared" si="2"/>
        <v>0.1</v>
      </c>
      <c r="G30" s="208">
        <f t="shared" si="3"/>
        <v>0</v>
      </c>
      <c r="H30" s="208">
        <f t="shared" si="4"/>
        <v>0.99</v>
      </c>
      <c r="I30" s="209">
        <f t="shared" si="5"/>
        <v>0</v>
      </c>
      <c r="J30" s="209">
        <f t="shared" si="6"/>
        <v>9.801E-2</v>
      </c>
    </row>
    <row r="31" spans="1:18" x14ac:dyDescent="0.25">
      <c r="A31" s="205">
        <f>PLANTILLA!D32</f>
        <v>0</v>
      </c>
      <c r="B31" s="206">
        <f>PLANTILLA!E32</f>
        <v>0</v>
      </c>
      <c r="C31" s="206">
        <f>PLANTILLA!H32</f>
        <v>0</v>
      </c>
      <c r="D31" s="207">
        <f>PLANTILLA!I32</f>
        <v>0</v>
      </c>
      <c r="E31" s="208">
        <f t="shared" si="1"/>
        <v>0</v>
      </c>
      <c r="F31" s="208">
        <f t="shared" si="2"/>
        <v>0.1</v>
      </c>
      <c r="G31" s="208">
        <f t="shared" si="3"/>
        <v>0</v>
      </c>
      <c r="H31" s="208">
        <f t="shared" si="4"/>
        <v>0.99</v>
      </c>
      <c r="I31" s="209">
        <f t="shared" si="5"/>
        <v>0</v>
      </c>
      <c r="J31" s="209">
        <f t="shared" si="6"/>
        <v>9.801E-2</v>
      </c>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PLANTILLA!D9</f>
        <v>J. G. de Minaya</v>
      </c>
      <c r="B3">
        <f>PLANTILLA!E9</f>
        <v>19</v>
      </c>
      <c r="C3" s="33">
        <f ca="1">PLANTILLA!F9</f>
        <v>6</v>
      </c>
      <c r="D3" s="65" t="str">
        <f>PLANTILLA!G9</f>
        <v>TEC</v>
      </c>
      <c r="E3" s="30">
        <f>PLANTILLA!M9</f>
        <v>43081</v>
      </c>
      <c r="F3" s="47">
        <f>PLANTILLA!Q9</f>
        <v>7</v>
      </c>
      <c r="G3" s="48">
        <f>(F3/7)^0.5</f>
        <v>1</v>
      </c>
      <c r="H3" s="48">
        <f>IF(F3=7,1,((F3+0.99)/7)^0.5)</f>
        <v>1</v>
      </c>
      <c r="I3" s="51">
        <f t="shared" ref="I3" ca="1" si="0">IF(TODAY()-E3&gt;335,1,((TODAY()-E3)^0.5)/336^0.5)</f>
        <v>0.72168783648703227</v>
      </c>
      <c r="J3" s="39">
        <f>PLANTILLA!I9</f>
        <v>2.2999999999999998</v>
      </c>
      <c r="K3" s="46">
        <f>PLANTILLA!X9</f>
        <v>0</v>
      </c>
      <c r="L3" s="46">
        <f>PLANTILLA!Y9</f>
        <v>6</v>
      </c>
      <c r="M3" s="46">
        <f>PLANTILLA!Z9</f>
        <v>5</v>
      </c>
      <c r="N3" s="46">
        <f>PLANTILLA!AA9</f>
        <v>8</v>
      </c>
      <c r="O3" s="46">
        <f>PLANTILLA!AB9</f>
        <v>6.2</v>
      </c>
      <c r="P3" s="46">
        <f>PLANTILLA!AC9</f>
        <v>8.25</v>
      </c>
      <c r="Q3" s="46">
        <f>PLANTILLA!AD9</f>
        <v>0</v>
      </c>
      <c r="R3" s="46">
        <f>((2*(O3+1))+(L3+1))/8</f>
        <v>2.6749999999999998</v>
      </c>
      <c r="S3" s="46">
        <f>(0.5*P3+ 0.3*Q3)/10</f>
        <v>0.41249999999999998</v>
      </c>
      <c r="T3" s="46">
        <f>(0.4*L3+0.3*Q3)/10</f>
        <v>0.24000000000000005</v>
      </c>
      <c r="U3" s="46">
        <f ca="1">IF(TODAY()-E3&gt;335,(Q3+1+(LOG(J3)*4/3))*(F3/7)^0.5,(Q3+((TODAY()-E3)^0.5)/(336^0.5)+(LOG(J3)*4/3))*(F3/7)^0.5)</f>
        <v>1.2039916178438228</v>
      </c>
      <c r="V3" s="46">
        <f ca="1">IF(F3=7,U3,IF(TODAY()-E3&gt;335,(Q3+1+(LOG(J3)*4/3))*((F3+0.99)/7)^0.5,(Q3+((TODAY()-E3)^0.5)/(336^0.5)+(LOG(J3)*4/3))*((F3+0.99)/7)^0.5))</f>
        <v>1.2039916178438228</v>
      </c>
      <c r="W3" s="37">
        <f ca="1">IF(TODAY()-E3&gt;335,((K3+1+(LOG(J3)*4/3))*0.597)+((L3+1+(LOG(J3)*4/3))*0.276),((K3+(((TODAY()-E3)^0.5)/(336^0.5))+(LOG(J3)*4/3))*0.597)+((L3+(((TODAY()-E3)^0.5)/(336^0.5))+(LOG(J3)*4/3))*0.276))</f>
        <v>2.7070846823776575</v>
      </c>
      <c r="X3" s="37">
        <f ca="1">IF(TODAY()-E3&gt;335,((K3+1+(LOG(J3)*4/3))*0.866)+((L3+1+(LOG(J3)*4/3))*0.425),((K3+(((TODAY()-E3)^0.5)/(336^0.5))+(LOG(J3)*4/3))*0.866)+((L3+(((TODAY()-E3)^0.5)/(336^0.5))+(LOG(J3)*4/3))*0.425))</f>
        <v>4.1043531786363747</v>
      </c>
      <c r="Y3" s="37">
        <f ca="1">W3</f>
        <v>2.7070846823776575</v>
      </c>
      <c r="Z3" s="37">
        <f ca="1">IF(TODAY()-E3&gt;335,((L3+1+(LOG(J3)*4/3))*0.516),((L3+(((TODAY()-E3)^0.5)/(336^0.516))+(LOG(J3)*4/3))*0.516))</f>
        <v>3.6841639067273313</v>
      </c>
      <c r="AA3" s="37">
        <f ca="1">IF(TODAY()-E3&gt;335,((L3+1+(LOG(J3)*4/3))*1),((L3+(((TODAY()-E3)^0.5)/(336^0.5))+(LOG(J3)*4/3))*1))</f>
        <v>7.2039916178438226</v>
      </c>
      <c r="AB3" s="37">
        <f ca="1">Z3/2</f>
        <v>1.8420819533636656</v>
      </c>
      <c r="AC3" s="37">
        <f ca="1">IF(TODAY()-E3&gt;335,((M3+1+(LOG(J3)*4/3))*0.238),((M3+(((TODAY()-E3)^0.5)/(336^0.238))+(LOG(J3)*4/3))*0.238))</f>
        <v>2.0933346636742427</v>
      </c>
      <c r="AD3" s="37">
        <f ca="1">IF(TODAY()-E3&gt;335,((L3+1+(LOG(J3)*4/3))*0.378),((L3+(((TODAY()-E3)^0.5)/(336^0.516))+(LOG(J3)*4/3))*0.378))</f>
        <v>2.6988642572537427</v>
      </c>
      <c r="AE3" s="37">
        <f ca="1">IF(TODAY()-E3&gt;335,((L3+1+(LOG(J3)*4/3))*0.723),((L3+(((TODAY()-E3)^0.5)/(336^0.5))+(LOG(J3)*4/3))*0.723))</f>
        <v>5.2084859397010836</v>
      </c>
      <c r="AF3" s="37">
        <f ca="1">AD3/2</f>
        <v>1.3494321286268713</v>
      </c>
      <c r="AG3" s="37">
        <f ca="1">IF(TODAY()-E3&gt;335,((M3+1+(LOG(J3)*4/3))*0.385),((M3+(((TODAY()-E3)^0.5)/(336^0.238))+(LOG(J3)*4/3))*0.385))</f>
        <v>3.3862766618259812</v>
      </c>
      <c r="AH3" s="37">
        <f ca="1">IF(TODAY()-E3&gt;335,((L3+1+(LOG(J3)*4/3))*0.92),((L3+(((TODAY()-E3)^0.5)/(336^0.5))+(LOG(J3)*4/3))*0.92))</f>
        <v>6.6276722884163171</v>
      </c>
      <c r="AI3" s="37">
        <f ca="1">IF(TODAY()-E3&gt;335,((L3+1+(LOG(J3)*4/3))*0.414),((L3+(((TODAY()-E3)^0.5)/(336^0.414))+(LOG(J3)*4/3))*0.414))</f>
        <v>3.1764104587157886</v>
      </c>
      <c r="AJ3" s="37">
        <f ca="1">IF(TODAY()-E3&gt;335,((M3+1+(LOG(J3)*4/3))*0.167),((M3+(((TODAY()-E3)^0.5)/(336^0.5))+(LOG(J3)*4/3))*0.167))</f>
        <v>1.0360666001799184</v>
      </c>
      <c r="AK3" s="37">
        <f ca="1">IF(TODAY()-E3&gt;335,((N3+1+(LOG(J3)*4/3))*0.588),((N3+(((TODAY()-E3)^0.5)/(336^0.5))+(LOG(J3)*4/3))*0.588))</f>
        <v>5.4119470712921673</v>
      </c>
      <c r="AL3" s="37">
        <f ca="1">IF(TODAY()-E3&gt;335,((L3+1+(LOG(J3)*4/3))*0.754),((L3+(((TODAY()-E3)^0.5)/(336^0.5))+(LOG(J3)*4/3))*0.754))</f>
        <v>5.4318096798542426</v>
      </c>
      <c r="AM3" s="37">
        <f ca="1">IF(TODAY()-E3&gt;335,((L3+1+(LOG(J3)*4/3))*0.708),((L3+(((TODAY()-E3)^0.5)/(336^0.414))+(LOG(J3)*4/3))*0.708))</f>
        <v>5.4321222337458419</v>
      </c>
      <c r="AN3" s="37">
        <f ca="1">IF(TODAY()-E3&gt;335,((Q3+1+(LOG(J3)*4/3))*0.167),((Q3+(((TODAY()-E3)^0.5)/(336^0.5))+(LOG(J3)*4/3))*0.167))</f>
        <v>0.20106660017991843</v>
      </c>
      <c r="AO3" s="37">
        <f ca="1">IF(TODAY()-E3&gt;335,((R3+1+(LOG(J3)*4/3))*0.288),((R3+(((TODAY()-E3)^0.5)/(336^0.5))+(LOG(J3)*4/3))*0.288))</f>
        <v>1.1171495859390208</v>
      </c>
      <c r="AP3" s="37">
        <f ca="1">IF(TODAY()-E3&gt;335,((L3+1+(LOG(J3)*4/3))*0.27),((L3+(((TODAY()-E3)^0.5)/(336^0.5))+(LOG(J3)*4/3))*0.27))</f>
        <v>1.9450777368178322</v>
      </c>
      <c r="AQ3" s="37">
        <f ca="1">IF(TODAY()-E3&gt;335,((L3+1+(LOG(J3)*4/3))*0.594),((L3+(((TODAY()-E3)^0.5)/(336^0.5))+(LOG(J3)*4/3))*0.594))</f>
        <v>4.2791710209992306</v>
      </c>
      <c r="AR3" s="37">
        <f ca="1">AP3/2</f>
        <v>0.97253886840891612</v>
      </c>
      <c r="AS3" s="37">
        <f ca="1">IF(TODAY()-E3&gt;335,((M3+1+(LOG(J3)*4/3))*0.944),((M3+(((TODAY()-E3)^0.5)/(336^0.5))+(LOG(J3)*4/3))*0.944))</f>
        <v>5.8565680872445682</v>
      </c>
      <c r="AT3" s="37">
        <f ca="1">IF(TODAY()-E3&gt;335,((O3+1+(LOG(J3)*4/3))*0.13),((O3+(((TODAY()-E3)^0.5)/(336^0.5))+(LOG(J3)*4/3))*0.13))</f>
        <v>0.96251891031969705</v>
      </c>
      <c r="AU3" s="37">
        <f ca="1">IF(TODAY()-E3&gt;335,((P3+1+(LOG(J3)*4/3))*0.173)+((O3+1+(LOG(J3)*4/3))*0.12),((P3+(((TODAY()-E3)^0.5)/(336^0.5))+(LOG(J3)*4/3))*0.173)+((O3+(((TODAY()-E3)^0.5)/(336^0.5))+(LOG(J3)*4/3))*0.12))</f>
        <v>2.5240195440282402</v>
      </c>
      <c r="AV3" s="37">
        <f ca="1">AT3/2</f>
        <v>0.48125945515984853</v>
      </c>
      <c r="AW3" s="37">
        <f ca="1">IF(TODAY()-E3&gt;335,((L3+1+(LOG(J3)*4/3))*0.189),((L3+(((TODAY()-E3)^0.5)/(336^0.5))+(LOG(J3)*4/3))*0.189))</f>
        <v>1.3615544157724824</v>
      </c>
      <c r="AX3" s="37">
        <f ca="1">IF(TODAY()-E3&gt;335,((L3+1+(LOG(J3)*4/3))*0.4),((L3+(((TODAY()-E3)^0.5)/(336^0.5))+(LOG(J3)*4/3))*0.4))</f>
        <v>2.8815966471375294</v>
      </c>
      <c r="AY3" s="37">
        <f ca="1">AW3/2</f>
        <v>0.68077720788624119</v>
      </c>
      <c r="AZ3" s="37">
        <f ca="1">IF(TODAY()-E3&gt;335,((M3+1+(LOG(J3)*4/3))*1),((M3+(((TODAY()-E3)^0.5)/(336^0.5))+(LOG(J3)*4/3))*1))</f>
        <v>6.2039916178438226</v>
      </c>
      <c r="BA3" s="37">
        <f ca="1">IF(TODAY()-E3&gt;335,((O3+1+(LOG(J3)*4/3))*0.253),((O3+(((TODAY()-E3)^0.5)/(336^0.5))+(LOG(J3)*4/3))*0.253))</f>
        <v>1.8732098793144873</v>
      </c>
      <c r="BB3" s="37">
        <f ca="1">IF(TODAY()-E3&gt;335,((P3+1+(LOG(J3)*4/3))*0.21)+((O3+1+(LOG(J3)*4/3))*0.341),((P3+(((TODAY()-E3)^0.5)/(336^0.5))+(LOG(J3)*4/3))*0.21)+((O3+(((TODAY()-E3)^0.5)/(336^0.5))+(LOG(J3)*4/3))*0.341))</f>
        <v>4.5100993814319468</v>
      </c>
      <c r="BC3" s="37">
        <f ca="1">BA3/2</f>
        <v>0.93660493965724367</v>
      </c>
      <c r="BD3" s="37">
        <f ca="1">IF(TODAY()-E3&gt;335,((L3+1+(LOG(J3)*4/3))*0.291),((L3+(((TODAY()-E3)^0.5)/(336^0.5))+(LOG(J3)*4/3))*0.291))</f>
        <v>2.0963615607925523</v>
      </c>
      <c r="BE3" s="37">
        <f ca="1">IF(TODAY()-E3&gt;335,((L3+1+(LOG(J3)*4/3))*0.348),((L3+(((TODAY()-E3)^0.5)/(336^0.5))+(LOG(J3)*4/3))*0.348))</f>
        <v>2.5069890830096502</v>
      </c>
      <c r="BF3" s="37">
        <f ca="1">IF(TODAY()-E3&gt;335,((M3+1+(LOG(J3)*4/3))*0.881),((M3+(((TODAY()-E3)^0.5)/(336^0.5))+(LOG(J3)*4/3))*0.881))</f>
        <v>5.4657166153204075</v>
      </c>
      <c r="BG3" s="37">
        <f ca="1">IF(TODAY()-E3&gt;335,((N3+1+(LOG(J3)*4/3))*0.574)+((O3+1+(LOG(J3)*4/3))*0.315),((N3+(((TODAY()-E3)^0.5)/(336^0.5))+(LOG(J3)*4/3))*0.574)+((O3+(((TODAY()-E3)^0.5)/(336^0.5))+(LOG(J3)*4/3))*0.315))</f>
        <v>7.6153485482631584</v>
      </c>
      <c r="BH3" s="37">
        <f ca="1">IF(TODAY()-E3&gt;335,((O3+1+(LOG(J3)*4/3))*0.241),((O3+(((TODAY()-E3)^0.5)/(336^0.5))+(LOG(J3)*4/3))*0.241))</f>
        <v>1.7843619799003614</v>
      </c>
      <c r="BI3" s="37">
        <f ca="1">IF(TODAY()-E3&gt;335,((L3+1+(LOG(J3)*4/3))*0.485),((L3+(((TODAY()-E3)^0.5)/(336^0.5))+(LOG(J3)*4/3))*0.485))</f>
        <v>3.493935934654254</v>
      </c>
      <c r="BJ3" s="37">
        <f ca="1">IF(TODAY()-E3&gt;335,((L3+1+(LOG(J3)*4/3))*0.264),((L3+(((TODAY()-E3)^0.5)/(336^0.5))+(LOG(J3)*4/3))*0.264))</f>
        <v>1.9018537871107692</v>
      </c>
      <c r="BK3" s="37">
        <f ca="1">IF(TODAY()-E3&gt;335,((M3+1+(LOG(J3)*4/3))*0.381),((M3+(((TODAY()-E3)^0.5)/(336^0.5))+(LOG(J3)*4/3))*0.381))</f>
        <v>2.3637208063984962</v>
      </c>
      <c r="BL3" s="37">
        <f ca="1">IF(TODAY()-E3&gt;335,((N3+1+(LOG(J3)*4/3))*0.673)+((O3+1+(LOG(J3)*4/3))*0.201),((N3+(((TODAY()-E3)^0.5)/(336^0.5))+(LOG(J3)*4/3))*0.673)+((O3+(((TODAY()-E3)^0.5)/(336^0.5))+(LOG(J3)*4/3))*0.201))</f>
        <v>7.6824886739955014</v>
      </c>
      <c r="BM3" s="37">
        <f ca="1">IF(TODAY()-E3&gt;335,((O3+1+(LOG(J3)*4/3))*0.052),((O3+(((TODAY()-E3)^0.5)/(336^0.5))+(LOG(J3)*4/3))*0.052))</f>
        <v>0.38500756412787879</v>
      </c>
      <c r="BN3" s="37">
        <f ca="1">IF(TODAY()-E3&gt;335,((L3+1+(LOG(J3)*4/3))*0.18),((L3+(((TODAY()-E3)^0.5)/(336^0.5))+(LOG(J3)*4/3))*0.18))</f>
        <v>1.2967184912118881</v>
      </c>
      <c r="BO3" s="37">
        <f ca="1">IF(TODAY()-E3&gt;335,((L3+1+(LOG(J3)*4/3))*0.068),((L3+(((TODAY()-E3)^0.5)/(336^0.5))+(LOG(J3)*4/3))*0.068))</f>
        <v>0.48987143001337996</v>
      </c>
      <c r="BP3" s="37">
        <f ca="1">IF(TODAY()-E3&gt;335,((M3+1+(LOG(J3)*4/3))*0.305),((M3+(((TODAY()-E3)^0.5)/(336^0.5))+(LOG(J3)*4/3))*0.305))</f>
        <v>1.8922174434423658</v>
      </c>
      <c r="BQ3" s="37">
        <f ca="1">IF(TODAY()-E3&gt;335,((N3+1+(LOG(J3)*4/3))*1)+((O3+1+(LOG(J3)*4/3))*0.286),((N3+(((TODAY()-E3)^0.5)/(336^0.5))+(LOG(J3)*4/3))*1)+((O3+(((TODAY()-E3)^0.5)/(336^0.5))+(LOG(J3)*4/3))*0.286))</f>
        <v>11.321533220547156</v>
      </c>
      <c r="BR3" s="37">
        <f ca="1">IF(TODAY()-E3&gt;335,((O3+1+(LOG(J3)*4/3))*0.135),((O3+(((TODAY()-E3)^0.5)/(336^0.5))+(LOG(J3)*4/3))*0.135))</f>
        <v>0.99953886840891626</v>
      </c>
      <c r="BS3" s="37">
        <f ca="1">IF(TODAY()-E3&gt;335,((L3+1+(LOG(J3)*4/3))*0.284),((L3+(((TODAY()-E3)^0.5)/(336^0.5))+(LOG(J3)*4/3))*0.284))</f>
        <v>2.0459336194676454</v>
      </c>
      <c r="BT3" s="37">
        <f ca="1">IF(TODAY()-E3&gt;335,((L3+1+(LOG(J3)*4/3))*0.244),((L3+(((TODAY()-E3)^0.5)/(336^0.5))+(LOG(J3)*4/3))*0.244))</f>
        <v>1.7577739547538926</v>
      </c>
      <c r="BU3" s="37">
        <f ca="1">IF(TODAY()-E3&gt;335,((M3+1+(LOG(J3)*4/3))*0.631),((M3+(((TODAY()-E3)^0.5)/(336^0.5))+(LOG(J3)*4/3))*0.631))</f>
        <v>3.9147187108594519</v>
      </c>
      <c r="BV3" s="37">
        <f ca="1">IF(TODAY()-E3&gt;335,((N3+1+(LOG(J3)*4/3))*0.702)+((O3+1+(LOG(J3)*4/3))*0.193),((N3+(((TODAY()-E3)^0.5)/(336^0.5))+(LOG(J3)*4/3))*0.702)+((O3+(((TODAY()-E3)^0.5)/(336^0.5))+(LOG(J3)*4/3))*0.193))</f>
        <v>7.8901724979702212</v>
      </c>
      <c r="BW3" s="37">
        <f ca="1">IF(TODAY()-E3&gt;335,((O3+1+(LOG(J3)*4/3))*0.148),((O3+(((TODAY()-E3)^0.5)/(336^0.5))+(LOG(J3)*4/3))*0.148))</f>
        <v>1.0957907594408858</v>
      </c>
      <c r="BX3" s="37">
        <f ca="1">IF(TODAY()-E3&gt;335,((M3+1+(LOG(J3)*4/3))*0.406),((M3+(((TODAY()-E3)^0.5)/(336^0.5))+(LOG(J3)*4/3))*0.406))</f>
        <v>2.5188205968445923</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4.9801489623241375</v>
      </c>
      <c r="BZ3" s="37">
        <f ca="1">IF(D3="TEC",IF(TODAY()-E3&gt;335,((O3+1+(LOG(J3)*4/3))*0.543)+((P3+1+(LOG(J3)*4/3))*0.583),((O3+(((TODAY()-E3)^0.5)/(336^0.5))+(LOG(J3)*4/3))*0.543)+((P3+(((TODAY()-E3)^0.5)/(336^0.5))+(LOG(J3)*4/3))*0.583)),IF(TODAY()-E3&gt;335,((O3+1+(LOG(J3)*4/3))*0.543)+((P3+1+(LOG(J3)*4/3))*0.583),((O3+(((TODAY()-E3)^0.5)/(336^0.5))+(LOG(J3)*4/3))*0.543)+((P3+(((TODAY()-E3)^0.5)/(336^0.5))+(LOG(J3)*4/3))*0.583)))</f>
        <v>9.5320445616921443</v>
      </c>
      <c r="CA3" s="37">
        <f ca="1">BY3</f>
        <v>4.9801489623241375</v>
      </c>
      <c r="CB3" s="37">
        <f ca="1">IF(TODAY()-E3&gt;335,((P3+1+(LOG(J3)*4/3))*0.26)+((N3+1+(LOG(J3)*4/3))*0.221)+((O3+1+(LOG(J3)*4/3))*0.142),((P3+(((TODAY()-E3)^0.5)/(336^0.5))+(LOG(J3)*4/3))*0.26)+((N3+(((TODAY()-E3)^0.5)/(336^0.5))+(LOG(J3)*4/3))*0.221)+((P3+(((TODAY()-E3)^0.5)/(336^0.5))+(LOG(J3)*4/3))*0.142))</f>
        <v>5.8345867779167015</v>
      </c>
      <c r="CC3" s="37">
        <f ca="1">IF(TODAY()-E3&gt;335,((P3+1+(LOG(J3)*4/3))*1)+((O3+1+(LOG(J3)*4/3))*0.369),((P3+(((TODAY()-E3)^0.5)/(336^0.5))+(LOG(J3)*4/3))*1)+((O3+(((TODAY()-E3)^0.5)/(336^0.5))+(LOG(J3)*4/3))*0.369))</f>
        <v>12.186064524828193</v>
      </c>
      <c r="CD3" s="37">
        <f ca="1">CB3</f>
        <v>5.8345867779167015</v>
      </c>
      <c r="CE3" s="37">
        <f ca="1">IF(TODAY()-E3&gt;335,((M3+1+(LOG(J3)*4/3))*0.25),((M3+(((TODAY()-E3)^0.5)/(336^0.5))+(LOG(J3)*4/3))*0.25))</f>
        <v>1.5509979044609556</v>
      </c>
    </row>
    <row r="4" spans="1:83" x14ac:dyDescent="0.25">
      <c r="A4" t="str">
        <f>PLANTILLA!D10</f>
        <v>Francesc Añigas</v>
      </c>
      <c r="B4">
        <f>PLANTILLA!E10</f>
        <v>18</v>
      </c>
      <c r="C4" s="33">
        <f ca="1">PLANTILLA!F10</f>
        <v>108</v>
      </c>
      <c r="D4" s="219" t="str">
        <f>PLANTILLA!G10</f>
        <v>IMP</v>
      </c>
      <c r="E4" s="30">
        <f>PLANTILLA!M10</f>
        <v>43137</v>
      </c>
      <c r="F4" s="47">
        <f>PLANTILLA!Q10</f>
        <v>5</v>
      </c>
      <c r="G4" s="48">
        <f t="shared" ref="G4:G19" si="1">(F4/7)^0.5</f>
        <v>0.84515425472851657</v>
      </c>
      <c r="H4" s="48">
        <f t="shared" ref="H4:H19" si="2">IF(F4=7,1,((F4+0.99)/7)^0.5)</f>
        <v>0.92504826128926143</v>
      </c>
      <c r="I4" s="51">
        <f t="shared" ref="I4:I19" ca="1" si="3">IF(TODAY()-E4&gt;335,1,((TODAY()-E4)^0.5)/336^0.5)</f>
        <v>0.59511903571190417</v>
      </c>
      <c r="J4" s="39">
        <f>PLANTILLA!I10</f>
        <v>1.8</v>
      </c>
      <c r="K4" s="46">
        <f>PLANTILLA!X10</f>
        <v>0</v>
      </c>
      <c r="L4" s="46">
        <f>PLANTILLA!Y10</f>
        <v>8</v>
      </c>
      <c r="M4" s="46">
        <f>PLANTILLA!Z10</f>
        <v>4</v>
      </c>
      <c r="N4" s="46">
        <f>PLANTILLA!AA10</f>
        <v>6.45</v>
      </c>
      <c r="O4" s="46">
        <f>PLANTILLA!AB10</f>
        <v>4.25</v>
      </c>
      <c r="P4" s="46">
        <f>PLANTILLA!AC10</f>
        <v>7</v>
      </c>
      <c r="Q4" s="46">
        <f>PLANTILLA!AD10</f>
        <v>3</v>
      </c>
      <c r="R4" s="46">
        <f t="shared" ref="R4:R5" si="4">((2*(O4+1))+(L4+1))/8</f>
        <v>2.4375</v>
      </c>
      <c r="S4" s="46">
        <f t="shared" ref="S4:S5" si="5">(0.5*P4+ 0.3*Q4)/10</f>
        <v>0.44000000000000006</v>
      </c>
      <c r="T4" s="46">
        <f t="shared" ref="T4:T5" si="6">(0.4*L4+0.3*Q4)/10</f>
        <v>0.41</v>
      </c>
      <c r="U4" s="46">
        <f t="shared" ref="U4:U5" ca="1" si="7">IF(TODAY()-E4&gt;335,(Q4+1+(LOG(J4)*4/3))*(F4/7)^0.5,(Q4+((TODAY()-E4)^0.5)/(336^0.5)+(LOG(J4)*4/3))*(F4/7)^0.5)</f>
        <v>3.326089674358419</v>
      </c>
      <c r="V4" s="46">
        <f t="shared" ref="V4:V5" ca="1" si="8">IF(F4=7,U4,IF(TODAY()-E4&gt;335,(Q4+1+(LOG(J4)*4/3))*((F4+0.99)/7)^0.5,(Q4+((TODAY()-E4)^0.5)/(336^0.5)+(LOG(J4)*4/3))*((F4+0.99)/7)^0.5))</f>
        <v>3.6405111291142465</v>
      </c>
      <c r="W4" s="37">
        <f t="shared" ref="W4:W5" ca="1" si="9">IF(TODAY()-E4&gt;335,((K4+1+(LOG(J4)*4/3))*0.597)+((L4+1+(LOG(J4)*4/3))*0.276),((K4+(((TODAY()-E4)^0.5)/(336^0.5))+(LOG(J4)*4/3))*0.597)+((L4+(((TODAY()-E4)^0.5)/(336^0.5))+(LOG(J4)*4/3))*0.276))</f>
        <v>3.0246761141167413</v>
      </c>
      <c r="X4" s="37">
        <f t="shared" ref="X4:X5" ca="1" si="10">IF(TODAY()-E4&gt;335,((K4+1+(LOG(J4)*4/3))*0.866)+((L4+1+(LOG(J4)*4/3))*0.425),((K4+(((TODAY()-E4)^0.5)/(336^0.5))+(LOG(J4)*4/3))*0.866)+((L4+(((TODAY()-E4)^0.5)/(336^0.5))+(LOG(J4)*4/3))*0.425))</f>
        <v>4.6077077472218928</v>
      </c>
      <c r="Y4" s="37">
        <f t="shared" ref="Y4:Y5" ca="1" si="11">W4</f>
        <v>3.0246761141167413</v>
      </c>
      <c r="Z4" s="37">
        <f t="shared" ref="Z4:Z5" ca="1" si="12">IF(TODAY()-E4&gt;335,((L4+1+(LOG(J4)*4/3))*0.516),((L4+(((TODAY()-E4)^0.5)/(336^0.516))+(LOG(J4)*4/3))*0.516))</f>
        <v>4.5834174364273927</v>
      </c>
      <c r="AA4" s="37">
        <f t="shared" ref="AA4:AA5" ca="1" si="13">IF(TODAY()-E4&gt;335,((L4+1+(LOG(J4)*4/3))*1),((L4+(((TODAY()-E4)^0.5)/(336^0.5))+(LOG(J4)*4/3))*1))</f>
        <v>8.9354823758496469</v>
      </c>
      <c r="AB4" s="37">
        <f t="shared" ref="AB4:AB5" ca="1" si="14">Z4/2</f>
        <v>2.2917087182136964</v>
      </c>
      <c r="AC4" s="37">
        <f t="shared" ref="AC4:AC5" ca="1" si="15">IF(TODAY()-E4&gt;335,((M4+1+(LOG(J4)*4/3))*0.238),((M4+(((TODAY()-E4)^0.5)/(336^0.238))+(LOG(J4)*4/3))*0.238))</f>
        <v>1.6832584646084865</v>
      </c>
      <c r="AD4" s="37">
        <f t="shared" ref="AD4:AD5" ca="1" si="16">IF(TODAY()-E4&gt;335,((L4+1+(LOG(J4)*4/3))*0.378),((L4+(((TODAY()-E4)^0.5)/(336^0.516))+(LOG(J4)*4/3))*0.378))</f>
        <v>3.357619749940997</v>
      </c>
      <c r="AE4" s="37">
        <f t="shared" ref="AE4:AE5" ca="1" si="17">IF(TODAY()-E4&gt;335,((L4+1+(LOG(J4)*4/3))*0.723),((L4+(((TODAY()-E4)^0.5)/(336^0.5))+(LOG(J4)*4/3))*0.723))</f>
        <v>6.4603537577392949</v>
      </c>
      <c r="AF4" s="37">
        <f t="shared" ref="AF4:AF5" ca="1" si="18">AD4/2</f>
        <v>1.6788098749704985</v>
      </c>
      <c r="AG4" s="37">
        <f t="shared" ref="AG4:AG5" ca="1" si="19">IF(TODAY()-E4&gt;335,((M4+1+(LOG(J4)*4/3))*0.385),((M4+(((TODAY()-E4)^0.5)/(336^0.238))+(LOG(J4)*4/3))*0.385))</f>
        <v>2.7229181045137283</v>
      </c>
      <c r="AH4" s="37">
        <f t="shared" ref="AH4:AH5" ca="1" si="20">IF(TODAY()-E4&gt;335,((L4+1+(LOG(J4)*4/3))*0.92),((L4+(((TODAY()-E4)^0.5)/(336^0.5))+(LOG(J4)*4/3))*0.92))</f>
        <v>8.2206437857816752</v>
      </c>
      <c r="AI4" s="37">
        <f t="shared" ref="AI4:AI5" ca="1" si="21">IF(TODAY()-E4&gt;335,((L4+1+(LOG(J4)*4/3))*0.414),((L4+(((TODAY()-E4)^0.5)/(336^0.414))+(LOG(J4)*4/3))*0.414))</f>
        <v>3.8592315091813583</v>
      </c>
      <c r="AJ4" s="37">
        <f t="shared" ref="AJ4:AJ5" ca="1" si="22">IF(TODAY()-E4&gt;335,((M4+1+(LOG(J4)*4/3))*0.167),((M4+(((TODAY()-E4)^0.5)/(336^0.5))+(LOG(J4)*4/3))*0.167))</f>
        <v>0.8242255567668908</v>
      </c>
      <c r="AK4" s="37">
        <f t="shared" ref="AK4:AK5" ca="1" si="23">IF(TODAY()-E4&gt;335,((N4+1+(LOG(J4)*4/3))*0.588),((N4+(((TODAY()-E4)^0.5)/(336^0.5))+(LOG(J4)*4/3))*0.588))</f>
        <v>4.3426636369995908</v>
      </c>
      <c r="AL4" s="37">
        <f t="shared" ref="AL4:AL5" ca="1" si="24">IF(TODAY()-E4&gt;335,((L4+1+(LOG(J4)*4/3))*0.754),((L4+(((TODAY()-E4)^0.5)/(336^0.5))+(LOG(J4)*4/3))*0.754))</f>
        <v>6.7373537113906341</v>
      </c>
      <c r="AM4" s="37">
        <f t="shared" ref="AM4:AM5" ca="1" si="25">IF(TODAY()-E4&gt;335,((L4+1+(LOG(J4)*4/3))*0.708),((L4+(((TODAY()-E4)^0.5)/(336^0.414))+(LOG(J4)*4/3))*0.708))</f>
        <v>6.5998451896144967</v>
      </c>
      <c r="AN4" s="37">
        <f t="shared" ref="AN4:AN5" ca="1" si="26">IF(TODAY()-E4&gt;335,((Q4+1+(LOG(J4)*4/3))*0.167),((Q4+(((TODAY()-E4)^0.5)/(336^0.5))+(LOG(J4)*4/3))*0.167))</f>
        <v>0.65722555676689087</v>
      </c>
      <c r="AO4" s="37">
        <f t="shared" ref="AO4:AO5" ca="1" si="27">IF(TODAY()-E4&gt;335,((R4+1+(LOG(J4)*4/3))*0.288),((R4+(((TODAY()-E4)^0.5)/(336^0.5))+(LOG(J4)*4/3))*0.288))</f>
        <v>0.97141892424469789</v>
      </c>
      <c r="AP4" s="37">
        <f t="shared" ref="AP4:AP5" ca="1" si="28">IF(TODAY()-E4&gt;335,((L4+1+(LOG(J4)*4/3))*0.27),((L4+(((TODAY()-E4)^0.5)/(336^0.5))+(LOG(J4)*4/3))*0.27))</f>
        <v>2.4125802414794046</v>
      </c>
      <c r="AQ4" s="37">
        <f t="shared" ref="AQ4:AQ5" ca="1" si="29">IF(TODAY()-E4&gt;335,((L4+1+(LOG(J4)*4/3))*0.594),((L4+(((TODAY()-E4)^0.5)/(336^0.5))+(LOG(J4)*4/3))*0.594))</f>
        <v>5.3076765312546899</v>
      </c>
      <c r="AR4" s="37">
        <f t="shared" ref="AR4:AR5" ca="1" si="30">AP4/2</f>
        <v>1.2062901207397023</v>
      </c>
      <c r="AS4" s="37">
        <f t="shared" ref="AS4:AS5" ca="1" si="31">IF(TODAY()-E4&gt;335,((M4+1+(LOG(J4)*4/3))*0.944),((M4+(((TODAY()-E4)^0.5)/(336^0.5))+(LOG(J4)*4/3))*0.944))</f>
        <v>4.6590953628020646</v>
      </c>
      <c r="AT4" s="37">
        <f t="shared" ref="AT4:AT5" ca="1" si="32">IF(TODAY()-E4&gt;335,((O4+1+(LOG(J4)*4/3))*0.13),((O4+(((TODAY()-E4)^0.5)/(336^0.5))+(LOG(J4)*4/3))*0.13))</f>
        <v>0.67411270886045394</v>
      </c>
      <c r="AU4" s="37">
        <f t="shared" ref="AU4:AU5" ca="1" si="33">IF(TODAY()-E4&gt;335,((P4+1+(LOG(J4)*4/3))*0.173)+((O4+1+(LOG(J4)*4/3))*0.12),((P4+(((TODAY()-E4)^0.5)/(336^0.5))+(LOG(J4)*4/3))*0.173)+((O4+(((TODAY()-E4)^0.5)/(336^0.5))+(LOG(J4)*4/3))*0.12))</f>
        <v>1.9950963361239458</v>
      </c>
      <c r="AV4" s="37">
        <f t="shared" ref="AV4:AV5" ca="1" si="34">AT4/2</f>
        <v>0.33705635443022697</v>
      </c>
      <c r="AW4" s="37">
        <f t="shared" ref="AW4:AW5" ca="1" si="35">IF(TODAY()-E4&gt;335,((L4+1+(LOG(J4)*4/3))*0.189),((L4+(((TODAY()-E4)^0.5)/(336^0.5))+(LOG(J4)*4/3))*0.189))</f>
        <v>1.6888061690355833</v>
      </c>
      <c r="AX4" s="37">
        <f t="shared" ref="AX4:AX5" ca="1" si="36">IF(TODAY()-E4&gt;335,((L4+1+(LOG(J4)*4/3))*0.4),((L4+(((TODAY()-E4)^0.5)/(336^0.5))+(LOG(J4)*4/3))*0.4))</f>
        <v>3.5741929503398588</v>
      </c>
      <c r="AY4" s="37">
        <f t="shared" ref="AY4:AY5" ca="1" si="37">AW4/2</f>
        <v>0.84440308451779167</v>
      </c>
      <c r="AZ4" s="37">
        <f t="shared" ref="AZ4:AZ5" ca="1" si="38">IF(TODAY()-E4&gt;335,((M4+1+(LOG(J4)*4/3))*1),((M4+(((TODAY()-E4)^0.5)/(336^0.5))+(LOG(J4)*4/3))*1))</f>
        <v>4.9354823758496451</v>
      </c>
      <c r="BA4" s="37">
        <f t="shared" ref="BA4:BA5" ca="1" si="39">IF(TODAY()-E4&gt;335,((O4+1+(LOG(J4)*4/3))*0.253),((O4+(((TODAY()-E4)^0.5)/(336^0.5))+(LOG(J4)*4/3))*0.253))</f>
        <v>1.3119270410899602</v>
      </c>
      <c r="BB4" s="37">
        <f t="shared" ref="BB4:BB5" ca="1" si="40">IF(TODAY()-E4&gt;335,((P4+1+(LOG(J4)*4/3))*0.21)+((O4+1+(LOG(J4)*4/3))*0.341),((P4+(((TODAY()-E4)^0.5)/(336^0.5))+(LOG(J4)*4/3))*0.21)+((O4+(((TODAY()-E4)^0.5)/(336^0.5))+(LOG(J4)*4/3))*0.341))</f>
        <v>3.4347007890931547</v>
      </c>
      <c r="BC4" s="37">
        <f t="shared" ref="BC4:BC5" ca="1" si="41">BA4/2</f>
        <v>0.65596352054498008</v>
      </c>
      <c r="BD4" s="37">
        <f t="shared" ref="BD4:BD5" ca="1" si="42">IF(TODAY()-E4&gt;335,((L4+1+(LOG(J4)*4/3))*0.291),((L4+(((TODAY()-E4)^0.5)/(336^0.5))+(LOG(J4)*4/3))*0.291))</f>
        <v>2.6002253713722472</v>
      </c>
      <c r="BE4" s="37">
        <f t="shared" ref="BE4:BE5" ca="1" si="43">IF(TODAY()-E4&gt;335,((L4+1+(LOG(J4)*4/3))*0.348),((L4+(((TODAY()-E4)^0.5)/(336^0.5))+(LOG(J4)*4/3))*0.348))</f>
        <v>3.1095478667956771</v>
      </c>
      <c r="BF4" s="37">
        <f t="shared" ref="BF4:BF5" ca="1" si="44">IF(TODAY()-E4&gt;335,((M4+1+(LOG(J4)*4/3))*0.881),((M4+(((TODAY()-E4)^0.5)/(336^0.5))+(LOG(J4)*4/3))*0.881))</f>
        <v>4.3481599731235372</v>
      </c>
      <c r="BG4" s="37">
        <f t="shared" ref="BG4:BG5" ca="1" si="45">IF(TODAY()-E4&gt;335,((N4+1+(LOG(J4)*4/3))*0.574)+((O4+1+(LOG(J4)*4/3))*0.315),((N4+(((TODAY()-E4)^0.5)/(336^0.5))+(LOG(J4)*4/3))*0.574)+((O4+(((TODAY()-E4)^0.5)/(336^0.5))+(LOG(J4)*4/3))*0.315))</f>
        <v>5.8726938321303344</v>
      </c>
      <c r="BH4" s="37">
        <f t="shared" ref="BH4:BH5" ca="1" si="46">IF(TODAY()-E4&gt;335,((O4+1+(LOG(J4)*4/3))*0.241),((O4+(((TODAY()-E4)^0.5)/(336^0.5))+(LOG(J4)*4/3))*0.241))</f>
        <v>1.2497012525797644</v>
      </c>
      <c r="BI4" s="37">
        <f t="shared" ref="BI4:BI5" ca="1" si="47">IF(TODAY()-E4&gt;335,((L4+1+(LOG(J4)*4/3))*0.485),((L4+(((TODAY()-E4)^0.5)/(336^0.5))+(LOG(J4)*4/3))*0.485))</f>
        <v>4.3337089522870782</v>
      </c>
      <c r="BJ4" s="37">
        <f t="shared" ref="BJ4:BJ5" ca="1" si="48">IF(TODAY()-E4&gt;335,((L4+1+(LOG(J4)*4/3))*0.264),((L4+(((TODAY()-E4)^0.5)/(336^0.5))+(LOG(J4)*4/3))*0.264))</f>
        <v>2.3589673472243069</v>
      </c>
      <c r="BK4" s="37">
        <f t="shared" ref="BK4:BK5" ca="1" si="49">IF(TODAY()-E4&gt;335,((M4+1+(LOG(J4)*4/3))*0.381),((M4+(((TODAY()-E4)^0.5)/(336^0.5))+(LOG(J4)*4/3))*0.381))</f>
        <v>1.8804187851987149</v>
      </c>
      <c r="BL4" s="37">
        <f t="shared" ref="BL4:BL5" ca="1" si="50">IF(TODAY()-E4&gt;335,((N4+1+(LOG(J4)*4/3))*0.673)+((O4+1+(LOG(J4)*4/3))*0.201),((N4+(((TODAY()-E4)^0.5)/(336^0.5))+(LOG(J4)*4/3))*0.673)+((O4+(((TODAY()-E4)^0.5)/(336^0.5))+(LOG(J4)*4/3))*0.201))</f>
        <v>6.0127115964925899</v>
      </c>
      <c r="BM4" s="37">
        <f t="shared" ref="BM4:BM5" ca="1" si="51">IF(TODAY()-E4&gt;335,((O4+1+(LOG(J4)*4/3))*0.052),((O4+(((TODAY()-E4)^0.5)/(336^0.5))+(LOG(J4)*4/3))*0.052))</f>
        <v>0.26964508354418154</v>
      </c>
      <c r="BN4" s="37">
        <f t="shared" ref="BN4:BN5" ca="1" si="52">IF(TODAY()-E4&gt;335,((L4+1+(LOG(J4)*4/3))*0.18),((L4+(((TODAY()-E4)^0.5)/(336^0.5))+(LOG(J4)*4/3))*0.18))</f>
        <v>1.6083868276529363</v>
      </c>
      <c r="BO4" s="37">
        <f t="shared" ref="BO4:BO5" ca="1" si="53">IF(TODAY()-E4&gt;335,((L4+1+(LOG(J4)*4/3))*0.068),((L4+(((TODAY()-E4)^0.5)/(336^0.5))+(LOG(J4)*4/3))*0.068))</f>
        <v>0.60761280155777608</v>
      </c>
      <c r="BP4" s="37">
        <f t="shared" ref="BP4:BP5" ca="1" si="54">IF(TODAY()-E4&gt;335,((M4+1+(LOG(J4)*4/3))*0.305),((M4+(((TODAY()-E4)^0.5)/(336^0.5))+(LOG(J4)*4/3))*0.305))</f>
        <v>1.5053221246341417</v>
      </c>
      <c r="BQ4" s="37">
        <f t="shared" ref="BQ4:BQ5" ca="1" si="55">IF(TODAY()-E4&gt;335,((N4+1+(LOG(J4)*4/3))*1)+((O4+1+(LOG(J4)*4/3))*0.286),((N4+(((TODAY()-E4)^0.5)/(336^0.5))+(LOG(J4)*4/3))*1)+((O4+(((TODAY()-E4)^0.5)/(336^0.5))+(LOG(J4)*4/3))*0.286))</f>
        <v>8.8685303353426441</v>
      </c>
      <c r="BR4" s="37">
        <f t="shared" ref="BR4:BR5" ca="1" si="56">IF(TODAY()-E4&gt;335,((O4+1+(LOG(J4)*4/3))*0.135),((O4+(((TODAY()-E4)^0.5)/(336^0.5))+(LOG(J4)*4/3))*0.135))</f>
        <v>0.70004012073970212</v>
      </c>
      <c r="BS4" s="37">
        <f t="shared" ref="BS4:BS5" ca="1" si="57">IF(TODAY()-E4&gt;335,((L4+1+(LOG(J4)*4/3))*0.284),((L4+(((TODAY()-E4)^0.5)/(336^0.5))+(LOG(J4)*4/3))*0.284))</f>
        <v>2.5376769947412994</v>
      </c>
      <c r="BT4" s="37">
        <f t="shared" ref="BT4:BT5" ca="1" si="58">IF(TODAY()-E4&gt;335,((L4+1+(LOG(J4)*4/3))*0.244),((L4+(((TODAY()-E4)^0.5)/(336^0.5))+(LOG(J4)*4/3))*0.244))</f>
        <v>2.180257699707314</v>
      </c>
      <c r="BU4" s="37">
        <f t="shared" ref="BU4:BU5" ca="1" si="59">IF(TODAY()-E4&gt;335,((M4+1+(LOG(J4)*4/3))*0.631),((M4+(((TODAY()-E4)^0.5)/(336^0.5))+(LOG(J4)*4/3))*0.631))</f>
        <v>3.1142893791611259</v>
      </c>
      <c r="BV4" s="37">
        <f t="shared" ref="BV4:BV5" ca="1" si="60">IF(TODAY()-E4&gt;335,((N4+1+(LOG(J4)*4/3))*0.702)+((O4+1+(LOG(J4)*4/3))*0.193),((N4+(((TODAY()-E4)^0.5)/(336^0.5))+(LOG(J4)*4/3))*0.702)+((O4+(((TODAY()-E4)^0.5)/(336^0.5))+(LOG(J4)*4/3))*0.193))</f>
        <v>6.1854067263854322</v>
      </c>
      <c r="BW4" s="37">
        <f t="shared" ref="BW4:BW5" ca="1" si="61">IF(TODAY()-E4&gt;335,((O4+1+(LOG(J4)*4/3))*0.148),((O4+(((TODAY()-E4)^0.5)/(336^0.5))+(LOG(J4)*4/3))*0.148))</f>
        <v>0.76745139162574749</v>
      </c>
      <c r="BX4" s="37">
        <f t="shared" ref="BX4:BX5" ca="1" si="62">IF(TODAY()-E4&gt;335,((M4+1+(LOG(J4)*4/3))*0.406),((M4+(((TODAY()-E4)^0.5)/(336^0.5))+(LOG(J4)*4/3))*0.406))</f>
        <v>2.003805844594956</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3.3676863178176655</v>
      </c>
      <c r="BZ4" s="37">
        <f t="shared" ref="BZ4:BZ5" ca="1" si="64">IF(D4="TEC",IF(TODAY()-E4&gt;335,((O4+1+(LOG(J4)*4/3))*0.543)+((P4+1+(LOG(J4)*4/3))*0.583),((O4+(((TODAY()-E4)^0.5)/(336^0.5))+(LOG(J4)*4/3))*0.543)+((P4+(((TODAY()-E4)^0.5)/(336^0.5))+(LOG(J4)*4/3))*0.583)),IF(TODAY()-E4&gt;335,((O4+1+(LOG(J4)*4/3))*0.543)+((P4+1+(LOG(J4)*4/3))*0.583),((O4+(((TODAY()-E4)^0.5)/(336^0.5))+(LOG(J4)*4/3))*0.543)+((P4+(((TODAY()-E4)^0.5)/(336^0.5))+(LOG(J4)*4/3))*0.583)))</f>
        <v>7.4421031552067003</v>
      </c>
      <c r="CA4" s="37">
        <f t="shared" ref="CA4:CA5" ca="1" si="65">BY4</f>
        <v>3.3676863178176655</v>
      </c>
      <c r="CB4" s="37">
        <f t="shared" ref="CB4:CB5" ca="1" si="66">IF(TODAY()-E4&gt;335,((P4+1+(LOG(J4)*4/3))*0.26)+((N4+1+(LOG(J4)*4/3))*0.221)+((O4+1+(LOG(J4)*4/3))*0.142),((P4+(((TODAY()-E4)^0.5)/(336^0.5))+(LOG(J4)*4/3))*0.26)+((N4+(((TODAY()-E4)^0.5)/(336^0.5))+(LOG(J4)*4/3))*0.221)+((P4+(((TODAY()-E4)^0.5)/(336^0.5))+(LOG(J4)*4/3))*0.142))</f>
        <v>4.8222555201543287</v>
      </c>
      <c r="CC4" s="37">
        <f t="shared" ref="CC4:CC5" ca="1" si="67">IF(TODAY()-E4&gt;335,((P4+1+(LOG(J4)*4/3))*1)+((O4+1+(LOG(J4)*4/3))*0.369),((P4+(((TODAY()-E4)^0.5)/(336^0.5))+(LOG(J4)*4/3))*1)+((O4+(((TODAY()-E4)^0.5)/(336^0.5))+(LOG(J4)*4/3))*0.369))</f>
        <v>9.8489253725381634</v>
      </c>
      <c r="CD4" s="37">
        <f t="shared" ref="CD4:CD5" ca="1" si="68">CB4</f>
        <v>4.8222555201543287</v>
      </c>
      <c r="CE4" s="37">
        <f t="shared" ref="CE4:CE5" ca="1" si="69">IF(TODAY()-E4&gt;335,((M4+1+(LOG(J4)*4/3))*0.25),((M4+(((TODAY()-E4)^0.5)/(336^0.5))+(LOG(J4)*4/3))*0.25))</f>
        <v>1.2338705939624113</v>
      </c>
    </row>
    <row r="5" spans="1:83" x14ac:dyDescent="0.25">
      <c r="A5" t="str">
        <f>PLANTILLA!D11</f>
        <v>Will Duffill</v>
      </c>
      <c r="B5">
        <f>PLANTILLA!E11</f>
        <v>18</v>
      </c>
      <c r="C5" s="33">
        <f ca="1">PLANTILLA!F11</f>
        <v>69</v>
      </c>
      <c r="D5" s="219" t="str">
        <f>PLANTILLA!G11</f>
        <v>RAP</v>
      </c>
      <c r="E5" s="30">
        <f>PLANTILLA!M11</f>
        <v>43122</v>
      </c>
      <c r="F5" s="47">
        <f>PLANTILLA!Q11</f>
        <v>7</v>
      </c>
      <c r="G5" s="48">
        <f t="shared" si="1"/>
        <v>1</v>
      </c>
      <c r="H5" s="48">
        <f t="shared" si="2"/>
        <v>1</v>
      </c>
      <c r="I5" s="51">
        <f t="shared" ca="1" si="3"/>
        <v>0.6315136766607069</v>
      </c>
      <c r="J5" s="39">
        <f>PLANTILLA!I11</f>
        <v>2.2999999999999998</v>
      </c>
      <c r="K5" s="46">
        <f>PLANTILLA!X11</f>
        <v>0</v>
      </c>
      <c r="L5" s="46">
        <f>PLANTILLA!Y11</f>
        <v>6</v>
      </c>
      <c r="M5" s="46">
        <f>PLANTILLA!Z11</f>
        <v>3</v>
      </c>
      <c r="N5" s="46">
        <f>PLANTILLA!AA11</f>
        <v>7</v>
      </c>
      <c r="O5" s="46">
        <f>PLANTILLA!AB11</f>
        <v>7</v>
      </c>
      <c r="P5" s="46">
        <f>PLANTILLA!AC11</f>
        <v>7</v>
      </c>
      <c r="Q5" s="46">
        <f>PLANTILLA!AD11</f>
        <v>3</v>
      </c>
      <c r="R5" s="46">
        <f t="shared" si="4"/>
        <v>2.875</v>
      </c>
      <c r="S5" s="46">
        <f t="shared" si="5"/>
        <v>0.44000000000000006</v>
      </c>
      <c r="T5" s="46">
        <f t="shared" si="6"/>
        <v>0.33</v>
      </c>
      <c r="U5" s="46">
        <f t="shared" ca="1" si="7"/>
        <v>4.1138174580174978</v>
      </c>
      <c r="V5" s="46">
        <f t="shared" ca="1" si="8"/>
        <v>4.1138174580174978</v>
      </c>
      <c r="W5" s="37">
        <f t="shared" ca="1" si="9"/>
        <v>2.6283626408492751</v>
      </c>
      <c r="X5" s="37">
        <f t="shared" ca="1" si="10"/>
        <v>3.9879383383005891</v>
      </c>
      <c r="Y5" s="37">
        <f t="shared" ca="1" si="11"/>
        <v>2.6283626408492751</v>
      </c>
      <c r="Z5" s="37">
        <f t="shared" ca="1" si="12"/>
        <v>3.6417693227565882</v>
      </c>
      <c r="AA5" s="37">
        <f t="shared" ca="1" si="13"/>
        <v>7.1138174580174978</v>
      </c>
      <c r="AB5" s="37">
        <f t="shared" ca="1" si="14"/>
        <v>1.8208846613782941</v>
      </c>
      <c r="AC5" s="37">
        <f t="shared" ca="1" si="15"/>
        <v>1.5188065989947843</v>
      </c>
      <c r="AD5" s="37">
        <f t="shared" ca="1" si="16"/>
        <v>2.6678077596937797</v>
      </c>
      <c r="AE5" s="37">
        <f t="shared" ca="1" si="17"/>
        <v>5.1432900221466511</v>
      </c>
      <c r="AF5" s="37">
        <f t="shared" ca="1" si="18"/>
        <v>1.3339038798468899</v>
      </c>
      <c r="AG5" s="37">
        <f t="shared" ca="1" si="19"/>
        <v>2.4568930277856809</v>
      </c>
      <c r="AH5" s="37">
        <f t="shared" ca="1" si="20"/>
        <v>6.5447120613760985</v>
      </c>
      <c r="AI5" s="37">
        <f t="shared" ca="1" si="21"/>
        <v>3.1148435109558439</v>
      </c>
      <c r="AJ5" s="37">
        <f t="shared" ca="1" si="22"/>
        <v>0.68700751548892214</v>
      </c>
      <c r="AK5" s="37">
        <f t="shared" ca="1" si="23"/>
        <v>4.770924665314288</v>
      </c>
      <c r="AL5" s="37">
        <f t="shared" ca="1" si="24"/>
        <v>5.3638183633451932</v>
      </c>
      <c r="AM5" s="37">
        <f t="shared" ca="1" si="25"/>
        <v>5.3268338303302833</v>
      </c>
      <c r="AN5" s="37">
        <f t="shared" ca="1" si="26"/>
        <v>0.68700751548892214</v>
      </c>
      <c r="AO5" s="37">
        <f t="shared" ca="1" si="27"/>
        <v>1.1487794279090391</v>
      </c>
      <c r="AP5" s="37">
        <f t="shared" ca="1" si="28"/>
        <v>1.9207307136647245</v>
      </c>
      <c r="AQ5" s="37">
        <f t="shared" ca="1" si="29"/>
        <v>4.2256075700623938</v>
      </c>
      <c r="AR5" s="37">
        <f t="shared" ca="1" si="30"/>
        <v>0.96036535683236224</v>
      </c>
      <c r="AS5" s="37">
        <f t="shared" ca="1" si="31"/>
        <v>3.8834436803685177</v>
      </c>
      <c r="AT5" s="37">
        <f t="shared" ca="1" si="32"/>
        <v>1.0547962695422746</v>
      </c>
      <c r="AU5" s="37">
        <f t="shared" ca="1" si="33"/>
        <v>2.3773485151991265</v>
      </c>
      <c r="AV5" s="37">
        <f t="shared" ca="1" si="34"/>
        <v>0.52739813477113728</v>
      </c>
      <c r="AW5" s="37">
        <f t="shared" ca="1" si="35"/>
        <v>1.3445114995653071</v>
      </c>
      <c r="AX5" s="37">
        <f t="shared" ca="1" si="36"/>
        <v>2.8455269832069994</v>
      </c>
      <c r="AY5" s="37">
        <f t="shared" ca="1" si="37"/>
        <v>0.67225574978265357</v>
      </c>
      <c r="AZ5" s="37">
        <f t="shared" ca="1" si="38"/>
        <v>4.1138174580174978</v>
      </c>
      <c r="BA5" s="37">
        <f t="shared" ca="1" si="39"/>
        <v>2.0527958168784268</v>
      </c>
      <c r="BB5" s="37">
        <f t="shared" ca="1" si="40"/>
        <v>4.470713419367641</v>
      </c>
      <c r="BC5" s="37">
        <f t="shared" ca="1" si="41"/>
        <v>1.0263979084392134</v>
      </c>
      <c r="BD5" s="37">
        <f t="shared" ca="1" si="42"/>
        <v>2.0701208802830919</v>
      </c>
      <c r="BE5" s="37">
        <f t="shared" ca="1" si="43"/>
        <v>2.4756084753900889</v>
      </c>
      <c r="BF5" s="37">
        <f t="shared" ca="1" si="44"/>
        <v>3.6242731805134154</v>
      </c>
      <c r="BG5" s="37">
        <f t="shared" ca="1" si="45"/>
        <v>7.2131837201775539</v>
      </c>
      <c r="BH5" s="37">
        <f t="shared" ca="1" si="46"/>
        <v>1.9554300073822166</v>
      </c>
      <c r="BI5" s="37">
        <f t="shared" ca="1" si="47"/>
        <v>3.4502014671384864</v>
      </c>
      <c r="BJ5" s="37">
        <f t="shared" ca="1" si="48"/>
        <v>1.8780478089166195</v>
      </c>
      <c r="BK5" s="37">
        <f t="shared" ca="1" si="49"/>
        <v>1.5673644515046667</v>
      </c>
      <c r="BL5" s="37">
        <f t="shared" ca="1" si="50"/>
        <v>7.0914764583072927</v>
      </c>
      <c r="BM5" s="37">
        <f t="shared" ca="1" si="51"/>
        <v>0.42191850781690982</v>
      </c>
      <c r="BN5" s="37">
        <f t="shared" ca="1" si="52"/>
        <v>1.2804871424431497</v>
      </c>
      <c r="BO5" s="37">
        <f t="shared" ca="1" si="53"/>
        <v>0.48373958714518989</v>
      </c>
      <c r="BP5" s="37">
        <f t="shared" ca="1" si="54"/>
        <v>1.2547143246953367</v>
      </c>
      <c r="BQ5" s="37">
        <f t="shared" ca="1" si="55"/>
        <v>10.434369251010502</v>
      </c>
      <c r="BR5" s="37">
        <f t="shared" ca="1" si="56"/>
        <v>1.0953653568323622</v>
      </c>
      <c r="BS5" s="37">
        <f t="shared" ca="1" si="57"/>
        <v>2.0203241580769693</v>
      </c>
      <c r="BT5" s="37">
        <f t="shared" ca="1" si="58"/>
        <v>1.7357714597562695</v>
      </c>
      <c r="BU5" s="37">
        <f t="shared" ca="1" si="59"/>
        <v>2.5958188160090412</v>
      </c>
      <c r="BV5" s="37">
        <f t="shared" ca="1" si="60"/>
        <v>7.2618666249256592</v>
      </c>
      <c r="BW5" s="37">
        <f t="shared" ca="1" si="61"/>
        <v>1.2008449837865895</v>
      </c>
      <c r="BX5" s="37">
        <f t="shared" ca="1" si="62"/>
        <v>1.6702098879551042</v>
      </c>
      <c r="BY5" s="37">
        <f t="shared" ca="1" si="63"/>
        <v>4.2272988956271158</v>
      </c>
      <c r="BZ5" s="37">
        <f t="shared" ca="1" si="64"/>
        <v>9.1361584577277011</v>
      </c>
      <c r="CA5" s="37">
        <f t="shared" ca="1" si="65"/>
        <v>4.2272988956271158</v>
      </c>
      <c r="CB5" s="37">
        <f t="shared" ca="1" si="66"/>
        <v>5.0549082763449009</v>
      </c>
      <c r="CC5" s="37">
        <f t="shared" ca="1" si="67"/>
        <v>11.107816100025953</v>
      </c>
      <c r="CD5" s="37">
        <f t="shared" ca="1" si="68"/>
        <v>5.0549082763449009</v>
      </c>
      <c r="CE5" s="37">
        <f t="shared" ca="1" si="69"/>
        <v>1.0284543645043744</v>
      </c>
    </row>
    <row r="6" spans="1:83" x14ac:dyDescent="0.25">
      <c r="A6" t="str">
        <f>PLANTILLA!D12</f>
        <v>Valeri Gomis</v>
      </c>
      <c r="B6">
        <f>PLANTILLA!E12</f>
        <v>18</v>
      </c>
      <c r="C6" s="33">
        <f ca="1">PLANTILLA!F12</f>
        <v>108</v>
      </c>
      <c r="D6" s="219" t="str">
        <f>PLANTILLA!G12</f>
        <v>IMP</v>
      </c>
      <c r="E6" s="30">
        <f>PLANTILLA!M12</f>
        <v>43051</v>
      </c>
      <c r="F6" s="47">
        <f>PLANTILLA!Q12</f>
        <v>6</v>
      </c>
      <c r="G6" s="48">
        <f t="shared" si="1"/>
        <v>0.92582009977255142</v>
      </c>
      <c r="H6" s="48">
        <f t="shared" si="2"/>
        <v>0.99928545900129484</v>
      </c>
      <c r="I6" s="51">
        <f t="shared" ca="1" si="3"/>
        <v>0.78110117630115483</v>
      </c>
      <c r="J6" s="39">
        <f>PLANTILLA!I12</f>
        <v>2.2999999999999998</v>
      </c>
      <c r="K6" s="46">
        <f>PLANTILLA!X12</f>
        <v>0</v>
      </c>
      <c r="L6" s="46">
        <f>PLANTILLA!Y12</f>
        <v>6</v>
      </c>
      <c r="M6" s="46">
        <f>PLANTILLA!Z12</f>
        <v>3</v>
      </c>
      <c r="N6" s="46">
        <f>PLANTILLA!AA12</f>
        <v>7</v>
      </c>
      <c r="O6" s="46">
        <f>PLANTILLA!AB12</f>
        <v>6.0000000000000009</v>
      </c>
      <c r="P6" s="46">
        <f>PLANTILLA!AC12</f>
        <v>7.25</v>
      </c>
      <c r="Q6" s="46">
        <f>PLANTILLA!AD12</f>
        <v>3</v>
      </c>
      <c r="R6" s="46">
        <f t="shared" ref="R6:R17" si="70">((2*(O6+1))+(L6+1))/8</f>
        <v>2.625</v>
      </c>
      <c r="S6" s="46">
        <f t="shared" ref="S6:S17" si="71">(0.5*P6+ 0.3*Q6)/10</f>
        <v>0.45250000000000001</v>
      </c>
      <c r="T6" s="46">
        <f t="shared" ref="T6:T17" si="72">(0.4*L6+0.3*Q6)/10</f>
        <v>0.33</v>
      </c>
      <c r="U6" s="46">
        <f t="shared" ref="U6:U17" ca="1" si="73">IF(TODAY()-E6&gt;335,(Q6+1+(LOG(J6)*4/3))*(F6/7)^0.5,(Q6+((TODAY()-E6)^0.5)/(336^0.5)+(LOG(J6)*4/3))*(F6/7)^0.5)</f>
        <v>3.9471460032696695</v>
      </c>
      <c r="V6" s="46">
        <f t="shared" ref="V6:V17" ca="1" si="74">IF(F6=7,U6,IF(TODAY()-E6&gt;335,(Q6+1+(LOG(J6)*4/3))*((F6+0.99)/7)^0.5,(Q6+((TODAY()-E6)^0.5)/(336^0.5)+(LOG(J6)*4/3))*((F6+0.99)/7)^0.5))</f>
        <v>4.2603585800216157</v>
      </c>
      <c r="W6" s="37">
        <f t="shared" ref="W6:W17" ca="1" si="75">IF(TODAY()-E6&gt;335,((K6+1+(LOG(J6)*4/3))*0.597)+((L6+1+(LOG(J6)*4/3))*0.276),((K6+(((TODAY()-E6)^0.5)/(336^0.5))+(LOG(J6)*4/3))*0.597)+((L6+(((TODAY()-E6)^0.5)/(336^0.5))+(LOG(J6)*4/3))*0.276))</f>
        <v>2.7589525280353868</v>
      </c>
      <c r="X6" s="37">
        <f t="shared" ref="X6:X17" ca="1" si="76">IF(TODAY()-E6&gt;335,((K6+1+(LOG(J6)*4/3))*0.866)+((L6+1+(LOG(J6)*4/3))*0.425),((K6+(((TODAY()-E6)^0.5)/(336^0.5))+(LOG(J6)*4/3))*0.866)+((L6+(((TODAY()-E6)^0.5)/(336^0.5))+(LOG(J6)*4/3))*0.425))</f>
        <v>4.1810558003364076</v>
      </c>
      <c r="Y6" s="37">
        <f t="shared" ref="Y6:Y17" ca="1" si="77">W6</f>
        <v>2.7589525280353868</v>
      </c>
      <c r="Z6" s="37">
        <f t="shared" ref="Z6:Z17" ca="1" si="78">IF(TODAY()-E6&gt;335,((L6+1+(LOG(J6)*4/3))*0.516),((L6+(((TODAY()-E6)^0.5)/(336^0.516))+(LOG(J6)*4/3))*0.516))</f>
        <v>3.712096563140026</v>
      </c>
      <c r="AA6" s="37">
        <f t="shared" ref="AA6:AA17" ca="1" si="79">IF(TODAY()-E6&gt;335,((L6+1+(LOG(J6)*4/3))*1),((L6+(((TODAY()-E6)^0.5)/(336^0.5))+(LOG(J6)*4/3))*1))</f>
        <v>7.2634049576579454</v>
      </c>
      <c r="AB6" s="37">
        <f t="shared" ref="AB6:AB17" ca="1" si="80">Z6/2</f>
        <v>1.856048281570013</v>
      </c>
      <c r="AC6" s="37">
        <f t="shared" ref="AC6:AC17" ca="1" si="81">IF(TODAY()-E6&gt;335,((M6+1+(LOG(J6)*4/3))*0.238),((M6+(((TODAY()-E6)^0.5)/(336^0.238))+(LOG(J6)*4/3))*0.238))</f>
        <v>1.6822521677497235</v>
      </c>
      <c r="AD6" s="37">
        <f t="shared" ref="AD6:AD17" ca="1" si="82">IF(TODAY()-E6&gt;335,((L6+1+(LOG(J6)*4/3))*0.378),((L6+(((TODAY()-E6)^0.5)/(336^0.516))+(LOG(J6)*4/3))*0.378))</f>
        <v>2.7193265520676935</v>
      </c>
      <c r="AE6" s="37">
        <f t="shared" ref="AE6:AE17" ca="1" si="83">IF(TODAY()-E6&gt;335,((L6+1+(LOG(J6)*4/3))*0.723),((L6+(((TODAY()-E6)^0.5)/(336^0.5))+(LOG(J6)*4/3))*0.723))</f>
        <v>5.2514417843866941</v>
      </c>
      <c r="AF6" s="37">
        <f t="shared" ref="AF6:AF17" ca="1" si="84">AD6/2</f>
        <v>1.3596632760338467</v>
      </c>
      <c r="AG6" s="37">
        <f t="shared" ref="AG6:AG17" ca="1" si="85">IF(TODAY()-E6&gt;335,((M6+1+(LOG(J6)*4/3))*0.385),((M6+(((TODAY()-E6)^0.5)/(336^0.238))+(LOG(J6)*4/3))*0.385))</f>
        <v>2.7212902713598472</v>
      </c>
      <c r="AH6" s="37">
        <f t="shared" ref="AH6:AH17" ca="1" si="86">IF(TODAY()-E6&gt;335,((L6+1+(LOG(J6)*4/3))*0.92),((L6+(((TODAY()-E6)^0.5)/(336^0.5))+(LOG(J6)*4/3))*0.92))</f>
        <v>6.6823325610453104</v>
      </c>
      <c r="AI6" s="37">
        <f t="shared" ref="AI6:AI17" ca="1" si="87">IF(TODAY()-E6&gt;335,((L6+1+(LOG(J6)*4/3))*0.414),((L6+(((TODAY()-E6)^0.5)/(336^0.414))+(LOG(J6)*4/3))*0.414))</f>
        <v>3.2169752723566925</v>
      </c>
      <c r="AJ6" s="37">
        <f t="shared" ref="AJ6:AJ17" ca="1" si="88">IF(TODAY()-E6&gt;335,((M6+1+(LOG(J6)*4/3))*0.167),((M6+(((TODAY()-E6)^0.5)/(336^0.5))+(LOG(J6)*4/3))*0.167))</f>
        <v>0.71198862792887696</v>
      </c>
      <c r="AK6" s="37">
        <f t="shared" ref="AK6:AK17" ca="1" si="89">IF(TODAY()-E6&gt;335,((N6+1+(LOG(J6)*4/3))*0.588),((N6+(((TODAY()-E6)^0.5)/(336^0.5))+(LOG(J6)*4/3))*0.588))</f>
        <v>4.8588821151028716</v>
      </c>
      <c r="AL6" s="37">
        <f t="shared" ref="AL6:AL17" ca="1" si="90">IF(TODAY()-E6&gt;335,((L6+1+(LOG(J6)*4/3))*0.754),((L6+(((TODAY()-E6)^0.5)/(336^0.5))+(LOG(J6)*4/3))*0.754))</f>
        <v>5.4766073380740909</v>
      </c>
      <c r="AM6" s="37">
        <f t="shared" ref="AM6:AM17" ca="1" si="91">IF(TODAY()-E6&gt;335,((L6+1+(LOG(J6)*4/3))*0.708),((L6+(((TODAY()-E6)^0.5)/(336^0.414))+(LOG(J6)*4/3))*0.708))</f>
        <v>5.5014939440302859</v>
      </c>
      <c r="AN6" s="37">
        <f t="shared" ref="AN6:AN17" ca="1" si="92">IF(TODAY()-E6&gt;335,((Q6+1+(LOG(J6)*4/3))*0.167),((Q6+(((TODAY()-E6)^0.5)/(336^0.5))+(LOG(J6)*4/3))*0.167))</f>
        <v>0.71198862792887696</v>
      </c>
      <c r="AO6" s="37">
        <f t="shared" ref="AO6:AO17" ca="1" si="93">IF(TODAY()-E6&gt;335,((R6+1+(LOG(J6)*4/3))*0.288),((R6+(((TODAY()-E6)^0.5)/(336^0.5))+(LOG(J6)*4/3))*0.288))</f>
        <v>1.1198606278054881</v>
      </c>
      <c r="AP6" s="37">
        <f t="shared" ref="AP6:AP17" ca="1" si="94">IF(TODAY()-E6&gt;335,((L6+1+(LOG(J6)*4/3))*0.27),((L6+(((TODAY()-E6)^0.5)/(336^0.5))+(LOG(J6)*4/3))*0.27))</f>
        <v>1.9611193385676453</v>
      </c>
      <c r="AQ6" s="37">
        <f t="shared" ref="AQ6:AQ17" ca="1" si="95">IF(TODAY()-E6&gt;335,((L6+1+(LOG(J6)*4/3))*0.594),((L6+(((TODAY()-E6)^0.5)/(336^0.5))+(LOG(J6)*4/3))*0.594))</f>
        <v>4.3144625448488192</v>
      </c>
      <c r="AR6" s="37">
        <f t="shared" ref="AR6:AR17" ca="1" si="96">AP6/2</f>
        <v>0.98055966928382265</v>
      </c>
      <c r="AS6" s="37">
        <f t="shared" ref="AS6:AS17" ca="1" si="97">IF(TODAY()-E6&gt;335,((M6+1+(LOG(J6)*4/3))*0.944),((M6+(((TODAY()-E6)^0.5)/(336^0.5))+(LOG(J6)*4/3))*0.944))</f>
        <v>4.0246542800291003</v>
      </c>
      <c r="AT6" s="37">
        <f t="shared" ref="AT6:AT17" ca="1" si="98">IF(TODAY()-E6&gt;335,((O6+1+(LOG(J6)*4/3))*0.13),((O6+(((TODAY()-E6)^0.5)/(336^0.5))+(LOG(J6)*4/3))*0.13))</f>
        <v>0.94424264449553308</v>
      </c>
      <c r="AU6" s="37">
        <f t="shared" ref="AU6:AU17" ca="1" si="99">IF(TODAY()-E6&gt;335,((P6+1+(LOG(J6)*4/3))*0.173)+((O6+1+(LOG(J6)*4/3))*0.12),((P6+(((TODAY()-E6)^0.5)/(336^0.5))+(LOG(J6)*4/3))*0.173)+((O6+(((TODAY()-E6)^0.5)/(336^0.5))+(LOG(J6)*4/3))*0.12))</f>
        <v>2.3444276525937777</v>
      </c>
      <c r="AV6" s="37">
        <f t="shared" ref="AV6:AV17" ca="1" si="100">AT6/2</f>
        <v>0.47212132224776654</v>
      </c>
      <c r="AW6" s="37">
        <f t="shared" ref="AW6:AW17" ca="1" si="101">IF(TODAY()-E6&gt;335,((L6+1+(LOG(J6)*4/3))*0.189),((L6+(((TODAY()-E6)^0.5)/(336^0.5))+(LOG(J6)*4/3))*0.189))</f>
        <v>1.3727835369973518</v>
      </c>
      <c r="AX6" s="37">
        <f t="shared" ref="AX6:AX17" ca="1" si="102">IF(TODAY()-E6&gt;335,((L6+1+(LOG(J6)*4/3))*0.4),((L6+(((TODAY()-E6)^0.5)/(336^0.5))+(LOG(J6)*4/3))*0.4))</f>
        <v>2.9053619830631785</v>
      </c>
      <c r="AY6" s="37">
        <f t="shared" ref="AY6:AY17" ca="1" si="103">AW6/2</f>
        <v>0.68639176849867589</v>
      </c>
      <c r="AZ6" s="37">
        <f t="shared" ref="AZ6:AZ17" ca="1" si="104">IF(TODAY()-E6&gt;335,((M6+1+(LOG(J6)*4/3))*1),((M6+(((TODAY()-E6)^0.5)/(336^0.5))+(LOG(J6)*4/3))*1))</f>
        <v>4.2634049576579454</v>
      </c>
      <c r="BA6" s="37">
        <f t="shared" ref="BA6:BA17" ca="1" si="105">IF(TODAY()-E6&gt;335,((O6+1+(LOG(J6)*4/3))*0.253),((O6+(((TODAY()-E6)^0.5)/(336^0.5))+(LOG(J6)*4/3))*0.253))</f>
        <v>1.8376414542874604</v>
      </c>
      <c r="BB6" s="37">
        <f t="shared" ref="BB6:BB17" ca="1" si="106">IF(TODAY()-E6&gt;335,((P6+1+(LOG(J6)*4/3))*0.21)+((O6+1+(LOG(J6)*4/3))*0.341),((P6+(((TODAY()-E6)^0.5)/(336^0.5))+(LOG(J6)*4/3))*0.21)+((O6+(((TODAY()-E6)^0.5)/(336^0.5))+(LOG(J6)*4/3))*0.341))</f>
        <v>4.264636131669528</v>
      </c>
      <c r="BC6" s="37">
        <f t="shared" ref="BC6:BC17" ca="1" si="107">BA6/2</f>
        <v>0.9188207271437302</v>
      </c>
      <c r="BD6" s="37">
        <f t="shared" ref="BD6:BD17" ca="1" si="108">IF(TODAY()-E6&gt;335,((L6+1+(LOG(J6)*4/3))*0.291),((L6+(((TODAY()-E6)^0.5)/(336^0.5))+(LOG(J6)*4/3))*0.291))</f>
        <v>2.1136508426784619</v>
      </c>
      <c r="BE6" s="37">
        <f t="shared" ref="BE6:BE17" ca="1" si="109">IF(TODAY()-E6&gt;335,((L6+1+(LOG(J6)*4/3))*0.348),((L6+(((TODAY()-E6)^0.5)/(336^0.5))+(LOG(J6)*4/3))*0.348))</f>
        <v>2.5276649252649648</v>
      </c>
      <c r="BF6" s="37">
        <f t="shared" ref="BF6:BF17" ca="1" si="110">IF(TODAY()-E6&gt;335,((M6+1+(LOG(J6)*4/3))*0.881),((M6+(((TODAY()-E6)^0.5)/(336^0.5))+(LOG(J6)*4/3))*0.881))</f>
        <v>3.7560597676966498</v>
      </c>
      <c r="BG6" s="37">
        <f t="shared" ref="BG6:BG17" ca="1" si="111">IF(TODAY()-E6&gt;335,((N6+1+(LOG(J6)*4/3))*0.574)+((O6+1+(LOG(J6)*4/3))*0.315),((N6+(((TODAY()-E6)^0.5)/(336^0.5))+(LOG(J6)*4/3))*0.574)+((O6+(((TODAY()-E6)^0.5)/(336^0.5))+(LOG(J6)*4/3))*0.315))</f>
        <v>7.0311670073579133</v>
      </c>
      <c r="BH6" s="37">
        <f t="shared" ref="BH6:BH17" ca="1" si="112">IF(TODAY()-E6&gt;335,((O6+1+(LOG(J6)*4/3))*0.241),((O6+(((TODAY()-E6)^0.5)/(336^0.5))+(LOG(J6)*4/3))*0.241))</f>
        <v>1.7504805947955651</v>
      </c>
      <c r="BI6" s="37">
        <f t="shared" ref="BI6:BI17" ca="1" si="113">IF(TODAY()-E6&gt;335,((L6+1+(LOG(J6)*4/3))*0.485),((L6+(((TODAY()-E6)^0.5)/(336^0.5))+(LOG(J6)*4/3))*0.485))</f>
        <v>3.5227514044641035</v>
      </c>
      <c r="BJ6" s="37">
        <f t="shared" ref="BJ6:BJ17" ca="1" si="114">IF(TODAY()-E6&gt;335,((L6+1+(LOG(J6)*4/3))*0.264),((L6+(((TODAY()-E6)^0.5)/(336^0.5))+(LOG(J6)*4/3))*0.264))</f>
        <v>1.9175389088216976</v>
      </c>
      <c r="BK6" s="37">
        <f t="shared" ref="BK6:BK17" ca="1" si="115">IF(TODAY()-E6&gt;335,((M6+1+(LOG(J6)*4/3))*0.381),((M6+(((TODAY()-E6)^0.5)/(336^0.5))+(LOG(J6)*4/3))*0.381))</f>
        <v>1.6243572888676772</v>
      </c>
      <c r="BL6" s="37">
        <f t="shared" ref="BL6:BL17" ca="1" si="116">IF(TODAY()-E6&gt;335,((N6+1+(LOG(J6)*4/3))*0.673)+((O6+1+(LOG(J6)*4/3))*0.201),((N6+(((TODAY()-E6)^0.5)/(336^0.5))+(LOG(J6)*4/3))*0.673)+((O6+(((TODAY()-E6)^0.5)/(336^0.5))+(LOG(J6)*4/3))*0.201))</f>
        <v>7.0212159329930444</v>
      </c>
      <c r="BM6" s="37">
        <f t="shared" ref="BM6:BM17" ca="1" si="117">IF(TODAY()-E6&gt;335,((O6+1+(LOG(J6)*4/3))*0.052),((O6+(((TODAY()-E6)^0.5)/(336^0.5))+(LOG(J6)*4/3))*0.052))</f>
        <v>0.37769705779821316</v>
      </c>
      <c r="BN6" s="37">
        <f t="shared" ref="BN6:BN17" ca="1" si="118">IF(TODAY()-E6&gt;335,((L6+1+(LOG(J6)*4/3))*0.18),((L6+(((TODAY()-E6)^0.5)/(336^0.5))+(LOG(J6)*4/3))*0.18))</f>
        <v>1.3074128923784301</v>
      </c>
      <c r="BO6" s="37">
        <f t="shared" ref="BO6:BO17" ca="1" si="119">IF(TODAY()-E6&gt;335,((L6+1+(LOG(J6)*4/3))*0.068),((L6+(((TODAY()-E6)^0.5)/(336^0.5))+(LOG(J6)*4/3))*0.068))</f>
        <v>0.49391153712074032</v>
      </c>
      <c r="BP6" s="37">
        <f t="shared" ref="BP6:BP17" ca="1" si="120">IF(TODAY()-E6&gt;335,((M6+1+(LOG(J6)*4/3))*0.305),((M6+(((TODAY()-E6)^0.5)/(336^0.5))+(LOG(J6)*4/3))*0.305))</f>
        <v>1.3003385120856734</v>
      </c>
      <c r="BQ6" s="37">
        <f t="shared" ref="BQ6:BQ17" ca="1" si="121">IF(TODAY()-E6&gt;335,((N6+1+(LOG(J6)*4/3))*1)+((O6+1+(LOG(J6)*4/3))*0.286),((N6+(((TODAY()-E6)^0.5)/(336^0.5))+(LOG(J6)*4/3))*1)+((O6+(((TODAY()-E6)^0.5)/(336^0.5))+(LOG(J6)*4/3))*0.286))</f>
        <v>10.340738775548118</v>
      </c>
      <c r="BR6" s="37">
        <f t="shared" ref="BR6:BR17" ca="1" si="122">IF(TODAY()-E6&gt;335,((O6+1+(LOG(J6)*4/3))*0.135),((O6+(((TODAY()-E6)^0.5)/(336^0.5))+(LOG(J6)*4/3))*0.135))</f>
        <v>0.98055966928382277</v>
      </c>
      <c r="BS6" s="37">
        <f t="shared" ref="BS6:BS17" ca="1" si="123">IF(TODAY()-E6&gt;335,((L6+1+(LOG(J6)*4/3))*0.284),((L6+(((TODAY()-E6)^0.5)/(336^0.5))+(LOG(J6)*4/3))*0.284))</f>
        <v>2.0628070079748562</v>
      </c>
      <c r="BT6" s="37">
        <f t="shared" ref="BT6:BT17" ca="1" si="124">IF(TODAY()-E6&gt;335,((L6+1+(LOG(J6)*4/3))*0.244),((L6+(((TODAY()-E6)^0.5)/(336^0.5))+(LOG(J6)*4/3))*0.244))</f>
        <v>1.7722708096685387</v>
      </c>
      <c r="BU6" s="37">
        <f t="shared" ref="BU6:BU17" ca="1" si="125">IF(TODAY()-E6&gt;335,((M6+1+(LOG(J6)*4/3))*0.631),((M6+(((TODAY()-E6)^0.5)/(336^0.5))+(LOG(J6)*4/3))*0.631))</f>
        <v>2.6902085282821635</v>
      </c>
      <c r="BV6" s="37">
        <f t="shared" ref="BV6:BV17" ca="1" si="126">IF(TODAY()-E6&gt;335,((N6+1+(LOG(J6)*4/3))*0.702)+((O6+1+(LOG(J6)*4/3))*0.193),((N6+(((TODAY()-E6)^0.5)/(336^0.5))+(LOG(J6)*4/3))*0.702)+((O6+(((TODAY()-E6)^0.5)/(336^0.5))+(LOG(J6)*4/3))*0.193))</f>
        <v>7.2027474371038611</v>
      </c>
      <c r="BW6" s="37">
        <f t="shared" ref="BW6:BW17" ca="1" si="127">IF(TODAY()-E6&gt;335,((O6+1+(LOG(J6)*4/3))*0.148),((O6+(((TODAY()-E6)^0.5)/(336^0.5))+(LOG(J6)*4/3))*0.148))</f>
        <v>1.074983933733376</v>
      </c>
      <c r="BX6" s="37">
        <f t="shared" ref="BX6:BX17" ca="1" si="128">IF(TODAY()-E6&gt;335,((M6+1+(LOG(J6)*4/3))*0.406),((M6+(((TODAY()-E6)^0.5)/(336^0.5))+(LOG(J6)*4/3))*0.406))</f>
        <v>1.730942412809126</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4.08698398293979</v>
      </c>
      <c r="BZ6" s="37">
        <f t="shared" ref="BZ6:BZ17" ca="1" si="130">IF(D6="TEC",IF(TODAY()-E6&gt;335,((O6+1+(LOG(J6)*4/3))*0.543)+((P6+1+(LOG(J6)*4/3))*0.583),((O6+(((TODAY()-E6)^0.5)/(336^0.5))+(LOG(J6)*4/3))*0.543)+((P6+(((TODAY()-E6)^0.5)/(336^0.5))+(LOG(J6)*4/3))*0.583)),IF(TODAY()-E6&gt;335,((O6+1+(LOG(J6)*4/3))*0.543)+((P6+1+(LOG(J6)*4/3))*0.583),((O6+(((TODAY()-E6)^0.5)/(336^0.5))+(LOG(J6)*4/3))*0.543)+((P6+(((TODAY()-E6)^0.5)/(336^0.5))+(LOG(J6)*4/3))*0.583)))</f>
        <v>8.9073439823228462</v>
      </c>
      <c r="CA6" s="37">
        <f t="shared" ref="CA6:CA17" ca="1" si="131">BY6</f>
        <v>4.08698398293979</v>
      </c>
      <c r="CB6" s="37">
        <f t="shared" ref="CB6:CB17" ca="1" si="132">IF(TODAY()-E6&gt;335,((P6+1+(LOG(J6)*4/3))*0.26)+((N6+1+(LOG(J6)*4/3))*0.221)+((O6+1+(LOG(J6)*4/3))*0.142),((P6+(((TODAY()-E6)^0.5)/(336^0.5))+(LOG(J6)*4/3))*0.26)+((N6+(((TODAY()-E6)^0.5)/(336^0.5))+(LOG(J6)*4/3))*0.221)+((P6+(((TODAY()-E6)^0.5)/(336^0.5))+(LOG(J6)*4/3))*0.142))</f>
        <v>5.2486012886208995</v>
      </c>
      <c r="CC6" s="37">
        <f t="shared" ref="CC6:CC17" ca="1" si="133">IF(TODAY()-E6&gt;335,((P6+1+(LOG(J6)*4/3))*1)+((O6+1+(LOG(J6)*4/3))*0.369),((P6+(((TODAY()-E6)^0.5)/(336^0.5))+(LOG(J6)*4/3))*1)+((O6+(((TODAY()-E6)^0.5)/(336^0.5))+(LOG(J6)*4/3))*0.369))</f>
        <v>11.193601387033727</v>
      </c>
      <c r="CD6" s="37">
        <f t="shared" ref="CD6:CD17" ca="1" si="134">CB6</f>
        <v>5.2486012886208995</v>
      </c>
      <c r="CE6" s="37">
        <f t="shared" ref="CE6:CE17" ca="1" si="135">IF(TODAY()-E6&gt;335,((M6+1+(LOG(J6)*4/3))*0.25),((M6+(((TODAY()-E6)^0.5)/(336^0.5))+(LOG(J6)*4/3))*0.25))</f>
        <v>1.0658512394144863</v>
      </c>
    </row>
    <row r="7" spans="1:83" x14ac:dyDescent="0.25">
      <c r="A7" t="str">
        <f>PLANTILLA!D20</f>
        <v>Enrique Cubas</v>
      </c>
      <c r="B7">
        <f>PLANTILLA!E20</f>
        <v>18</v>
      </c>
      <c r="C7" s="33">
        <f ca="1">PLANTILLA!F20</f>
        <v>104</v>
      </c>
      <c r="D7" s="219" t="str">
        <f>PLANTILLA!G20</f>
        <v>RAP</v>
      </c>
      <c r="E7" s="30">
        <f>PLANTILLA!M20</f>
        <v>43046</v>
      </c>
      <c r="F7" s="47">
        <f>PLANTILLA!Q20</f>
        <v>7</v>
      </c>
      <c r="G7" s="48">
        <f t="shared" si="1"/>
        <v>1</v>
      </c>
      <c r="H7" s="48">
        <f t="shared" si="2"/>
        <v>1</v>
      </c>
      <c r="I7" s="51">
        <f t="shared" ca="1" si="3"/>
        <v>0.79056941504209488</v>
      </c>
      <c r="J7" s="39">
        <f>PLANTILLA!I20</f>
        <v>2.2999999999999998</v>
      </c>
      <c r="K7" s="46">
        <f>PLANTILLA!X20</f>
        <v>0</v>
      </c>
      <c r="L7" s="46">
        <f>PLANTILLA!Y20</f>
        <v>2</v>
      </c>
      <c r="M7" s="46">
        <f>PLANTILLA!Z20</f>
        <v>5.7</v>
      </c>
      <c r="N7" s="46">
        <f>PLANTILLA!AA20</f>
        <v>8.6</v>
      </c>
      <c r="O7" s="46">
        <f>PLANTILLA!AB20</f>
        <v>6</v>
      </c>
      <c r="P7" s="46">
        <f>PLANTILLA!AC20</f>
        <v>7.5</v>
      </c>
      <c r="Q7" s="46">
        <f>PLANTILLA!AD20</f>
        <v>5</v>
      </c>
      <c r="R7" s="46">
        <f t="shared" si="70"/>
        <v>2.125</v>
      </c>
      <c r="S7" s="46">
        <f t="shared" si="71"/>
        <v>0.52500000000000002</v>
      </c>
      <c r="T7" s="46">
        <f t="shared" si="72"/>
        <v>0.22999999999999998</v>
      </c>
      <c r="U7" s="46">
        <f t="shared" ca="1" si="73"/>
        <v>6.2728731963988853</v>
      </c>
      <c r="V7" s="46">
        <f t="shared" ca="1" si="74"/>
        <v>6.2728731963988853</v>
      </c>
      <c r="W7" s="37">
        <f t="shared" ca="1" si="75"/>
        <v>1.6632183004562271</v>
      </c>
      <c r="X7" s="37">
        <f t="shared" ca="1" si="76"/>
        <v>2.4932792965509609</v>
      </c>
      <c r="Y7" s="37">
        <f t="shared" ca="1" si="77"/>
        <v>1.6632183004562271</v>
      </c>
      <c r="Z7" s="37">
        <f t="shared" ca="1" si="78"/>
        <v>1.6525479718709848</v>
      </c>
      <c r="AA7" s="37">
        <f t="shared" ca="1" si="79"/>
        <v>3.2728731963988853</v>
      </c>
      <c r="AB7" s="37">
        <f t="shared" ca="1" si="80"/>
        <v>0.82627398593549239</v>
      </c>
      <c r="AC7" s="37">
        <f t="shared" ca="1" si="81"/>
        <v>2.3351975620496495</v>
      </c>
      <c r="AD7" s="37">
        <f t="shared" ca="1" si="82"/>
        <v>1.2105874677659541</v>
      </c>
      <c r="AE7" s="37">
        <f t="shared" ca="1" si="83"/>
        <v>2.3662873209963942</v>
      </c>
      <c r="AF7" s="37">
        <f t="shared" ca="1" si="84"/>
        <v>0.60529373388297703</v>
      </c>
      <c r="AG7" s="37">
        <f t="shared" ca="1" si="85"/>
        <v>3.777525468021492</v>
      </c>
      <c r="AH7" s="37">
        <f t="shared" ca="1" si="86"/>
        <v>3.0110433406869745</v>
      </c>
      <c r="AI7" s="37">
        <f t="shared" ca="1" si="87"/>
        <v>1.567439769071326</v>
      </c>
      <c r="AJ7" s="37">
        <f t="shared" ca="1" si="88"/>
        <v>1.164469823798614</v>
      </c>
      <c r="AK7" s="37">
        <f t="shared" ca="1" si="89"/>
        <v>5.8052494394825445</v>
      </c>
      <c r="AL7" s="37">
        <f t="shared" ca="1" si="90"/>
        <v>2.4677463900847596</v>
      </c>
      <c r="AM7" s="37">
        <f t="shared" ca="1" si="91"/>
        <v>2.6805491702958908</v>
      </c>
      <c r="AN7" s="37">
        <f t="shared" ca="1" si="92"/>
        <v>1.047569823798614</v>
      </c>
      <c r="AO7" s="37">
        <f t="shared" ca="1" si="93"/>
        <v>0.97858748056287892</v>
      </c>
      <c r="AP7" s="37">
        <f t="shared" ca="1" si="94"/>
        <v>0.88367576302769912</v>
      </c>
      <c r="AQ7" s="37">
        <f t="shared" ca="1" si="95"/>
        <v>1.9440866786609379</v>
      </c>
      <c r="AR7" s="37">
        <f t="shared" ca="1" si="96"/>
        <v>0.44183788151384956</v>
      </c>
      <c r="AS7" s="37">
        <f t="shared" ca="1" si="97"/>
        <v>6.5823922974005473</v>
      </c>
      <c r="AT7" s="37">
        <f t="shared" ca="1" si="98"/>
        <v>0.9454735155318551</v>
      </c>
      <c r="AU7" s="37">
        <f t="shared" ca="1" si="99"/>
        <v>2.3904518465448734</v>
      </c>
      <c r="AV7" s="37">
        <f t="shared" ca="1" si="100"/>
        <v>0.47273675776592755</v>
      </c>
      <c r="AW7" s="37">
        <f t="shared" ca="1" si="101"/>
        <v>0.61857303411938935</v>
      </c>
      <c r="AX7" s="37">
        <f t="shared" ca="1" si="102"/>
        <v>1.3091492785595542</v>
      </c>
      <c r="AY7" s="37">
        <f t="shared" ca="1" si="103"/>
        <v>0.30928651705969468</v>
      </c>
      <c r="AZ7" s="37">
        <f t="shared" ca="1" si="104"/>
        <v>6.9728731963988855</v>
      </c>
      <c r="BA7" s="37">
        <f t="shared" ca="1" si="105"/>
        <v>1.8400369186889181</v>
      </c>
      <c r="BB7" s="37">
        <f t="shared" ca="1" si="106"/>
        <v>4.3223531312157863</v>
      </c>
      <c r="BC7" s="37">
        <f t="shared" ca="1" si="107"/>
        <v>0.92001845934445903</v>
      </c>
      <c r="BD7" s="37">
        <f t="shared" ca="1" si="108"/>
        <v>0.95240610015207561</v>
      </c>
      <c r="BE7" s="37">
        <f t="shared" ca="1" si="109"/>
        <v>1.138959872346812</v>
      </c>
      <c r="BF7" s="37">
        <f t="shared" ca="1" si="110"/>
        <v>6.1431012860274183</v>
      </c>
      <c r="BG7" s="37">
        <f t="shared" ca="1" si="111"/>
        <v>7.9579842715986082</v>
      </c>
      <c r="BH7" s="37">
        <f t="shared" ca="1" si="112"/>
        <v>1.7527624403321314</v>
      </c>
      <c r="BI7" s="37">
        <f t="shared" ca="1" si="113"/>
        <v>1.5873435002534593</v>
      </c>
      <c r="BJ7" s="37">
        <f t="shared" ca="1" si="114"/>
        <v>0.8640385238493058</v>
      </c>
      <c r="BK7" s="37">
        <f t="shared" ca="1" si="115"/>
        <v>2.6566646878279756</v>
      </c>
      <c r="BL7" s="37">
        <f t="shared" ca="1" si="116"/>
        <v>8.1062911736526271</v>
      </c>
      <c r="BM7" s="37">
        <f t="shared" ca="1" si="117"/>
        <v>0.378189406212742</v>
      </c>
      <c r="BN7" s="37">
        <f t="shared" ca="1" si="118"/>
        <v>0.5891171753517993</v>
      </c>
      <c r="BO7" s="37">
        <f t="shared" ca="1" si="119"/>
        <v>0.22255537735512421</v>
      </c>
      <c r="BP7" s="37">
        <f t="shared" ca="1" si="120"/>
        <v>2.1267263249016599</v>
      </c>
      <c r="BQ7" s="37">
        <f t="shared" ca="1" si="121"/>
        <v>11.952914930568966</v>
      </c>
      <c r="BR7" s="37">
        <f t="shared" ca="1" si="122"/>
        <v>0.98183788151384954</v>
      </c>
      <c r="BS7" s="37">
        <f t="shared" ca="1" si="123"/>
        <v>0.92949598777728337</v>
      </c>
      <c r="BT7" s="37">
        <f t="shared" ca="1" si="124"/>
        <v>0.798581059921328</v>
      </c>
      <c r="BU7" s="37">
        <f t="shared" ca="1" si="125"/>
        <v>4.3998829869276967</v>
      </c>
      <c r="BV7" s="37">
        <f t="shared" ca="1" si="126"/>
        <v>8.3344215107770019</v>
      </c>
      <c r="BW7" s="37">
        <f t="shared" ca="1" si="127"/>
        <v>1.0763852330670349</v>
      </c>
      <c r="BX7" s="37">
        <f t="shared" ca="1" si="128"/>
        <v>2.8309865177379478</v>
      </c>
      <c r="BY7" s="37">
        <f t="shared" ca="1" si="129"/>
        <v>4.3540669353238197</v>
      </c>
      <c r="BZ7" s="37">
        <f t="shared" ca="1" si="130"/>
        <v>9.0637552191451451</v>
      </c>
      <c r="CA7" s="37">
        <f t="shared" ca="1" si="131"/>
        <v>4.3540669353238197</v>
      </c>
      <c r="CB7" s="37">
        <f t="shared" ca="1" si="132"/>
        <v>5.7086000013565048</v>
      </c>
      <c r="CC7" s="37">
        <f t="shared" ca="1" si="133"/>
        <v>11.456563405870074</v>
      </c>
      <c r="CD7" s="37">
        <f t="shared" ca="1" si="134"/>
        <v>5.7086000013565048</v>
      </c>
      <c r="CE7" s="37">
        <f t="shared" ca="1" si="135"/>
        <v>1.7432182990997214</v>
      </c>
    </row>
    <row r="8" spans="1:83" x14ac:dyDescent="0.25">
      <c r="A8" t="str">
        <f>PLANTILLA!D21</f>
        <v>J. G. Peñuela</v>
      </c>
      <c r="B8">
        <f>PLANTILLA!E21</f>
        <v>18</v>
      </c>
      <c r="C8" s="33">
        <f ca="1">PLANTILLA!F21</f>
        <v>104</v>
      </c>
      <c r="D8" s="219" t="str">
        <f>PLANTILLA!G21</f>
        <v>IMP</v>
      </c>
      <c r="E8" s="30">
        <f>PLANTILLA!M21</f>
        <v>43054</v>
      </c>
      <c r="F8" s="47">
        <f>PLANTILLA!Q21</f>
        <v>5</v>
      </c>
      <c r="G8" s="48">
        <f t="shared" si="1"/>
        <v>0.84515425472851657</v>
      </c>
      <c r="H8" s="48">
        <f t="shared" si="2"/>
        <v>0.92504826128926143</v>
      </c>
      <c r="I8" s="51">
        <f t="shared" ca="1" si="3"/>
        <v>0.77536473752065627</v>
      </c>
      <c r="J8" s="39">
        <f>PLANTILLA!I21</f>
        <v>1.9</v>
      </c>
      <c r="K8" s="46">
        <f>PLANTILLA!X21</f>
        <v>0</v>
      </c>
      <c r="L8" s="46">
        <f>PLANTILLA!Y21</f>
        <v>3</v>
      </c>
      <c r="M8" s="46">
        <f>PLANTILLA!Z21</f>
        <v>5</v>
      </c>
      <c r="N8" s="46">
        <f>PLANTILLA!AA21</f>
        <v>8</v>
      </c>
      <c r="O8" s="46">
        <f>PLANTILLA!AB21</f>
        <v>5</v>
      </c>
      <c r="P8" s="46">
        <f>PLANTILLA!AC21</f>
        <v>7.8016666666666676</v>
      </c>
      <c r="Q8" s="46">
        <f>PLANTILLA!AD21</f>
        <v>3</v>
      </c>
      <c r="R8" s="46">
        <f t="shared" si="70"/>
        <v>2</v>
      </c>
      <c r="S8" s="46">
        <f t="shared" si="71"/>
        <v>0.48008333333333331</v>
      </c>
      <c r="T8" s="46">
        <f t="shared" si="72"/>
        <v>0.21000000000000002</v>
      </c>
      <c r="U8" s="46">
        <f t="shared" ca="1" si="73"/>
        <v>3.5048852935558301</v>
      </c>
      <c r="V8" s="46">
        <f t="shared" ca="1" si="74"/>
        <v>3.8362086313623189</v>
      </c>
      <c r="W8" s="37">
        <f t="shared" ca="1" si="75"/>
        <v>1.8293626073646259</v>
      </c>
      <c r="X8" s="37">
        <f t="shared" ca="1" si="76"/>
        <v>2.7558237412459703</v>
      </c>
      <c r="Y8" s="37">
        <f t="shared" ca="1" si="77"/>
        <v>1.8293626073646259</v>
      </c>
      <c r="Z8" s="37">
        <f t="shared" ca="1" si="78"/>
        <v>2.1043133534413343</v>
      </c>
      <c r="AA8" s="37">
        <f t="shared" ca="1" si="79"/>
        <v>4.1470362054577619</v>
      </c>
      <c r="AB8" s="37">
        <f t="shared" ca="1" si="80"/>
        <v>1.0521566767206671</v>
      </c>
      <c r="AC8" s="37">
        <f t="shared" ca="1" si="81"/>
        <v>2.1256538038284538</v>
      </c>
      <c r="AD8" s="37">
        <f t="shared" ca="1" si="82"/>
        <v>1.5415318751953961</v>
      </c>
      <c r="AE8" s="37">
        <f t="shared" ca="1" si="83"/>
        <v>2.9983071765459619</v>
      </c>
      <c r="AF8" s="37">
        <f t="shared" ca="1" si="84"/>
        <v>0.77076593759769807</v>
      </c>
      <c r="AG8" s="37">
        <f t="shared" ca="1" si="85"/>
        <v>3.4385576238401461</v>
      </c>
      <c r="AH8" s="37">
        <f t="shared" ca="1" si="86"/>
        <v>3.815273309021141</v>
      </c>
      <c r="AI8" s="37">
        <f t="shared" ca="1" si="87"/>
        <v>1.9252569066625875</v>
      </c>
      <c r="AJ8" s="37">
        <f t="shared" ca="1" si="88"/>
        <v>1.0265550463114461</v>
      </c>
      <c r="AK8" s="37">
        <f t="shared" ca="1" si="89"/>
        <v>5.3784572888091633</v>
      </c>
      <c r="AL8" s="37">
        <f t="shared" ca="1" si="90"/>
        <v>3.1268652989151526</v>
      </c>
      <c r="AM8" s="37">
        <f t="shared" ca="1" si="91"/>
        <v>3.2924683331331206</v>
      </c>
      <c r="AN8" s="37">
        <f t="shared" ca="1" si="92"/>
        <v>0.69255504631144627</v>
      </c>
      <c r="AO8" s="37">
        <f t="shared" ca="1" si="93"/>
        <v>0.90634642717183522</v>
      </c>
      <c r="AP8" s="37">
        <f t="shared" ca="1" si="94"/>
        <v>1.1196997754735958</v>
      </c>
      <c r="AQ8" s="37">
        <f t="shared" ca="1" si="95"/>
        <v>2.4633395060419105</v>
      </c>
      <c r="AR8" s="37">
        <f t="shared" ca="1" si="96"/>
        <v>0.55984988773679789</v>
      </c>
      <c r="AS8" s="37">
        <f t="shared" ca="1" si="97"/>
        <v>5.8028021779521257</v>
      </c>
      <c r="AT8" s="37">
        <f t="shared" ca="1" si="98"/>
        <v>0.7991147067095089</v>
      </c>
      <c r="AU8" s="37">
        <f t="shared" ca="1" si="99"/>
        <v>2.2857699415324575</v>
      </c>
      <c r="AV8" s="37">
        <f t="shared" ca="1" si="100"/>
        <v>0.39955735335475445</v>
      </c>
      <c r="AW8" s="37">
        <f t="shared" ca="1" si="101"/>
        <v>0.78378984283151698</v>
      </c>
      <c r="AX8" s="37">
        <f t="shared" ca="1" si="102"/>
        <v>1.6588144821831048</v>
      </c>
      <c r="AY8" s="37">
        <f t="shared" ca="1" si="103"/>
        <v>0.39189492141575849</v>
      </c>
      <c r="AZ8" s="37">
        <f t="shared" ca="1" si="104"/>
        <v>6.147036205457761</v>
      </c>
      <c r="BA8" s="37">
        <f t="shared" ca="1" si="105"/>
        <v>1.5552001599808136</v>
      </c>
      <c r="BB8" s="37">
        <f t="shared" ca="1" si="106"/>
        <v>3.9753669492072268</v>
      </c>
      <c r="BC8" s="37">
        <f t="shared" ca="1" si="107"/>
        <v>0.77760007999040681</v>
      </c>
      <c r="BD8" s="37">
        <f t="shared" ca="1" si="108"/>
        <v>1.2067875357882085</v>
      </c>
      <c r="BE8" s="37">
        <f t="shared" ca="1" si="109"/>
        <v>1.4431685994993011</v>
      </c>
      <c r="BF8" s="37">
        <f t="shared" ca="1" si="110"/>
        <v>5.4155388970082878</v>
      </c>
      <c r="BG8" s="37">
        <f t="shared" ca="1" si="111"/>
        <v>7.1867151866519494</v>
      </c>
      <c r="BH8" s="37">
        <f t="shared" ca="1" si="112"/>
        <v>1.4814357255153203</v>
      </c>
      <c r="BI8" s="37">
        <f t="shared" ca="1" si="113"/>
        <v>2.0113125596470143</v>
      </c>
      <c r="BJ8" s="37">
        <f t="shared" ca="1" si="114"/>
        <v>1.0948175582408493</v>
      </c>
      <c r="BK8" s="37">
        <f t="shared" ca="1" si="115"/>
        <v>2.3420207942794069</v>
      </c>
      <c r="BL8" s="37">
        <f t="shared" ca="1" si="116"/>
        <v>7.3915096435700836</v>
      </c>
      <c r="BM8" s="37">
        <f t="shared" ca="1" si="117"/>
        <v>0.31964588268380356</v>
      </c>
      <c r="BN8" s="37">
        <f t="shared" ca="1" si="118"/>
        <v>0.74646651698239708</v>
      </c>
      <c r="BO8" s="37">
        <f t="shared" ca="1" si="119"/>
        <v>0.28199846197112782</v>
      </c>
      <c r="BP8" s="37">
        <f t="shared" ca="1" si="120"/>
        <v>1.874846042664617</v>
      </c>
      <c r="BQ8" s="37">
        <f t="shared" ca="1" si="121"/>
        <v>10.90508856021868</v>
      </c>
      <c r="BR8" s="37">
        <f t="shared" ca="1" si="122"/>
        <v>0.8298498877367978</v>
      </c>
      <c r="BS8" s="37">
        <f t="shared" ca="1" si="123"/>
        <v>1.1777582823500043</v>
      </c>
      <c r="BT8" s="37">
        <f t="shared" ca="1" si="124"/>
        <v>1.0118768341316939</v>
      </c>
      <c r="BU8" s="37">
        <f t="shared" ca="1" si="125"/>
        <v>3.8787798456438471</v>
      </c>
      <c r="BV8" s="37">
        <f t="shared" ca="1" si="126"/>
        <v>7.6075974038846956</v>
      </c>
      <c r="BW8" s="37">
        <f t="shared" ca="1" si="127"/>
        <v>0.90976135840774863</v>
      </c>
      <c r="BX8" s="37">
        <f t="shared" ca="1" si="128"/>
        <v>2.4956966994158511</v>
      </c>
      <c r="BY8" s="37">
        <f t="shared" ca="1" si="129"/>
        <v>3.9904175297101605</v>
      </c>
      <c r="BZ8" s="37">
        <f t="shared" ca="1" si="130"/>
        <v>8.5549344340121074</v>
      </c>
      <c r="CA8" s="37">
        <f t="shared" ca="1" si="131"/>
        <v>3.9904175297101605</v>
      </c>
      <c r="CB8" s="37">
        <f t="shared" ca="1" si="132"/>
        <v>5.6188735560001852</v>
      </c>
      <c r="CC8" s="37">
        <f t="shared" ca="1" si="133"/>
        <v>11.216959231938343</v>
      </c>
      <c r="CD8" s="37">
        <f t="shared" ca="1" si="134"/>
        <v>5.6188735560001852</v>
      </c>
      <c r="CE8" s="37">
        <f t="shared" ca="1" si="135"/>
        <v>1.5367590513644402</v>
      </c>
    </row>
    <row r="9" spans="1:83" x14ac:dyDescent="0.25">
      <c r="A9" t="str">
        <f>PLANTILLA!D13</f>
        <v>Raul Riquelme</v>
      </c>
      <c r="B9">
        <f>PLANTILLA!E13</f>
        <v>18</v>
      </c>
      <c r="C9" s="33">
        <f ca="1">PLANTILLA!F13</f>
        <v>83</v>
      </c>
      <c r="D9" s="219" t="str">
        <f>PLANTILLA!G13</f>
        <v>RAP</v>
      </c>
      <c r="E9" s="30">
        <f>PLANTILLA!M13</f>
        <v>43097</v>
      </c>
      <c r="F9" s="47">
        <f>PLANTILLA!Q13</f>
        <v>6</v>
      </c>
      <c r="G9" s="48">
        <f t="shared" si="1"/>
        <v>0.92582009977255142</v>
      </c>
      <c r="H9" s="48">
        <f t="shared" si="2"/>
        <v>0.99928545900129484</v>
      </c>
      <c r="I9" s="51">
        <f t="shared" ca="1" si="3"/>
        <v>0.68790572443779374</v>
      </c>
      <c r="J9" s="39">
        <f>PLANTILLA!I13</f>
        <v>1.9</v>
      </c>
      <c r="K9" s="46">
        <f>PLANTILLA!X13</f>
        <v>0</v>
      </c>
      <c r="L9" s="46">
        <f>PLANTILLA!Y13</f>
        <v>6</v>
      </c>
      <c r="M9" s="46">
        <f>PLANTILLA!Z13</f>
        <v>3</v>
      </c>
      <c r="N9" s="46">
        <f>PLANTILLA!AA13</f>
        <v>6</v>
      </c>
      <c r="O9" s="46">
        <f>PLANTILLA!AB13</f>
        <v>3.33</v>
      </c>
      <c r="P9" s="46">
        <f>PLANTILLA!AC13</f>
        <v>6.3488235294117636</v>
      </c>
      <c r="Q9" s="46">
        <f>PLANTILLA!AD13</f>
        <v>4</v>
      </c>
      <c r="R9" s="46">
        <f t="shared" si="70"/>
        <v>1.9575</v>
      </c>
      <c r="S9" s="46">
        <f t="shared" si="71"/>
        <v>0.43744117647058822</v>
      </c>
      <c r="T9" s="46">
        <f t="shared" si="72"/>
        <v>0.36000000000000004</v>
      </c>
      <c r="U9" s="46">
        <f t="shared" ca="1" si="73"/>
        <v>4.6842582610514549</v>
      </c>
      <c r="V9" s="46">
        <f t="shared" ca="1" si="74"/>
        <v>5.0559619170348338</v>
      </c>
      <c r="W9" s="37">
        <f t="shared" ca="1" si="75"/>
        <v>2.581010888943287</v>
      </c>
      <c r="X9" s="37">
        <f t="shared" ca="1" si="76"/>
        <v>3.9179141553559944</v>
      </c>
      <c r="Y9" s="37">
        <f t="shared" ca="1" si="77"/>
        <v>2.581010888943287</v>
      </c>
      <c r="Z9" s="37">
        <f t="shared" ca="1" si="78"/>
        <v>3.6111952717061575</v>
      </c>
      <c r="AA9" s="37">
        <f t="shared" ca="1" si="79"/>
        <v>7.0595771923748991</v>
      </c>
      <c r="AB9" s="37">
        <f t="shared" ca="1" si="80"/>
        <v>1.8055976358530788</v>
      </c>
      <c r="AC9" s="37">
        <f t="shared" ca="1" si="81"/>
        <v>1.5540924222261583</v>
      </c>
      <c r="AD9" s="37">
        <f t="shared" ca="1" si="82"/>
        <v>2.6454104897382318</v>
      </c>
      <c r="AE9" s="37">
        <f t="shared" ca="1" si="83"/>
        <v>5.1040743100870518</v>
      </c>
      <c r="AF9" s="37">
        <f t="shared" ca="1" si="84"/>
        <v>1.3227052448691159</v>
      </c>
      <c r="AG9" s="37">
        <f t="shared" ca="1" si="85"/>
        <v>2.5139730359540797</v>
      </c>
      <c r="AH9" s="37">
        <f t="shared" ca="1" si="86"/>
        <v>6.4948110169849071</v>
      </c>
      <c r="AI9" s="37">
        <f t="shared" ca="1" si="87"/>
        <v>3.1075437416053293</v>
      </c>
      <c r="AJ9" s="37">
        <f t="shared" ca="1" si="88"/>
        <v>0.67794939112660824</v>
      </c>
      <c r="AK9" s="37">
        <f t="shared" ca="1" si="89"/>
        <v>4.1510313891164401</v>
      </c>
      <c r="AL9" s="37">
        <f t="shared" ca="1" si="90"/>
        <v>5.3229212030506741</v>
      </c>
      <c r="AM9" s="37">
        <f t="shared" ca="1" si="91"/>
        <v>5.3143501668033171</v>
      </c>
      <c r="AN9" s="37">
        <f t="shared" ca="1" si="92"/>
        <v>0.84494939112660816</v>
      </c>
      <c r="AO9" s="37">
        <f t="shared" ca="1" si="93"/>
        <v>0.86891823140397073</v>
      </c>
      <c r="AP9" s="37">
        <f t="shared" ca="1" si="94"/>
        <v>1.906085841941223</v>
      </c>
      <c r="AQ9" s="37">
        <f t="shared" ca="1" si="95"/>
        <v>4.1933888522706901</v>
      </c>
      <c r="AR9" s="37">
        <f t="shared" ca="1" si="96"/>
        <v>0.9530429209706115</v>
      </c>
      <c r="AS9" s="37">
        <f t="shared" ca="1" si="97"/>
        <v>3.8322408696019044</v>
      </c>
      <c r="AT9" s="37">
        <f t="shared" ca="1" si="98"/>
        <v>0.57064503500873687</v>
      </c>
      <c r="AU9" s="37">
        <f t="shared" ca="1" si="99"/>
        <v>1.8084025879540806</v>
      </c>
      <c r="AV9" s="37">
        <f t="shared" ca="1" si="100"/>
        <v>0.28532251750436843</v>
      </c>
      <c r="AW9" s="37">
        <f t="shared" ca="1" si="101"/>
        <v>1.3342600893588559</v>
      </c>
      <c r="AX9" s="37">
        <f t="shared" ca="1" si="102"/>
        <v>2.8238308769499598</v>
      </c>
      <c r="AY9" s="37">
        <f t="shared" ca="1" si="103"/>
        <v>0.66713004467942794</v>
      </c>
      <c r="AZ9" s="37">
        <f t="shared" ca="1" si="104"/>
        <v>4.0595771923748991</v>
      </c>
      <c r="BA9" s="37">
        <f t="shared" ca="1" si="105"/>
        <v>1.1105630296708495</v>
      </c>
      <c r="BB9" s="37">
        <f t="shared" ca="1" si="106"/>
        <v>3.0526099741750397</v>
      </c>
      <c r="BC9" s="37">
        <f t="shared" ca="1" si="107"/>
        <v>0.55528151483542476</v>
      </c>
      <c r="BD9" s="37">
        <f t="shared" ca="1" si="108"/>
        <v>2.0543369629810955</v>
      </c>
      <c r="BE9" s="37">
        <f t="shared" ca="1" si="109"/>
        <v>2.4567328629464646</v>
      </c>
      <c r="BF9" s="37">
        <f t="shared" ca="1" si="110"/>
        <v>3.5764875064822861</v>
      </c>
      <c r="BG9" s="37">
        <f t="shared" ca="1" si="111"/>
        <v>5.4349141240212848</v>
      </c>
      <c r="BH9" s="37">
        <f t="shared" ca="1" si="112"/>
        <v>1.0578881033623506</v>
      </c>
      <c r="BI9" s="37">
        <f t="shared" ca="1" si="113"/>
        <v>3.4238949383018258</v>
      </c>
      <c r="BJ9" s="37">
        <f t="shared" ca="1" si="114"/>
        <v>1.8637283787869734</v>
      </c>
      <c r="BK9" s="37">
        <f t="shared" ca="1" si="115"/>
        <v>1.5466989102948365</v>
      </c>
      <c r="BL9" s="37">
        <f t="shared" ca="1" si="116"/>
        <v>5.6334004661356625</v>
      </c>
      <c r="BM9" s="37">
        <f t="shared" ca="1" si="117"/>
        <v>0.22825801400349474</v>
      </c>
      <c r="BN9" s="37">
        <f t="shared" ca="1" si="118"/>
        <v>1.2707238946274817</v>
      </c>
      <c r="BO9" s="37">
        <f t="shared" ca="1" si="119"/>
        <v>0.48005124908149316</v>
      </c>
      <c r="BP9" s="37">
        <f t="shared" ca="1" si="120"/>
        <v>1.2381710436743443</v>
      </c>
      <c r="BQ9" s="37">
        <f t="shared" ca="1" si="121"/>
        <v>8.3149962693941202</v>
      </c>
      <c r="BR9" s="37">
        <f t="shared" ca="1" si="122"/>
        <v>0.59259292097061145</v>
      </c>
      <c r="BS9" s="37">
        <f t="shared" ca="1" si="123"/>
        <v>2.0049199226344712</v>
      </c>
      <c r="BT9" s="37">
        <f t="shared" ca="1" si="124"/>
        <v>1.7225368349394754</v>
      </c>
      <c r="BU9" s="37">
        <f t="shared" ca="1" si="125"/>
        <v>2.5615932083885613</v>
      </c>
      <c r="BV9" s="37">
        <f t="shared" ca="1" si="126"/>
        <v>5.8030115871755337</v>
      </c>
      <c r="BW9" s="37">
        <f t="shared" ca="1" si="127"/>
        <v>0.649657424471485</v>
      </c>
      <c r="BX9" s="37">
        <f t="shared" ca="1" si="128"/>
        <v>1.6481883401042092</v>
      </c>
      <c r="BY9" s="37">
        <f t="shared" ca="1" si="129"/>
        <v>3.0548403054626165</v>
      </c>
      <c r="BZ9" s="37">
        <f t="shared" ca="1" si="130"/>
        <v>6.7026380362611953</v>
      </c>
      <c r="CA9" s="37">
        <f t="shared" ca="1" si="131"/>
        <v>3.0548403054626165</v>
      </c>
      <c r="CB9" s="37">
        <f t="shared" ca="1" si="132"/>
        <v>4.5383436496730907</v>
      </c>
      <c r="CC9" s="37">
        <f t="shared" ca="1" si="133"/>
        <v>9.0281547057729998</v>
      </c>
      <c r="CD9" s="37">
        <f t="shared" ca="1" si="134"/>
        <v>4.5383436496730907</v>
      </c>
      <c r="CE9" s="37">
        <f t="shared" ca="1" si="135"/>
        <v>1.0148942980937248</v>
      </c>
    </row>
    <row r="10" spans="1:83" x14ac:dyDescent="0.25">
      <c r="A10" t="e">
        <f>PLANTILLA!#REF!</f>
        <v>#REF!</v>
      </c>
      <c r="B10" t="e">
        <f>PLANTILLA!#REF!</f>
        <v>#REF!</v>
      </c>
      <c r="C10" s="33" t="e">
        <f>PLANTILLA!#REF!</f>
        <v>#REF!</v>
      </c>
      <c r="D10" s="219" t="e">
        <f>PLANTILLA!#REF!</f>
        <v>#REF!</v>
      </c>
      <c r="E10" s="30" t="e">
        <f>PLANTILLA!#REF!</f>
        <v>#REF!</v>
      </c>
      <c r="F10" s="47" t="e">
        <f>PLANTILLA!#REF!</f>
        <v>#REF!</v>
      </c>
      <c r="G10" s="48" t="e">
        <f t="shared" si="1"/>
        <v>#REF!</v>
      </c>
      <c r="H10" s="48" t="e">
        <f t="shared" si="2"/>
        <v>#REF!</v>
      </c>
      <c r="I10" s="51" t="e">
        <f t="shared" ca="1" si="3"/>
        <v>#REF!</v>
      </c>
      <c r="J10" s="39" t="e">
        <f>PLANTILLA!#REF!</f>
        <v>#REF!</v>
      </c>
      <c r="K10" s="46" t="e">
        <f>PLANTILLA!#REF!</f>
        <v>#REF!</v>
      </c>
      <c r="L10" s="46" t="e">
        <f>PLANTILLA!#REF!</f>
        <v>#REF!</v>
      </c>
      <c r="M10" s="46" t="e">
        <f>PLANTILLA!#REF!</f>
        <v>#REF!</v>
      </c>
      <c r="N10" s="46" t="e">
        <f>PLANTILLA!#REF!</f>
        <v>#REF!</v>
      </c>
      <c r="O10" s="46" t="e">
        <f>PLANTILLA!#REF!</f>
        <v>#REF!</v>
      </c>
      <c r="P10" s="46" t="e">
        <f>PLANTILLA!#REF!</f>
        <v>#REF!</v>
      </c>
      <c r="Q10" s="46" t="e">
        <f>PLANTILLA!#REF!</f>
        <v>#REF!</v>
      </c>
      <c r="R10" s="46" t="e">
        <f t="shared" si="70"/>
        <v>#REF!</v>
      </c>
      <c r="S10" s="46" t="e">
        <f t="shared" si="71"/>
        <v>#REF!</v>
      </c>
      <c r="T10" s="46" t="e">
        <f t="shared" si="72"/>
        <v>#REF!</v>
      </c>
      <c r="U10" s="46" t="e">
        <f t="shared" ca="1" si="73"/>
        <v>#REF!</v>
      </c>
      <c r="V10" s="46" t="e">
        <f t="shared" ca="1" si="74"/>
        <v>#REF!</v>
      </c>
      <c r="W10" s="37" t="e">
        <f t="shared" ca="1" si="75"/>
        <v>#REF!</v>
      </c>
      <c r="X10" s="37" t="e">
        <f t="shared" ca="1" si="76"/>
        <v>#REF!</v>
      </c>
      <c r="Y10" s="37" t="e">
        <f t="shared" ca="1" si="77"/>
        <v>#REF!</v>
      </c>
      <c r="Z10" s="37" t="e">
        <f t="shared" ca="1" si="78"/>
        <v>#REF!</v>
      </c>
      <c r="AA10" s="37" t="e">
        <f t="shared" ca="1" si="79"/>
        <v>#REF!</v>
      </c>
      <c r="AB10" s="37" t="e">
        <f t="shared" ca="1" si="80"/>
        <v>#REF!</v>
      </c>
      <c r="AC10" s="37" t="e">
        <f t="shared" ca="1" si="81"/>
        <v>#REF!</v>
      </c>
      <c r="AD10" s="37" t="e">
        <f t="shared" ca="1" si="82"/>
        <v>#REF!</v>
      </c>
      <c r="AE10" s="37" t="e">
        <f t="shared" ca="1" si="83"/>
        <v>#REF!</v>
      </c>
      <c r="AF10" s="37" t="e">
        <f t="shared" ca="1" si="84"/>
        <v>#REF!</v>
      </c>
      <c r="AG10" s="37" t="e">
        <f t="shared" ca="1" si="85"/>
        <v>#REF!</v>
      </c>
      <c r="AH10" s="37" t="e">
        <f t="shared" ca="1" si="86"/>
        <v>#REF!</v>
      </c>
      <c r="AI10" s="37" t="e">
        <f t="shared" ca="1" si="87"/>
        <v>#REF!</v>
      </c>
      <c r="AJ10" s="37" t="e">
        <f t="shared" ca="1" si="88"/>
        <v>#REF!</v>
      </c>
      <c r="AK10" s="37" t="e">
        <f t="shared" ca="1" si="89"/>
        <v>#REF!</v>
      </c>
      <c r="AL10" s="37" t="e">
        <f t="shared" ca="1" si="90"/>
        <v>#REF!</v>
      </c>
      <c r="AM10" s="37" t="e">
        <f t="shared" ca="1" si="91"/>
        <v>#REF!</v>
      </c>
      <c r="AN10" s="37" t="e">
        <f t="shared" ca="1" si="92"/>
        <v>#REF!</v>
      </c>
      <c r="AO10" s="37" t="e">
        <f t="shared" ca="1" si="93"/>
        <v>#REF!</v>
      </c>
      <c r="AP10" s="37" t="e">
        <f t="shared" ca="1" si="94"/>
        <v>#REF!</v>
      </c>
      <c r="AQ10" s="37" t="e">
        <f t="shared" ca="1" si="95"/>
        <v>#REF!</v>
      </c>
      <c r="AR10" s="37" t="e">
        <f t="shared" ca="1" si="96"/>
        <v>#REF!</v>
      </c>
      <c r="AS10" s="37" t="e">
        <f t="shared" ca="1" si="97"/>
        <v>#REF!</v>
      </c>
      <c r="AT10" s="37" t="e">
        <f t="shared" ca="1" si="98"/>
        <v>#REF!</v>
      </c>
      <c r="AU10" s="37" t="e">
        <f t="shared" ca="1" si="99"/>
        <v>#REF!</v>
      </c>
      <c r="AV10" s="37" t="e">
        <f t="shared" ca="1" si="100"/>
        <v>#REF!</v>
      </c>
      <c r="AW10" s="37" t="e">
        <f t="shared" ca="1" si="101"/>
        <v>#REF!</v>
      </c>
      <c r="AX10" s="37" t="e">
        <f t="shared" ca="1" si="102"/>
        <v>#REF!</v>
      </c>
      <c r="AY10" s="37" t="e">
        <f t="shared" ca="1" si="103"/>
        <v>#REF!</v>
      </c>
      <c r="AZ10" s="37" t="e">
        <f t="shared" ca="1" si="104"/>
        <v>#REF!</v>
      </c>
      <c r="BA10" s="37" t="e">
        <f t="shared" ca="1" si="105"/>
        <v>#REF!</v>
      </c>
      <c r="BB10" s="37" t="e">
        <f t="shared" ca="1" si="106"/>
        <v>#REF!</v>
      </c>
      <c r="BC10" s="37" t="e">
        <f t="shared" ca="1" si="107"/>
        <v>#REF!</v>
      </c>
      <c r="BD10" s="37" t="e">
        <f t="shared" ca="1" si="108"/>
        <v>#REF!</v>
      </c>
      <c r="BE10" s="37" t="e">
        <f t="shared" ca="1" si="109"/>
        <v>#REF!</v>
      </c>
      <c r="BF10" s="37" t="e">
        <f t="shared" ca="1" si="110"/>
        <v>#REF!</v>
      </c>
      <c r="BG10" s="37" t="e">
        <f t="shared" ca="1" si="111"/>
        <v>#REF!</v>
      </c>
      <c r="BH10" s="37" t="e">
        <f t="shared" ca="1" si="112"/>
        <v>#REF!</v>
      </c>
      <c r="BI10" s="37" t="e">
        <f t="shared" ca="1" si="113"/>
        <v>#REF!</v>
      </c>
      <c r="BJ10" s="37" t="e">
        <f t="shared" ca="1" si="114"/>
        <v>#REF!</v>
      </c>
      <c r="BK10" s="37" t="e">
        <f t="shared" ca="1" si="115"/>
        <v>#REF!</v>
      </c>
      <c r="BL10" s="37" t="e">
        <f t="shared" ca="1" si="116"/>
        <v>#REF!</v>
      </c>
      <c r="BM10" s="37" t="e">
        <f t="shared" ca="1" si="117"/>
        <v>#REF!</v>
      </c>
      <c r="BN10" s="37" t="e">
        <f t="shared" ca="1" si="118"/>
        <v>#REF!</v>
      </c>
      <c r="BO10" s="37" t="e">
        <f t="shared" ca="1" si="119"/>
        <v>#REF!</v>
      </c>
      <c r="BP10" s="37" t="e">
        <f t="shared" ca="1" si="120"/>
        <v>#REF!</v>
      </c>
      <c r="BQ10" s="37" t="e">
        <f t="shared" ca="1" si="121"/>
        <v>#REF!</v>
      </c>
      <c r="BR10" s="37" t="e">
        <f t="shared" ca="1" si="122"/>
        <v>#REF!</v>
      </c>
      <c r="BS10" s="37" t="e">
        <f t="shared" ca="1" si="123"/>
        <v>#REF!</v>
      </c>
      <c r="BT10" s="37" t="e">
        <f t="shared" ca="1" si="124"/>
        <v>#REF!</v>
      </c>
      <c r="BU10" s="37" t="e">
        <f t="shared" ca="1" si="125"/>
        <v>#REF!</v>
      </c>
      <c r="BV10" s="37" t="e">
        <f t="shared" ca="1" si="126"/>
        <v>#REF!</v>
      </c>
      <c r="BW10" s="37" t="e">
        <f t="shared" ca="1" si="127"/>
        <v>#REF!</v>
      </c>
      <c r="BX10" s="37" t="e">
        <f t="shared" ca="1" si="128"/>
        <v>#REF!</v>
      </c>
      <c r="BY10" s="37" t="e">
        <f t="shared" ca="1" si="129"/>
        <v>#REF!</v>
      </c>
      <c r="BZ10" s="37" t="e">
        <f t="shared" ca="1" si="130"/>
        <v>#REF!</v>
      </c>
      <c r="CA10" s="37" t="e">
        <f t="shared" ca="1" si="131"/>
        <v>#REF!</v>
      </c>
      <c r="CB10" s="37" t="e">
        <f t="shared" ca="1" si="132"/>
        <v>#REF!</v>
      </c>
      <c r="CC10" s="37" t="e">
        <f t="shared" ca="1" si="133"/>
        <v>#REF!</v>
      </c>
      <c r="CD10" s="37" t="e">
        <f t="shared" ca="1" si="134"/>
        <v>#REF!</v>
      </c>
      <c r="CE10" s="37" t="e">
        <f t="shared" ca="1" si="135"/>
        <v>#REF!</v>
      </c>
    </row>
    <row r="11" spans="1:83" x14ac:dyDescent="0.25">
      <c r="A11" t="str">
        <f>PLANTILLA!D14</f>
        <v>Roberto Montero</v>
      </c>
      <c r="B11">
        <f>PLANTILLA!E14</f>
        <v>19</v>
      </c>
      <c r="C11" s="33">
        <f ca="1">PLANTILLA!F14</f>
        <v>40</v>
      </c>
      <c r="D11" s="219" t="str">
        <f>PLANTILLA!G14</f>
        <v>TEC</v>
      </c>
      <c r="E11" s="30">
        <f>PLANTILLA!M14</f>
        <v>43046</v>
      </c>
      <c r="F11" s="47">
        <f>PLANTILLA!Q14</f>
        <v>6</v>
      </c>
      <c r="G11" s="48">
        <f t="shared" si="1"/>
        <v>0.92582009977255142</v>
      </c>
      <c r="H11" s="48">
        <f t="shared" si="2"/>
        <v>0.99928545900129484</v>
      </c>
      <c r="I11" s="51">
        <f t="shared" ca="1" si="3"/>
        <v>0.79056941504209488</v>
      </c>
      <c r="J11" s="39">
        <f>PLANTILLA!I14</f>
        <v>1.2</v>
      </c>
      <c r="K11" s="46">
        <f>PLANTILLA!X14</f>
        <v>0</v>
      </c>
      <c r="L11" s="46">
        <f>PLANTILLA!Y14</f>
        <v>6</v>
      </c>
      <c r="M11" s="46">
        <f>PLANTILLA!Z14</f>
        <v>4</v>
      </c>
      <c r="N11" s="46">
        <f>PLANTILLA!AA14</f>
        <v>4.0625</v>
      </c>
      <c r="O11" s="46">
        <f>PLANTILLA!AB14</f>
        <v>3.5528</v>
      </c>
      <c r="P11" s="46">
        <f>PLANTILLA!AC14</f>
        <v>4.4666666666666659</v>
      </c>
      <c r="Q11" s="46">
        <f>PLANTILLA!AD14</f>
        <v>6</v>
      </c>
      <c r="R11" s="46">
        <f t="shared" si="70"/>
        <v>2.0131999999999999</v>
      </c>
      <c r="S11" s="46">
        <f t="shared" si="71"/>
        <v>0.40333333333333332</v>
      </c>
      <c r="T11" s="46">
        <f t="shared" si="72"/>
        <v>0.42000000000000004</v>
      </c>
      <c r="U11" s="46">
        <f t="shared" ca="1" si="73"/>
        <v>6.3845891055012771</v>
      </c>
      <c r="V11" s="46">
        <f t="shared" ca="1" si="74"/>
        <v>6.891216831858487</v>
      </c>
      <c r="W11" s="37">
        <f t="shared" ca="1" si="75"/>
        <v>2.4383340697311842</v>
      </c>
      <c r="X11" s="37">
        <f t="shared" ca="1" si="76"/>
        <v>3.7069224330159889</v>
      </c>
      <c r="Y11" s="37">
        <f t="shared" ca="1" si="77"/>
        <v>2.4383340697311842</v>
      </c>
      <c r="Z11" s="37">
        <f t="shared" ca="1" si="78"/>
        <v>3.5221559179716468</v>
      </c>
      <c r="AA11" s="37">
        <f t="shared" ca="1" si="79"/>
        <v>6.8961444097722611</v>
      </c>
      <c r="AB11" s="37">
        <f t="shared" ca="1" si="80"/>
        <v>1.7610779589858234</v>
      </c>
      <c r="AC11" s="37">
        <f t="shared" ca="1" si="81"/>
        <v>1.8409361108325131</v>
      </c>
      <c r="AD11" s="37">
        <f t="shared" ca="1" si="82"/>
        <v>2.58018398642109</v>
      </c>
      <c r="AE11" s="37">
        <f t="shared" ca="1" si="83"/>
        <v>4.985912408265345</v>
      </c>
      <c r="AF11" s="37">
        <f t="shared" ca="1" si="84"/>
        <v>1.290091993210545</v>
      </c>
      <c r="AG11" s="37">
        <f t="shared" ca="1" si="85"/>
        <v>2.9779848851702422</v>
      </c>
      <c r="AH11" s="37">
        <f t="shared" ca="1" si="86"/>
        <v>6.3444528569904808</v>
      </c>
      <c r="AI11" s="37">
        <f t="shared" ca="1" si="87"/>
        <v>3.0674740514079035</v>
      </c>
      <c r="AJ11" s="37">
        <f t="shared" ca="1" si="88"/>
        <v>0.81765611643196767</v>
      </c>
      <c r="AK11" s="37">
        <f t="shared" ca="1" si="89"/>
        <v>2.9156829129460893</v>
      </c>
      <c r="AL11" s="37">
        <f t="shared" ca="1" si="90"/>
        <v>5.1996928849682851</v>
      </c>
      <c r="AM11" s="37">
        <f t="shared" ca="1" si="91"/>
        <v>5.2458251893642407</v>
      </c>
      <c r="AN11" s="37">
        <f t="shared" ca="1" si="92"/>
        <v>1.1516561164319676</v>
      </c>
      <c r="AO11" s="37">
        <f t="shared" ca="1" si="93"/>
        <v>0.83789119001441126</v>
      </c>
      <c r="AP11" s="37">
        <f t="shared" ca="1" si="94"/>
        <v>1.8619589906385106</v>
      </c>
      <c r="AQ11" s="37">
        <f t="shared" ca="1" si="95"/>
        <v>4.0963097794047227</v>
      </c>
      <c r="AR11" s="37">
        <f t="shared" ca="1" si="96"/>
        <v>0.93097949531925528</v>
      </c>
      <c r="AS11" s="37">
        <f t="shared" ca="1" si="97"/>
        <v>4.6219603228250143</v>
      </c>
      <c r="AT11" s="37">
        <f t="shared" ca="1" si="98"/>
        <v>0.57836277327039398</v>
      </c>
      <c r="AU11" s="37">
        <f t="shared" ca="1" si="99"/>
        <v>1.4616396453966056</v>
      </c>
      <c r="AV11" s="37">
        <f t="shared" ca="1" si="100"/>
        <v>0.28918138663519699</v>
      </c>
      <c r="AW11" s="37">
        <f t="shared" ca="1" si="101"/>
        <v>1.3033712934469575</v>
      </c>
      <c r="AX11" s="37">
        <f t="shared" ca="1" si="102"/>
        <v>2.7584577639089045</v>
      </c>
      <c r="AY11" s="37">
        <f t="shared" ca="1" si="103"/>
        <v>0.65168564672347873</v>
      </c>
      <c r="AZ11" s="37">
        <f t="shared" ca="1" si="104"/>
        <v>4.8961444097722611</v>
      </c>
      <c r="BA11" s="37">
        <f t="shared" ca="1" si="105"/>
        <v>1.1255829356723821</v>
      </c>
      <c r="BB11" s="37">
        <f t="shared" ca="1" si="106"/>
        <v>2.6432803697845157</v>
      </c>
      <c r="BC11" s="37">
        <f t="shared" ca="1" si="107"/>
        <v>0.56279146783619105</v>
      </c>
      <c r="BD11" s="37">
        <f t="shared" ca="1" si="108"/>
        <v>2.006778023243728</v>
      </c>
      <c r="BE11" s="37">
        <f t="shared" ca="1" si="109"/>
        <v>2.3998582546007468</v>
      </c>
      <c r="BF11" s="37">
        <f t="shared" ca="1" si="110"/>
        <v>4.3135032250093621</v>
      </c>
      <c r="BG11" s="37">
        <f t="shared" ca="1" si="111"/>
        <v>4.2476793802875399</v>
      </c>
      <c r="BH11" s="37">
        <f t="shared" ca="1" si="112"/>
        <v>1.0721956027551149</v>
      </c>
      <c r="BI11" s="37">
        <f t="shared" ca="1" si="113"/>
        <v>3.3446300387395467</v>
      </c>
      <c r="BJ11" s="37">
        <f t="shared" ca="1" si="114"/>
        <v>1.820582124179877</v>
      </c>
      <c r="BK11" s="37">
        <f t="shared" ca="1" si="115"/>
        <v>1.8654310201232316</v>
      </c>
      <c r="BL11" s="37">
        <f t="shared" ca="1" si="116"/>
        <v>4.2314055141409561</v>
      </c>
      <c r="BM11" s="37">
        <f t="shared" ca="1" si="117"/>
        <v>0.23134510930815758</v>
      </c>
      <c r="BN11" s="37">
        <f t="shared" ca="1" si="118"/>
        <v>1.241305993759007</v>
      </c>
      <c r="BO11" s="37">
        <f t="shared" ca="1" si="119"/>
        <v>0.46893781986451377</v>
      </c>
      <c r="BP11" s="37">
        <f t="shared" ca="1" si="120"/>
        <v>1.4933240449805396</v>
      </c>
      <c r="BQ11" s="37">
        <f t="shared" ca="1" si="121"/>
        <v>6.2310425109671277</v>
      </c>
      <c r="BR11" s="37">
        <f t="shared" ca="1" si="122"/>
        <v>0.60060749531925539</v>
      </c>
      <c r="BS11" s="37">
        <f t="shared" ca="1" si="123"/>
        <v>1.958505012375322</v>
      </c>
      <c r="BT11" s="37">
        <f t="shared" ca="1" si="124"/>
        <v>1.6826592359844317</v>
      </c>
      <c r="BU11" s="37">
        <f t="shared" ca="1" si="125"/>
        <v>3.0894671225662966</v>
      </c>
      <c r="BV11" s="37">
        <f t="shared" ca="1" si="126"/>
        <v>4.3396146467461731</v>
      </c>
      <c r="BW11" s="37">
        <f t="shared" ca="1" si="127"/>
        <v>0.65844377264629461</v>
      </c>
      <c r="BX11" s="37">
        <f t="shared" ca="1" si="128"/>
        <v>1.987834630367538</v>
      </c>
      <c r="BY11" s="37">
        <f t="shared" ca="1" si="129"/>
        <v>2.8663316569397956</v>
      </c>
      <c r="BZ11" s="37">
        <f t="shared" ca="1" si="130"/>
        <v>5.5422956720702317</v>
      </c>
      <c r="CA11" s="37">
        <f t="shared" ca="1" si="131"/>
        <v>2.8663316569397956</v>
      </c>
      <c r="CB11" s="37">
        <f t="shared" ca="1" si="132"/>
        <v>3.2517104672881181</v>
      </c>
      <c r="CC11" s="37">
        <f t="shared" ca="1" si="133"/>
        <v>7.0044715636448913</v>
      </c>
      <c r="CD11" s="37">
        <f t="shared" ca="1" si="134"/>
        <v>3.2517104672881181</v>
      </c>
      <c r="CE11" s="37">
        <f t="shared" ca="1" si="135"/>
        <v>1.2240361024430653</v>
      </c>
    </row>
    <row r="12" spans="1:83" x14ac:dyDescent="0.25">
      <c r="A12" t="str">
        <f>PLANTILLA!D16</f>
        <v>Fernando Gazón</v>
      </c>
      <c r="B12">
        <f>PLANTILLA!E16</f>
        <v>19</v>
      </c>
      <c r="C12" s="33">
        <f ca="1">PLANTILLA!F16</f>
        <v>33</v>
      </c>
      <c r="D12" s="219" t="str">
        <f>PLANTILLA!G16</f>
        <v>IMP</v>
      </c>
      <c r="E12" s="30">
        <f>PLANTILLA!M16</f>
        <v>43045</v>
      </c>
      <c r="F12" s="47">
        <f>PLANTILLA!Q16</f>
        <v>7</v>
      </c>
      <c r="G12" s="48">
        <f t="shared" si="1"/>
        <v>1</v>
      </c>
      <c r="H12" s="48">
        <f t="shared" si="2"/>
        <v>1</v>
      </c>
      <c r="I12" s="51">
        <f t="shared" ca="1" si="3"/>
        <v>0.79244948764964851</v>
      </c>
      <c r="J12" s="39">
        <f>PLANTILLA!I16</f>
        <v>1.7</v>
      </c>
      <c r="K12" s="46">
        <f>PLANTILLA!X16</f>
        <v>0</v>
      </c>
      <c r="L12" s="46">
        <f>PLANTILLA!Y16</f>
        <v>3</v>
      </c>
      <c r="M12" s="46">
        <f>PLANTILLA!Z16</f>
        <v>6</v>
      </c>
      <c r="N12" s="46">
        <f>PLANTILLA!AA16</f>
        <v>4.3</v>
      </c>
      <c r="O12" s="46">
        <f>PLANTILLA!AB16</f>
        <v>4.25</v>
      </c>
      <c r="P12" s="46">
        <f>PLANTILLA!AC16</f>
        <v>5.6190261437908475</v>
      </c>
      <c r="Q12" s="46">
        <f>PLANTILLA!AD16</f>
        <v>3</v>
      </c>
      <c r="R12" s="46">
        <f t="shared" si="70"/>
        <v>1.8125</v>
      </c>
      <c r="S12" s="46">
        <f t="shared" si="71"/>
        <v>0.37095130718954239</v>
      </c>
      <c r="T12" s="46">
        <f t="shared" si="72"/>
        <v>0.21000000000000002</v>
      </c>
      <c r="U12" s="46">
        <f t="shared" ca="1" si="73"/>
        <v>4.0997147161540139</v>
      </c>
      <c r="V12" s="46">
        <f t="shared" ca="1" si="74"/>
        <v>4.0997147161540139</v>
      </c>
      <c r="W12" s="37">
        <f t="shared" ca="1" si="75"/>
        <v>1.7880509472024542</v>
      </c>
      <c r="X12" s="37">
        <f t="shared" ca="1" si="76"/>
        <v>2.6947316985548317</v>
      </c>
      <c r="Y12" s="37">
        <f t="shared" ca="1" si="77"/>
        <v>1.7880509472024542</v>
      </c>
      <c r="Z12" s="37">
        <f t="shared" ca="1" si="78"/>
        <v>2.0791119781129801</v>
      </c>
      <c r="AA12" s="37">
        <f t="shared" ca="1" si="79"/>
        <v>4.0997147161540139</v>
      </c>
      <c r="AB12" s="37">
        <f t="shared" ca="1" si="80"/>
        <v>1.03955598905649</v>
      </c>
      <c r="AC12" s="37">
        <f t="shared" ca="1" si="81"/>
        <v>2.3669926325633992</v>
      </c>
      <c r="AD12" s="37">
        <f t="shared" ca="1" si="82"/>
        <v>1.5230704025711364</v>
      </c>
      <c r="AE12" s="37">
        <f t="shared" ca="1" si="83"/>
        <v>2.9640937397793521</v>
      </c>
      <c r="AF12" s="37">
        <f t="shared" ca="1" si="84"/>
        <v>0.76153520128556818</v>
      </c>
      <c r="AG12" s="37">
        <f t="shared" ca="1" si="85"/>
        <v>3.828958670323146</v>
      </c>
      <c r="AH12" s="37">
        <f t="shared" ca="1" si="86"/>
        <v>3.7717375388616929</v>
      </c>
      <c r="AI12" s="37">
        <f t="shared" ca="1" si="87"/>
        <v>1.9102574390247662</v>
      </c>
      <c r="AJ12" s="37">
        <f t="shared" ca="1" si="88"/>
        <v>1.1856523575977203</v>
      </c>
      <c r="AK12" s="37">
        <f t="shared" ca="1" si="89"/>
        <v>3.1750322530985593</v>
      </c>
      <c r="AL12" s="37">
        <f t="shared" ca="1" si="90"/>
        <v>3.0911848959801267</v>
      </c>
      <c r="AM12" s="37">
        <f t="shared" ca="1" si="91"/>
        <v>3.2668170696365566</v>
      </c>
      <c r="AN12" s="37">
        <f t="shared" ca="1" si="92"/>
        <v>0.68465235759772036</v>
      </c>
      <c r="AO12" s="37">
        <f t="shared" ca="1" si="93"/>
        <v>0.83871783825235591</v>
      </c>
      <c r="AP12" s="37">
        <f t="shared" ca="1" si="94"/>
        <v>1.1069229733615837</v>
      </c>
      <c r="AQ12" s="37">
        <f t="shared" ca="1" si="95"/>
        <v>2.4352305413954842</v>
      </c>
      <c r="AR12" s="37">
        <f t="shared" ca="1" si="96"/>
        <v>0.55346148668079187</v>
      </c>
      <c r="AS12" s="37">
        <f t="shared" ca="1" si="97"/>
        <v>6.7021306920493879</v>
      </c>
      <c r="AT12" s="37">
        <f t="shared" ca="1" si="98"/>
        <v>0.69546291310002173</v>
      </c>
      <c r="AU12" s="37">
        <f t="shared" ca="1" si="99"/>
        <v>1.8043079347089424</v>
      </c>
      <c r="AV12" s="37">
        <f t="shared" ca="1" si="100"/>
        <v>0.34773145655001086</v>
      </c>
      <c r="AW12" s="37">
        <f t="shared" ca="1" si="101"/>
        <v>0.77484608135310862</v>
      </c>
      <c r="AX12" s="37">
        <f t="shared" ca="1" si="102"/>
        <v>1.6398858864616057</v>
      </c>
      <c r="AY12" s="37">
        <f t="shared" ca="1" si="103"/>
        <v>0.38742304067655431</v>
      </c>
      <c r="AZ12" s="37">
        <f t="shared" ca="1" si="104"/>
        <v>7.0997147161540131</v>
      </c>
      <c r="BA12" s="37">
        <f t="shared" ca="1" si="105"/>
        <v>1.3534778231869653</v>
      </c>
      <c r="BB12" s="37">
        <f t="shared" ca="1" si="106"/>
        <v>3.2351882987969391</v>
      </c>
      <c r="BC12" s="37">
        <f t="shared" ca="1" si="107"/>
        <v>0.67673891159348265</v>
      </c>
      <c r="BD12" s="37">
        <f t="shared" ca="1" si="108"/>
        <v>1.1930169824008179</v>
      </c>
      <c r="BE12" s="37">
        <f t="shared" ca="1" si="109"/>
        <v>1.4267007212215967</v>
      </c>
      <c r="BF12" s="37">
        <f t="shared" ca="1" si="110"/>
        <v>6.2548486649316857</v>
      </c>
      <c r="BG12" s="37">
        <f t="shared" ca="1" si="111"/>
        <v>4.7845963826609177</v>
      </c>
      <c r="BH12" s="37">
        <f t="shared" ca="1" si="112"/>
        <v>1.2892812465931172</v>
      </c>
      <c r="BI12" s="37">
        <f t="shared" ca="1" si="113"/>
        <v>1.9883616373346966</v>
      </c>
      <c r="BJ12" s="37">
        <f t="shared" ca="1" si="114"/>
        <v>1.0823246850646597</v>
      </c>
      <c r="BK12" s="37">
        <f t="shared" ca="1" si="115"/>
        <v>2.7049913068546791</v>
      </c>
      <c r="BL12" s="37">
        <f t="shared" ca="1" si="116"/>
        <v>4.7093006619186077</v>
      </c>
      <c r="BM12" s="37">
        <f t="shared" ca="1" si="117"/>
        <v>0.27818516524000869</v>
      </c>
      <c r="BN12" s="37">
        <f t="shared" ca="1" si="118"/>
        <v>0.73794864890772249</v>
      </c>
      <c r="BO12" s="37">
        <f t="shared" ca="1" si="119"/>
        <v>0.27878060069847299</v>
      </c>
      <c r="BP12" s="37">
        <f t="shared" ca="1" si="120"/>
        <v>2.1654129884269739</v>
      </c>
      <c r="BQ12" s="37">
        <f t="shared" ca="1" si="121"/>
        <v>6.9297331249740601</v>
      </c>
      <c r="BR12" s="37">
        <f t="shared" ca="1" si="122"/>
        <v>0.72221148668079183</v>
      </c>
      <c r="BS12" s="37">
        <f t="shared" ca="1" si="123"/>
        <v>1.1643189793877398</v>
      </c>
      <c r="BT12" s="37">
        <f t="shared" ca="1" si="124"/>
        <v>1.0003303907415795</v>
      </c>
      <c r="BU12" s="37">
        <f t="shared" ca="1" si="125"/>
        <v>4.479919985893182</v>
      </c>
      <c r="BV12" s="37">
        <f t="shared" ca="1" si="126"/>
        <v>4.8230946709578415</v>
      </c>
      <c r="BW12" s="37">
        <f t="shared" ca="1" si="127"/>
        <v>0.79175777799079394</v>
      </c>
      <c r="BX12" s="37">
        <f t="shared" ca="1" si="128"/>
        <v>2.8824841747585297</v>
      </c>
      <c r="BY12" s="37">
        <f t="shared" ca="1" si="129"/>
        <v>2.9682676873776783</v>
      </c>
      <c r="BZ12" s="37">
        <f t="shared" ca="1" si="130"/>
        <v>6.821921012219482</v>
      </c>
      <c r="CA12" s="37">
        <f t="shared" ca="1" si="131"/>
        <v>2.9682676873776783</v>
      </c>
      <c r="CB12" s="37">
        <f t="shared" ca="1" si="132"/>
        <v>3.8942707779678702</v>
      </c>
      <c r="CC12" s="37">
        <f t="shared" ca="1" si="133"/>
        <v>8.6927855902056912</v>
      </c>
      <c r="CD12" s="37">
        <f t="shared" ca="1" si="134"/>
        <v>3.8942707779678702</v>
      </c>
      <c r="CE12" s="37">
        <f t="shared" ca="1" si="135"/>
        <v>1.7749286790385033</v>
      </c>
    </row>
    <row r="13" spans="1:83" x14ac:dyDescent="0.25">
      <c r="A13" t="str">
        <f>PLANTILLA!D15</f>
        <v>Eckardt Hägerling</v>
      </c>
      <c r="B13">
        <f>PLANTILLA!E15</f>
        <v>18</v>
      </c>
      <c r="C13" s="33">
        <f ca="1">PLANTILLA!F15</f>
        <v>104</v>
      </c>
      <c r="D13" s="219" t="str">
        <f>PLANTILLA!G15</f>
        <v>IMP</v>
      </c>
      <c r="E13" s="30">
        <f>PLANTILLA!M15</f>
        <v>43045</v>
      </c>
      <c r="F13" s="47">
        <f>PLANTILLA!Q15</f>
        <v>7</v>
      </c>
      <c r="G13" s="48">
        <f t="shared" si="1"/>
        <v>1</v>
      </c>
      <c r="H13" s="48">
        <f t="shared" si="2"/>
        <v>1</v>
      </c>
      <c r="I13" s="51">
        <f t="shared" ca="1" si="3"/>
        <v>0.79244948764964851</v>
      </c>
      <c r="J13" s="39">
        <f>PLANTILLA!I15</f>
        <v>1.5</v>
      </c>
      <c r="K13" s="46">
        <f>PLANTILLA!X15</f>
        <v>0</v>
      </c>
      <c r="L13" s="46">
        <f>PLANTILLA!Y15</f>
        <v>5</v>
      </c>
      <c r="M13" s="46">
        <f>PLANTILLA!Z15</f>
        <v>3</v>
      </c>
      <c r="N13" s="46">
        <f>PLANTILLA!AA15</f>
        <v>5.3</v>
      </c>
      <c r="O13" s="46">
        <f>PLANTILLA!AB15</f>
        <v>3</v>
      </c>
      <c r="P13" s="46">
        <f>PLANTILLA!AC15</f>
        <v>4.6633333333333322</v>
      </c>
      <c r="Q13" s="46">
        <f>PLANTILLA!AD15</f>
        <v>3</v>
      </c>
      <c r="R13" s="46">
        <f t="shared" si="70"/>
        <v>1.75</v>
      </c>
      <c r="S13" s="46">
        <f t="shared" si="71"/>
        <v>0.3231666666666666</v>
      </c>
      <c r="T13" s="46">
        <f t="shared" si="72"/>
        <v>0.28999999999999998</v>
      </c>
      <c r="U13" s="46">
        <f t="shared" ca="1" si="73"/>
        <v>4.0272378330572236</v>
      </c>
      <c r="V13" s="46">
        <f t="shared" ca="1" si="74"/>
        <v>4.0272378330572236</v>
      </c>
      <c r="W13" s="37">
        <f t="shared" ca="1" si="75"/>
        <v>2.2767786282589562</v>
      </c>
      <c r="X13" s="37">
        <f t="shared" ca="1" si="76"/>
        <v>3.4511640424768752</v>
      </c>
      <c r="Y13" s="37">
        <f t="shared" ca="1" si="77"/>
        <v>2.2767786282589562</v>
      </c>
      <c r="Z13" s="37">
        <f t="shared" ca="1" si="78"/>
        <v>3.0737139064350365</v>
      </c>
      <c r="AA13" s="37">
        <f t="shared" ca="1" si="79"/>
        <v>6.0272378330572227</v>
      </c>
      <c r="AB13" s="37">
        <f t="shared" ca="1" si="80"/>
        <v>1.5368569532175183</v>
      </c>
      <c r="AC13" s="37">
        <f t="shared" ca="1" si="81"/>
        <v>1.6357431343863631</v>
      </c>
      <c r="AD13" s="37">
        <f t="shared" ca="1" si="82"/>
        <v>2.2516741407605498</v>
      </c>
      <c r="AE13" s="37">
        <f t="shared" ca="1" si="83"/>
        <v>4.3576929533003721</v>
      </c>
      <c r="AF13" s="37">
        <f t="shared" ca="1" si="84"/>
        <v>1.1258370703802749</v>
      </c>
      <c r="AG13" s="37">
        <f t="shared" ca="1" si="85"/>
        <v>2.6460550703308816</v>
      </c>
      <c r="AH13" s="37">
        <f t="shared" ca="1" si="86"/>
        <v>5.5450588064126451</v>
      </c>
      <c r="AI13" s="37">
        <f t="shared" ca="1" si="87"/>
        <v>2.7082520094226954</v>
      </c>
      <c r="AJ13" s="37">
        <f t="shared" ca="1" si="88"/>
        <v>0.67254871812055639</v>
      </c>
      <c r="AK13" s="37">
        <f t="shared" ca="1" si="89"/>
        <v>3.7204158458376471</v>
      </c>
      <c r="AL13" s="37">
        <f t="shared" ca="1" si="90"/>
        <v>4.5445373261251456</v>
      </c>
      <c r="AM13" s="37">
        <f t="shared" ca="1" si="91"/>
        <v>4.6315034364040297</v>
      </c>
      <c r="AN13" s="37">
        <f t="shared" ca="1" si="92"/>
        <v>0.67254871812055639</v>
      </c>
      <c r="AO13" s="37">
        <f t="shared" ca="1" si="93"/>
        <v>0.79984449592048035</v>
      </c>
      <c r="AP13" s="37">
        <f t="shared" ca="1" si="94"/>
        <v>1.6273542149254503</v>
      </c>
      <c r="AQ13" s="37">
        <f t="shared" ca="1" si="95"/>
        <v>3.58017927283599</v>
      </c>
      <c r="AR13" s="37">
        <f t="shared" ca="1" si="96"/>
        <v>0.81367710746272515</v>
      </c>
      <c r="AS13" s="37">
        <f t="shared" ca="1" si="97"/>
        <v>3.8017125144060189</v>
      </c>
      <c r="AT13" s="37">
        <f t="shared" ca="1" si="98"/>
        <v>0.5235409182974391</v>
      </c>
      <c r="AU13" s="37">
        <f t="shared" ca="1" si="99"/>
        <v>1.4677373517524326</v>
      </c>
      <c r="AV13" s="37">
        <f t="shared" ca="1" si="100"/>
        <v>0.26177045914871955</v>
      </c>
      <c r="AW13" s="37">
        <f t="shared" ca="1" si="101"/>
        <v>1.139147950447815</v>
      </c>
      <c r="AX13" s="37">
        <f t="shared" ca="1" si="102"/>
        <v>2.4108951332228892</v>
      </c>
      <c r="AY13" s="37">
        <f t="shared" ca="1" si="103"/>
        <v>0.56957397522390751</v>
      </c>
      <c r="AZ13" s="37">
        <f t="shared" ca="1" si="104"/>
        <v>4.0272378330572236</v>
      </c>
      <c r="BA13" s="37">
        <f t="shared" ca="1" si="105"/>
        <v>1.0188911717634777</v>
      </c>
      <c r="BB13" s="37">
        <f t="shared" ca="1" si="106"/>
        <v>2.56830804601453</v>
      </c>
      <c r="BC13" s="37">
        <f t="shared" ca="1" si="107"/>
        <v>0.50944558588173883</v>
      </c>
      <c r="BD13" s="37">
        <f t="shared" ca="1" si="108"/>
        <v>1.7539262094196517</v>
      </c>
      <c r="BE13" s="37">
        <f t="shared" ca="1" si="109"/>
        <v>2.0974787659039134</v>
      </c>
      <c r="BF13" s="37">
        <f t="shared" ca="1" si="110"/>
        <v>3.547996530923414</v>
      </c>
      <c r="BG13" s="37">
        <f t="shared" ca="1" si="111"/>
        <v>4.900414433587871</v>
      </c>
      <c r="BH13" s="37">
        <f t="shared" ca="1" si="112"/>
        <v>0.97056431776679086</v>
      </c>
      <c r="BI13" s="37">
        <f t="shared" ca="1" si="113"/>
        <v>2.923210349032753</v>
      </c>
      <c r="BJ13" s="37">
        <f t="shared" ca="1" si="114"/>
        <v>1.5911907879271068</v>
      </c>
      <c r="BK13" s="37">
        <f t="shared" ca="1" si="115"/>
        <v>1.5343776143948022</v>
      </c>
      <c r="BL13" s="37">
        <f t="shared" ca="1" si="116"/>
        <v>5.0677058660920133</v>
      </c>
      <c r="BM13" s="37">
        <f t="shared" ca="1" si="117"/>
        <v>0.20941636731897562</v>
      </c>
      <c r="BN13" s="37">
        <f t="shared" ca="1" si="118"/>
        <v>1.0849028099503</v>
      </c>
      <c r="BO13" s="37">
        <f t="shared" ca="1" si="119"/>
        <v>0.4098521726478912</v>
      </c>
      <c r="BP13" s="37">
        <f t="shared" ca="1" si="120"/>
        <v>1.2283075390824532</v>
      </c>
      <c r="BQ13" s="37">
        <f t="shared" ca="1" si="121"/>
        <v>7.4790278533115888</v>
      </c>
      <c r="BR13" s="37">
        <f t="shared" ca="1" si="122"/>
        <v>0.54367710746272524</v>
      </c>
      <c r="BS13" s="37">
        <f t="shared" ca="1" si="123"/>
        <v>1.7117355445882512</v>
      </c>
      <c r="BT13" s="37">
        <f t="shared" ca="1" si="124"/>
        <v>1.4706460312659624</v>
      </c>
      <c r="BU13" s="37">
        <f t="shared" ca="1" si="125"/>
        <v>2.5411870726591079</v>
      </c>
      <c r="BV13" s="37">
        <f t="shared" ca="1" si="126"/>
        <v>5.2189778605862145</v>
      </c>
      <c r="BW13" s="37">
        <f t="shared" ca="1" si="127"/>
        <v>0.59603119929246906</v>
      </c>
      <c r="BX13" s="37">
        <f t="shared" ca="1" si="128"/>
        <v>1.6350585602212329</v>
      </c>
      <c r="BY13" s="37">
        <f t="shared" ca="1" si="129"/>
        <v>2.6406342443561464</v>
      </c>
      <c r="BZ13" s="37">
        <f t="shared" ca="1" si="130"/>
        <v>5.5043931333557659</v>
      </c>
      <c r="CA13" s="37">
        <f t="shared" ca="1" si="131"/>
        <v>2.6406342443561464</v>
      </c>
      <c r="CB13" s="37">
        <f t="shared" ca="1" si="132"/>
        <v>3.6859291699946497</v>
      </c>
      <c r="CC13" s="37">
        <f t="shared" ca="1" si="133"/>
        <v>7.1766219267886706</v>
      </c>
      <c r="CD13" s="37">
        <f t="shared" ca="1" si="134"/>
        <v>3.6859291699946497</v>
      </c>
      <c r="CE13" s="37">
        <f t="shared" ca="1" si="135"/>
        <v>1.0068094582643059</v>
      </c>
    </row>
    <row r="14" spans="1:83" x14ac:dyDescent="0.25">
      <c r="A14" t="str">
        <f>PLANTILLA!D17</f>
        <v>Marc Dolz</v>
      </c>
      <c r="B14">
        <f>PLANTILLA!E17</f>
        <v>18</v>
      </c>
      <c r="C14" s="33">
        <f ca="1">PLANTILLA!F17</f>
        <v>105</v>
      </c>
      <c r="D14" s="219" t="str">
        <f>PLANTILLA!G17</f>
        <v>POT</v>
      </c>
      <c r="E14" s="30">
        <f>PLANTILLA!M17</f>
        <v>43046</v>
      </c>
      <c r="F14" s="47">
        <f>PLANTILLA!Q17</f>
        <v>6</v>
      </c>
      <c r="G14" s="48">
        <f t="shared" si="1"/>
        <v>0.92582009977255142</v>
      </c>
      <c r="H14" s="48">
        <f t="shared" si="2"/>
        <v>0.99928545900129484</v>
      </c>
      <c r="I14" s="51">
        <f t="shared" ca="1" si="3"/>
        <v>0.79056941504209488</v>
      </c>
      <c r="J14" s="39">
        <f>PLANTILLA!I17</f>
        <v>1.1000000000000001</v>
      </c>
      <c r="K14" s="46">
        <f>PLANTILLA!X17</f>
        <v>0</v>
      </c>
      <c r="L14" s="46">
        <f>PLANTILLA!Y17</f>
        <v>4</v>
      </c>
      <c r="M14" s="46">
        <f>PLANTILLA!Z17</f>
        <v>4</v>
      </c>
      <c r="N14" s="46">
        <f>PLANTILLA!AA17</f>
        <v>3.0714285714285716</v>
      </c>
      <c r="O14" s="46">
        <f>PLANTILLA!AB17</f>
        <v>4.2926666666666664</v>
      </c>
      <c r="P14" s="46">
        <f>PLANTILLA!AC17</f>
        <v>3.6666666666666687</v>
      </c>
      <c r="Q14" s="46">
        <f>PLANTILLA!AD17</f>
        <v>0.4</v>
      </c>
      <c r="R14" s="46">
        <f t="shared" si="70"/>
        <v>1.9481666666666666</v>
      </c>
      <c r="S14" s="46">
        <f t="shared" si="71"/>
        <v>0.19533333333333344</v>
      </c>
      <c r="T14" s="46">
        <f t="shared" si="72"/>
        <v>0.17200000000000001</v>
      </c>
      <c r="U14" s="46">
        <f t="shared" ca="1" si="73"/>
        <v>1.153349334491143</v>
      </c>
      <c r="V14" s="46">
        <f t="shared" ca="1" si="74"/>
        <v>1.2448695155667537</v>
      </c>
      <c r="W14" s="37">
        <f t="shared" ca="1" si="75"/>
        <v>1.8423481848559229</v>
      </c>
      <c r="X14" s="37">
        <f t="shared" ca="1" si="76"/>
        <v>2.7918757235383689</v>
      </c>
      <c r="Y14" s="37">
        <f t="shared" ca="1" si="77"/>
        <v>1.8423481848559229</v>
      </c>
      <c r="Z14" s="37">
        <f t="shared" ca="1" si="78"/>
        <v>2.4641573880797396</v>
      </c>
      <c r="AA14" s="37">
        <f t="shared" ca="1" si="79"/>
        <v>4.8457596619197281</v>
      </c>
      <c r="AB14" s="37">
        <f t="shared" ca="1" si="80"/>
        <v>1.2320786940398698</v>
      </c>
      <c r="AC14" s="37">
        <f t="shared" ca="1" si="81"/>
        <v>1.8289445408436102</v>
      </c>
      <c r="AD14" s="37">
        <f t="shared" ca="1" si="82"/>
        <v>1.8051385517328324</v>
      </c>
      <c r="AE14" s="37">
        <f t="shared" ca="1" si="83"/>
        <v>3.5034842355679632</v>
      </c>
      <c r="AF14" s="37">
        <f t="shared" ca="1" si="84"/>
        <v>0.90256927586641622</v>
      </c>
      <c r="AG14" s="37">
        <f t="shared" ca="1" si="85"/>
        <v>2.958586757247017</v>
      </c>
      <c r="AH14" s="37">
        <f t="shared" ca="1" si="86"/>
        <v>4.4580988889661501</v>
      </c>
      <c r="AI14" s="37">
        <f t="shared" ca="1" si="87"/>
        <v>2.2186147657969548</v>
      </c>
      <c r="AJ14" s="37">
        <f t="shared" ca="1" si="88"/>
        <v>0.80924186354059469</v>
      </c>
      <c r="AK14" s="37">
        <f t="shared" ca="1" si="89"/>
        <v>2.3033066812088006</v>
      </c>
      <c r="AL14" s="37">
        <f t="shared" ca="1" si="90"/>
        <v>3.653702785087475</v>
      </c>
      <c r="AM14" s="37">
        <f t="shared" ca="1" si="91"/>
        <v>3.7941527878846477</v>
      </c>
      <c r="AN14" s="37">
        <f t="shared" ca="1" si="92"/>
        <v>0.20804186354059465</v>
      </c>
      <c r="AO14" s="37">
        <f t="shared" ca="1" si="93"/>
        <v>0.8046507826328817</v>
      </c>
      <c r="AP14" s="37">
        <f t="shared" ca="1" si="94"/>
        <v>1.3083551087183267</v>
      </c>
      <c r="AQ14" s="37">
        <f t="shared" ca="1" si="95"/>
        <v>2.8783812391803183</v>
      </c>
      <c r="AR14" s="37">
        <f t="shared" ca="1" si="96"/>
        <v>0.65417755435916336</v>
      </c>
      <c r="AS14" s="37">
        <f t="shared" ca="1" si="97"/>
        <v>4.5743971208522227</v>
      </c>
      <c r="AT14" s="37">
        <f t="shared" ca="1" si="98"/>
        <v>0.66799542271623136</v>
      </c>
      <c r="AU14" s="37">
        <f t="shared" ca="1" si="99"/>
        <v>1.3972609142758139</v>
      </c>
      <c r="AV14" s="37">
        <f t="shared" ca="1" si="100"/>
        <v>0.33399771135811568</v>
      </c>
      <c r="AW14" s="37">
        <f t="shared" ca="1" si="101"/>
        <v>0.91584857610282866</v>
      </c>
      <c r="AX14" s="37">
        <f t="shared" ca="1" si="102"/>
        <v>1.9383038647678914</v>
      </c>
      <c r="AY14" s="37">
        <f t="shared" ca="1" si="103"/>
        <v>0.45792428805141433</v>
      </c>
      <c r="AZ14" s="37">
        <f t="shared" ca="1" si="104"/>
        <v>4.8457596619197281</v>
      </c>
      <c r="BA14" s="37">
        <f t="shared" ca="1" si="105"/>
        <v>1.3000218611323577</v>
      </c>
      <c r="BB14" s="37">
        <f t="shared" ca="1" si="106"/>
        <v>2.6998129070511041</v>
      </c>
      <c r="BC14" s="37">
        <f t="shared" ca="1" si="107"/>
        <v>0.65001093056617887</v>
      </c>
      <c r="BD14" s="37">
        <f t="shared" ca="1" si="108"/>
        <v>1.4101160616186408</v>
      </c>
      <c r="BE14" s="37">
        <f t="shared" ca="1" si="109"/>
        <v>1.6863243623480653</v>
      </c>
      <c r="BF14" s="37">
        <f t="shared" ca="1" si="110"/>
        <v>4.2691142621512803</v>
      </c>
      <c r="BG14" s="37">
        <f t="shared" ca="1" si="111"/>
        <v>3.8670703394466384</v>
      </c>
      <c r="BH14" s="37">
        <f t="shared" ca="1" si="112"/>
        <v>1.238360745189321</v>
      </c>
      <c r="BI14" s="37">
        <f t="shared" ca="1" si="113"/>
        <v>2.3501934360310681</v>
      </c>
      <c r="BJ14" s="37">
        <f t="shared" ca="1" si="114"/>
        <v>1.2792805507468084</v>
      </c>
      <c r="BK14" s="37">
        <f t="shared" ca="1" si="115"/>
        <v>1.8462344311914165</v>
      </c>
      <c r="BL14" s="37">
        <f t="shared" ca="1" si="116"/>
        <v>3.6690913730892714</v>
      </c>
      <c r="BM14" s="37">
        <f t="shared" ca="1" si="117"/>
        <v>0.26719816908649252</v>
      </c>
      <c r="BN14" s="37">
        <f t="shared" ca="1" si="118"/>
        <v>0.872236739145551</v>
      </c>
      <c r="BO14" s="37">
        <f t="shared" ca="1" si="119"/>
        <v>0.32951165701054153</v>
      </c>
      <c r="BP14" s="37">
        <f t="shared" ca="1" si="120"/>
        <v>1.4779566968855171</v>
      </c>
      <c r="BQ14" s="37">
        <f t="shared" ca="1" si="121"/>
        <v>5.386778163324009</v>
      </c>
      <c r="BR14" s="37">
        <f t="shared" ca="1" si="122"/>
        <v>0.69368755435916329</v>
      </c>
      <c r="BS14" s="37">
        <f t="shared" ca="1" si="123"/>
        <v>1.3761957439852026</v>
      </c>
      <c r="BT14" s="37">
        <f t="shared" ca="1" si="124"/>
        <v>1.1823653575084137</v>
      </c>
      <c r="BU14" s="37">
        <f t="shared" ca="1" si="125"/>
        <v>3.0576743466713485</v>
      </c>
      <c r="BV14" s="37">
        <f t="shared" ca="1" si="126"/>
        <v>3.7415824212276809</v>
      </c>
      <c r="BW14" s="37">
        <f t="shared" ca="1" si="127"/>
        <v>0.7604870966307864</v>
      </c>
      <c r="BX14" s="37">
        <f t="shared" ca="1" si="128"/>
        <v>1.9673784227394098</v>
      </c>
      <c r="BY14" s="37">
        <f t="shared" ca="1" si="129"/>
        <v>2.4217598314792261</v>
      </c>
      <c r="BZ14" s="37">
        <f t="shared" ca="1" si="130"/>
        <v>5.4209100459882817</v>
      </c>
      <c r="CA14" s="37">
        <f t="shared" ca="1" si="131"/>
        <v>2.4217598314792261</v>
      </c>
      <c r="CB14" s="37">
        <f t="shared" ca="1" si="132"/>
        <v>2.6796939836617057</v>
      </c>
      <c r="CC14" s="37">
        <f t="shared" ca="1" si="133"/>
        <v>6.4085056438347765</v>
      </c>
      <c r="CD14" s="37">
        <f t="shared" ca="1" si="134"/>
        <v>2.6796939836617057</v>
      </c>
      <c r="CE14" s="37">
        <f t="shared" ca="1" si="135"/>
        <v>1.211439915479932</v>
      </c>
    </row>
    <row r="15" spans="1:83" x14ac:dyDescent="0.25">
      <c r="A15" t="e">
        <f>PLANTILLA!#REF!</f>
        <v>#REF!</v>
      </c>
      <c r="B15" t="e">
        <f>PLANTILLA!#REF!</f>
        <v>#REF!</v>
      </c>
      <c r="C15" s="33" t="e">
        <f>PLANTILLA!#REF!</f>
        <v>#REF!</v>
      </c>
      <c r="D15" s="219" t="e">
        <f>PLANTILLA!#REF!</f>
        <v>#REF!</v>
      </c>
      <c r="E15" s="30" t="e">
        <f>PLANTILLA!#REF!</f>
        <v>#REF!</v>
      </c>
      <c r="F15" s="47" t="e">
        <f>PLANTILLA!#REF!</f>
        <v>#REF!</v>
      </c>
      <c r="G15" s="48" t="e">
        <f t="shared" si="1"/>
        <v>#REF!</v>
      </c>
      <c r="H15" s="48" t="e">
        <f t="shared" si="2"/>
        <v>#REF!</v>
      </c>
      <c r="I15" s="51" t="e">
        <f t="shared" ca="1" si="3"/>
        <v>#REF!</v>
      </c>
      <c r="J15" s="39" t="e">
        <f>PLANTILLA!#REF!</f>
        <v>#REF!</v>
      </c>
      <c r="K15" s="46" t="e">
        <f>PLANTILLA!#REF!</f>
        <v>#REF!</v>
      </c>
      <c r="L15" s="46" t="e">
        <f>PLANTILLA!#REF!</f>
        <v>#REF!</v>
      </c>
      <c r="M15" s="46" t="e">
        <f>PLANTILLA!#REF!</f>
        <v>#REF!</v>
      </c>
      <c r="N15" s="46" t="e">
        <f>PLANTILLA!#REF!</f>
        <v>#REF!</v>
      </c>
      <c r="O15" s="46" t="e">
        <f>PLANTILLA!#REF!</f>
        <v>#REF!</v>
      </c>
      <c r="P15" s="46" t="e">
        <f>PLANTILLA!#REF!</f>
        <v>#REF!</v>
      </c>
      <c r="Q15" s="46" t="e">
        <f>PLANTILLA!#REF!</f>
        <v>#REF!</v>
      </c>
      <c r="R15" s="46" t="e">
        <f t="shared" si="70"/>
        <v>#REF!</v>
      </c>
      <c r="S15" s="46" t="e">
        <f t="shared" si="71"/>
        <v>#REF!</v>
      </c>
      <c r="T15" s="46" t="e">
        <f t="shared" si="72"/>
        <v>#REF!</v>
      </c>
      <c r="U15" s="46" t="e">
        <f t="shared" ca="1" si="73"/>
        <v>#REF!</v>
      </c>
      <c r="V15" s="46" t="e">
        <f t="shared" ca="1" si="74"/>
        <v>#REF!</v>
      </c>
      <c r="W15" s="37" t="e">
        <f t="shared" ca="1" si="75"/>
        <v>#REF!</v>
      </c>
      <c r="X15" s="37" t="e">
        <f t="shared" ca="1" si="76"/>
        <v>#REF!</v>
      </c>
      <c r="Y15" s="37" t="e">
        <f t="shared" ca="1" si="77"/>
        <v>#REF!</v>
      </c>
      <c r="Z15" s="37" t="e">
        <f t="shared" ca="1" si="78"/>
        <v>#REF!</v>
      </c>
      <c r="AA15" s="37" t="e">
        <f t="shared" ca="1" si="79"/>
        <v>#REF!</v>
      </c>
      <c r="AB15" s="37" t="e">
        <f t="shared" ca="1" si="80"/>
        <v>#REF!</v>
      </c>
      <c r="AC15" s="37" t="e">
        <f t="shared" ca="1" si="81"/>
        <v>#REF!</v>
      </c>
      <c r="AD15" s="37" t="e">
        <f t="shared" ca="1" si="82"/>
        <v>#REF!</v>
      </c>
      <c r="AE15" s="37" t="e">
        <f t="shared" ca="1" si="83"/>
        <v>#REF!</v>
      </c>
      <c r="AF15" s="37" t="e">
        <f t="shared" ca="1" si="84"/>
        <v>#REF!</v>
      </c>
      <c r="AG15" s="37" t="e">
        <f t="shared" ca="1" si="85"/>
        <v>#REF!</v>
      </c>
      <c r="AH15" s="37" t="e">
        <f t="shared" ca="1" si="86"/>
        <v>#REF!</v>
      </c>
      <c r="AI15" s="37" t="e">
        <f t="shared" ca="1" si="87"/>
        <v>#REF!</v>
      </c>
      <c r="AJ15" s="37" t="e">
        <f t="shared" ca="1" si="88"/>
        <v>#REF!</v>
      </c>
      <c r="AK15" s="37" t="e">
        <f t="shared" ca="1" si="89"/>
        <v>#REF!</v>
      </c>
      <c r="AL15" s="37" t="e">
        <f t="shared" ca="1" si="90"/>
        <v>#REF!</v>
      </c>
      <c r="AM15" s="37" t="e">
        <f t="shared" ca="1" si="91"/>
        <v>#REF!</v>
      </c>
      <c r="AN15" s="37" t="e">
        <f t="shared" ca="1" si="92"/>
        <v>#REF!</v>
      </c>
      <c r="AO15" s="37" t="e">
        <f t="shared" ca="1" si="93"/>
        <v>#REF!</v>
      </c>
      <c r="AP15" s="37" t="e">
        <f t="shared" ca="1" si="94"/>
        <v>#REF!</v>
      </c>
      <c r="AQ15" s="37" t="e">
        <f t="shared" ca="1" si="95"/>
        <v>#REF!</v>
      </c>
      <c r="AR15" s="37" t="e">
        <f t="shared" ca="1" si="96"/>
        <v>#REF!</v>
      </c>
      <c r="AS15" s="37" t="e">
        <f t="shared" ca="1" si="97"/>
        <v>#REF!</v>
      </c>
      <c r="AT15" s="37" t="e">
        <f t="shared" ca="1" si="98"/>
        <v>#REF!</v>
      </c>
      <c r="AU15" s="37" t="e">
        <f t="shared" ca="1" si="99"/>
        <v>#REF!</v>
      </c>
      <c r="AV15" s="37" t="e">
        <f t="shared" ca="1" si="100"/>
        <v>#REF!</v>
      </c>
      <c r="AW15" s="37" t="e">
        <f t="shared" ca="1" si="101"/>
        <v>#REF!</v>
      </c>
      <c r="AX15" s="37" t="e">
        <f t="shared" ca="1" si="102"/>
        <v>#REF!</v>
      </c>
      <c r="AY15" s="37" t="e">
        <f t="shared" ca="1" si="103"/>
        <v>#REF!</v>
      </c>
      <c r="AZ15" s="37" t="e">
        <f t="shared" ca="1" si="104"/>
        <v>#REF!</v>
      </c>
      <c r="BA15" s="37" t="e">
        <f t="shared" ca="1" si="105"/>
        <v>#REF!</v>
      </c>
      <c r="BB15" s="37" t="e">
        <f t="shared" ca="1" si="106"/>
        <v>#REF!</v>
      </c>
      <c r="BC15" s="37" t="e">
        <f t="shared" ca="1" si="107"/>
        <v>#REF!</v>
      </c>
      <c r="BD15" s="37" t="e">
        <f t="shared" ca="1" si="108"/>
        <v>#REF!</v>
      </c>
      <c r="BE15" s="37" t="e">
        <f t="shared" ca="1" si="109"/>
        <v>#REF!</v>
      </c>
      <c r="BF15" s="37" t="e">
        <f t="shared" ca="1" si="110"/>
        <v>#REF!</v>
      </c>
      <c r="BG15" s="37" t="e">
        <f t="shared" ca="1" si="111"/>
        <v>#REF!</v>
      </c>
      <c r="BH15" s="37" t="e">
        <f t="shared" ca="1" si="112"/>
        <v>#REF!</v>
      </c>
      <c r="BI15" s="37" t="e">
        <f t="shared" ca="1" si="113"/>
        <v>#REF!</v>
      </c>
      <c r="BJ15" s="37" t="e">
        <f t="shared" ca="1" si="114"/>
        <v>#REF!</v>
      </c>
      <c r="BK15" s="37" t="e">
        <f t="shared" ca="1" si="115"/>
        <v>#REF!</v>
      </c>
      <c r="BL15" s="37" t="e">
        <f t="shared" ca="1" si="116"/>
        <v>#REF!</v>
      </c>
      <c r="BM15" s="37" t="e">
        <f t="shared" ca="1" si="117"/>
        <v>#REF!</v>
      </c>
      <c r="BN15" s="37" t="e">
        <f t="shared" ca="1" si="118"/>
        <v>#REF!</v>
      </c>
      <c r="BO15" s="37" t="e">
        <f t="shared" ca="1" si="119"/>
        <v>#REF!</v>
      </c>
      <c r="BP15" s="37" t="e">
        <f t="shared" ca="1" si="120"/>
        <v>#REF!</v>
      </c>
      <c r="BQ15" s="37" t="e">
        <f t="shared" ca="1" si="121"/>
        <v>#REF!</v>
      </c>
      <c r="BR15" s="37" t="e">
        <f t="shared" ca="1" si="122"/>
        <v>#REF!</v>
      </c>
      <c r="BS15" s="37" t="e">
        <f t="shared" ca="1" si="123"/>
        <v>#REF!</v>
      </c>
      <c r="BT15" s="37" t="e">
        <f t="shared" ca="1" si="124"/>
        <v>#REF!</v>
      </c>
      <c r="BU15" s="37" t="e">
        <f t="shared" ca="1" si="125"/>
        <v>#REF!</v>
      </c>
      <c r="BV15" s="37" t="e">
        <f t="shared" ca="1" si="126"/>
        <v>#REF!</v>
      </c>
      <c r="BW15" s="37" t="e">
        <f t="shared" ca="1" si="127"/>
        <v>#REF!</v>
      </c>
      <c r="BX15" s="37" t="e">
        <f t="shared" ca="1" si="128"/>
        <v>#REF!</v>
      </c>
      <c r="BY15" s="37" t="e">
        <f t="shared" ca="1" si="129"/>
        <v>#REF!</v>
      </c>
      <c r="BZ15" s="37" t="e">
        <f t="shared" ca="1" si="130"/>
        <v>#REF!</v>
      </c>
      <c r="CA15" s="37" t="e">
        <f t="shared" ca="1" si="131"/>
        <v>#REF!</v>
      </c>
      <c r="CB15" s="37" t="e">
        <f t="shared" ca="1" si="132"/>
        <v>#REF!</v>
      </c>
      <c r="CC15" s="37" t="e">
        <f t="shared" ca="1" si="133"/>
        <v>#REF!</v>
      </c>
      <c r="CD15" s="37" t="e">
        <f t="shared" ca="1" si="134"/>
        <v>#REF!</v>
      </c>
      <c r="CE15" s="37" t="e">
        <f t="shared" ca="1" si="135"/>
        <v>#REF!</v>
      </c>
    </row>
    <row r="16" spans="1:83" x14ac:dyDescent="0.25">
      <c r="A16" t="str">
        <f>PLANTILLA!D19</f>
        <v>Roberto Abenoza</v>
      </c>
      <c r="B16">
        <f>PLANTILLA!E19</f>
        <v>19</v>
      </c>
      <c r="C16" s="33">
        <f ca="1">PLANTILLA!F19</f>
        <v>21</v>
      </c>
      <c r="D16" s="219" t="str">
        <f>PLANTILLA!G19</f>
        <v>CAB</v>
      </c>
      <c r="E16" s="30">
        <f>PLANTILLA!M19</f>
        <v>43046</v>
      </c>
      <c r="F16" s="47">
        <f>PLANTILLA!Q19</f>
        <v>6</v>
      </c>
      <c r="G16" s="48">
        <f t="shared" si="1"/>
        <v>0.92582009977255142</v>
      </c>
      <c r="H16" s="48">
        <f t="shared" si="2"/>
        <v>0.99928545900129484</v>
      </c>
      <c r="I16" s="51">
        <f t="shared" ca="1" si="3"/>
        <v>0.79056941504209488</v>
      </c>
      <c r="J16" s="39">
        <f>PLANTILLA!I19</f>
        <v>1</v>
      </c>
      <c r="K16" s="46">
        <f>PLANTILLA!X19</f>
        <v>0</v>
      </c>
      <c r="L16" s="46">
        <f>PLANTILLA!Y19</f>
        <v>2</v>
      </c>
      <c r="M16" s="46">
        <f>PLANTILLA!Z19</f>
        <v>5</v>
      </c>
      <c r="N16" s="46">
        <f>PLANTILLA!AA19</f>
        <v>4</v>
      </c>
      <c r="O16" s="46">
        <f>PLANTILLA!AB19</f>
        <v>3</v>
      </c>
      <c r="P16" s="46">
        <f>PLANTILLA!AC19</f>
        <v>5.6999999999999975</v>
      </c>
      <c r="Q16" s="46">
        <f>PLANTILLA!AD19</f>
        <v>5</v>
      </c>
      <c r="R16" s="46">
        <f t="shared" si="70"/>
        <v>1.375</v>
      </c>
      <c r="S16" s="46">
        <f t="shared" si="71"/>
        <v>0.43499999999999989</v>
      </c>
      <c r="T16" s="46">
        <f t="shared" si="72"/>
        <v>0.22999999999999998</v>
      </c>
      <c r="U16" s="46">
        <f t="shared" ca="1" si="73"/>
        <v>5.3610255535741569</v>
      </c>
      <c r="V16" s="46">
        <f t="shared" ca="1" si="74"/>
        <v>5.7864318157891992</v>
      </c>
      <c r="W16" s="37">
        <f t="shared" ca="1" si="75"/>
        <v>1.2421670993317488</v>
      </c>
      <c r="X16" s="37">
        <f t="shared" ca="1" si="76"/>
        <v>1.8706251148193447</v>
      </c>
      <c r="Y16" s="37">
        <f t="shared" ca="1" si="77"/>
        <v>1.2421670993317488</v>
      </c>
      <c r="Z16" s="37">
        <f t="shared" ca="1" si="78"/>
        <v>1.403679220690881</v>
      </c>
      <c r="AA16" s="37">
        <f t="shared" ca="1" si="79"/>
        <v>2.790569415042095</v>
      </c>
      <c r="AB16" s="37">
        <f t="shared" ca="1" si="80"/>
        <v>0.70183961034544051</v>
      </c>
      <c r="AC16" s="37">
        <f t="shared" ca="1" si="81"/>
        <v>2.0538092620867334</v>
      </c>
      <c r="AD16" s="37">
        <f t="shared" ca="1" si="82"/>
        <v>1.0282766384130873</v>
      </c>
      <c r="AE16" s="37">
        <f t="shared" ca="1" si="83"/>
        <v>2.0175816870754346</v>
      </c>
      <c r="AF16" s="37">
        <f t="shared" ca="1" si="84"/>
        <v>0.51413831920654363</v>
      </c>
      <c r="AG16" s="37">
        <f t="shared" ca="1" si="85"/>
        <v>3.3223385121991278</v>
      </c>
      <c r="AH16" s="37">
        <f t="shared" ca="1" si="86"/>
        <v>2.5673238618387275</v>
      </c>
      <c r="AI16" s="37">
        <f t="shared" ca="1" si="87"/>
        <v>1.3677660035896149</v>
      </c>
      <c r="AJ16" s="37">
        <f t="shared" ca="1" si="88"/>
        <v>0.96702509231202982</v>
      </c>
      <c r="AK16" s="37">
        <f t="shared" ca="1" si="89"/>
        <v>2.8168548160447515</v>
      </c>
      <c r="AL16" s="37">
        <f t="shared" ca="1" si="90"/>
        <v>2.1040893389417397</v>
      </c>
      <c r="AM16" s="37">
        <f t="shared" ca="1" si="91"/>
        <v>2.3390780930952833</v>
      </c>
      <c r="AN16" s="37">
        <f t="shared" ca="1" si="92"/>
        <v>0.96702509231202982</v>
      </c>
      <c r="AO16" s="37">
        <f t="shared" ca="1" si="93"/>
        <v>0.62368399153212328</v>
      </c>
      <c r="AP16" s="37">
        <f t="shared" ca="1" si="94"/>
        <v>0.75345374206136573</v>
      </c>
      <c r="AQ16" s="37">
        <f t="shared" ca="1" si="95"/>
        <v>1.6575982325350043</v>
      </c>
      <c r="AR16" s="37">
        <f t="shared" ca="1" si="96"/>
        <v>0.37672687103068286</v>
      </c>
      <c r="AS16" s="37">
        <f t="shared" ca="1" si="97"/>
        <v>5.4662975277997372</v>
      </c>
      <c r="AT16" s="37">
        <f t="shared" ca="1" si="98"/>
        <v>0.49277402395547237</v>
      </c>
      <c r="AU16" s="37">
        <f t="shared" ca="1" si="99"/>
        <v>1.5777368386073332</v>
      </c>
      <c r="AV16" s="37">
        <f t="shared" ca="1" si="100"/>
        <v>0.24638701197773619</v>
      </c>
      <c r="AW16" s="37">
        <f t="shared" ca="1" si="101"/>
        <v>0.52741761944295595</v>
      </c>
      <c r="AX16" s="37">
        <f t="shared" ca="1" si="102"/>
        <v>1.116227766016838</v>
      </c>
      <c r="AY16" s="37">
        <f t="shared" ca="1" si="103"/>
        <v>0.26370880972147798</v>
      </c>
      <c r="AZ16" s="37">
        <f t="shared" ca="1" si="104"/>
        <v>5.7905694150420945</v>
      </c>
      <c r="BA16" s="37">
        <f t="shared" ca="1" si="105"/>
        <v>0.95901406200565009</v>
      </c>
      <c r="BB16" s="37">
        <f t="shared" ca="1" si="106"/>
        <v>2.6556037476881942</v>
      </c>
      <c r="BC16" s="37">
        <f t="shared" ca="1" si="107"/>
        <v>0.47950703100282505</v>
      </c>
      <c r="BD16" s="37">
        <f t="shared" ca="1" si="108"/>
        <v>0.81205569977724956</v>
      </c>
      <c r="BE16" s="37">
        <f t="shared" ca="1" si="109"/>
        <v>0.97111815643464894</v>
      </c>
      <c r="BF16" s="37">
        <f t="shared" ca="1" si="110"/>
        <v>5.1014916546520856</v>
      </c>
      <c r="BG16" s="37">
        <f t="shared" ca="1" si="111"/>
        <v>3.9438162099724217</v>
      </c>
      <c r="BH16" s="37">
        <f t="shared" ca="1" si="112"/>
        <v>0.91352722902514483</v>
      </c>
      <c r="BI16" s="37">
        <f t="shared" ca="1" si="113"/>
        <v>1.3534261662954161</v>
      </c>
      <c r="BJ16" s="37">
        <f t="shared" ca="1" si="114"/>
        <v>0.73671032557111316</v>
      </c>
      <c r="BK16" s="37">
        <f t="shared" ca="1" si="115"/>
        <v>2.2062069471310379</v>
      </c>
      <c r="BL16" s="37">
        <f t="shared" ca="1" si="116"/>
        <v>3.9859576687467912</v>
      </c>
      <c r="BM16" s="37">
        <f t="shared" ca="1" si="117"/>
        <v>0.19710960958218893</v>
      </c>
      <c r="BN16" s="37">
        <f t="shared" ca="1" si="118"/>
        <v>0.50230249470757704</v>
      </c>
      <c r="BO16" s="37">
        <f t="shared" ca="1" si="119"/>
        <v>0.18975872022286247</v>
      </c>
      <c r="BP16" s="37">
        <f t="shared" ca="1" si="120"/>
        <v>1.7661236715878388</v>
      </c>
      <c r="BQ16" s="37">
        <f t="shared" ca="1" si="121"/>
        <v>5.8746722677441339</v>
      </c>
      <c r="BR16" s="37">
        <f t="shared" ca="1" si="122"/>
        <v>0.51172687103068282</v>
      </c>
      <c r="BS16" s="37">
        <f t="shared" ca="1" si="123"/>
        <v>0.79252171387195491</v>
      </c>
      <c r="BT16" s="37">
        <f t="shared" ca="1" si="124"/>
        <v>0.68089893727027118</v>
      </c>
      <c r="BU16" s="37">
        <f t="shared" ca="1" si="125"/>
        <v>3.6538493008915616</v>
      </c>
      <c r="BV16" s="37">
        <f t="shared" ca="1" si="126"/>
        <v>4.0945596264626749</v>
      </c>
      <c r="BW16" s="37">
        <f t="shared" ca="1" si="127"/>
        <v>0.56100427342623005</v>
      </c>
      <c r="BX16" s="37">
        <f t="shared" ca="1" si="128"/>
        <v>2.3509711825070907</v>
      </c>
      <c r="BY16" s="37">
        <f t="shared" ca="1" si="129"/>
        <v>2.4617866652369309</v>
      </c>
      <c r="BZ16" s="37">
        <f t="shared" ca="1" si="130"/>
        <v>5.8422811613373966</v>
      </c>
      <c r="CA16" s="37">
        <f t="shared" ca="1" si="131"/>
        <v>2.4617866652369309</v>
      </c>
      <c r="CB16" s="37">
        <f t="shared" ca="1" si="132"/>
        <v>3.6679247455712241</v>
      </c>
      <c r="CC16" s="37">
        <f t="shared" ca="1" si="133"/>
        <v>7.8892895291926255</v>
      </c>
      <c r="CD16" s="37">
        <f t="shared" ca="1" si="134"/>
        <v>3.6679247455712241</v>
      </c>
      <c r="CE16" s="37">
        <f t="shared" ca="1" si="135"/>
        <v>1.4476423537605236</v>
      </c>
    </row>
    <row r="17" spans="1:83" x14ac:dyDescent="0.25">
      <c r="A17" t="str">
        <f>PLANTILLA!D18</f>
        <v>Mauro Vaz</v>
      </c>
      <c r="B17">
        <f>PLANTILLA!E18</f>
        <v>20</v>
      </c>
      <c r="C17" s="33">
        <f ca="1">PLANTILLA!F18</f>
        <v>38</v>
      </c>
      <c r="D17" s="219">
        <f>PLANTILLA!G18</f>
        <v>0</v>
      </c>
      <c r="E17" s="30">
        <f>PLANTILLA!M18</f>
        <v>43108</v>
      </c>
      <c r="F17" s="47">
        <f>PLANTILLA!Q18</f>
        <v>5</v>
      </c>
      <c r="G17" s="48">
        <f t="shared" si="1"/>
        <v>0.84515425472851657</v>
      </c>
      <c r="H17" s="48">
        <f t="shared" si="2"/>
        <v>0.92504826128926143</v>
      </c>
      <c r="I17" s="51">
        <f t="shared" ca="1" si="3"/>
        <v>0.66368380308411212</v>
      </c>
      <c r="J17" s="39">
        <f>PLANTILLA!I18</f>
        <v>2</v>
      </c>
      <c r="K17" s="46">
        <f>PLANTILLA!X18</f>
        <v>0</v>
      </c>
      <c r="L17" s="46">
        <f>PLANTILLA!Y18</f>
        <v>4</v>
      </c>
      <c r="M17" s="46">
        <f>PLANTILLA!Z18</f>
        <v>5</v>
      </c>
      <c r="N17" s="46">
        <f>PLANTILLA!AA18</f>
        <v>3</v>
      </c>
      <c r="O17" s="46">
        <f>PLANTILLA!AB18</f>
        <v>3.25</v>
      </c>
      <c r="P17" s="46">
        <f>PLANTILLA!AC18</f>
        <v>5.4999999999999982</v>
      </c>
      <c r="Q17" s="46">
        <f>PLANTILLA!AD18</f>
        <v>2</v>
      </c>
      <c r="R17" s="46">
        <f t="shared" si="70"/>
        <v>1.6875</v>
      </c>
      <c r="S17" s="46">
        <f t="shared" si="71"/>
        <v>0.33499999999999991</v>
      </c>
      <c r="T17" s="46">
        <f t="shared" si="72"/>
        <v>0.22000000000000003</v>
      </c>
      <c r="U17" s="46">
        <f t="shared" ca="1" si="73"/>
        <v>2.5904460749430673</v>
      </c>
      <c r="V17" s="46">
        <f t="shared" ca="1" si="74"/>
        <v>2.8353257694471647</v>
      </c>
      <c r="W17" s="37">
        <f t="shared" ca="1" si="75"/>
        <v>2.0337948750453041</v>
      </c>
      <c r="X17" s="37">
        <f t="shared" ca="1" si="76"/>
        <v>3.0749887556511881</v>
      </c>
      <c r="Y17" s="37">
        <f t="shared" ca="1" si="77"/>
        <v>2.0337948750453041</v>
      </c>
      <c r="Z17" s="37">
        <f t="shared" ca="1" si="78"/>
        <v>2.5831337091002471</v>
      </c>
      <c r="AA17" s="37">
        <f t="shared" ca="1" si="79"/>
        <v>5.0650571306360872</v>
      </c>
      <c r="AB17" s="37">
        <f t="shared" ca="1" si="80"/>
        <v>1.2915668545501235</v>
      </c>
      <c r="AC17" s="37">
        <f t="shared" ca="1" si="81"/>
        <v>2.0106955788179683</v>
      </c>
      <c r="AD17" s="37">
        <f t="shared" ca="1" si="82"/>
        <v>1.8922956241083204</v>
      </c>
      <c r="AE17" s="37">
        <f t="shared" ca="1" si="83"/>
        <v>3.6620363054498908</v>
      </c>
      <c r="AF17" s="37">
        <f t="shared" ca="1" si="84"/>
        <v>0.94614781205416021</v>
      </c>
      <c r="AG17" s="37">
        <f t="shared" ca="1" si="85"/>
        <v>3.2525957892643604</v>
      </c>
      <c r="AH17" s="37">
        <f t="shared" ca="1" si="86"/>
        <v>4.6598525601852003</v>
      </c>
      <c r="AI17" s="37">
        <f t="shared" ca="1" si="87"/>
        <v>2.2753026495936122</v>
      </c>
      <c r="AJ17" s="37">
        <f t="shared" ca="1" si="88"/>
        <v>1.0128645408162267</v>
      </c>
      <c r="AK17" s="37">
        <f t="shared" ca="1" si="89"/>
        <v>2.3902535928140192</v>
      </c>
      <c r="AL17" s="37">
        <f t="shared" ca="1" si="90"/>
        <v>3.8190530764996096</v>
      </c>
      <c r="AM17" s="37">
        <f t="shared" ca="1" si="91"/>
        <v>3.8910972848122642</v>
      </c>
      <c r="AN17" s="37">
        <f t="shared" ca="1" si="92"/>
        <v>0.51186454081622657</v>
      </c>
      <c r="AO17" s="37">
        <f t="shared" ca="1" si="93"/>
        <v>0.79273645362319289</v>
      </c>
      <c r="AP17" s="37">
        <f t="shared" ca="1" si="94"/>
        <v>1.3675654252717437</v>
      </c>
      <c r="AQ17" s="37">
        <f t="shared" ca="1" si="95"/>
        <v>3.0086439355978358</v>
      </c>
      <c r="AR17" s="37">
        <f t="shared" ca="1" si="96"/>
        <v>0.68378271263587187</v>
      </c>
      <c r="AS17" s="37">
        <f t="shared" ca="1" si="97"/>
        <v>5.7254139313204657</v>
      </c>
      <c r="AT17" s="37">
        <f t="shared" ca="1" si="98"/>
        <v>0.56095742698269135</v>
      </c>
      <c r="AU17" s="37">
        <f t="shared" ca="1" si="99"/>
        <v>1.6535617392763731</v>
      </c>
      <c r="AV17" s="37">
        <f t="shared" ca="1" si="100"/>
        <v>0.28047871349134568</v>
      </c>
      <c r="AW17" s="37">
        <f t="shared" ca="1" si="101"/>
        <v>0.95729579769022044</v>
      </c>
      <c r="AX17" s="37">
        <f t="shared" ca="1" si="102"/>
        <v>2.0260228522544348</v>
      </c>
      <c r="AY17" s="37">
        <f t="shared" ca="1" si="103"/>
        <v>0.47864789884511022</v>
      </c>
      <c r="AZ17" s="37">
        <f t="shared" ca="1" si="104"/>
        <v>6.0650571306360872</v>
      </c>
      <c r="BA17" s="37">
        <f t="shared" ca="1" si="105"/>
        <v>1.09170945405093</v>
      </c>
      <c r="BB17" s="37">
        <f t="shared" ca="1" si="106"/>
        <v>2.8500964789804835</v>
      </c>
      <c r="BC17" s="37">
        <f t="shared" ca="1" si="107"/>
        <v>0.545854727025465</v>
      </c>
      <c r="BD17" s="37">
        <f t="shared" ca="1" si="108"/>
        <v>1.4739316250151013</v>
      </c>
      <c r="BE17" s="37">
        <f t="shared" ca="1" si="109"/>
        <v>1.7626398814613582</v>
      </c>
      <c r="BF17" s="37">
        <f t="shared" ca="1" si="110"/>
        <v>5.343315332090393</v>
      </c>
      <c r="BG17" s="37">
        <f t="shared" ca="1" si="111"/>
        <v>3.6925857891354816</v>
      </c>
      <c r="BH17" s="37">
        <f t="shared" ca="1" si="112"/>
        <v>1.039928768483297</v>
      </c>
      <c r="BI17" s="37">
        <f t="shared" ca="1" si="113"/>
        <v>2.4565527083585024</v>
      </c>
      <c r="BJ17" s="37">
        <f t="shared" ca="1" si="114"/>
        <v>1.3371750824879272</v>
      </c>
      <c r="BK17" s="37">
        <f t="shared" ca="1" si="115"/>
        <v>2.3107867667723494</v>
      </c>
      <c r="BL17" s="37">
        <f t="shared" ca="1" si="116"/>
        <v>3.6031099321759403</v>
      </c>
      <c r="BM17" s="37">
        <f t="shared" ca="1" si="117"/>
        <v>0.22438297079307654</v>
      </c>
      <c r="BN17" s="37">
        <f t="shared" ca="1" si="118"/>
        <v>0.91171028351449568</v>
      </c>
      <c r="BO17" s="37">
        <f t="shared" ca="1" si="119"/>
        <v>0.34442388488325393</v>
      </c>
      <c r="BP17" s="37">
        <f t="shared" ca="1" si="120"/>
        <v>1.8498424248440066</v>
      </c>
      <c r="BQ17" s="37">
        <f t="shared" ca="1" si="121"/>
        <v>5.2991634699980086</v>
      </c>
      <c r="BR17" s="37">
        <f t="shared" ca="1" si="122"/>
        <v>0.58253271263587181</v>
      </c>
      <c r="BS17" s="37">
        <f t="shared" ca="1" si="123"/>
        <v>1.4384762251006487</v>
      </c>
      <c r="BT17" s="37">
        <f t="shared" ca="1" si="124"/>
        <v>1.2358739398752052</v>
      </c>
      <c r="BU17" s="37">
        <f t="shared" ca="1" si="125"/>
        <v>3.827051049431371</v>
      </c>
      <c r="BV17" s="37">
        <f t="shared" ca="1" si="126"/>
        <v>3.686476131919298</v>
      </c>
      <c r="BW17" s="37">
        <f t="shared" ca="1" si="127"/>
        <v>0.63862845533414092</v>
      </c>
      <c r="BX17" s="37">
        <f t="shared" ca="1" si="128"/>
        <v>2.4624131950382515</v>
      </c>
      <c r="BY17" s="37">
        <f t="shared" ca="1" si="129"/>
        <v>2.4978947650614014</v>
      </c>
      <c r="BZ17" s="37">
        <f t="shared" ca="1" si="130"/>
        <v>6.1705043290962331</v>
      </c>
      <c r="CA17" s="37">
        <f t="shared" ca="1" si="131"/>
        <v>2.4978947650614014</v>
      </c>
      <c r="CB17" s="37">
        <f t="shared" ca="1" si="132"/>
        <v>3.5375305923862816</v>
      </c>
      <c r="CC17" s="37">
        <f t="shared" ca="1" si="133"/>
        <v>8.1573132118408012</v>
      </c>
      <c r="CD17" s="37">
        <f t="shared" ca="1" si="134"/>
        <v>3.5375305923862816</v>
      </c>
      <c r="CE17" s="37">
        <f t="shared" ca="1" si="135"/>
        <v>1.5162642826590218</v>
      </c>
    </row>
    <row r="18" spans="1:83" x14ac:dyDescent="0.25">
      <c r="A18" t="str">
        <f>PLANTILLA!D6</f>
        <v>Alberto Ercilla</v>
      </c>
      <c r="B18">
        <f>PLANTILLA!E6</f>
        <v>23</v>
      </c>
      <c r="C18" s="33">
        <f ca="1">PLANTILLA!F6</f>
        <v>51</v>
      </c>
      <c r="D18" s="219" t="str">
        <f>PLANTILLA!G6</f>
        <v>IMP</v>
      </c>
      <c r="E18" s="30">
        <f>PLANTILLA!M6</f>
        <v>43097</v>
      </c>
      <c r="F18" s="47">
        <f>PLANTILLA!Q6</f>
        <v>5</v>
      </c>
      <c r="G18" s="48">
        <f t="shared" si="1"/>
        <v>0.84515425472851657</v>
      </c>
      <c r="H18" s="48">
        <f t="shared" si="2"/>
        <v>0.92504826128926143</v>
      </c>
      <c r="I18" s="51">
        <f t="shared" ca="1" si="3"/>
        <v>0.68790572443779374</v>
      </c>
      <c r="J18" s="39">
        <f>PLANTILLA!I6</f>
        <v>2.9</v>
      </c>
      <c r="K18" s="46">
        <f>PLANTILLA!X6</f>
        <v>0</v>
      </c>
      <c r="L18" s="46">
        <f>PLANTILLA!Y6</f>
        <v>7</v>
      </c>
      <c r="M18" s="46">
        <f>PLANTILLA!Z6</f>
        <v>2</v>
      </c>
      <c r="N18" s="46">
        <f>PLANTILLA!AA6</f>
        <v>5</v>
      </c>
      <c r="O18" s="46">
        <f>PLANTILLA!AB6</f>
        <v>7.0305555555555559</v>
      </c>
      <c r="P18" s="46">
        <f>PLANTILLA!AC6</f>
        <v>5.5714285714285694</v>
      </c>
      <c r="Q18" s="46">
        <f>PLANTILLA!AD6</f>
        <v>4</v>
      </c>
      <c r="R18" s="46">
        <f t="shared" ref="R18:R19" si="136">((2*(O18+1))+(L18+1))/8</f>
        <v>3.0076388888888888</v>
      </c>
      <c r="S18" s="46">
        <f t="shared" ref="S18:S19" si="137">(0.5*P18+ 0.3*Q18)/10</f>
        <v>0.39857142857142847</v>
      </c>
      <c r="T18" s="46">
        <f t="shared" ref="T18:T19" si="138">(0.4*L18+0.3*Q18)/10</f>
        <v>0.4</v>
      </c>
      <c r="U18" s="46">
        <f t="shared" ref="U18:U19" ca="1" si="139">IF(TODAY()-E18&gt;335,(Q18+1+(LOG(J18)*4/3))*(F18/7)^0.5,(Q18+((TODAY()-E18)^0.5)/(336^0.5)+(LOG(J18)*4/3))*(F18/7)^0.5)</f>
        <v>4.4830669825111045</v>
      </c>
      <c r="V18" s="46">
        <f t="shared" ref="V18:V19" ca="1" si="140">IF(F18=7,U18,IF(TODAY()-E18&gt;335,(Q18+1+(LOG(J18)*4/3))*((F18+0.99)/7)^0.5,(Q18+((TODAY()-E18)^0.5)/(336^0.5)+(LOG(J18)*4/3))*((F18+0.99)/7)^0.5))</f>
        <v>4.9068596581192434</v>
      </c>
      <c r="W18" s="37">
        <f t="shared" ref="W18:W19" ca="1" si="141">IF(TODAY()-E18&gt;335,((K18+1+(LOG(J18)*4/3))*0.597)+((L18+1+(LOG(J18)*4/3))*0.276),((K18+(((TODAY()-E18)^0.5)/(336^0.5))+(LOG(J18)*4/3))*0.597)+((L18+(((TODAY()-E18)^0.5)/(336^0.5))+(LOG(J18)*4/3))*0.276))</f>
        <v>3.0707729669885788</v>
      </c>
      <c r="X18" s="37">
        <f t="shared" ref="X18:X19" ca="1" si="142">IF(TODAY()-E18&gt;335,((K18+1+(LOG(J18)*4/3))*0.866)+((L18+1+(LOG(J18)*4/3))*0.425),((K18+(((TODAY()-E18)^0.5)/(336^0.5))+(LOG(J18)*4/3))*0.866)+((L18+(((TODAY()-E18)^0.5)/(336^0.5))+(LOG(J18)*4/3))*0.425))</f>
        <v>4.6590273772992612</v>
      </c>
      <c r="Y18" s="37">
        <f t="shared" ref="Y18:Y19" ca="1" si="143">W18</f>
        <v>3.0707729669885788</v>
      </c>
      <c r="Z18" s="37">
        <f t="shared" ref="Z18:Z19" ca="1" si="144">IF(TODAY()-E18&gt;335,((L18+1+(LOG(J18)*4/3))*0.516),((L18+(((TODAY()-E18)^0.5)/(336^0.516))+(LOG(J18)*4/3))*0.516))</f>
        <v>4.2535426168050927</v>
      </c>
      <c r="AA18" s="37">
        <f t="shared" ref="AA18:AA19" ca="1" si="145">IF(TODAY()-E18&gt;335,((L18+1+(LOG(J18)*4/3))*1),((L18+(((TODAY()-E18)^0.5)/(336^0.5))+(LOG(J18)*4/3))*1))</f>
        <v>8.3044363883030687</v>
      </c>
      <c r="AB18" s="37">
        <f t="shared" ref="AB18:AB19" ca="1" si="146">Z18/2</f>
        <v>2.1267713084025464</v>
      </c>
      <c r="AC18" s="37">
        <f t="shared" ref="AC18:AC19" ca="1" si="147">IF(TODAY()-E18&gt;335,((M18+1+(LOG(J18)*4/3))*0.238),((M18+(((TODAY()-E18)^0.5)/(336^0.238))+(LOG(J18)*4/3))*0.238))</f>
        <v>1.3743689108570625</v>
      </c>
      <c r="AD18" s="37">
        <f t="shared" ref="AD18:AD19" ca="1" si="148">IF(TODAY()-E18&gt;335,((L18+1+(LOG(J18)*4/3))*0.378),((L18+(((TODAY()-E18)^0.5)/(336^0.516))+(LOG(J18)*4/3))*0.378))</f>
        <v>3.1159672657990796</v>
      </c>
      <c r="AE18" s="37">
        <f t="shared" ref="AE18:AE19" ca="1" si="149">IF(TODAY()-E18&gt;335,((L18+1+(LOG(J18)*4/3))*0.723),((L18+(((TODAY()-E18)^0.5)/(336^0.5))+(LOG(J18)*4/3))*0.723))</f>
        <v>6.0041075087431182</v>
      </c>
      <c r="AF18" s="37">
        <f t="shared" ref="AF18:AF19" ca="1" si="150">AD18/2</f>
        <v>1.5579836328995398</v>
      </c>
      <c r="AG18" s="37">
        <f t="shared" ref="AG18:AG19" ca="1" si="151">IF(TODAY()-E18&gt;335,((M18+1+(LOG(J18)*4/3))*0.385),((M18+(((TODAY()-E18)^0.5)/(336^0.238))+(LOG(J18)*4/3))*0.385))</f>
        <v>2.2232438263864247</v>
      </c>
      <c r="AH18" s="37">
        <f t="shared" ref="AH18:AH19" ca="1" si="152">IF(TODAY()-E18&gt;335,((L18+1+(LOG(J18)*4/3))*0.92),((L18+(((TODAY()-E18)^0.5)/(336^0.5))+(LOG(J18)*4/3))*0.92))</f>
        <v>7.6400814772388239</v>
      </c>
      <c r="AI18" s="37">
        <f t="shared" ref="AI18:AI19" ca="1" si="153">IF(TODAY()-E18&gt;335,((L18+1+(LOG(J18)*4/3))*0.414),((L18+(((TODAY()-E18)^0.5)/(336^0.414))+(LOG(J18)*4/3))*0.414))</f>
        <v>3.6229154487195916</v>
      </c>
      <c r="AJ18" s="37">
        <f t="shared" ref="AJ18:AJ19" ca="1" si="154">IF(TODAY()-E18&gt;335,((M18+1+(LOG(J18)*4/3))*0.167),((M18+(((TODAY()-E18)^0.5)/(336^0.5))+(LOG(J18)*4/3))*0.167))</f>
        <v>0.55184087684661254</v>
      </c>
      <c r="AK18" s="37">
        <f t="shared" ref="AK18:AK19" ca="1" si="155">IF(TODAY()-E18&gt;335,((N18+1+(LOG(J18)*4/3))*0.588),((N18+(((TODAY()-E18)^0.5)/(336^0.5))+(LOG(J18)*4/3))*0.588))</f>
        <v>3.7070085963222041</v>
      </c>
      <c r="AL18" s="37">
        <f t="shared" ref="AL18:AL19" ca="1" si="156">IF(TODAY()-E18&gt;335,((L18+1+(LOG(J18)*4/3))*0.754),((L18+(((TODAY()-E18)^0.5)/(336^0.5))+(LOG(J18)*4/3))*0.754))</f>
        <v>6.2615450367805137</v>
      </c>
      <c r="AM18" s="37">
        <f t="shared" ref="AM18:AM19" ca="1" si="157">IF(TODAY()-E18&gt;335,((L18+1+(LOG(J18)*4/3))*0.708),((L18+(((TODAY()-E18)^0.5)/(336^0.414))+(LOG(J18)*4/3))*0.708))</f>
        <v>6.1957104775204606</v>
      </c>
      <c r="AN18" s="37">
        <f t="shared" ref="AN18:AN19" ca="1" si="158">IF(TODAY()-E18&gt;335,((Q18+1+(LOG(J18)*4/3))*0.167),((Q18+(((TODAY()-E18)^0.5)/(336^0.5))+(LOG(J18)*4/3))*0.167))</f>
        <v>0.8858408768466125</v>
      </c>
      <c r="AO18" s="37">
        <f t="shared" ref="AO18:AO19" ca="1" si="159">IF(TODAY()-E18&gt;335,((R18+1+(LOG(J18)*4/3))*0.288),((R18+(((TODAY()-E18)^0.5)/(336^0.5))+(LOG(J18)*4/3))*0.288))</f>
        <v>1.2418776798312836</v>
      </c>
      <c r="AP18" s="37">
        <f t="shared" ref="AP18:AP19" ca="1" si="160">IF(TODAY()-E18&gt;335,((L18+1+(LOG(J18)*4/3))*0.27),((L18+(((TODAY()-E18)^0.5)/(336^0.5))+(LOG(J18)*4/3))*0.27))</f>
        <v>2.2421978248418286</v>
      </c>
      <c r="AQ18" s="37">
        <f t="shared" ref="AQ18:AQ19" ca="1" si="161">IF(TODAY()-E18&gt;335,((L18+1+(LOG(J18)*4/3))*0.594),((L18+(((TODAY()-E18)^0.5)/(336^0.5))+(LOG(J18)*4/3))*0.594))</f>
        <v>4.9328352146520222</v>
      </c>
      <c r="AR18" s="37">
        <f t="shared" ref="AR18:AR19" ca="1" si="162">AP18/2</f>
        <v>1.1210989124209143</v>
      </c>
      <c r="AS18" s="37">
        <f t="shared" ref="AS18:AS19" ca="1" si="163">IF(TODAY()-E18&gt;335,((M18+1+(LOG(J18)*4/3))*0.944),((M18+(((TODAY()-E18)^0.5)/(336^0.5))+(LOG(J18)*4/3))*0.944))</f>
        <v>3.1193879505580968</v>
      </c>
      <c r="AT18" s="37">
        <f t="shared" ref="AT18:AT19" ca="1" si="164">IF(TODAY()-E18&gt;335,((O18+1+(LOG(J18)*4/3))*0.13),((O18+(((TODAY()-E18)^0.5)/(336^0.5))+(LOG(J18)*4/3))*0.13))</f>
        <v>1.0835489527016213</v>
      </c>
      <c r="AU18" s="37">
        <f t="shared" ref="AU18:AU19" ca="1" si="165">IF(TODAY()-E18&gt;335,((P18+1+(LOG(J18)*4/3))*0.173)+((O18+1+(LOG(J18)*4/3))*0.12),((P18+(((TODAY()-E18)^0.5)/(336^0.5))+(LOG(J18)*4/3))*0.173)+((O18+(((TODAY()-E18)^0.5)/(336^0.5))+(LOG(J18)*4/3))*0.12))</f>
        <v>2.1897236712966084</v>
      </c>
      <c r="AV18" s="37">
        <f t="shared" ref="AV18:AV19" ca="1" si="166">AT18/2</f>
        <v>0.54177447635081066</v>
      </c>
      <c r="AW18" s="37">
        <f t="shared" ref="AW18:AW19" ca="1" si="167">IF(TODAY()-E18&gt;335,((L18+1+(LOG(J18)*4/3))*0.189),((L18+(((TODAY()-E18)^0.5)/(336^0.5))+(LOG(J18)*4/3))*0.189))</f>
        <v>1.56953847738928</v>
      </c>
      <c r="AX18" s="37">
        <f t="shared" ref="AX18:AX19" ca="1" si="168">IF(TODAY()-E18&gt;335,((L18+1+(LOG(J18)*4/3))*0.4),((L18+(((TODAY()-E18)^0.5)/(336^0.5))+(LOG(J18)*4/3))*0.4))</f>
        <v>3.3217745553212277</v>
      </c>
      <c r="AY18" s="37">
        <f t="shared" ref="AY18:AY19" ca="1" si="169">AW18/2</f>
        <v>0.78476923869463999</v>
      </c>
      <c r="AZ18" s="37">
        <f t="shared" ref="AZ18:AZ19" ca="1" si="170">IF(TODAY()-E18&gt;335,((M18+1+(LOG(J18)*4/3))*1),((M18+(((TODAY()-E18)^0.5)/(336^0.5))+(LOG(J18)*4/3))*1))</f>
        <v>3.3044363883030687</v>
      </c>
      <c r="BA18" s="37">
        <f t="shared" ref="BA18:BA19" ca="1" si="171">IF(TODAY()-E18&gt;335,((O18+1+(LOG(J18)*4/3))*0.253),((O18+(((TODAY()-E18)^0.5)/(336^0.5))+(LOG(J18)*4/3))*0.253))</f>
        <v>2.1087529617962324</v>
      </c>
      <c r="BB18" s="37">
        <f t="shared" ref="BB18:BB19" ca="1" si="172">IF(TODAY()-E18&gt;335,((P18+1+(LOG(J18)*4/3))*0.21)+((O18+1+(LOG(J18)*4/3))*0.341),((P18+(((TODAY()-E18)^0.5)/(336^0.5))+(LOG(J18)*4/3))*0.21)+((O18+(((TODAY()-E18)^0.5)/(336^0.5))+(LOG(J18)*4/3))*0.341))</f>
        <v>4.2861638943994356</v>
      </c>
      <c r="BC18" s="37">
        <f t="shared" ref="BC18:BC19" ca="1" si="173">BA18/2</f>
        <v>1.0543764808981162</v>
      </c>
      <c r="BD18" s="37">
        <f t="shared" ref="BD18:BD19" ca="1" si="174">IF(TODAY()-E18&gt;335,((L18+1+(LOG(J18)*4/3))*0.291),((L18+(((TODAY()-E18)^0.5)/(336^0.5))+(LOG(J18)*4/3))*0.291))</f>
        <v>2.4165909889961927</v>
      </c>
      <c r="BE18" s="37">
        <f t="shared" ref="BE18:BE19" ca="1" si="175">IF(TODAY()-E18&gt;335,((L18+1+(LOG(J18)*4/3))*0.348),((L18+(((TODAY()-E18)^0.5)/(336^0.5))+(LOG(J18)*4/3))*0.348))</f>
        <v>2.8899438631294676</v>
      </c>
      <c r="BF18" s="37">
        <f t="shared" ref="BF18:BF19" ca="1" si="176">IF(TODAY()-E18&gt;335,((M18+1+(LOG(J18)*4/3))*0.881),((M18+(((TODAY()-E18)^0.5)/(336^0.5))+(LOG(J18)*4/3))*0.881))</f>
        <v>2.9112084580950035</v>
      </c>
      <c r="BG18" s="37">
        <f t="shared" ref="BG18:BG19" ca="1" si="177">IF(TODAY()-E18&gt;335,((N18+1+(LOG(J18)*4/3))*0.574)+((O18+1+(LOG(J18)*4/3))*0.315),((N18+(((TODAY()-E18)^0.5)/(336^0.5))+(LOG(J18)*4/3))*0.574)+((O18+(((TODAY()-E18)^0.5)/(336^0.5))+(LOG(J18)*4/3))*0.315))</f>
        <v>6.2442689492014285</v>
      </c>
      <c r="BH18" s="37">
        <f t="shared" ref="BH18:BH19" ca="1" si="178">IF(TODAY()-E18&gt;335,((O18+1+(LOG(J18)*4/3))*0.241),((O18+(((TODAY()-E18)^0.5)/(336^0.5))+(LOG(J18)*4/3))*0.241))</f>
        <v>2.0087330584699288</v>
      </c>
      <c r="BI18" s="37">
        <f t="shared" ref="BI18:BI19" ca="1" si="179">IF(TODAY()-E18&gt;335,((L18+1+(LOG(J18)*4/3))*0.485),((L18+(((TODAY()-E18)^0.5)/(336^0.5))+(LOG(J18)*4/3))*0.485))</f>
        <v>4.0276516483269882</v>
      </c>
      <c r="BJ18" s="37">
        <f t="shared" ref="BJ18:BJ19" ca="1" si="180">IF(TODAY()-E18&gt;335,((L18+1+(LOG(J18)*4/3))*0.264),((L18+(((TODAY()-E18)^0.5)/(336^0.5))+(LOG(J18)*4/3))*0.264))</f>
        <v>2.1923712065120102</v>
      </c>
      <c r="BK18" s="37">
        <f t="shared" ref="BK18:BK19" ca="1" si="181">IF(TODAY()-E18&gt;335,((M18+1+(LOG(J18)*4/3))*0.381),((M18+(((TODAY()-E18)^0.5)/(336^0.5))+(LOG(J18)*4/3))*0.381))</f>
        <v>1.2589902639434691</v>
      </c>
      <c r="BL18" s="37">
        <f t="shared" ref="BL18:BL19" ca="1" si="182">IF(TODAY()-E18&gt;335,((N18+1+(LOG(J18)*4/3))*0.673)+((O18+1+(LOG(J18)*4/3))*0.201),((N18+(((TODAY()-E18)^0.5)/(336^0.5))+(LOG(J18)*4/3))*0.673)+((O18+(((TODAY()-E18)^0.5)/(336^0.5))+(LOG(J18)*4/3))*0.201))</f>
        <v>5.9182190700435493</v>
      </c>
      <c r="BM18" s="37">
        <f t="shared" ref="BM18:BM19" ca="1" si="183">IF(TODAY()-E18&gt;335,((O18+1+(LOG(J18)*4/3))*0.052),((O18+(((TODAY()-E18)^0.5)/(336^0.5))+(LOG(J18)*4/3))*0.052))</f>
        <v>0.43341958108064849</v>
      </c>
      <c r="BN18" s="37">
        <f t="shared" ref="BN18:BN19" ca="1" si="184">IF(TODAY()-E18&gt;335,((L18+1+(LOG(J18)*4/3))*0.18),((L18+(((TODAY()-E18)^0.5)/(336^0.5))+(LOG(J18)*4/3))*0.18))</f>
        <v>1.4947985498945524</v>
      </c>
      <c r="BO18" s="37">
        <f t="shared" ref="BO18:BO19" ca="1" si="185">IF(TODAY()-E18&gt;335,((L18+1+(LOG(J18)*4/3))*0.068),((L18+(((TODAY()-E18)^0.5)/(336^0.5))+(LOG(J18)*4/3))*0.068))</f>
        <v>0.56470167440460872</v>
      </c>
      <c r="BP18" s="37">
        <f t="shared" ref="BP18:BP19" ca="1" si="186">IF(TODAY()-E18&gt;335,((M18+1+(LOG(J18)*4/3))*0.305),((M18+(((TODAY()-E18)^0.5)/(336^0.5))+(LOG(J18)*4/3))*0.305))</f>
        <v>1.0078530984324359</v>
      </c>
      <c r="BQ18" s="37">
        <f t="shared" ref="BQ18:BQ19" ca="1" si="187">IF(TODAY()-E18&gt;335,((N18+1+(LOG(J18)*4/3))*1)+((O18+1+(LOG(J18)*4/3))*0.286),((N18+(((TODAY()-E18)^0.5)/(336^0.5))+(LOG(J18)*4/3))*1)+((O18+(((TODAY()-E18)^0.5)/(336^0.5))+(LOG(J18)*4/3))*0.286))</f>
        <v>8.6882440842466355</v>
      </c>
      <c r="BR18" s="37">
        <f t="shared" ref="BR18:BR19" ca="1" si="188">IF(TODAY()-E18&gt;335,((O18+1+(LOG(J18)*4/3))*0.135),((O18+(((TODAY()-E18)^0.5)/(336^0.5))+(LOG(J18)*4/3))*0.135))</f>
        <v>1.1252239124209145</v>
      </c>
      <c r="BS18" s="37">
        <f t="shared" ref="BS18:BS19" ca="1" si="189">IF(TODAY()-E18&gt;335,((L18+1+(LOG(J18)*4/3))*0.284),((L18+(((TODAY()-E18)^0.5)/(336^0.5))+(LOG(J18)*4/3))*0.284))</f>
        <v>2.3584599342780712</v>
      </c>
      <c r="BT18" s="37">
        <f t="shared" ref="BT18:BT19" ca="1" si="190">IF(TODAY()-E18&gt;335,((L18+1+(LOG(J18)*4/3))*0.244),((L18+(((TODAY()-E18)^0.5)/(336^0.5))+(LOG(J18)*4/3))*0.244))</f>
        <v>2.0262824787459488</v>
      </c>
      <c r="BU18" s="37">
        <f t="shared" ref="BU18:BU19" ca="1" si="191">IF(TODAY()-E18&gt;335,((M18+1+(LOG(J18)*4/3))*0.631),((M18+(((TODAY()-E18)^0.5)/(336^0.5))+(LOG(J18)*4/3))*0.631))</f>
        <v>2.0850993610192363</v>
      </c>
      <c r="BV18" s="37">
        <f t="shared" ref="BV18:BV19" ca="1" si="192">IF(TODAY()-E18&gt;335,((N18+1+(LOG(J18)*4/3))*0.702)+((O18+1+(LOG(J18)*4/3))*0.193),((N18+(((TODAY()-E18)^0.5)/(336^0.5))+(LOG(J18)*4/3))*0.702)+((O18+(((TODAY()-E18)^0.5)/(336^0.5))+(LOG(J18)*4/3))*0.193))</f>
        <v>6.0343677897534693</v>
      </c>
      <c r="BW18" s="37">
        <f t="shared" ref="BW18:BW19" ca="1" si="193">IF(TODAY()-E18&gt;335,((O18+1+(LOG(J18)*4/3))*0.148),((O18+(((TODAY()-E18)^0.5)/(336^0.5))+(LOG(J18)*4/3))*0.148))</f>
        <v>1.2335788076910765</v>
      </c>
      <c r="BX18" s="37">
        <f t="shared" ref="BX18:BX19" ca="1" si="194">IF(TODAY()-E18&gt;335,((M18+1+(LOG(J18)*4/3))*0.406),((M18+(((TODAY()-E18)^0.5)/(336^0.5))+(LOG(J18)*4/3))*0.406))</f>
        <v>1.341601173651046</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3.8648216757662164</v>
      </c>
      <c r="BZ18" s="37">
        <f t="shared" ref="BZ18:BZ19" ca="1" si="196">IF(D18="TEC",IF(TODAY()-E18&gt;335,((O18+1+(LOG(J18)*4/3))*0.543)+((P18+1+(LOG(J18)*4/3))*0.583),((O18+(((TODAY()-E18)^0.5)/(336^0.5))+(LOG(J18)*4/3))*0.543)+((P18+(((TODAY()-E18)^0.5)/(336^0.5))+(LOG(J18)*4/3))*0.583)),IF(TODAY()-E18&gt;335,((O18+1+(LOG(J18)*4/3))*0.543)+((P18+1+(LOG(J18)*4/3))*0.583),((O18+(((TODAY()-E18)^0.5)/(336^0.5))+(LOG(J18)*4/3))*0.543)+((P18+(((TODAY()-E18)^0.5)/(336^0.5))+(LOG(J18)*4/3))*0.583)))</f>
        <v>8.5345298970387802</v>
      </c>
      <c r="CA18" s="37">
        <f t="shared" ref="CA18:CA19" ca="1" si="197">BY18</f>
        <v>3.8648216757662164</v>
      </c>
      <c r="CB18" s="37">
        <f t="shared" ref="CB18:CB19" ca="1" si="198">IF(TODAY()-E18&gt;335,((P18+1+(LOG(J18)*4/3))*0.26)+((N18+1+(LOG(J18)*4/3))*0.221)+((O18+1+(LOG(J18)*4/3))*0.142),((P18+(((TODAY()-E18)^0.5)/(336^0.5))+(LOG(J18)*4/3))*0.26)+((N18+(((TODAY()-E18)^0.5)/(336^0.5))+(LOG(J18)*4/3))*0.221)+((P18+(((TODAY()-E18)^0.5)/(336^0.5))+(LOG(J18)*4/3))*0.142))</f>
        <v>4.1573781556270966</v>
      </c>
      <c r="CC18" s="37">
        <f t="shared" ref="CC18:CC19" ca="1" si="199">IF(TODAY()-E18&gt;335,((P18+1+(LOG(J18)*4/3))*1)+((O18+1+(LOG(J18)*4/3))*0.369),((P18+(((TODAY()-E18)^0.5)/(336^0.5))+(LOG(J18)*4/3))*1)+((O18+(((TODAY()-E18)^0.5)/(336^0.5))+(LOG(J18)*4/3))*0.369))</f>
        <v>9.9514769870154716</v>
      </c>
      <c r="CD18" s="37">
        <f t="shared" ref="CD18:CD19" ca="1" si="200">CB18</f>
        <v>4.1573781556270966</v>
      </c>
      <c r="CE18" s="37">
        <f t="shared" ref="CE18:CE19" ca="1" si="201">IF(TODAY()-E18&gt;335,((M18+1+(LOG(J18)*4/3))*0.25),((M18+(((TODAY()-E18)^0.5)/(336^0.5))+(LOG(J18)*4/3))*0.25))</f>
        <v>0.82610909707576718</v>
      </c>
    </row>
    <row r="19" spans="1:83" x14ac:dyDescent="0.25">
      <c r="A19" t="e">
        <f>PLANTILLA!#REF!</f>
        <v>#REF!</v>
      </c>
      <c r="B19" t="e">
        <f>PLANTILLA!#REF!</f>
        <v>#REF!</v>
      </c>
      <c r="C19" s="33" t="e">
        <f>PLANTILLA!#REF!</f>
        <v>#REF!</v>
      </c>
      <c r="D19" s="219" t="e">
        <f>PLANTILLA!#REF!</f>
        <v>#REF!</v>
      </c>
      <c r="E19" s="30" t="e">
        <f>PLANTILLA!#REF!</f>
        <v>#REF!</v>
      </c>
      <c r="F19" s="47" t="e">
        <f>PLANTILLA!#REF!</f>
        <v>#REF!</v>
      </c>
      <c r="G19" s="48" t="e">
        <f t="shared" si="1"/>
        <v>#REF!</v>
      </c>
      <c r="H19" s="48" t="e">
        <f t="shared" si="2"/>
        <v>#REF!</v>
      </c>
      <c r="I19" s="51" t="e">
        <f t="shared" ca="1" si="3"/>
        <v>#REF!</v>
      </c>
      <c r="J19" s="39" t="e">
        <f>PLANTILLA!#REF!</f>
        <v>#REF!</v>
      </c>
      <c r="K19" s="46" t="e">
        <f>PLANTILLA!#REF!</f>
        <v>#REF!</v>
      </c>
      <c r="L19" s="46" t="e">
        <f>PLANTILLA!#REF!</f>
        <v>#REF!</v>
      </c>
      <c r="M19" s="46" t="e">
        <f>PLANTILLA!#REF!</f>
        <v>#REF!</v>
      </c>
      <c r="N19" s="46" t="e">
        <f>PLANTILLA!#REF!</f>
        <v>#REF!</v>
      </c>
      <c r="O19" s="46" t="e">
        <f>PLANTILLA!#REF!</f>
        <v>#REF!</v>
      </c>
      <c r="P19" s="46" t="e">
        <f>PLANTILLA!#REF!</f>
        <v>#REF!</v>
      </c>
      <c r="Q19" s="46" t="e">
        <f>PLANTILLA!#REF!</f>
        <v>#REF!</v>
      </c>
      <c r="R19" s="46" t="e">
        <f t="shared" si="136"/>
        <v>#REF!</v>
      </c>
      <c r="S19" s="46" t="e">
        <f t="shared" si="137"/>
        <v>#REF!</v>
      </c>
      <c r="T19" s="46" t="e">
        <f t="shared" si="138"/>
        <v>#REF!</v>
      </c>
      <c r="U19" s="46" t="e">
        <f t="shared" ca="1" si="139"/>
        <v>#REF!</v>
      </c>
      <c r="V19" s="46" t="e">
        <f t="shared" ca="1" si="140"/>
        <v>#REF!</v>
      </c>
      <c r="W19" s="37" t="e">
        <f t="shared" ca="1" si="141"/>
        <v>#REF!</v>
      </c>
      <c r="X19" s="37" t="e">
        <f t="shared" ca="1" si="142"/>
        <v>#REF!</v>
      </c>
      <c r="Y19" s="37" t="e">
        <f t="shared" ca="1" si="143"/>
        <v>#REF!</v>
      </c>
      <c r="Z19" s="37" t="e">
        <f t="shared" ca="1" si="144"/>
        <v>#REF!</v>
      </c>
      <c r="AA19" s="37" t="e">
        <f t="shared" ca="1" si="145"/>
        <v>#REF!</v>
      </c>
      <c r="AB19" s="37" t="e">
        <f t="shared" ca="1" si="146"/>
        <v>#REF!</v>
      </c>
      <c r="AC19" s="37" t="e">
        <f t="shared" ca="1" si="147"/>
        <v>#REF!</v>
      </c>
      <c r="AD19" s="37" t="e">
        <f t="shared" ca="1" si="148"/>
        <v>#REF!</v>
      </c>
      <c r="AE19" s="37" t="e">
        <f t="shared" ca="1" si="149"/>
        <v>#REF!</v>
      </c>
      <c r="AF19" s="37" t="e">
        <f t="shared" ca="1" si="150"/>
        <v>#REF!</v>
      </c>
      <c r="AG19" s="37" t="e">
        <f t="shared" ca="1" si="151"/>
        <v>#REF!</v>
      </c>
      <c r="AH19" s="37" t="e">
        <f t="shared" ca="1" si="152"/>
        <v>#REF!</v>
      </c>
      <c r="AI19" s="37" t="e">
        <f t="shared" ca="1" si="153"/>
        <v>#REF!</v>
      </c>
      <c r="AJ19" s="37" t="e">
        <f t="shared" ca="1" si="154"/>
        <v>#REF!</v>
      </c>
      <c r="AK19" s="37" t="e">
        <f t="shared" ca="1" si="155"/>
        <v>#REF!</v>
      </c>
      <c r="AL19" s="37" t="e">
        <f t="shared" ca="1" si="156"/>
        <v>#REF!</v>
      </c>
      <c r="AM19" s="37" t="e">
        <f t="shared" ca="1" si="157"/>
        <v>#REF!</v>
      </c>
      <c r="AN19" s="37" t="e">
        <f t="shared" ca="1" si="158"/>
        <v>#REF!</v>
      </c>
      <c r="AO19" s="37" t="e">
        <f t="shared" ca="1" si="159"/>
        <v>#REF!</v>
      </c>
      <c r="AP19" s="37" t="e">
        <f t="shared" ca="1" si="160"/>
        <v>#REF!</v>
      </c>
      <c r="AQ19" s="37" t="e">
        <f t="shared" ca="1" si="161"/>
        <v>#REF!</v>
      </c>
      <c r="AR19" s="37" t="e">
        <f t="shared" ca="1" si="162"/>
        <v>#REF!</v>
      </c>
      <c r="AS19" s="37" t="e">
        <f t="shared" ca="1" si="163"/>
        <v>#REF!</v>
      </c>
      <c r="AT19" s="37" t="e">
        <f t="shared" ca="1" si="164"/>
        <v>#REF!</v>
      </c>
      <c r="AU19" s="37" t="e">
        <f t="shared" ca="1" si="165"/>
        <v>#REF!</v>
      </c>
      <c r="AV19" s="37" t="e">
        <f t="shared" ca="1" si="166"/>
        <v>#REF!</v>
      </c>
      <c r="AW19" s="37" t="e">
        <f t="shared" ca="1" si="167"/>
        <v>#REF!</v>
      </c>
      <c r="AX19" s="37" t="e">
        <f t="shared" ca="1" si="168"/>
        <v>#REF!</v>
      </c>
      <c r="AY19" s="37" t="e">
        <f t="shared" ca="1" si="169"/>
        <v>#REF!</v>
      </c>
      <c r="AZ19" s="37" t="e">
        <f t="shared" ca="1" si="170"/>
        <v>#REF!</v>
      </c>
      <c r="BA19" s="37" t="e">
        <f t="shared" ca="1" si="171"/>
        <v>#REF!</v>
      </c>
      <c r="BB19" s="37" t="e">
        <f t="shared" ca="1" si="172"/>
        <v>#REF!</v>
      </c>
      <c r="BC19" s="37" t="e">
        <f t="shared" ca="1" si="173"/>
        <v>#REF!</v>
      </c>
      <c r="BD19" s="37" t="e">
        <f t="shared" ca="1" si="174"/>
        <v>#REF!</v>
      </c>
      <c r="BE19" s="37" t="e">
        <f t="shared" ca="1" si="175"/>
        <v>#REF!</v>
      </c>
      <c r="BF19" s="37" t="e">
        <f t="shared" ca="1" si="176"/>
        <v>#REF!</v>
      </c>
      <c r="BG19" s="37" t="e">
        <f t="shared" ca="1" si="177"/>
        <v>#REF!</v>
      </c>
      <c r="BH19" s="37" t="e">
        <f t="shared" ca="1" si="178"/>
        <v>#REF!</v>
      </c>
      <c r="BI19" s="37" t="e">
        <f t="shared" ca="1" si="179"/>
        <v>#REF!</v>
      </c>
      <c r="BJ19" s="37" t="e">
        <f t="shared" ca="1" si="180"/>
        <v>#REF!</v>
      </c>
      <c r="BK19" s="37" t="e">
        <f t="shared" ca="1" si="181"/>
        <v>#REF!</v>
      </c>
      <c r="BL19" s="37" t="e">
        <f t="shared" ca="1" si="182"/>
        <v>#REF!</v>
      </c>
      <c r="BM19" s="37" t="e">
        <f t="shared" ca="1" si="183"/>
        <v>#REF!</v>
      </c>
      <c r="BN19" s="37" t="e">
        <f t="shared" ca="1" si="184"/>
        <v>#REF!</v>
      </c>
      <c r="BO19" s="37" t="e">
        <f t="shared" ca="1" si="185"/>
        <v>#REF!</v>
      </c>
      <c r="BP19" s="37" t="e">
        <f t="shared" ca="1" si="186"/>
        <v>#REF!</v>
      </c>
      <c r="BQ19" s="37" t="e">
        <f t="shared" ca="1" si="187"/>
        <v>#REF!</v>
      </c>
      <c r="BR19" s="37" t="e">
        <f t="shared" ca="1" si="188"/>
        <v>#REF!</v>
      </c>
      <c r="BS19" s="37" t="e">
        <f t="shared" ca="1" si="189"/>
        <v>#REF!</v>
      </c>
      <c r="BT19" s="37" t="e">
        <f t="shared" ca="1" si="190"/>
        <v>#REF!</v>
      </c>
      <c r="BU19" s="37" t="e">
        <f t="shared" ca="1" si="191"/>
        <v>#REF!</v>
      </c>
      <c r="BV19" s="37" t="e">
        <f t="shared" ca="1" si="192"/>
        <v>#REF!</v>
      </c>
      <c r="BW19" s="37" t="e">
        <f t="shared" ca="1" si="193"/>
        <v>#REF!</v>
      </c>
      <c r="BX19" s="37" t="e">
        <f t="shared" ca="1" si="194"/>
        <v>#REF!</v>
      </c>
      <c r="BY19" s="37" t="e">
        <f t="shared" ca="1" si="195"/>
        <v>#REF!</v>
      </c>
      <c r="BZ19" s="37" t="e">
        <f t="shared" ca="1" si="196"/>
        <v>#REF!</v>
      </c>
      <c r="CA19" s="37" t="e">
        <f t="shared" ca="1" si="197"/>
        <v>#REF!</v>
      </c>
      <c r="CB19" s="37" t="e">
        <f t="shared" ca="1" si="198"/>
        <v>#REF!</v>
      </c>
      <c r="CC19" s="37" t="e">
        <f t="shared" ca="1" si="199"/>
        <v>#REF!</v>
      </c>
      <c r="CD19" s="37" t="e">
        <f t="shared" ca="1" si="200"/>
        <v>#REF!</v>
      </c>
      <c r="CE19" s="37" t="e">
        <f t="shared" ca="1" si="201"/>
        <v>#REF!</v>
      </c>
    </row>
    <row r="20" spans="1:83" x14ac:dyDescent="0.25">
      <c r="C20" s="33"/>
      <c r="D20" s="193"/>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3"/>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44" t="s">
        <v>202</v>
      </c>
      <c r="B1" s="244"/>
      <c r="C1" s="244"/>
      <c r="D1" s="244"/>
      <c r="F1" s="10" t="s">
        <v>3</v>
      </c>
      <c r="G1" s="10" t="s">
        <v>4</v>
      </c>
      <c r="H1" s="10" t="s">
        <v>5</v>
      </c>
      <c r="I1" s="34" t="s">
        <v>87</v>
      </c>
      <c r="J1" s="34" t="s">
        <v>7</v>
      </c>
      <c r="K1" s="34" t="s">
        <v>68</v>
      </c>
      <c r="L1" s="34" t="s">
        <v>185</v>
      </c>
      <c r="M1" s="34" t="s">
        <v>267</v>
      </c>
      <c r="N1" s="132" t="s">
        <v>186</v>
      </c>
      <c r="O1" s="132" t="s">
        <v>187</v>
      </c>
      <c r="P1" s="132" t="s">
        <v>262</v>
      </c>
      <c r="Q1" s="132" t="s">
        <v>119</v>
      </c>
      <c r="R1" s="133" t="s">
        <v>188</v>
      </c>
      <c r="S1" s="133" t="s">
        <v>189</v>
      </c>
      <c r="T1" s="133" t="s">
        <v>262</v>
      </c>
      <c r="U1" s="133" t="s">
        <v>119</v>
      </c>
    </row>
    <row r="2" spans="1:21" x14ac:dyDescent="0.25">
      <c r="A2" s="245" t="s">
        <v>203</v>
      </c>
      <c r="B2" s="246" t="s">
        <v>204</v>
      </c>
      <c r="C2" s="246" t="s">
        <v>205</v>
      </c>
      <c r="D2" s="246" t="s">
        <v>206</v>
      </c>
      <c r="F2" s="212" t="s">
        <v>347</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45"/>
      <c r="B3" s="246"/>
      <c r="C3" s="246"/>
      <c r="D3" s="246"/>
      <c r="F3" s="212" t="s">
        <v>348</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204</v>
      </c>
      <c r="B4" s="159" t="s">
        <v>207</v>
      </c>
      <c r="C4" s="159" t="s">
        <v>208</v>
      </c>
      <c r="D4" s="159" t="s">
        <v>208</v>
      </c>
      <c r="F4" s="212" t="s">
        <v>349</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205</v>
      </c>
      <c r="B5" s="161" t="s">
        <v>209</v>
      </c>
      <c r="C5" s="161" t="s">
        <v>210</v>
      </c>
      <c r="D5" s="161" t="s">
        <v>208</v>
      </c>
      <c r="F5" s="212" t="s">
        <v>350</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206</v>
      </c>
      <c r="B6" s="159" t="s">
        <v>211</v>
      </c>
      <c r="C6" s="159" t="s">
        <v>212</v>
      </c>
      <c r="D6" s="159" t="s">
        <v>213</v>
      </c>
      <c r="F6" s="212" t="s">
        <v>352</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214</v>
      </c>
      <c r="B7" s="161" t="s">
        <v>215</v>
      </c>
      <c r="C7" s="161" t="s">
        <v>216</v>
      </c>
      <c r="D7" s="161" t="s">
        <v>217</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218</v>
      </c>
      <c r="B8" s="159" t="s">
        <v>219</v>
      </c>
      <c r="C8" s="159" t="s">
        <v>220</v>
      </c>
      <c r="D8" s="159" t="s">
        <v>221</v>
      </c>
      <c r="F8" s="212" t="s">
        <v>351</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222</v>
      </c>
      <c r="B9" s="161" t="s">
        <v>223</v>
      </c>
      <c r="C9" s="161" t="s">
        <v>224</v>
      </c>
      <c r="D9" s="161" t="s">
        <v>225</v>
      </c>
      <c r="F9" s="212" t="s">
        <v>353</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226</v>
      </c>
      <c r="B10" s="159" t="s">
        <v>227</v>
      </c>
      <c r="C10" s="159" t="s">
        <v>228</v>
      </c>
      <c r="D10" s="159" t="s">
        <v>229</v>
      </c>
      <c r="F10" s="212" t="s">
        <v>354</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230</v>
      </c>
      <c r="B11" s="161" t="s">
        <v>231</v>
      </c>
      <c r="C11" s="161" t="s">
        <v>232</v>
      </c>
      <c r="D11" s="161" t="s">
        <v>233</v>
      </c>
      <c r="F11" s="212" t="s">
        <v>355</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234</v>
      </c>
      <c r="B12" s="159" t="s">
        <v>235</v>
      </c>
      <c r="C12" s="159" t="s">
        <v>236</v>
      </c>
      <c r="D12" s="159" t="s">
        <v>237</v>
      </c>
      <c r="F12" s="212" t="s">
        <v>356</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238</v>
      </c>
      <c r="B13" s="161" t="s">
        <v>239</v>
      </c>
      <c r="C13" s="161" t="s">
        <v>240</v>
      </c>
      <c r="D13" s="161" t="s">
        <v>241</v>
      </c>
      <c r="F13" s="212" t="s">
        <v>361</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242</v>
      </c>
      <c r="B14" s="159" t="s">
        <v>243</v>
      </c>
      <c r="C14" s="159" t="s">
        <v>244</v>
      </c>
      <c r="D14" s="159" t="s">
        <v>245</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246</v>
      </c>
      <c r="B15" s="161" t="s">
        <v>247</v>
      </c>
      <c r="C15" s="161" t="s">
        <v>248</v>
      </c>
      <c r="D15" s="161" t="s">
        <v>249</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250</v>
      </c>
      <c r="B16" s="159" t="s">
        <v>251</v>
      </c>
      <c r="C16" s="159" t="s">
        <v>252</v>
      </c>
      <c r="D16" s="159" t="s">
        <v>253</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254</v>
      </c>
      <c r="B17" s="161" t="s">
        <v>255</v>
      </c>
      <c r="C17" s="161" t="s">
        <v>256</v>
      </c>
      <c r="D17" s="161" t="s">
        <v>257</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258</v>
      </c>
      <c r="B18" s="159" t="s">
        <v>259</v>
      </c>
      <c r="C18" s="159" t="s">
        <v>260</v>
      </c>
      <c r="D18" s="159" t="s">
        <v>261</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200</v>
      </c>
      <c r="B20" s="10" t="s">
        <v>201</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199</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198</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197</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194</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195</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196</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263</v>
      </c>
      <c r="B28" s="10" t="s">
        <v>264</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266</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265</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Resistencia</vt:lpstr>
      <vt:lpstr>TL_v1</vt:lpstr>
      <vt:lpstr>CA_v1</vt:lpstr>
      <vt:lpstr>Planning_Entrenador</vt:lpstr>
      <vt:lpstr>PLANTILLA</vt:lpstr>
      <vt:lpstr>Hall_of_Fame</vt:lpstr>
      <vt:lpstr>CAPITAN</vt:lpstr>
      <vt:lpstr>Evaluacion Jugadores</vt:lpstr>
      <vt:lpstr>CambioENTRENADOR</vt:lpstr>
      <vt:lpstr>Rendimiento_ENTRENAMIENTO</vt:lpstr>
      <vt:lpstr>Gomis</vt:lpstr>
      <vt:lpstr>Peñuela</vt:lpstr>
      <vt:lpstr>Minaya</vt:lpstr>
      <vt:lpstr>Cubas</vt:lpstr>
      <vt:lpstr>Riquelme</vt:lpstr>
      <vt:lpstr>Duffill</vt:lpstr>
      <vt:lpstr>Añigas</vt:lpstr>
      <vt:lpstr>Calculador de Sueldo</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2018-06-05T13:58:21Z</dcterms:modified>
</cp:coreProperties>
</file>