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0D2760E7-2E72-4D3B-AF8F-AEB1598D65AE}" xr6:coauthVersionLast="33" xr6:coauthVersionMax="33" xr10:uidLastSave="{00000000-0000-0000-0000-000000000000}"/>
  <bookViews>
    <workbookView xWindow="1680" yWindow="300" windowWidth="14880" windowHeight="7815" activeTab="1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Banderas" sheetId="119" r:id="rId8"/>
    <sheet name="Calculadora_Tactica" sheetId="83" r:id="rId9"/>
    <sheet name="Capitan" sheetId="76" r:id="rId10"/>
    <sheet name="Entrenador" sheetId="85" r:id="rId11"/>
    <sheet name="Entrenamiento" sheetId="86" r:id="rId12"/>
    <sheet name="Resumen_Rend" sheetId="96" r:id="rId13"/>
    <sheet name="352" sheetId="105" r:id="rId14"/>
    <sheet name="541" sheetId="106" r:id="rId15"/>
    <sheet name="DEF" sheetId="108" r:id="rId16"/>
    <sheet name="JUG" sheetId="107" r:id="rId17"/>
    <sheet name="PAS" sheetId="110" r:id="rId18"/>
    <sheet name="LAT" sheetId="111" r:id="rId19"/>
    <sheet name="El Desierto de Tattoine" sheetId="3" r:id="rId20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AA25" i="118" l="1"/>
  <c r="AB25" i="118"/>
  <c r="W25" i="118"/>
  <c r="R25" i="118"/>
  <c r="T25" i="118"/>
  <c r="B25" i="118"/>
  <c r="C25" i="118"/>
  <c r="E25" i="118"/>
  <c r="G25" i="118"/>
  <c r="H25" i="118"/>
  <c r="I25" i="118"/>
  <c r="J25" i="118"/>
  <c r="K25" i="118"/>
  <c r="L25" i="118"/>
  <c r="M25" i="118"/>
  <c r="N25" i="118"/>
  <c r="O25" i="118"/>
  <c r="X8" i="118"/>
  <c r="T8" i="118"/>
  <c r="N8" i="118"/>
  <c r="H8" i="118"/>
  <c r="I8" i="118"/>
  <c r="J8" i="118"/>
  <c r="K8" i="118"/>
  <c r="L8" i="118"/>
  <c r="M8" i="118"/>
  <c r="G8" i="118"/>
  <c r="E8" i="118"/>
  <c r="D14" i="118"/>
  <c r="C8" i="118"/>
  <c r="BI11" i="32" l="1"/>
  <c r="AV11" i="32"/>
  <c r="AW11" i="32"/>
  <c r="AX11" i="32"/>
  <c r="AY11" i="32"/>
  <c r="AZ11" i="32"/>
  <c r="BA11" i="32"/>
  <c r="BB11" i="32"/>
  <c r="BC11" i="32"/>
  <c r="BD11" i="32"/>
  <c r="BE11" i="32"/>
  <c r="BF11" i="32"/>
  <c r="AQ11" i="32"/>
  <c r="W11" i="32"/>
  <c r="U11" i="32"/>
  <c r="R11" i="32"/>
  <c r="S11" i="32"/>
  <c r="P11" i="32"/>
  <c r="AH11" i="32" s="1"/>
  <c r="N11" i="32"/>
  <c r="J11" i="32"/>
  <c r="K11" i="32"/>
  <c r="L11" i="32"/>
  <c r="AG11" i="32" l="1"/>
  <c r="AF11" i="32"/>
  <c r="AI11" i="32"/>
  <c r="AK11" i="32"/>
  <c r="AJ11" i="32"/>
  <c r="AN11" i="32"/>
  <c r="AM11" i="32"/>
  <c r="AL11" i="32"/>
  <c r="H13" i="117"/>
  <c r="Z13" i="32"/>
  <c r="Z15" i="32"/>
  <c r="Z17" i="32"/>
  <c r="Z14" i="32"/>
  <c r="Z18" i="32"/>
  <c r="Z16" i="32"/>
  <c r="Z19" i="32"/>
  <c r="Z20" i="32"/>
  <c r="Z12" i="32"/>
  <c r="Z10" i="32"/>
  <c r="BI21" i="32" l="1"/>
  <c r="BI20" i="32" l="1"/>
  <c r="AV20" i="32"/>
  <c r="AW20" i="32"/>
  <c r="AX20" i="32"/>
  <c r="AY20" i="32"/>
  <c r="AZ20" i="32"/>
  <c r="BA20" i="32"/>
  <c r="BB20" i="32"/>
  <c r="BC20" i="32"/>
  <c r="BD20" i="32"/>
  <c r="BE20" i="32"/>
  <c r="BF20" i="32"/>
  <c r="AA15" i="117" l="1"/>
  <c r="E18" i="117"/>
  <c r="H14" i="117"/>
  <c r="Z15" i="117" l="1"/>
  <c r="H15" i="117"/>
  <c r="E19" i="117"/>
  <c r="Z8" i="117"/>
  <c r="W26" i="118"/>
  <c r="X26" i="118"/>
  <c r="AC26" i="118"/>
  <c r="AD26" i="118" s="1"/>
  <c r="R26" i="118"/>
  <c r="B26" i="118"/>
  <c r="I26" i="118"/>
  <c r="X9" i="118"/>
  <c r="N9" i="118"/>
  <c r="M9" i="118"/>
  <c r="L9" i="118"/>
  <c r="K9" i="118"/>
  <c r="J9" i="118"/>
  <c r="I9" i="118"/>
  <c r="H9" i="118"/>
  <c r="G9" i="118"/>
  <c r="E9" i="118"/>
  <c r="T9" i="118" s="1"/>
  <c r="E26" i="118" s="1"/>
  <c r="T26" i="118" s="1"/>
  <c r="D9" i="118"/>
  <c r="S9" i="118" s="1"/>
  <c r="C9" i="118"/>
  <c r="C26" i="118" s="1"/>
  <c r="D26" i="118" l="1"/>
  <c r="S26" i="118" s="1"/>
  <c r="T6" i="117" l="1"/>
  <c r="V10" i="117"/>
  <c r="V6" i="117"/>
  <c r="V9" i="117"/>
  <c r="X3" i="117"/>
  <c r="W3" i="117" s="1"/>
  <c r="V3" i="117" s="1"/>
  <c r="U3" i="117" s="1"/>
  <c r="T3" i="117" s="1"/>
  <c r="Y3" i="117"/>
  <c r="Y20" i="117"/>
  <c r="L46" i="49" l="1"/>
  <c r="AA28" i="118" l="1"/>
  <c r="AA30" i="118"/>
  <c r="AA29" i="118"/>
  <c r="AA27" i="118"/>
  <c r="W32" i="118"/>
  <c r="W31" i="118"/>
  <c r="W28" i="118"/>
  <c r="W24" i="118"/>
  <c r="W23" i="118"/>
  <c r="W22" i="118"/>
  <c r="O21" i="118"/>
  <c r="O28" i="118"/>
  <c r="O29" i="118"/>
  <c r="O30" i="118"/>
  <c r="O31" i="118"/>
  <c r="O32" i="118"/>
  <c r="O27" i="118"/>
  <c r="N21" i="118"/>
  <c r="AC15" i="118"/>
  <c r="AC14" i="118"/>
  <c r="AC13" i="118"/>
  <c r="AC12" i="118"/>
  <c r="AC10" i="118"/>
  <c r="AC11" i="118"/>
  <c r="E11" i="118" l="1"/>
  <c r="T11" i="118" s="1"/>
  <c r="E12" i="118"/>
  <c r="T12" i="118" s="1"/>
  <c r="E13" i="118"/>
  <c r="T13" i="118" s="1"/>
  <c r="E14" i="118"/>
  <c r="T14" i="118" s="1"/>
  <c r="E15" i="118"/>
  <c r="T15" i="118" s="1"/>
  <c r="E10" i="118"/>
  <c r="T10" i="118" s="1"/>
  <c r="W20" i="116" l="1"/>
  <c r="T21" i="118" l="1"/>
  <c r="T23" i="118" l="1"/>
  <c r="T24" i="118"/>
  <c r="T22" i="118"/>
  <c r="N23" i="118"/>
  <c r="N24" i="118"/>
  <c r="N22" i="118"/>
  <c r="M34" i="118"/>
  <c r="L34" i="118"/>
  <c r="K34" i="118"/>
  <c r="G34" i="118"/>
  <c r="M33" i="118"/>
  <c r="L33" i="118"/>
  <c r="K33" i="118"/>
  <c r="G33" i="118"/>
  <c r="E32" i="118"/>
  <c r="T32" i="118" s="1"/>
  <c r="E28" i="118"/>
  <c r="T28" i="118" s="1"/>
  <c r="E29" i="118"/>
  <c r="T29" i="118" s="1"/>
  <c r="E30" i="118"/>
  <c r="T30" i="118" s="1"/>
  <c r="E27" i="118"/>
  <c r="T27" i="118" s="1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N27" i="118"/>
  <c r="AD10" i="118"/>
  <c r="AD11" i="118"/>
  <c r="AD12" i="118"/>
  <c r="AD13" i="118"/>
  <c r="N31" i="118"/>
  <c r="AD14" i="118"/>
  <c r="N32" i="118"/>
  <c r="AD15" i="118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T31" i="118" s="1"/>
  <c r="B31" i="118"/>
  <c r="R31" i="118" s="1"/>
  <c r="A31" i="118"/>
  <c r="AC30" i="118"/>
  <c r="AD30" i="118" s="1"/>
  <c r="B30" i="118"/>
  <c r="R30" i="118" s="1"/>
  <c r="A30" i="118"/>
  <c r="AD29" i="118"/>
  <c r="AC29" i="118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26" i="118"/>
  <c r="AC25" i="118"/>
  <c r="AD25" i="118" s="1"/>
  <c r="X25" i="118"/>
  <c r="A25" i="118"/>
  <c r="AG24" i="118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R16" i="118"/>
  <c r="R15" i="118"/>
  <c r="N15" i="118"/>
  <c r="M15" i="118"/>
  <c r="AB15" i="118" s="1"/>
  <c r="M32" i="118" s="1"/>
  <c r="L15" i="118"/>
  <c r="AA15" i="118" s="1"/>
  <c r="L32" i="118" s="1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I31" i="118"/>
  <c r="X31" i="118" s="1"/>
  <c r="R14" i="118"/>
  <c r="N14" i="118"/>
  <c r="M14" i="118"/>
  <c r="AB14" i="118" s="1"/>
  <c r="M31" i="118" s="1"/>
  <c r="L14" i="118"/>
  <c r="AA14" i="118" s="1"/>
  <c r="L31" i="118" s="1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31" i="118"/>
  <c r="S31" i="118" s="1"/>
  <c r="C14" i="118"/>
  <c r="C31" i="118" s="1"/>
  <c r="N30" i="118"/>
  <c r="R13" i="118"/>
  <c r="N13" i="118"/>
  <c r="M13" i="118"/>
  <c r="AB13" i="118" s="1"/>
  <c r="M30" i="118" s="1"/>
  <c r="L13" i="118"/>
  <c r="AA13" i="118" s="1"/>
  <c r="L30" i="118" s="1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R12" i="118"/>
  <c r="N12" i="118"/>
  <c r="M12" i="118"/>
  <c r="AB12" i="118" s="1"/>
  <c r="M29" i="118" s="1"/>
  <c r="L12" i="118"/>
  <c r="AA12" i="118" s="1"/>
  <c r="L29" i="118" s="1"/>
  <c r="K12" i="118"/>
  <c r="Z12" i="118" s="1"/>
  <c r="K29" i="118" s="1"/>
  <c r="Z29" i="118" s="1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D29" i="118" s="1"/>
  <c r="S29" i="118" s="1"/>
  <c r="C12" i="118"/>
  <c r="C29" i="118" s="1"/>
  <c r="R11" i="118"/>
  <c r="N11" i="118"/>
  <c r="M11" i="118"/>
  <c r="AB11" i="118" s="1"/>
  <c r="M28" i="118" s="1"/>
  <c r="L11" i="118"/>
  <c r="AA11" i="118" s="1"/>
  <c r="L28" i="118" s="1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R10" i="118"/>
  <c r="N10" i="118"/>
  <c r="M10" i="118"/>
  <c r="AB10" i="118" s="1"/>
  <c r="M27" i="118" s="1"/>
  <c r="L10" i="118"/>
  <c r="AA10" i="118" s="1"/>
  <c r="L27" i="118" s="1"/>
  <c r="K10" i="118"/>
  <c r="Z10" i="118" s="1"/>
  <c r="K27" i="118" s="1"/>
  <c r="Z27" i="118" s="1"/>
  <c r="J10" i="118"/>
  <c r="Y10" i="118" s="1"/>
  <c r="J27" i="118" s="1"/>
  <c r="Y27" i="118" s="1"/>
  <c r="I10" i="118"/>
  <c r="H10" i="118"/>
  <c r="W10" i="118" s="1"/>
  <c r="H27" i="118" s="1"/>
  <c r="G10" i="118"/>
  <c r="V10" i="118" s="1"/>
  <c r="G27" i="118" s="1"/>
  <c r="V27" i="118" s="1"/>
  <c r="D10" i="118"/>
  <c r="D27" i="118" s="1"/>
  <c r="S27" i="118" s="1"/>
  <c r="C10" i="118"/>
  <c r="C27" i="118" s="1"/>
  <c r="AC9" i="118"/>
  <c r="AB9" i="118"/>
  <c r="M26" i="118" s="1"/>
  <c r="AA9" i="118"/>
  <c r="L26" i="118" s="1"/>
  <c r="AA26" i="118" s="1"/>
  <c r="Z9" i="118"/>
  <c r="K26" i="118" s="1"/>
  <c r="Z26" i="118" s="1"/>
  <c r="Y9" i="118"/>
  <c r="J26" i="118" s="1"/>
  <c r="Y26" i="118" s="1"/>
  <c r="W9" i="118"/>
  <c r="H26" i="118" s="1"/>
  <c r="V9" i="118"/>
  <c r="G26" i="118" s="1"/>
  <c r="V26" i="118" s="1"/>
  <c r="R9" i="118"/>
  <c r="AC8" i="118"/>
  <c r="AD8" i="118" s="1"/>
  <c r="AB8" i="118"/>
  <c r="AA8" i="118"/>
  <c r="Z8" i="118"/>
  <c r="Z25" i="118" s="1"/>
  <c r="Y8" i="118"/>
  <c r="Y25" i="118" s="1"/>
  <c r="W8" i="118"/>
  <c r="V8" i="118"/>
  <c r="V25" i="118" s="1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AD9" i="118" l="1"/>
  <c r="N26" i="118"/>
  <c r="O26" i="118" s="1"/>
  <c r="S12" i="118"/>
  <c r="N2" i="118"/>
  <c r="S13" i="118"/>
  <c r="S15" i="118"/>
  <c r="AG25" i="118"/>
  <c r="U21" i="118"/>
  <c r="U24" i="118"/>
  <c r="U23" i="118"/>
  <c r="U22" i="118"/>
  <c r="V33" i="118"/>
  <c r="AC19" i="118"/>
  <c r="AC2" i="118"/>
  <c r="S14" i="118"/>
  <c r="AD5" i="118"/>
  <c r="AD19" i="118"/>
  <c r="O2" i="118"/>
  <c r="N28" i="118"/>
  <c r="S10" i="118"/>
  <c r="S11" i="118"/>
  <c r="N29" i="118"/>
  <c r="AD23" i="118"/>
  <c r="O19" i="118" l="1"/>
  <c r="N19" i="118"/>
  <c r="AD2" i="118"/>
  <c r="F29" i="116" l="1"/>
  <c r="F28" i="116"/>
  <c r="F27" i="116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6" i="116" l="1"/>
  <c r="F25" i="116"/>
  <c r="F24" i="116"/>
  <c r="F23" i="116"/>
  <c r="F22" i="116"/>
  <c r="R6" i="117" l="1"/>
  <c r="Q6" i="117" l="1"/>
  <c r="W19" i="116"/>
  <c r="BI14" i="32" l="1"/>
  <c r="BI15" i="32"/>
  <c r="BI16" i="32"/>
  <c r="BI18" i="32"/>
  <c r="BI17" i="32"/>
  <c r="BI13" i="32"/>
  <c r="BI19" i="32" l="1"/>
  <c r="BI10" i="32"/>
  <c r="BI12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W22" i="116" l="1"/>
  <c r="W23" i="116"/>
  <c r="W24" i="116"/>
  <c r="W25" i="116"/>
  <c r="W26" i="116"/>
  <c r="W27" i="116"/>
  <c r="W28" i="116"/>
  <c r="W29" i="116"/>
  <c r="W9" i="116"/>
  <c r="W21" i="116"/>
  <c r="W7" i="116"/>
  <c r="W14" i="116"/>
  <c r="W8" i="116"/>
  <c r="W18" i="116"/>
  <c r="W6" i="116"/>
  <c r="W13" i="116"/>
  <c r="O20" i="117" l="1"/>
  <c r="P19" i="32"/>
  <c r="U12" i="32" l="1"/>
  <c r="U19" i="32" l="1"/>
  <c r="O6" i="117" l="1"/>
  <c r="T15" i="117" l="1"/>
  <c r="U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AA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D13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S22" i="117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Y3" i="83" s="1"/>
  <c r="P3" i="83"/>
  <c r="Z3" i="83" s="1"/>
  <c r="M4" i="83"/>
  <c r="W2" i="83" s="1"/>
  <c r="O4" i="83"/>
  <c r="Y4" i="83" s="1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C14" i="116" l="1"/>
  <c r="C19" i="116"/>
  <c r="C13" i="116"/>
  <c r="C21" i="116"/>
  <c r="C18" i="116"/>
  <c r="C9" i="116"/>
  <c r="C28" i="116"/>
  <c r="C8" i="116"/>
  <c r="E8" i="116"/>
  <c r="E18" i="116"/>
  <c r="E20" i="116"/>
  <c r="C20" i="116"/>
  <c r="C26" i="116"/>
  <c r="C7" i="116"/>
  <c r="AE109" i="116"/>
  <c r="C6" i="116"/>
  <c r="C29" i="116"/>
  <c r="C25" i="116"/>
  <c r="C27" i="116"/>
  <c r="C24" i="116"/>
  <c r="Y9" i="83"/>
  <c r="C23" i="116"/>
  <c r="E19" i="116"/>
  <c r="W8" i="83"/>
  <c r="Y12" i="83"/>
  <c r="C22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M23" i="117"/>
  <c r="E27" i="117" s="1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9" i="116"/>
  <c r="E21" i="116"/>
  <c r="E14" i="116"/>
  <c r="E7" i="116"/>
  <c r="E6" i="116"/>
  <c r="E13" i="116"/>
  <c r="Z9" i="83"/>
  <c r="P25" i="117" l="1"/>
  <c r="Q25" i="117"/>
  <c r="E13" i="117"/>
  <c r="E12" i="117"/>
  <c r="E26" i="117"/>
  <c r="E24" i="117" s="1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Z3" i="117" s="1"/>
  <c r="AA3" i="117" s="1"/>
  <c r="AB3" i="117" s="1"/>
  <c r="AC3" i="117" s="1"/>
  <c r="AD3" i="117" s="1"/>
  <c r="E10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l="1"/>
  <c r="Z26" i="117" s="1"/>
  <c r="AA5" i="117" s="1"/>
  <c r="AB14" i="117"/>
  <c r="AD18" i="117"/>
  <c r="AC25" i="117"/>
  <c r="AD25" i="117" l="1"/>
  <c r="M18" i="117"/>
  <c r="H29" i="117" s="1"/>
  <c r="AD14" i="117"/>
  <c r="AC14" i="117"/>
  <c r="AA26" i="117"/>
  <c r="AB5" i="117" s="1"/>
  <c r="AB26" i="117" l="1"/>
  <c r="M14" i="117"/>
  <c r="M7" i="117"/>
  <c r="AC5" i="117" l="1"/>
  <c r="AC26" i="117" s="1"/>
  <c r="B7" i="117"/>
  <c r="B10" i="117"/>
  <c r="B11" i="117"/>
  <c r="B8" i="117"/>
  <c r="B12" i="117"/>
  <c r="B13" i="117"/>
  <c r="B9" i="117"/>
  <c r="E33" i="117"/>
  <c r="A15" i="117"/>
  <c r="B6" i="117"/>
  <c r="M25" i="117"/>
  <c r="M15" i="117"/>
  <c r="AD5" i="117" l="1"/>
  <c r="A35" i="117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G11" i="76" s="1"/>
  <c r="H11" i="76" s="1"/>
  <c r="D11" i="76"/>
  <c r="E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Q49" i="94" l="1"/>
  <c r="R47" i="94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W16" i="94" s="1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4" i="32"/>
  <c r="AV14" i="32"/>
  <c r="AW14" i="32"/>
  <c r="AX14" i="32"/>
  <c r="AY14" i="32"/>
  <c r="AZ14" i="32"/>
  <c r="BA14" i="32"/>
  <c r="BB14" i="32"/>
  <c r="BC14" i="32"/>
  <c r="BD14" i="32"/>
  <c r="BE14" i="32"/>
  <c r="BF14" i="32"/>
  <c r="AV15" i="32"/>
  <c r="AW15" i="32"/>
  <c r="AX15" i="32"/>
  <c r="AY15" i="32"/>
  <c r="AZ15" i="32"/>
  <c r="BA15" i="32"/>
  <c r="BB15" i="32"/>
  <c r="BC15" i="32"/>
  <c r="BD15" i="32"/>
  <c r="BE15" i="32"/>
  <c r="BF15" i="32"/>
  <c r="AV16" i="32"/>
  <c r="AW16" i="32"/>
  <c r="AX16" i="32"/>
  <c r="AY16" i="32"/>
  <c r="AZ16" i="32"/>
  <c r="BA16" i="32"/>
  <c r="BB16" i="32"/>
  <c r="BC16" i="32"/>
  <c r="BD16" i="32"/>
  <c r="BE16" i="32"/>
  <c r="BF16" i="32"/>
  <c r="AV18" i="32"/>
  <c r="AW18" i="32"/>
  <c r="AX18" i="32"/>
  <c r="AY18" i="32"/>
  <c r="AZ18" i="32"/>
  <c r="BA18" i="32"/>
  <c r="BB18" i="32"/>
  <c r="BC18" i="32"/>
  <c r="BD18" i="32"/>
  <c r="BE18" i="32"/>
  <c r="BF18" i="32"/>
  <c r="AQ14" i="32"/>
  <c r="W14" i="32"/>
  <c r="R14" i="32"/>
  <c r="S14" i="32"/>
  <c r="P14" i="32"/>
  <c r="N14" i="32"/>
  <c r="J14" i="32"/>
  <c r="N12" i="83" s="1"/>
  <c r="K14" i="32"/>
  <c r="L14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4" i="32"/>
  <c r="AG14" i="32"/>
  <c r="AF14" i="32"/>
  <c r="AK14" i="32"/>
  <c r="S12" i="83" s="1"/>
  <c r="AI14" i="32"/>
  <c r="Q12" i="83" s="1"/>
  <c r="AM14" i="32"/>
  <c r="AJ14" i="32"/>
  <c r="R12" i="83" s="1"/>
  <c r="AN14" i="32"/>
  <c r="AL14" i="32"/>
  <c r="T12" i="83" s="1"/>
  <c r="U15" i="32"/>
  <c r="AQ15" i="32"/>
  <c r="W15" i="32"/>
  <c r="R15" i="32"/>
  <c r="S15" i="32"/>
  <c r="P15" i="32"/>
  <c r="N15" i="32"/>
  <c r="J15" i="32"/>
  <c r="N13" i="83" s="1"/>
  <c r="K15" i="32"/>
  <c r="L15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5" i="32"/>
  <c r="AX10" i="32"/>
  <c r="BF10" i="32"/>
  <c r="BA10" i="32"/>
  <c r="BB10" i="32"/>
  <c r="AY10" i="32"/>
  <c r="BC10" i="32"/>
  <c r="AZ10" i="32"/>
  <c r="AW10" i="32"/>
  <c r="BE10" i="32"/>
  <c r="AV10" i="32"/>
  <c r="BD10" i="32"/>
  <c r="BA19" i="32"/>
  <c r="BD19" i="32"/>
  <c r="AZ19" i="32"/>
  <c r="BB19" i="32"/>
  <c r="BE19" i="32"/>
  <c r="AX19" i="32"/>
  <c r="BC19" i="32"/>
  <c r="AV19" i="32"/>
  <c r="AW19" i="32"/>
  <c r="BF19" i="32"/>
  <c r="AY19" i="32"/>
  <c r="BC17" i="32"/>
  <c r="AX17" i="32"/>
  <c r="BF17" i="32"/>
  <c r="AY17" i="32"/>
  <c r="AV17" i="32"/>
  <c r="BD17" i="32"/>
  <c r="AW17" i="32"/>
  <c r="BE17" i="32"/>
  <c r="AZ17" i="32"/>
  <c r="BA17" i="32"/>
  <c r="BB17" i="32"/>
  <c r="AZ12" i="32"/>
  <c r="BC12" i="32"/>
  <c r="AW12" i="32"/>
  <c r="AY12" i="32"/>
  <c r="BA12" i="32"/>
  <c r="BD12" i="32"/>
  <c r="BE12" i="32"/>
  <c r="BB12" i="32"/>
  <c r="AV12" i="32"/>
  <c r="AX12" i="32"/>
  <c r="BF12" i="32"/>
  <c r="AK15" i="32"/>
  <c r="S13" i="83" s="1"/>
  <c r="AL15" i="32"/>
  <c r="T13" i="83" s="1"/>
  <c r="AJ15" i="32"/>
  <c r="R13" i="83" s="1"/>
  <c r="AN15" i="32"/>
  <c r="AM15" i="32"/>
  <c r="AI15" i="32"/>
  <c r="Q13" i="83" s="1"/>
  <c r="AH15" i="32"/>
  <c r="AG15" i="32"/>
  <c r="U20" i="32"/>
  <c r="AQ20" i="32"/>
  <c r="W20" i="32"/>
  <c r="R20" i="32"/>
  <c r="S20" i="32"/>
  <c r="P20" i="32"/>
  <c r="N20" i="32"/>
  <c r="J20" i="32"/>
  <c r="N15" i="83" s="1"/>
  <c r="K20" i="32"/>
  <c r="L20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20" i="32"/>
  <c r="AJ20" i="32"/>
  <c r="R15" i="83" s="1"/>
  <c r="AI20" i="32"/>
  <c r="Q15" i="83" s="1"/>
  <c r="AN20" i="32"/>
  <c r="AL20" i="32"/>
  <c r="T15" i="83" s="1"/>
  <c r="AM20" i="32"/>
  <c r="AK20" i="32"/>
  <c r="S15" i="83" s="1"/>
  <c r="AH20" i="32"/>
  <c r="AG20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6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6" i="32"/>
  <c r="W16" i="32"/>
  <c r="R16" i="32"/>
  <c r="S16" i="32"/>
  <c r="P16" i="32"/>
  <c r="N16" i="32"/>
  <c r="J16" i="32"/>
  <c r="N14" i="83" s="1"/>
  <c r="K16" i="32"/>
  <c r="L16" i="32"/>
  <c r="I15" i="94" l="1"/>
  <c r="C14" i="83"/>
  <c r="B14" i="83"/>
  <c r="AG16" i="32"/>
  <c r="AL16" i="32"/>
  <c r="T14" i="83" s="1"/>
  <c r="AM16" i="32"/>
  <c r="AK16" i="32"/>
  <c r="S14" i="83" s="1"/>
  <c r="AI16" i="32"/>
  <c r="Q14" i="83" s="1"/>
  <c r="AN16" i="32"/>
  <c r="AJ16" i="32"/>
  <c r="R14" i="83" s="1"/>
  <c r="AH16" i="32"/>
  <c r="AF16" i="32"/>
  <c r="BF13" i="32"/>
  <c r="BE13" i="32"/>
  <c r="BD13" i="32"/>
  <c r="BC13" i="32"/>
  <c r="BB13" i="32"/>
  <c r="BA13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3" i="32"/>
  <c r="AZ13" i="32"/>
  <c r="AX13" i="32"/>
  <c r="AW13" i="32"/>
  <c r="AV13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8" i="32"/>
  <c r="AQ18" i="32"/>
  <c r="W18" i="32"/>
  <c r="R18" i="32"/>
  <c r="S18" i="32"/>
  <c r="P18" i="32"/>
  <c r="N18" i="32"/>
  <c r="J18" i="32"/>
  <c r="N16" i="83" s="1"/>
  <c r="K18" i="32"/>
  <c r="L18" i="32"/>
  <c r="AQ12" i="32"/>
  <c r="W12" i="32"/>
  <c r="R12" i="32"/>
  <c r="S12" i="32"/>
  <c r="P12" i="32"/>
  <c r="N12" i="32"/>
  <c r="J12" i="32"/>
  <c r="N20" i="83" s="1"/>
  <c r="K12" i="32"/>
  <c r="L12" i="32"/>
  <c r="U17" i="32"/>
  <c r="AQ17" i="32"/>
  <c r="W17" i="32"/>
  <c r="R17" i="32"/>
  <c r="S17" i="32"/>
  <c r="P17" i="32"/>
  <c r="N17" i="32"/>
  <c r="J17" i="32"/>
  <c r="N19" i="83" s="1"/>
  <c r="K17" i="32"/>
  <c r="L17" i="32"/>
  <c r="AQ19" i="32"/>
  <c r="AQ10" i="32"/>
  <c r="U10" i="32"/>
  <c r="W10" i="32"/>
  <c r="R10" i="32"/>
  <c r="S10" i="32"/>
  <c r="P10" i="32"/>
  <c r="N10" i="32"/>
  <c r="J10" i="32"/>
  <c r="N18" i="83" s="1"/>
  <c r="K10" i="32"/>
  <c r="L10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7" i="32"/>
  <c r="AF12" i="32"/>
  <c r="AG10" i="32"/>
  <c r="AG18" i="32"/>
  <c r="AI18" i="32"/>
  <c r="Q16" i="83" s="1"/>
  <c r="AL18" i="32"/>
  <c r="T16" i="83" s="1"/>
  <c r="AK18" i="32"/>
  <c r="S16" i="83" s="1"/>
  <c r="AN18" i="32"/>
  <c r="AM18" i="32"/>
  <c r="AJ18" i="32"/>
  <c r="R16" i="83" s="1"/>
  <c r="AH18" i="32"/>
  <c r="AF18" i="32"/>
  <c r="AN12" i="32"/>
  <c r="AM12" i="32"/>
  <c r="AL12" i="32"/>
  <c r="T20" i="83" s="1"/>
  <c r="AK12" i="32"/>
  <c r="S20" i="83" s="1"/>
  <c r="AJ12" i="32"/>
  <c r="R20" i="83" s="1"/>
  <c r="AI12" i="32"/>
  <c r="Q20" i="83" s="1"/>
  <c r="AH12" i="32"/>
  <c r="AG12" i="32"/>
  <c r="AN17" i="32"/>
  <c r="AL17" i="32"/>
  <c r="T19" i="83" s="1"/>
  <c r="AM17" i="32"/>
  <c r="AK17" i="32"/>
  <c r="S19" i="83" s="1"/>
  <c r="AJ17" i="32"/>
  <c r="R19" i="83" s="1"/>
  <c r="AI17" i="32"/>
  <c r="Q19" i="83" s="1"/>
  <c r="AH17" i="32"/>
  <c r="AG17" i="32"/>
  <c r="AN10" i="32"/>
  <c r="AM10" i="32"/>
  <c r="AL10" i="32"/>
  <c r="T18" i="83" s="1"/>
  <c r="AK10" i="32"/>
  <c r="S18" i="83" s="1"/>
  <c r="AI10" i="32"/>
  <c r="Q18" i="83" s="1"/>
  <c r="AJ10" i="32"/>
  <c r="R18" i="83" s="1"/>
  <c r="AH10" i="32"/>
  <c r="AF10" i="32"/>
  <c r="W19" i="32"/>
  <c r="R19" i="32"/>
  <c r="S19" i="32"/>
  <c r="N19" i="32"/>
  <c r="J19" i="32"/>
  <c r="N17" i="83" s="1"/>
  <c r="K19" i="32"/>
  <c r="L19" i="32"/>
  <c r="AQ13" i="32"/>
  <c r="W13" i="32"/>
  <c r="U13" i="32"/>
  <c r="R13" i="32"/>
  <c r="S13" i="32"/>
  <c r="P13" i="32"/>
  <c r="N13" i="32"/>
  <c r="J13" i="32"/>
  <c r="N11" i="83" s="1"/>
  <c r="K13" i="32"/>
  <c r="L13" i="32"/>
  <c r="B27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3" i="32"/>
  <c r="AF19" i="32"/>
  <c r="AN19" i="32"/>
  <c r="AI19" i="32"/>
  <c r="Q17" i="83" s="1"/>
  <c r="AM19" i="32"/>
  <c r="AL19" i="32"/>
  <c r="T17" i="83" s="1"/>
  <c r="AK19" i="32"/>
  <c r="S17" i="83" s="1"/>
  <c r="AJ19" i="32"/>
  <c r="R17" i="83" s="1"/>
  <c r="AH19" i="32"/>
  <c r="AG19" i="32"/>
  <c r="AI13" i="32"/>
  <c r="Q11" i="83" s="1"/>
  <c r="AN13" i="32"/>
  <c r="AL13" i="32"/>
  <c r="T11" i="83" s="1"/>
  <c r="AJ13" i="32"/>
  <c r="R11" i="83" s="1"/>
  <c r="AM13" i="32"/>
  <c r="AK13" i="32"/>
  <c r="S11" i="83" s="1"/>
  <c r="AH13" i="32"/>
  <c r="AG13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8" i="49"/>
  <c r="O20" i="49"/>
  <c r="AD4" i="32" l="1"/>
  <c r="P2" i="83" s="1"/>
  <c r="Z2" i="83" s="1"/>
  <c r="AD24" i="32" l="1"/>
  <c r="P24" i="83" s="1"/>
  <c r="P10" i="83"/>
  <c r="Z11" i="83" s="1"/>
  <c r="AD8" i="32"/>
  <c r="P7" i="83" s="1"/>
  <c r="Z7" i="83" s="1"/>
  <c r="P4" i="83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N10" i="83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T10" i="83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6" i="83" l="1"/>
  <c r="D23" i="83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Q10" i="83"/>
  <c r="S10" i="83"/>
  <c r="R10" i="83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P37" i="94" l="1"/>
  <c r="S37" i="94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E10" i="83"/>
  <c r="F10" i="83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7" i="32"/>
  <c r="L7" i="32"/>
  <c r="K21" i="32"/>
  <c r="L21" i="32"/>
  <c r="K24" i="32"/>
  <c r="L24" i="32"/>
  <c r="L5" i="32"/>
  <c r="K5" i="32"/>
  <c r="D1" i="32" l="1"/>
  <c r="F11" i="32" s="1"/>
  <c r="C11" i="32" l="1"/>
  <c r="F8" i="118"/>
  <c r="U8" i="118" s="1"/>
  <c r="F25" i="118" s="1"/>
  <c r="U25" i="118" s="1"/>
  <c r="F25" i="32"/>
  <c r="F4" i="32"/>
  <c r="F12" i="32"/>
  <c r="E22" i="86" s="1"/>
  <c r="F20" i="32"/>
  <c r="F14" i="32"/>
  <c r="F11" i="118" s="1"/>
  <c r="U11" i="118" s="1"/>
  <c r="F5" i="32"/>
  <c r="F10" i="32"/>
  <c r="F9" i="118" s="1"/>
  <c r="U9" i="118" s="1"/>
  <c r="F26" i="118" s="1"/>
  <c r="U26" i="118" s="1"/>
  <c r="F18" i="32"/>
  <c r="F15" i="118" s="1"/>
  <c r="U15" i="118" s="1"/>
  <c r="F7" i="32"/>
  <c r="F6" i="32"/>
  <c r="F21" i="32"/>
  <c r="E23" i="86" s="1"/>
  <c r="F23" i="32"/>
  <c r="E25" i="86" s="1"/>
  <c r="F9" i="32"/>
  <c r="F17" i="32"/>
  <c r="F22" i="32"/>
  <c r="E24" i="86" s="1"/>
  <c r="F13" i="32"/>
  <c r="F10" i="118" s="1"/>
  <c r="U10" i="118" s="1"/>
  <c r="F27" i="118" s="1"/>
  <c r="U27" i="118" s="1"/>
  <c r="F15" i="32"/>
  <c r="F12" i="118" s="1"/>
  <c r="F16" i="32"/>
  <c r="F13" i="118" s="1"/>
  <c r="F24" i="32"/>
  <c r="E26" i="86" s="1"/>
  <c r="F8" i="32"/>
  <c r="F19" i="32"/>
  <c r="E19" i="86" s="1"/>
  <c r="D15" i="111"/>
  <c r="E20" i="86" l="1"/>
  <c r="Q20" i="86" s="1"/>
  <c r="F32" i="118"/>
  <c r="U32" i="118" s="1"/>
  <c r="U13" i="118"/>
  <c r="F30" i="118" s="1"/>
  <c r="U30" i="118" s="1"/>
  <c r="U12" i="118"/>
  <c r="F29" i="118" s="1"/>
  <c r="U29" i="118" s="1"/>
  <c r="F28" i="118"/>
  <c r="U28" i="118" s="1"/>
  <c r="E21" i="86"/>
  <c r="Q21" i="86" s="1"/>
  <c r="F14" i="118"/>
  <c r="U14" i="118" s="1"/>
  <c r="F31" i="118" s="1"/>
  <c r="U31" i="118" s="1"/>
  <c r="E17" i="86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E11" i="86"/>
  <c r="E27" i="86"/>
  <c r="Q24" i="86"/>
  <c r="Q22" i="86"/>
  <c r="Q19" i="86"/>
  <c r="E6" i="86"/>
  <c r="E10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3" i="32"/>
  <c r="C5" i="32"/>
  <c r="C19" i="32"/>
  <c r="C20" i="32"/>
  <c r="C17" i="32"/>
  <c r="C15" i="32"/>
  <c r="D12" i="111"/>
  <c r="C16" i="32"/>
  <c r="C10" i="32"/>
  <c r="C12" i="32"/>
  <c r="C18" i="32"/>
  <c r="C14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<sst xmlns="http://schemas.openxmlformats.org/spreadsheetml/2006/main" count="2180" uniqueCount="682">
  <si>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</si>
  <si>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</si>
  <si>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</si>
  <si>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</si>
  <si>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</si>
  <si>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</si>
  <si>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</si>
  <si>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</si>
  <si>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</si>
  <si>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</si>
  <si>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</si>
  <si>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</si>
  <si>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</si>
  <si>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</si>
  <si>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</si>
  <si>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</si>
  <si>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</si>
  <si>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</si>
  <si>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</si>
  <si>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</si>
  <si>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</si>
  <si>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</si>
  <si>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</si>
  <si>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</si>
  <si>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</si>
  <si>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</si>
  <si>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</si>
  <si>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</si>
  <si>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</si>
  <si>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</si>
  <si>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</si>
  <si>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</si>
  <si>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</si>
  <si>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</si>
  <si>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</si>
  <si>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</si>
  <si>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</si>
  <si>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</si>
  <si>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</si>
  <si>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</si>
  <si>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</si>
  <si>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</si>
  <si>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</si>
  <si>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</si>
  <si>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</si>
  <si>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</si>
  <si>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</si>
  <si>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</si>
  <si>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</si>
  <si>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</si>
  <si>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</si>
  <si>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</si>
  <si>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</si>
  <si>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</si>
  <si>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</si>
  <si>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</si>
  <si>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</si>
  <si>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</si>
  <si>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</si>
  <si>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</si>
  <si>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</si>
  <si>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</si>
  <si>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</si>
  <si>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</si>
  <si>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</si>
  <si>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</si>
  <si>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</si>
  <si>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</si>
  <si>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</si>
  <si>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</si>
  <si>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</si>
  <si>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</si>
  <si>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</si>
  <si>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</si>
  <si>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</si>
  <si>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</si>
  <si>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</si>
  <si>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</si>
  <si>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</si>
  <si>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</si>
  <si>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</si>
  <si>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</si>
  <si>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</si>
  <si>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</si>
  <si>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</si>
  <si>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</si>
  <si>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</si>
  <si>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</si>
  <si>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</si>
  <si>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</si>
  <si>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</si>
  <si>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</si>
  <si>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</si>
  <si>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</si>
  <si>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</si>
  <si>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</si>
  <si>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</si>
  <si>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</si>
  <si>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</si>
  <si>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</si>
  <si>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</si>
  <si>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</si>
  <si>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</si>
  <si>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</si>
  <si>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</si>
  <si>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</si>
  <si>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</si>
  <si>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</si>
  <si>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</si>
  <si>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</si>
  <si>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</si>
  <si>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</si>
  <si>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</si>
  <si>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</si>
  <si>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</si>
  <si>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</si>
  <si>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</si>
  <si>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</si>
  <si>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</si>
  <si>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</si>
  <si>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</si>
  <si>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</si>
  <si>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</si>
  <si>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</si>
  <si>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</si>
  <si>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</si>
  <si>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</si>
  <si>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</si>
  <si>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</si>
  <si>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</si>
  <si>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</si>
  <si>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</si>
  <si>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</si>
  <si>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</si>
  <si>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</si>
  <si>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</si>
  <si>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</si>
  <si>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</si>
  <si>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</si>
  <si>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</si>
  <si>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</si>
  <si>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</si>
  <si>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</si>
  <si>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</si>
  <si>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</si>
  <si>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</si>
  <si>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</si>
  <si>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</si>
  <si>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</si>
  <si>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</si>
  <si>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</si>
  <si>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</si>
  <si>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</si>
  <si>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</si>
  <si>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</si>
  <si>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</si>
  <si>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</si>
  <si>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</si>
  <si>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</si>
  <si>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</si>
  <si>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</si>
  <si>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</si>
  <si>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</si>
  <si>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</si>
  <si>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</si>
  <si>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</si>
  <si>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</si>
  <si>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</si>
  <si>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</si>
  <si>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</si>
  <si>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</si>
  <si>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</si>
  <si>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</si>
  <si>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</si>
  <si>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</si>
  <si>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</si>
  <si>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</si>
  <si>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</si>
  <si>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</si>
  <si>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</si>
  <si>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</si>
  <si>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</si>
  <si>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</si>
  <si>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</si>
  <si>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</si>
  <si>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</si>
  <si>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</si>
  <si>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</si>
  <si>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</si>
  <si>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</si>
  <si>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</si>
  <si>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</si>
  <si>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</si>
  <si>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</si>
  <si>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</si>
  <si>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</si>
  <si>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</si>
  <si>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</si>
  <si>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</si>
  <si>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</si>
  <si>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</si>
  <si>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</si>
  <si>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</si>
  <si>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</si>
  <si>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</si>
  <si>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</si>
  <si>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</si>
  <si>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</si>
  <si>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</si>
  <si>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</si>
  <si>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</si>
  <si>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</si>
  <si>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</si>
  <si>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</si>
  <si>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</si>
  <si>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</si>
  <si>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</si>
  <si>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</si>
  <si>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</si>
  <si>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</si>
  <si>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</si>
  <si>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</si>
  <si>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</si>
  <si>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</si>
  <si>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</si>
  <si>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</si>
  <si>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</si>
  <si>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</si>
  <si>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</si>
  <si>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</si>
  <si>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</si>
  <si>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</si>
  <si>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</si>
  <si>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</si>
  <si>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</si>
  <si>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</si>
  <si>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</si>
  <si>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</si>
  <si>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</si>
  <si>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</si>
  <si>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</si>
  <si>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</si>
  <si>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</si>
  <si>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</si>
  <si>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</si>
  <si>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</si>
  <si>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</si>
  <si>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</si>
  <si>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</si>
  <si>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</si>
  <si>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</si>
  <si>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</si>
  <si>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</si>
  <si>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</si>
  <si>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</si>
  <si>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</si>
  <si>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</si>
  <si>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</si>
  <si>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</si>
  <si>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</si>
  <si>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</si>
  <si>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</si>
  <si>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</si>
  <si>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</si>
  <si>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</si>
  <si>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</si>
  <si>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</si>
  <si>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</si>
  <si>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</si>
  <si>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</si>
  <si>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</si>
  <si>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</si>
  <si>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</si>
  <si>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</si>
  <si>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</si>
  <si>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</si>
  <si>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</si>
  <si>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</si>
  <si>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</si>
  <si>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</si>
  <si>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</si>
  <si>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</si>
  <si>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</si>
  <si>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</si>
  <si>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</si>
  <si>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</si>
  <si>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</si>
  <si>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</si>
  <si>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</si>
  <si>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</si>
  <si>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</si>
  <si>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</si>
  <si>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</si>
  <si>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</si>
  <si>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</si>
  <si>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</si>
  <si>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</si>
  <si>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</si>
  <si>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</si>
  <si>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</si>
  <si>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</si>
  <si>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</si>
  <si>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</si>
  <si>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</si>
  <si>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</si>
  <si>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</si>
  <si>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</si>
  <si>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</si>
  <si>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</si>
  <si>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</si>
  <si>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</si>
  <si>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</si>
  <si>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</si>
  <si>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</si>
  <si>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</si>
  <si>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</si>
  <si>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</si>
  <si>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</si>
  <si>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</si>
  <si>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</si>
  <si>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</si>
  <si>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</si>
  <si>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</si>
  <si>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</si>
  <si>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</si>
  <si>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</si>
  <si>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</si>
  <si>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</si>
  <si>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</si>
  <si>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</si>
  <si>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</si>
  <si>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</si>
  <si>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</si>
  <si>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</si>
  <si>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</si>
  <si>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</si>
  <si>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</si>
  <si>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</si>
  <si>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</si>
  <si>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</si>
  <si>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</si>
  <si>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</si>
  <si>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</si>
  <si>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</si>
  <si>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</si>
  <si>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</si>
  <si>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</si>
  <si>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</si>
  <si>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</si>
  <si>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</si>
  <si>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</si>
  <si>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</si>
  <si>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</si>
  <si>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</si>
  <si>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</si>
  <si>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</si>
  <si>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</si>
  <si>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</si>
  <si>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</si>
  <si>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</si>
  <si>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</si>
  <si>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</si>
  <si>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</si>
  <si>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</si>
  <si>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</si>
  <si>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</si>
  <si>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</si>
  <si>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</si>
  <si>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</si>
  <si>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</si>
  <si>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</si>
  <si>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</si>
  <si>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</si>
  <si>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</si>
  <si>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</si>
  <si>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</si>
  <si>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</si>
  <si>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</si>
  <si>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</si>
  <si>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</si>
  <si>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</si>
  <si>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</si>
  <si>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</si>
  <si>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</si>
  <si>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</si>
  <si>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</si>
  <si>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</si>
  <si>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</si>
  <si>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</si>
  <si>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</si>
  <si>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</si>
  <si>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</si>
  <si>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</si>
  <si>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</si>
  <si>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</si>
  <si>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</si>
  <si>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</si>
  <si>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</si>
  <si>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</si>
  <si>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</si>
  <si>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</si>
  <si>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</si>
  <si>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</si>
  <si>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</si>
  <si>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</si>
  <si>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</si>
  <si>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</si>
  <si>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</si>
  <si>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</si>
  <si>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</si>
  <si>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</si>
  <si>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</si>
  <si>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</si>
  <si>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</si>
  <si>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</si>
  <si>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</si>
  <si>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</si>
  <si>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</si>
  <si>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</si>
  <si>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</si>
  <si>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</si>
  <si>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Coste (m€)</t>
  </si>
  <si>
    <t>G. Piscaer</t>
  </si>
  <si>
    <t>I. Stone</t>
  </si>
  <si>
    <t>#20</t>
  </si>
  <si>
    <t>#21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</si>
  <si>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</si>
  <si>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</si>
  <si>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</si>
  <si>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</si>
  <si>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</si>
  <si>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</si>
  <si>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</si>
  <si>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</si>
  <si>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</si>
  <si>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</si>
  <si>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</si>
  <si>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</si>
  <si>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</si>
  <si>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</si>
  <si>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</si>
  <si>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</si>
  <si>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</si>
  <si>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</si>
  <si>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</si>
  <si>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</si>
  <si>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</si>
  <si>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</si>
  <si>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</si>
  <si>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</si>
  <si>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</si>
  <si>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</si>
  <si>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</si>
  <si>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</si>
  <si>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</si>
  <si>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</si>
  <si>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</si>
  <si>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</si>
  <si>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</si>
  <si>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</si>
  <si>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</si>
  <si>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</si>
  <si>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</si>
  <si>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</si>
  <si>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</si>
  <si>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</si>
  <si>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</si>
  <si>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</si>
  <si>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</si>
  <si>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</si>
  <si>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</si>
  <si>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</si>
  <si>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</si>
  <si>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</si>
  <si>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</si>
  <si>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</si>
  <si>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</si>
  <si>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</si>
  <si>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</si>
  <si>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</si>
  <si>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</si>
  <si>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</si>
  <si>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</si>
  <si>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</si>
  <si>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</si>
  <si>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</si>
  <si>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</si>
  <si>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</si>
  <si>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</si>
  <si>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</si>
  <si>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</si>
  <si>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</si>
  <si>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</si>
  <si>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</si>
  <si>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</si>
  <si>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</si>
  <si>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</si>
  <si>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</si>
  <si>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</si>
  <si>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</si>
  <si>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</si>
  <si>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</si>
  <si>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</si>
  <si>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</si>
  <si>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</si>
  <si>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</si>
  <si>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</si>
  <si>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</si>
  <si>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</si>
  <si>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</si>
  <si>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</si>
  <si>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</si>
  <si>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</si>
  <si>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</si>
  <si>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</si>
  <si>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</si>
  <si>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</si>
  <si>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</si>
  <si>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</si>
  <si>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</si>
  <si>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</si>
  <si>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</si>
  <si>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</si>
  <si>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</si>
  <si>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</si>
  <si>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</si>
  <si>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</si>
  <si>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</si>
  <si>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</si>
  <si>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</si>
  <si>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</si>
  <si>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</si>
  <si>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</si>
  <si>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</si>
  <si>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</si>
  <si>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</si>
  <si>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</si>
  <si>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</si>
  <si>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</si>
  <si>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</si>
  <si>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</si>
  <si>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</si>
  <si>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</si>
  <si>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</si>
  <si>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</si>
  <si>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</si>
  <si>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</si>
  <si>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</si>
  <si>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</si>
  <si>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</si>
  <si>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</si>
  <si>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</si>
  <si>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</si>
  <si>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</si>
  <si>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</si>
  <si>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</si>
  <si>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</si>
  <si>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</si>
  <si>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</si>
  <si>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</si>
  <si>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</si>
  <si>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</si>
  <si>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</si>
  <si>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</si>
  <si>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</si>
  <si>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</si>
  <si>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</si>
  <si>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</si>
  <si>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</si>
  <si>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</si>
  <si>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</si>
  <si>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</si>
  <si>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</si>
  <si>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</si>
  <si>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</si>
  <si>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</si>
  <si>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</si>
  <si>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</si>
  <si>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</si>
  <si>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</si>
  <si>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</si>
  <si>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</si>
  <si>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</si>
  <si>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</si>
  <si>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</si>
  <si>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</si>
  <si>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</si>
  <si>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</si>
  <si>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</si>
  <si>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</si>
  <si>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</si>
  <si>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</si>
  <si>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</si>
  <si>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</si>
  <si>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</si>
  <si>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</si>
  <si>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</si>
  <si>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</si>
  <si>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</si>
  <si>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</si>
  <si>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</si>
  <si>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</si>
  <si>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</si>
  <si>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</si>
  <si>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</si>
  <si>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</si>
  <si>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</si>
  <si>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</si>
  <si>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</si>
  <si>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</si>
  <si>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</si>
  <si>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</si>
  <si>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</si>
  <si>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</si>
  <si>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</si>
  <si>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</si>
  <si>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</si>
  <si>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</si>
  <si>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</si>
  <si>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</si>
  <si>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</si>
  <si>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</si>
  <si>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</si>
  <si>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</si>
  <si>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</si>
  <si>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</si>
  <si>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</si>
  <si>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</si>
  <si>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</si>
  <si>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</si>
  <si>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</si>
  <si>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</si>
  <si>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</si>
  <si>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</si>
  <si>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</si>
  <si>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</si>
  <si>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</si>
  <si>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</si>
  <si>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</si>
  <si>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</si>
  <si>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</si>
  <si>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</si>
  <si>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</si>
  <si>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</si>
  <si>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</si>
  <si>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</si>
  <si>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</si>
  <si>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</si>
  <si>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</si>
  <si>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</si>
  <si>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</si>
  <si>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</si>
  <si>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</si>
  <si>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</si>
  <si>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</si>
  <si>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</si>
  <si>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</si>
  <si>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</si>
  <si>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</si>
  <si>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</si>
  <si>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</si>
  <si>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</si>
  <si>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Valério Godoi</t>
  </si>
  <si>
    <t>27(90)</t>
  </si>
  <si>
    <t>Brendon Hackler</t>
  </si>
  <si>
    <t>Coby Shaw</t>
  </si>
  <si>
    <t>CAB/IMP</t>
  </si>
  <si>
    <t>DeAndre O'Grady</t>
  </si>
  <si>
    <t>26(74)</t>
  </si>
  <si>
    <t>Colton Marcum</t>
  </si>
  <si>
    <t>Jean Carlos Carrasquero</t>
  </si>
  <si>
    <t>A. Grimaud</t>
  </si>
  <si>
    <t>B. Bruton</t>
  </si>
  <si>
    <t>Thomas Williams</t>
  </si>
  <si>
    <t>FC+1</t>
  </si>
  <si>
    <t>R. Binst</t>
  </si>
  <si>
    <t>Jarkko Vartainen</t>
  </si>
  <si>
    <t>Scotty Duncan</t>
  </si>
  <si>
    <t>23(11)</t>
  </si>
  <si>
    <t>V. Gardner</t>
  </si>
  <si>
    <t>#22</t>
  </si>
  <si>
    <t>Dalton 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</si>
</sst>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4"/>
      <color rgb="FFFF0000"/>
      <name val="Calibri"/>
      <family val="2"/>
    </font>
    <font>
      <b/>
      <sz val="14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48235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0" borderId="0" xfId="4" applyNumberFormat="1" applyFont="1" applyFill="1" applyBorder="1" applyAlignment="1">
      <alignment horizontal="center"/>
    </xf>
    <xf numFmtId="169" fontId="63" fillId="41" borderId="0" xfId="4" applyNumberFormat="1" applyFont="1" applyFill="1" applyBorder="1" applyAlignment="1">
      <alignment horizontal="center"/>
    </xf>
    <xf numFmtId="2" fontId="64" fillId="41" borderId="0" xfId="4" applyNumberFormat="1" applyFont="1" applyFill="1" applyBorder="1" applyAlignment="1">
      <alignment horizontal="right"/>
    </xf>
    <xf numFmtId="2" fontId="65" fillId="42" borderId="0" xfId="4" applyNumberFormat="1" applyFont="1" applyFill="1" applyBorder="1" applyAlignment="1">
      <alignment horizontal="right"/>
    </xf>
    <xf numFmtId="2" fontId="63" fillId="41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0" borderId="0" xfId="4" applyNumberFormat="1" applyFont="1" applyFill="1" applyBorder="1" applyAlignment="1">
      <alignment horizontal="right"/>
    </xf>
    <xf numFmtId="169" fontId="63" fillId="40" borderId="0" xfId="4" applyNumberFormat="1" applyFont="1" applyFill="1" applyBorder="1" applyAlignment="1">
      <alignment horizontal="center"/>
    </xf>
    <xf numFmtId="2" fontId="63" fillId="40" borderId="0" xfId="4" applyNumberFormat="1" applyFont="1" applyFill="1" applyBorder="1" applyAlignment="1">
      <alignment horizontal="right"/>
    </xf>
    <xf numFmtId="0" fontId="15" fillId="40" borderId="0" xfId="4" applyFont="1" applyFill="1" applyBorder="1" applyAlignment="1">
      <alignment horizontal="center"/>
    </xf>
    <xf numFmtId="169" fontId="67" fillId="40" borderId="0" xfId="4" applyNumberFormat="1" applyFont="1" applyFill="1" applyBorder="1" applyAlignment="1">
      <alignment horizontal="center"/>
    </xf>
    <xf numFmtId="2" fontId="67" fillId="40" borderId="0" xfId="4" applyNumberFormat="1" applyFont="1" applyFill="1" applyBorder="1" applyAlignment="1">
      <alignment horizontal="right"/>
    </xf>
    <xf numFmtId="0" fontId="59" fillId="43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4" borderId="0" xfId="5" applyFill="1" applyBorder="1"/>
    <xf numFmtId="0" fontId="55" fillId="48" borderId="0" xfId="4" applyFont="1" applyFill="1" applyBorder="1" applyAlignment="1">
      <alignment horizontal="left"/>
    </xf>
    <xf numFmtId="0" fontId="55" fillId="48" borderId="0" xfId="4" applyFont="1" applyFill="1" applyBorder="1" applyAlignment="1">
      <alignment horizontal="center"/>
    </xf>
    <xf numFmtId="0" fontId="56" fillId="48" borderId="0" xfId="4" applyFont="1" applyFill="1" applyBorder="1" applyAlignment="1">
      <alignment horizontal="center"/>
    </xf>
    <xf numFmtId="0" fontId="58" fillId="48" borderId="0" xfId="4" applyFont="1" applyFill="1" applyBorder="1" applyAlignment="1">
      <alignment horizontal="left"/>
    </xf>
    <xf numFmtId="0" fontId="58" fillId="48" borderId="0" xfId="4" applyFont="1" applyFill="1" applyBorder="1" applyAlignment="1">
      <alignment horizontal="center"/>
    </xf>
    <xf numFmtId="0" fontId="59" fillId="48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37" fillId="50" borderId="0" xfId="4" applyFont="1" applyFill="1" applyBorder="1" applyAlignment="1">
      <alignment horizontal="right"/>
    </xf>
    <xf numFmtId="0" fontId="23" fillId="50" borderId="0" xfId="4" applyFont="1" applyFill="1" applyBorder="1" applyAlignment="1">
      <alignment horizontal="right"/>
    </xf>
    <xf numFmtId="0" fontId="51" fillId="50" borderId="0" xfId="4" applyFont="1" applyFill="1" applyBorder="1" applyAlignment="1">
      <alignment horizontal="right"/>
    </xf>
    <xf numFmtId="0" fontId="68" fillId="50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0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23" fillId="40" borderId="1" xfId="4" applyNumberFormat="1" applyFont="1" applyFill="1" applyBorder="1" applyAlignment="1">
      <alignment horizontal="right"/>
    </xf>
    <xf numFmtId="2" fontId="68" fillId="40" borderId="1" xfId="4" applyNumberFormat="1" applyFont="1" applyFill="1" applyBorder="1" applyAlignment="1">
      <alignment horizontal="right"/>
    </xf>
    <xf numFmtId="2" fontId="15" fillId="40" borderId="1" xfId="4" applyNumberFormat="1" applyFill="1" applyBorder="1" applyAlignment="1">
      <alignment horizontal="right"/>
    </xf>
    <xf numFmtId="2" fontId="22" fillId="40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0" borderId="1" xfId="4" applyNumberFormat="1" applyFont="1" applyFill="1" applyBorder="1" applyAlignment="1">
      <alignment horizontal="right"/>
    </xf>
    <xf numFmtId="2" fontId="64" fillId="40" borderId="1" xfId="4" applyNumberFormat="1" applyFont="1" applyFill="1" applyBorder="1" applyAlignment="1">
      <alignment horizontal="right"/>
    </xf>
    <xf numFmtId="2" fontId="61" fillId="40" borderId="1" xfId="4" applyNumberFormat="1" applyFont="1" applyFill="1" applyBorder="1" applyAlignment="1">
      <alignment horizontal="right"/>
    </xf>
    <xf numFmtId="2" fontId="62" fillId="40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5" fillId="42" borderId="1" xfId="4" applyNumberFormat="1" applyFont="1" applyFill="1" applyBorder="1" applyAlignment="1">
      <alignment horizontal="right"/>
    </xf>
    <xf numFmtId="2" fontId="74" fillId="40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0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0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5" borderId="1" xfId="4" applyNumberFormat="1" applyFont="1" applyFill="1" applyBorder="1" applyAlignment="1">
      <alignment horizontal="right"/>
    </xf>
    <xf numFmtId="2" fontId="65" fillId="45" borderId="1" xfId="4" applyNumberFormat="1" applyFont="1" applyFill="1" applyBorder="1" applyAlignment="1">
      <alignment horizontal="right"/>
    </xf>
    <xf numFmtId="2" fontId="75" fillId="41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0" borderId="1" xfId="4" applyNumberFormat="1" applyFont="1" applyFill="1" applyBorder="1" applyAlignment="1">
      <alignment horizontal="center"/>
    </xf>
    <xf numFmtId="169" fontId="63" fillId="40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0" borderId="1" xfId="4" applyNumberFormat="1" applyFont="1" applyFill="1" applyBorder="1" applyAlignment="1">
      <alignment horizontal="center"/>
    </xf>
    <xf numFmtId="2" fontId="67" fillId="40" borderId="1" xfId="4" applyNumberFormat="1" applyFont="1" applyFill="1" applyBorder="1" applyAlignment="1">
      <alignment horizontal="right"/>
    </xf>
    <xf numFmtId="169" fontId="63" fillId="46" borderId="1" xfId="4" applyNumberFormat="1" applyFont="1" applyFill="1" applyBorder="1" applyAlignment="1">
      <alignment horizontal="center"/>
    </xf>
    <xf numFmtId="2" fontId="65" fillId="47" borderId="1" xfId="4" applyNumberFormat="1" applyFont="1" applyFill="1" applyBorder="1" applyAlignment="1">
      <alignment horizontal="right"/>
    </xf>
    <xf numFmtId="2" fontId="64" fillId="46" borderId="1" xfId="4" applyNumberFormat="1" applyFont="1" applyFill="1" applyBorder="1" applyAlignment="1">
      <alignment horizontal="right"/>
    </xf>
    <xf numFmtId="0" fontId="37" fillId="51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2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2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4" borderId="28" xfId="0" applyFont="1" applyFill="1" applyBorder="1"/>
    <xf numFmtId="175" fontId="81" fillId="54" borderId="28" xfId="0" applyNumberFormat="1" applyFont="1" applyFill="1" applyBorder="1"/>
    <xf numFmtId="175" fontId="81" fillId="54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6" borderId="27" xfId="0" applyFont="1" applyFill="1" applyBorder="1" applyAlignment="1">
      <alignment wrapText="1"/>
    </xf>
    <xf numFmtId="164" fontId="77" fillId="55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7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7" borderId="27" xfId="0" applyNumberFormat="1" applyFont="1" applyFill="1" applyBorder="1"/>
    <xf numFmtId="0" fontId="84" fillId="0" borderId="0" xfId="0" applyFont="1"/>
    <xf numFmtId="0" fontId="77" fillId="58" borderId="27" xfId="0" applyFont="1" applyFill="1" applyBorder="1"/>
    <xf numFmtId="164" fontId="77" fillId="57" borderId="27" xfId="2" applyNumberFormat="1" applyFont="1" applyFill="1" applyBorder="1" applyAlignment="1" applyProtection="1"/>
    <xf numFmtId="0" fontId="81" fillId="54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59" borderId="27" xfId="0" applyFont="1" applyFill="1" applyBorder="1" applyAlignment="1">
      <alignment horizontal="center"/>
    </xf>
    <xf numFmtId="177" fontId="77" fillId="59" borderId="27" xfId="3" applyNumberFormat="1" applyFont="1" applyFill="1" applyBorder="1" applyAlignment="1" applyProtection="1">
      <alignment horizontal="center" wrapText="1"/>
    </xf>
    <xf numFmtId="0" fontId="77" fillId="59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59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59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0" borderId="27" xfId="0" applyFont="1" applyFill="1" applyBorder="1" applyAlignment="1">
      <alignment wrapText="1"/>
    </xf>
    <xf numFmtId="175" fontId="0" fillId="60" borderId="27" xfId="0" applyNumberFormat="1" applyFill="1" applyBorder="1"/>
    <xf numFmtId="175" fontId="0" fillId="60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1" borderId="27" xfId="0" applyNumberFormat="1" applyFont="1" applyFill="1" applyBorder="1" applyAlignment="1">
      <alignment horizontal="center" wrapText="1"/>
    </xf>
    <xf numFmtId="175" fontId="0" fillId="62" borderId="27" xfId="0" applyNumberFormat="1" applyFill="1" applyBorder="1"/>
    <xf numFmtId="175" fontId="84" fillId="62" borderId="27" xfId="0" applyNumberFormat="1" applyFont="1" applyFill="1" applyBorder="1"/>
    <xf numFmtId="0" fontId="77" fillId="62" borderId="27" xfId="0" applyFont="1" applyFill="1" applyBorder="1" applyAlignment="1">
      <alignment wrapText="1"/>
    </xf>
    <xf numFmtId="0" fontId="77" fillId="62" borderId="27" xfId="0" applyFont="1" applyFill="1" applyBorder="1"/>
    <xf numFmtId="0" fontId="84" fillId="62" borderId="27" xfId="0" applyFont="1" applyFill="1" applyBorder="1" applyAlignment="1">
      <alignment wrapText="1"/>
    </xf>
    <xf numFmtId="0" fontId="84" fillId="62" borderId="27" xfId="0" applyFont="1" applyFill="1" applyBorder="1"/>
    <xf numFmtId="0" fontId="86" fillId="60" borderId="27" xfId="0" applyFont="1" applyFill="1" applyBorder="1"/>
    <xf numFmtId="0" fontId="86" fillId="60" borderId="27" xfId="0" applyFont="1" applyFill="1" applyBorder="1" applyAlignment="1">
      <alignment wrapText="1"/>
    </xf>
    <xf numFmtId="175" fontId="86" fillId="60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3" borderId="27" xfId="0" applyNumberFormat="1" applyFont="1" applyFill="1" applyBorder="1"/>
    <xf numFmtId="175" fontId="86" fillId="63" borderId="27" xfId="0" applyNumberFormat="1" applyFont="1" applyFill="1" applyBorder="1"/>
    <xf numFmtId="0" fontId="77" fillId="61" borderId="27" xfId="0" applyFont="1" applyFill="1" applyBorder="1" applyAlignment="1">
      <alignment horizontal="center" wrapText="1"/>
    </xf>
    <xf numFmtId="0" fontId="81" fillId="64" borderId="28" xfId="0" applyFont="1" applyFill="1" applyBorder="1"/>
    <xf numFmtId="175" fontId="81" fillId="64" borderId="28" xfId="0" applyNumberFormat="1" applyFont="1" applyFill="1" applyBorder="1"/>
    <xf numFmtId="175" fontId="81" fillId="64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6" borderId="0" xfId="4" applyNumberFormat="1" applyFont="1" applyFill="1" applyBorder="1" applyAlignment="1">
      <alignment horizontal="center"/>
    </xf>
    <xf numFmtId="2" fontId="63" fillId="46" borderId="0" xfId="4" applyNumberFormat="1" applyFont="1" applyFill="1" applyBorder="1" applyAlignment="1">
      <alignment horizontal="right"/>
    </xf>
    <xf numFmtId="169" fontId="88" fillId="40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5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0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6" borderId="1" xfId="4" applyNumberFormat="1" applyFont="1" applyFill="1" applyBorder="1" applyAlignment="1">
      <alignment horizontal="center"/>
    </xf>
    <xf numFmtId="2" fontId="68" fillId="47" borderId="1" xfId="4" applyNumberFormat="1" applyFont="1" applyFill="1" applyBorder="1" applyAlignment="1">
      <alignment horizontal="right"/>
    </xf>
    <xf numFmtId="169" fontId="73" fillId="40" borderId="1" xfId="4" applyNumberFormat="1" applyFont="1" applyFill="1" applyBorder="1" applyAlignment="1">
      <alignment horizontal="center"/>
    </xf>
    <xf numFmtId="2" fontId="99" fillId="40" borderId="1" xfId="4" applyNumberFormat="1" applyFont="1" applyFill="1" applyBorder="1" applyAlignment="1">
      <alignment horizontal="right"/>
    </xf>
    <xf numFmtId="2" fontId="73" fillId="40" borderId="1" xfId="4" applyNumberFormat="1" applyFont="1" applyFill="1" applyBorder="1" applyAlignment="1">
      <alignment horizontal="right"/>
    </xf>
    <xf numFmtId="169" fontId="23" fillId="40" borderId="1" xfId="4" applyNumberFormat="1" applyFont="1" applyFill="1" applyBorder="1" applyAlignment="1">
      <alignment horizontal="center"/>
    </xf>
    <xf numFmtId="175" fontId="2" fillId="60" borderId="27" xfId="0" applyNumberFormat="1" applyFont="1" applyFill="1" applyBorder="1"/>
    <xf numFmtId="175" fontId="2" fillId="60" borderId="27" xfId="0" applyNumberFormat="1" applyFont="1" applyFill="1" applyBorder="1" applyAlignment="1">
      <alignment horizontal="center"/>
    </xf>
    <xf numFmtId="175" fontId="2" fillId="62" borderId="27" xfId="0" applyNumberFormat="1" applyFont="1" applyFill="1" applyBorder="1"/>
    <xf numFmtId="2" fontId="64" fillId="46" borderId="0" xfId="4" applyNumberFormat="1" applyFont="1" applyFill="1" applyBorder="1" applyAlignment="1">
      <alignment horizontal="right"/>
    </xf>
    <xf numFmtId="169" fontId="88" fillId="40" borderId="1" xfId="4" applyNumberFormat="1" applyFont="1" applyFill="1" applyBorder="1" applyAlignment="1">
      <alignment horizontal="center"/>
    </xf>
    <xf numFmtId="2" fontId="89" fillId="40" borderId="1" xfId="4" applyNumberFormat="1" applyFont="1" applyFill="1" applyBorder="1" applyAlignment="1">
      <alignment horizontal="right"/>
    </xf>
    <xf numFmtId="2" fontId="88" fillId="40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6" borderId="1" xfId="4" applyNumberFormat="1" applyFont="1" applyFill="1" applyBorder="1" applyAlignment="1">
      <alignment horizontal="center"/>
    </xf>
    <xf numFmtId="2" fontId="88" fillId="46" borderId="1" xfId="4" applyNumberFormat="1" applyFont="1" applyFill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175" fontId="78" fillId="0" borderId="0" xfId="0" applyNumberFormat="1" applyFont="1"/>
    <xf numFmtId="175" fontId="100" fillId="62" borderId="27" xfId="0" applyNumberFormat="1" applyFont="1" applyFill="1" applyBorder="1"/>
    <xf numFmtId="175" fontId="101" fillId="54" borderId="27" xfId="0" applyNumberFormat="1" applyFont="1" applyFill="1" applyBorder="1"/>
    <xf numFmtId="14" fontId="102" fillId="0" borderId="0" xfId="0" applyNumberFormat="1" applyFont="1" applyAlignment="1">
      <alignment wrapText="1"/>
    </xf>
    <xf numFmtId="176" fontId="103" fillId="0" borderId="0" xfId="0" applyNumberFormat="1" applyFont="1"/>
    <xf numFmtId="177" fontId="103" fillId="59" borderId="27" xfId="3" applyNumberFormat="1" applyFont="1" applyFill="1" applyBorder="1" applyAlignment="1" applyProtection="1">
      <alignment horizontal="center" wrapText="1"/>
    </xf>
    <xf numFmtId="178" fontId="103" fillId="59" borderId="27" xfId="1" applyNumberFormat="1" applyFont="1" applyFill="1" applyBorder="1" applyAlignment="1" applyProtection="1">
      <alignment horizontal="center" wrapText="1"/>
    </xf>
    <xf numFmtId="43" fontId="103" fillId="59" borderId="27" xfId="3" applyFont="1" applyFill="1" applyBorder="1" applyAlignment="1" applyProtection="1">
      <alignment horizontal="center" wrapText="1"/>
    </xf>
    <xf numFmtId="2" fontId="104" fillId="0" borderId="0" xfId="0" applyNumberFormat="1" applyFont="1"/>
    <xf numFmtId="0" fontId="68" fillId="50" borderId="0" xfId="4" applyFont="1" applyFill="1" applyAlignment="1">
      <alignment horizontal="right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2" fontId="0" fillId="35" borderId="0" xfId="0" applyNumberFormat="1" applyFill="1"/>
    <xf numFmtId="179" fontId="22" fillId="0" borderId="0" xfId="4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8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3" borderId="34" xfId="0" applyFont="1" applyFill="1" applyBorder="1" applyAlignment="1">
      <alignment horizontal="center"/>
    </xf>
    <xf numFmtId="0" fontId="10" fillId="53" borderId="30" xfId="0" applyFont="1" applyFill="1" applyBorder="1" applyAlignment="1">
      <alignment horizontal="center"/>
    </xf>
    <xf numFmtId="175" fontId="83" fillId="55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0" borderId="31" xfId="0" applyFont="1" applyFill="1" applyBorder="1" applyAlignment="1">
      <alignment horizontal="center" vertical="top" wrapText="1"/>
    </xf>
    <xf numFmtId="0" fontId="77" fillId="60" borderId="13" xfId="0" applyFont="1" applyFill="1" applyBorder="1" applyAlignment="1">
      <alignment horizontal="center" vertical="top" wrapText="1"/>
    </xf>
    <xf numFmtId="0" fontId="77" fillId="60" borderId="28" xfId="0" applyFont="1" applyFill="1" applyBorder="1" applyAlignment="1">
      <alignment horizontal="center" vertical="top" wrapText="1"/>
    </xf>
    <xf numFmtId="0" fontId="77" fillId="62" borderId="31" xfId="0" applyFont="1" applyFill="1" applyBorder="1" applyAlignment="1">
      <alignment horizontal="center" vertical="top" wrapText="1"/>
    </xf>
    <xf numFmtId="0" fontId="77" fillId="62" borderId="13" xfId="0" applyFont="1" applyFill="1" applyBorder="1" applyAlignment="1">
      <alignment horizontal="center" vertical="top" wrapText="1"/>
    </xf>
    <xf numFmtId="0" fontId="77" fillId="62" borderId="28" xfId="0" applyFont="1" applyFill="1" applyBorder="1" applyAlignment="1">
      <alignment horizontal="center" vertical="top" wrapText="1"/>
    </xf>
    <xf numFmtId="0" fontId="77" fillId="59" borderId="16" xfId="0" applyFont="1" applyFill="1" applyBorder="1" applyAlignment="1">
      <alignment horizontal="center" vertical="top" wrapText="1"/>
    </xf>
    <xf numFmtId="175" fontId="84" fillId="57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3C71E5-8663-4E15-AB52-0332021BB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75" t="27970" r="53501" b="41294"/>
        <a:stretch/>
      </xdr:blipFill>
      <xdr:spPr>
        <a:xfrm>
          <a:off x="190500" y="85725"/>
          <a:ext cx="5334000" cy="360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6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72" t="s">
        <v>186</v>
      </c>
      <c r="B1" s="672"/>
      <c r="C1" s="672"/>
      <c r="E1" s="671" t="s">
        <v>184</v>
      </c>
      <c r="F1" s="671"/>
      <c r="G1" s="671"/>
      <c r="H1" s="671"/>
    </row>
    <row r="2" spans="1:21" x14ac:dyDescent="0.25">
      <c r="A2" s="673">
        <v>43747</v>
      </c>
      <c r="B2" s="673"/>
      <c r="C2" s="67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649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70" t="s">
        <v>187</v>
      </c>
      <c r="C5" s="670"/>
      <c r="D5"/>
      <c r="G5" s="670" t="s">
        <v>387</v>
      </c>
      <c r="H5" s="670"/>
      <c r="I5" s="670"/>
      <c r="J5" s="103"/>
      <c r="K5" s="103"/>
      <c r="L5" s="670" t="s">
        <v>189</v>
      </c>
      <c r="M5" s="670"/>
      <c r="N5"/>
      <c r="O5" s="2" t="s">
        <v>392</v>
      </c>
      <c r="S5" s="670" t="s">
        <v>386</v>
      </c>
      <c r="T5" s="670"/>
    </row>
    <row r="6" spans="1:21" x14ac:dyDescent="0.25">
      <c r="A6" s="3">
        <v>1</v>
      </c>
      <c r="B6" s="359">
        <v>105</v>
      </c>
      <c r="C6" s="360" t="s">
        <v>345</v>
      </c>
      <c r="D6" s="360" t="s">
        <v>1</v>
      </c>
      <c r="F6" s="77">
        <v>1</v>
      </c>
      <c r="G6" s="359">
        <v>406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L6/G9</f>
        <v>0.85031847133757965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397</v>
      </c>
      <c r="H7" s="360" t="s">
        <v>199</v>
      </c>
      <c r="I7" s="360" t="s">
        <v>198</v>
      </c>
      <c r="K7" s="77">
        <v>2</v>
      </c>
      <c r="L7" s="359">
        <v>129</v>
      </c>
      <c r="M7" s="360" t="s">
        <v>199</v>
      </c>
      <c r="N7" s="360" t="s">
        <v>198</v>
      </c>
      <c r="O7" s="367">
        <f>L7/G7</f>
        <v>0.32493702770780858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338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0.41296928327645049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50">
        <v>314</v>
      </c>
      <c r="H9" s="351" t="s">
        <v>217</v>
      </c>
      <c r="I9" s="352" t="s">
        <v>91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L9/G10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45">
        <v>313</v>
      </c>
      <c r="H10" s="619" t="s">
        <v>192</v>
      </c>
      <c r="I10" s="620" t="s">
        <v>62</v>
      </c>
      <c r="K10" s="308">
        <v>5</v>
      </c>
      <c r="L10" s="350">
        <v>92</v>
      </c>
      <c r="M10" s="351" t="s">
        <v>219</v>
      </c>
      <c r="N10" s="352" t="s">
        <v>62</v>
      </c>
      <c r="O10" s="357">
        <f>L10/G8</f>
        <v>0.27218934911242604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2">
        <v>6</v>
      </c>
      <c r="G11" s="667">
        <v>299</v>
      </c>
      <c r="H11" s="619" t="s">
        <v>196</v>
      </c>
      <c r="I11" s="620" t="s">
        <v>62</v>
      </c>
      <c r="K11" s="622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2"/>
      <c r="F12" s="622">
        <v>7</v>
      </c>
      <c r="G12" s="353">
        <v>293</v>
      </c>
      <c r="H12" s="351" t="s">
        <v>253</v>
      </c>
      <c r="I12" s="351" t="s">
        <v>63</v>
      </c>
      <c r="K12" s="622">
        <v>7</v>
      </c>
      <c r="L12" s="350">
        <v>85</v>
      </c>
      <c r="M12" s="351" t="s">
        <v>218</v>
      </c>
      <c r="N12" s="352" t="s">
        <v>63</v>
      </c>
      <c r="O12" s="357">
        <f>L12/G13</f>
        <v>0.29720279720279719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3" t="s">
        <v>188</v>
      </c>
      <c r="C13" s="623"/>
      <c r="E13" s="88"/>
      <c r="F13" s="622">
        <v>8</v>
      </c>
      <c r="G13" s="350">
        <v>286</v>
      </c>
      <c r="H13" s="351" t="s">
        <v>218</v>
      </c>
      <c r="I13" s="352" t="s">
        <v>63</v>
      </c>
      <c r="J13" s="88"/>
      <c r="K13" s="622">
        <v>7</v>
      </c>
      <c r="L13" s="350">
        <v>85</v>
      </c>
      <c r="M13" s="351" t="s">
        <v>211</v>
      </c>
      <c r="N13" s="352" t="s">
        <v>62</v>
      </c>
      <c r="O13" s="357">
        <f>L13/G15</f>
        <v>0.3079710144927536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237</v>
      </c>
      <c r="C14" s="360" t="s">
        <v>345</v>
      </c>
      <c r="D14" s="360" t="s">
        <v>1</v>
      </c>
      <c r="F14" s="622">
        <v>9</v>
      </c>
      <c r="G14" s="667">
        <v>277</v>
      </c>
      <c r="H14" s="619" t="s">
        <v>200</v>
      </c>
      <c r="I14" s="620" t="s">
        <v>183</v>
      </c>
      <c r="K14" s="622">
        <v>9</v>
      </c>
      <c r="L14" s="354">
        <v>83</v>
      </c>
      <c r="M14" s="351" t="s">
        <v>210</v>
      </c>
      <c r="N14" s="352" t="s">
        <v>183</v>
      </c>
      <c r="O14" s="357">
        <f>L14/G6</f>
        <v>0.20443349753694581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2">
        <v>10</v>
      </c>
      <c r="G15" s="350">
        <v>276</v>
      </c>
      <c r="H15" s="351" t="s">
        <v>211</v>
      </c>
      <c r="I15" s="352" t="s">
        <v>62</v>
      </c>
      <c r="K15" s="622">
        <v>10</v>
      </c>
      <c r="L15" s="345">
        <v>68</v>
      </c>
      <c r="M15" s="619" t="s">
        <v>200</v>
      </c>
      <c r="N15" s="620" t="s">
        <v>183</v>
      </c>
      <c r="O15" s="668">
        <f>L15/G14</f>
        <v>0.24548736462093862</v>
      </c>
      <c r="P15" s="619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2">
        <v>11</v>
      </c>
      <c r="G16" s="353">
        <v>258</v>
      </c>
      <c r="H16" s="351" t="s">
        <v>345</v>
      </c>
      <c r="I16" s="351" t="s">
        <v>1</v>
      </c>
      <c r="K16" s="622">
        <v>11</v>
      </c>
      <c r="L16" s="345">
        <v>61</v>
      </c>
      <c r="M16" s="619" t="s">
        <v>196</v>
      </c>
      <c r="N16" s="619" t="s">
        <v>62</v>
      </c>
      <c r="O16" s="668">
        <f>L16/G11</f>
        <v>0.20401337792642141</v>
      </c>
      <c r="P16" s="619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2">
        <v>12</v>
      </c>
      <c r="G17" s="344">
        <v>202</v>
      </c>
      <c r="H17" s="347" t="s">
        <v>191</v>
      </c>
      <c r="I17" s="348" t="s">
        <v>183</v>
      </c>
      <c r="K17" s="622">
        <v>11</v>
      </c>
      <c r="L17" s="350">
        <v>61</v>
      </c>
      <c r="M17" s="351" t="s">
        <v>255</v>
      </c>
      <c r="N17" s="352" t="s">
        <v>91</v>
      </c>
      <c r="O17" s="357">
        <f>L17/G22</f>
        <v>0.47286821705426357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2">
        <v>13</v>
      </c>
      <c r="G18" s="354">
        <v>200</v>
      </c>
      <c r="H18" s="351" t="s">
        <v>89</v>
      </c>
      <c r="I18" s="352" t="s">
        <v>1</v>
      </c>
      <c r="K18" s="622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667" t="s">
        <v>365</v>
      </c>
      <c r="T18" s="619" t="s">
        <v>196</v>
      </c>
      <c r="U18" s="620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2">
        <v>14</v>
      </c>
      <c r="G19" s="344">
        <v>172</v>
      </c>
      <c r="H19" s="347" t="s">
        <v>382</v>
      </c>
      <c r="I19" s="347" t="s">
        <v>2</v>
      </c>
      <c r="K19" s="622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2">
        <v>15</v>
      </c>
      <c r="G20" s="344">
        <v>146</v>
      </c>
      <c r="H20" s="347" t="s">
        <v>87</v>
      </c>
      <c r="I20" s="348" t="s">
        <v>1</v>
      </c>
      <c r="K20" s="622">
        <v>15</v>
      </c>
      <c r="L20" s="344">
        <v>32</v>
      </c>
      <c r="M20" s="347" t="s">
        <v>395</v>
      </c>
      <c r="N20" s="347" t="s">
        <v>64</v>
      </c>
      <c r="O20" s="349">
        <f>L20/G25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2">
        <v>15</v>
      </c>
      <c r="G21" s="344">
        <v>146</v>
      </c>
      <c r="H21" s="347" t="s">
        <v>385</v>
      </c>
      <c r="I21" s="347" t="s">
        <v>64</v>
      </c>
      <c r="K21" s="622">
        <v>16</v>
      </c>
      <c r="L21" s="667">
        <v>27</v>
      </c>
      <c r="M21" s="619" t="s">
        <v>230</v>
      </c>
      <c r="N21" s="619" t="s">
        <v>62</v>
      </c>
      <c r="O21" s="668">
        <f>L21/G23</f>
        <v>0.24324324324324326</v>
      </c>
      <c r="P21" s="619"/>
      <c r="R21" s="81">
        <v>16</v>
      </c>
      <c r="S21" s="667" t="s">
        <v>390</v>
      </c>
      <c r="T21" s="619" t="s">
        <v>200</v>
      </c>
      <c r="U21" s="620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2">
        <v>17</v>
      </c>
      <c r="G22" s="353">
        <v>129</v>
      </c>
      <c r="H22" s="355" t="s">
        <v>294</v>
      </c>
      <c r="I22" s="356" t="s">
        <v>91</v>
      </c>
      <c r="K22" s="622">
        <v>17</v>
      </c>
      <c r="L22" s="350">
        <v>24</v>
      </c>
      <c r="M22" s="351" t="s">
        <v>295</v>
      </c>
      <c r="N22" s="351" t="s">
        <v>2</v>
      </c>
      <c r="O22" s="357">
        <f>L22/G24</f>
        <v>0.23529411764705882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50">
        <v>1</v>
      </c>
      <c r="C23" s="351" t="s">
        <v>219</v>
      </c>
      <c r="D23" s="352" t="s">
        <v>62</v>
      </c>
      <c r="F23" s="622">
        <v>18</v>
      </c>
      <c r="G23" s="344">
        <v>111</v>
      </c>
      <c r="H23" s="619" t="s">
        <v>230</v>
      </c>
      <c r="I23" s="619" t="s">
        <v>62</v>
      </c>
      <c r="K23" s="622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88</v>
      </c>
      <c r="D24" s="348" t="s">
        <v>91</v>
      </c>
      <c r="F24" s="622">
        <v>19</v>
      </c>
      <c r="G24" s="350">
        <v>102</v>
      </c>
      <c r="H24" s="351" t="s">
        <v>295</v>
      </c>
      <c r="I24" s="351" t="s">
        <v>183</v>
      </c>
      <c r="K24" s="622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667" t="s">
        <v>261</v>
      </c>
      <c r="T24" s="619" t="s">
        <v>230</v>
      </c>
      <c r="U24" s="619" t="s">
        <v>62</v>
      </c>
    </row>
    <row r="25" spans="1:21" x14ac:dyDescent="0.25">
      <c r="A25">
        <v>10</v>
      </c>
      <c r="B25" s="344">
        <v>1</v>
      </c>
      <c r="C25" s="347" t="s">
        <v>191</v>
      </c>
      <c r="D25" s="347" t="s">
        <v>2</v>
      </c>
      <c r="F25" s="622">
        <v>20</v>
      </c>
      <c r="G25" s="344">
        <v>96</v>
      </c>
      <c r="H25" s="347" t="s">
        <v>395</v>
      </c>
      <c r="I25" s="347" t="s">
        <v>64</v>
      </c>
      <c r="K25" s="622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17</v>
      </c>
      <c r="S25" s="344" t="s">
        <v>261</v>
      </c>
      <c r="T25" s="347" t="s">
        <v>167</v>
      </c>
      <c r="U25" s="348" t="s">
        <v>91</v>
      </c>
    </row>
    <row r="26" spans="1:21" x14ac:dyDescent="0.25">
      <c r="A26">
        <v>10</v>
      </c>
      <c r="B26" s="344">
        <v>1</v>
      </c>
      <c r="C26" s="347" t="s">
        <v>403</v>
      </c>
      <c r="D26" s="348" t="s">
        <v>2</v>
      </c>
      <c r="F26" s="622">
        <v>21</v>
      </c>
      <c r="G26" s="344">
        <v>89</v>
      </c>
      <c r="H26" s="347" t="s">
        <v>201</v>
      </c>
      <c r="I26" s="348" t="s">
        <v>183</v>
      </c>
      <c r="K26" s="622">
        <v>21</v>
      </c>
      <c r="L26" s="354">
        <v>11</v>
      </c>
      <c r="M26" s="351" t="s">
        <v>89</v>
      </c>
      <c r="N26" s="352" t="s">
        <v>1</v>
      </c>
      <c r="O26" s="357">
        <f>L26/G18</f>
        <v>5.5E-2</v>
      </c>
      <c r="P26" s="351"/>
      <c r="R26" s="81">
        <v>21</v>
      </c>
      <c r="S26" s="667" t="s">
        <v>197</v>
      </c>
      <c r="T26" s="619" t="s">
        <v>191</v>
      </c>
      <c r="U26" s="620" t="s">
        <v>2</v>
      </c>
    </row>
    <row r="27" spans="1:21" x14ac:dyDescent="0.25">
      <c r="B27" s="296">
        <f>SUM(B14:B26)</f>
        <v>455</v>
      </c>
      <c r="F27" s="622">
        <v>22</v>
      </c>
      <c r="G27" s="344">
        <v>55</v>
      </c>
      <c r="H27" s="347" t="s">
        <v>88</v>
      </c>
      <c r="I27" s="348" t="s">
        <v>91</v>
      </c>
      <c r="K27" s="622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21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2"/>
      <c r="F28" s="638">
        <v>23</v>
      </c>
      <c r="G28" s="344">
        <v>38</v>
      </c>
      <c r="H28" s="347" t="s">
        <v>83</v>
      </c>
      <c r="I28" s="348" t="s">
        <v>2</v>
      </c>
      <c r="K28" s="622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50" t="s">
        <v>384</v>
      </c>
      <c r="T28" s="351" t="s">
        <v>655</v>
      </c>
      <c r="U28" s="351" t="s">
        <v>63</v>
      </c>
    </row>
    <row r="29" spans="1:21" x14ac:dyDescent="0.25">
      <c r="B29" s="622"/>
      <c r="F29" s="638">
        <v>24</v>
      </c>
      <c r="G29" s="344">
        <v>34</v>
      </c>
      <c r="H29" s="347" t="s">
        <v>85</v>
      </c>
      <c r="I29" s="348" t="s">
        <v>260</v>
      </c>
      <c r="K29" s="622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23</v>
      </c>
      <c r="S29" s="344" t="s">
        <v>384</v>
      </c>
      <c r="T29" s="347" t="s">
        <v>347</v>
      </c>
      <c r="U29" s="347" t="s">
        <v>64</v>
      </c>
    </row>
    <row r="30" spans="1:21" x14ac:dyDescent="0.25">
      <c r="B30" s="622"/>
      <c r="F30" s="638">
        <v>25</v>
      </c>
      <c r="G30" s="344">
        <v>32</v>
      </c>
      <c r="H30" s="347" t="s">
        <v>248</v>
      </c>
      <c r="I30" s="348" t="s">
        <v>64</v>
      </c>
      <c r="K30" s="622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25</v>
      </c>
      <c r="S30" s="344" t="s">
        <v>229</v>
      </c>
      <c r="T30" s="347" t="s">
        <v>254</v>
      </c>
      <c r="U30" s="348" t="s">
        <v>91</v>
      </c>
    </row>
    <row r="31" spans="1:21" x14ac:dyDescent="0.25">
      <c r="B31" s="622"/>
      <c r="G31"/>
      <c r="K31" s="622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>
        <v>25</v>
      </c>
      <c r="S31" s="344" t="s">
        <v>229</v>
      </c>
      <c r="T31" s="347" t="s">
        <v>248</v>
      </c>
      <c r="U31" s="347" t="s">
        <v>91</v>
      </c>
    </row>
    <row r="32" spans="1:21" x14ac:dyDescent="0.25">
      <c r="B32" s="622"/>
      <c r="G32"/>
      <c r="K32" s="622">
        <v>27</v>
      </c>
      <c r="L32" s="344">
        <v>6</v>
      </c>
      <c r="M32" s="347" t="s">
        <v>87</v>
      </c>
      <c r="N32" s="348" t="s">
        <v>1</v>
      </c>
      <c r="O32" s="349"/>
      <c r="P32" s="347"/>
      <c r="R32" s="81">
        <v>25</v>
      </c>
      <c r="S32" s="350" t="s">
        <v>229</v>
      </c>
      <c r="T32" s="351" t="s">
        <v>654</v>
      </c>
      <c r="U32" s="351" t="s">
        <v>62</v>
      </c>
    </row>
    <row r="33" spans="2:16" x14ac:dyDescent="0.25">
      <c r="B33" s="622"/>
      <c r="G33"/>
      <c r="K33" s="622">
        <v>28</v>
      </c>
      <c r="L33" s="344">
        <v>5</v>
      </c>
      <c r="M33" s="619" t="s">
        <v>662</v>
      </c>
      <c r="N33" s="347" t="s">
        <v>63</v>
      </c>
      <c r="O33" s="668"/>
      <c r="P33" s="347"/>
    </row>
    <row r="34" spans="2:16" x14ac:dyDescent="0.25">
      <c r="B34" s="622"/>
      <c r="G34"/>
      <c r="K34" s="622">
        <v>29</v>
      </c>
      <c r="L34" s="344">
        <v>3</v>
      </c>
      <c r="M34" s="347" t="s">
        <v>347</v>
      </c>
      <c r="N34" s="347" t="s">
        <v>64</v>
      </c>
      <c r="O34" s="349"/>
      <c r="P34" s="347"/>
    </row>
    <row r="35" spans="2:16" x14ac:dyDescent="0.25">
      <c r="B35" s="622"/>
      <c r="G35"/>
      <c r="K35" s="622">
        <v>29</v>
      </c>
      <c r="L35" s="344">
        <v>3</v>
      </c>
      <c r="M35" s="347" t="s">
        <v>297</v>
      </c>
      <c r="N35" s="347" t="s">
        <v>62</v>
      </c>
      <c r="O35" s="349"/>
      <c r="P35" s="347"/>
    </row>
    <row r="36" spans="2:16" x14ac:dyDescent="0.25">
      <c r="B36" s="622"/>
      <c r="G36"/>
      <c r="K36" s="622">
        <v>29</v>
      </c>
      <c r="L36" s="344">
        <v>3</v>
      </c>
      <c r="M36" s="347" t="s">
        <v>403</v>
      </c>
      <c r="N36" s="347" t="s">
        <v>183</v>
      </c>
      <c r="O36" s="349"/>
      <c r="P36" s="347">
        <v>49</v>
      </c>
    </row>
    <row r="37" spans="2:16" x14ac:dyDescent="0.25">
      <c r="B37" s="622"/>
      <c r="G37"/>
      <c r="K37" s="638">
        <v>29</v>
      </c>
      <c r="L37" s="353">
        <v>3</v>
      </c>
      <c r="M37" s="351" t="s">
        <v>656</v>
      </c>
      <c r="N37" s="355" t="s">
        <v>62</v>
      </c>
      <c r="O37" s="357"/>
      <c r="P37" s="355"/>
    </row>
    <row r="38" spans="2:16" x14ac:dyDescent="0.25">
      <c r="B38" s="638"/>
      <c r="G38"/>
      <c r="K38" s="638">
        <v>33</v>
      </c>
      <c r="L38" s="353">
        <v>2</v>
      </c>
      <c r="M38" s="351" t="s">
        <v>345</v>
      </c>
      <c r="N38" s="355" t="s">
        <v>1</v>
      </c>
      <c r="O38" s="357">
        <f>L38/G16</f>
        <v>7.7519379844961239E-3</v>
      </c>
      <c r="P38" s="355">
        <v>3</v>
      </c>
    </row>
    <row r="39" spans="2:16" x14ac:dyDescent="0.25">
      <c r="B39" s="638"/>
      <c r="G39"/>
      <c r="K39" s="638">
        <v>33</v>
      </c>
      <c r="L39" s="353">
        <v>2</v>
      </c>
      <c r="M39" s="351" t="s">
        <v>658</v>
      </c>
      <c r="N39" s="355" t="s">
        <v>62</v>
      </c>
      <c r="O39" s="357"/>
      <c r="P39" s="355"/>
    </row>
    <row r="40" spans="2:16" x14ac:dyDescent="0.25">
      <c r="B40" s="638"/>
      <c r="G40"/>
      <c r="K40" s="638">
        <v>33</v>
      </c>
      <c r="L40" s="353">
        <v>2</v>
      </c>
      <c r="M40" s="351" t="s">
        <v>659</v>
      </c>
      <c r="N40" s="355" t="s">
        <v>62</v>
      </c>
      <c r="O40" s="357"/>
      <c r="P40" s="355"/>
    </row>
    <row r="41" spans="2:16" x14ac:dyDescent="0.25">
      <c r="B41" s="638"/>
      <c r="G41"/>
      <c r="K41" s="638">
        <v>33</v>
      </c>
      <c r="L41" s="353">
        <v>2</v>
      </c>
      <c r="M41" s="351" t="s">
        <v>661</v>
      </c>
      <c r="N41" s="355" t="s">
        <v>62</v>
      </c>
      <c r="O41" s="357"/>
      <c r="P41" s="355"/>
    </row>
    <row r="42" spans="2:16" x14ac:dyDescent="0.25">
      <c r="B42" s="638"/>
      <c r="G42"/>
      <c r="K42" s="638">
        <v>37</v>
      </c>
      <c r="L42" s="353">
        <v>1</v>
      </c>
      <c r="M42" s="351" t="s">
        <v>657</v>
      </c>
      <c r="N42" s="355" t="s">
        <v>62</v>
      </c>
      <c r="O42" s="357"/>
      <c r="P42" s="355"/>
    </row>
    <row r="43" spans="2:16" x14ac:dyDescent="0.25">
      <c r="B43" s="638"/>
      <c r="G43"/>
      <c r="K43" s="638">
        <v>37</v>
      </c>
      <c r="L43" s="353">
        <v>1</v>
      </c>
      <c r="M43" s="351" t="s">
        <v>660</v>
      </c>
      <c r="N43" s="355" t="s">
        <v>63</v>
      </c>
      <c r="O43" s="357"/>
      <c r="P43" s="355"/>
    </row>
    <row r="44" spans="2:16" x14ac:dyDescent="0.25">
      <c r="B44" s="666"/>
      <c r="G44"/>
      <c r="K44" s="666">
        <v>37</v>
      </c>
      <c r="L44" s="353">
        <v>1</v>
      </c>
      <c r="M44" s="351" t="s">
        <v>676</v>
      </c>
      <c r="N44" s="355" t="s">
        <v>63</v>
      </c>
      <c r="O44" s="357"/>
      <c r="P44" s="355"/>
    </row>
    <row r="45" spans="2:16" x14ac:dyDescent="0.25">
      <c r="B45" s="638"/>
      <c r="G45"/>
      <c r="K45" s="638">
        <v>40</v>
      </c>
      <c r="L45" s="353">
        <v>0</v>
      </c>
      <c r="M45" s="351" t="s">
        <v>654</v>
      </c>
      <c r="N45" s="355" t="s">
        <v>62</v>
      </c>
      <c r="O45" s="357"/>
      <c r="P45" s="355"/>
    </row>
    <row r="46" spans="2:16" x14ac:dyDescent="0.25">
      <c r="B46" s="622"/>
      <c r="L46" s="297">
        <f>SUM(L6:L45)</f>
        <v>1548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36</v>
      </c>
      <c r="C3" s="50">
        <f>Plantilla!H4</f>
        <v>6</v>
      </c>
      <c r="D3" s="129">
        <f>Plantilla!I4</f>
        <v>24.6</v>
      </c>
      <c r="E3" s="123">
        <f>D3</f>
        <v>24.6</v>
      </c>
      <c r="F3" s="123">
        <f>E3+0.1</f>
        <v>24.700000000000003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885.6</v>
      </c>
      <c r="J3" s="127">
        <f t="shared" si="1"/>
        <v>1206.8444700000002</v>
      </c>
      <c r="K3" s="124"/>
      <c r="N3" s="2" t="s">
        <v>235</v>
      </c>
      <c r="O3" t="str">
        <f>A3</f>
        <v>D. Gehmacher</v>
      </c>
      <c r="P3" s="125">
        <f>E3</f>
        <v>24.6</v>
      </c>
      <c r="Q3" s="125">
        <f t="shared" ref="Q3:S3" si="2">F3</f>
        <v>24.700000000000003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24.6</v>
      </c>
      <c r="X3" s="125">
        <f t="shared" ref="X3:Z3" si="3">Q3</f>
        <v>24.700000000000003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40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6.8</v>
      </c>
      <c r="Q4" s="125">
        <f t="shared" ref="Q4:S4" si="10">F7</f>
        <v>6.8999999999999995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6.8</v>
      </c>
      <c r="X4" s="125">
        <f t="shared" ref="X4:X13" si="13">Q4</f>
        <v>6.8999999999999995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37</v>
      </c>
      <c r="C5" s="50">
        <f>Plantilla!H6</f>
        <v>4</v>
      </c>
      <c r="D5" s="129">
        <f>Plantilla!I6</f>
        <v>18.7</v>
      </c>
      <c r="E5" s="123">
        <f t="shared" si="4"/>
        <v>18.7</v>
      </c>
      <c r="F5" s="123">
        <f t="shared" si="5"/>
        <v>18.8</v>
      </c>
      <c r="G5" s="123">
        <f t="shared" si="6"/>
        <v>4</v>
      </c>
      <c r="H5" s="123">
        <f t="shared" si="7"/>
        <v>4.99</v>
      </c>
      <c r="I5" s="127">
        <f t="shared" si="8"/>
        <v>299.2</v>
      </c>
      <c r="J5" s="127">
        <f t="shared" si="9"/>
        <v>468.12188000000003</v>
      </c>
      <c r="K5" s="124"/>
      <c r="L5" s="54"/>
      <c r="O5" t="str">
        <f>A14</f>
        <v>G. Piscaer</v>
      </c>
      <c r="P5" s="125">
        <f>E14</f>
        <v>2.2999999999999998</v>
      </c>
      <c r="Q5" s="125">
        <f t="shared" ref="Q5:S5" si="16">F14</f>
        <v>2.4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2.2999999999999998</v>
      </c>
      <c r="X5" s="125">
        <f t="shared" si="13"/>
        <v>2.4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18.7</v>
      </c>
      <c r="Q6" s="125">
        <f t="shared" ref="Q6:S6" si="17">F5</f>
        <v>18.8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18.7</v>
      </c>
      <c r="X6" s="125">
        <f t="shared" si="13"/>
        <v>18.8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33</v>
      </c>
      <c r="C7" s="50">
        <f>Plantilla!H7</f>
        <v>4</v>
      </c>
      <c r="D7" s="129">
        <f>Plantilla!I7</f>
        <v>6.8</v>
      </c>
      <c r="E7" s="123">
        <f t="shared" si="4"/>
        <v>6.8</v>
      </c>
      <c r="F7" s="123">
        <f t="shared" si="5"/>
        <v>6.8999999999999995</v>
      </c>
      <c r="G7" s="123">
        <f t="shared" si="6"/>
        <v>4</v>
      </c>
      <c r="H7" s="123">
        <f t="shared" si="7"/>
        <v>4.99</v>
      </c>
      <c r="I7" s="127">
        <f t="shared" si="8"/>
        <v>108.8</v>
      </c>
      <c r="J7" s="127">
        <f t="shared" si="9"/>
        <v>171.81068999999999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17.899999999999999</v>
      </c>
      <c r="E8" s="123">
        <f t="shared" si="4"/>
        <v>17.899999999999999</v>
      </c>
      <c r="F8" s="123">
        <f t="shared" si="5"/>
        <v>18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17.6418</v>
      </c>
      <c r="K8" s="124"/>
      <c r="O8" t="str">
        <f>A12</f>
        <v>I. Vanags</v>
      </c>
      <c r="P8" s="125">
        <f>E12</f>
        <v>0.8</v>
      </c>
      <c r="Q8" s="125">
        <f t="shared" ref="Q8:S8" si="21">F12</f>
        <v>0.9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0.8</v>
      </c>
      <c r="X8" s="125">
        <f t="shared" si="13"/>
        <v>0.9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15.3</v>
      </c>
      <c r="E9" s="123">
        <f t="shared" si="4"/>
        <v>15.3</v>
      </c>
      <c r="F9" s="123">
        <f t="shared" si="5"/>
        <v>15.4</v>
      </c>
      <c r="G9" s="123">
        <f t="shared" si="6"/>
        <v>3</v>
      </c>
      <c r="H9" s="123">
        <f t="shared" si="7"/>
        <v>3.99</v>
      </c>
      <c r="I9" s="127">
        <f t="shared" si="8"/>
        <v>137.70000000000002</v>
      </c>
      <c r="J9" s="127">
        <f t="shared" si="9"/>
        <v>245.16954000000004</v>
      </c>
      <c r="K9" s="124"/>
      <c r="O9" t="str">
        <f>A15</f>
        <v>M. Bondarewski</v>
      </c>
      <c r="P9" s="125">
        <f>E15</f>
        <v>2.2999999999999998</v>
      </c>
      <c r="Q9" s="125">
        <f t="shared" ref="Q9:S9" si="22">F15</f>
        <v>2.4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2.2999999999999998</v>
      </c>
      <c r="X9" s="125">
        <f t="shared" si="13"/>
        <v>2.4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2</v>
      </c>
      <c r="Q10" s="125">
        <f t="shared" ref="Q10:S10" si="23">F13</f>
        <v>2.1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2</v>
      </c>
      <c r="X10" s="125">
        <f t="shared" si="13"/>
        <v>2.1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e">
        <f>Plantilla!#REF!</f>
        <v>#REF!</v>
      </c>
      <c r="B11" s="50" t="e">
        <f>Plantilla!#REF!</f>
        <v>#REF!</v>
      </c>
      <c r="C11" s="50" t="e">
        <f>Plantilla!#REF!</f>
        <v>#REF!</v>
      </c>
      <c r="D11" s="129" t="e">
        <f>Plantilla!#REF!</f>
        <v>#REF!</v>
      </c>
      <c r="E11" s="123" t="e">
        <f t="shared" si="4"/>
        <v>#REF!</v>
      </c>
      <c r="F11" s="123" t="e">
        <f t="shared" si="5"/>
        <v>#REF!</v>
      </c>
      <c r="G11" s="123" t="e">
        <f t="shared" si="6"/>
        <v>#REF!</v>
      </c>
      <c r="H11" s="123" t="e">
        <f t="shared" si="7"/>
        <v>#REF!</v>
      </c>
      <c r="I11" s="127" t="e">
        <f t="shared" si="8"/>
        <v>#REF!</v>
      </c>
      <c r="J11" s="127" t="e">
        <f t="shared" si="9"/>
        <v>#REF!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Plantilla!D13</f>
        <v>I. Vanags</v>
      </c>
      <c r="B12" s="50">
        <f>Plantilla!E13</f>
        <v>19</v>
      </c>
      <c r="C12" s="50">
        <f>Plantilla!H13</f>
        <v>4</v>
      </c>
      <c r="D12" s="129">
        <f>Plantilla!I13</f>
        <v>0.8</v>
      </c>
      <c r="E12" s="123">
        <f t="shared" si="4"/>
        <v>0.8</v>
      </c>
      <c r="F12" s="123">
        <f t="shared" si="5"/>
        <v>0.9</v>
      </c>
      <c r="G12" s="123">
        <f t="shared" si="6"/>
        <v>4</v>
      </c>
      <c r="H12" s="123">
        <f t="shared" si="7"/>
        <v>4.99</v>
      </c>
      <c r="I12" s="127">
        <f t="shared" si="8"/>
        <v>12.8</v>
      </c>
      <c r="J12" s="127">
        <f t="shared" si="9"/>
        <v>22.410090000000004</v>
      </c>
      <c r="K12" s="124"/>
      <c r="O12" t="str">
        <f>A20</f>
        <v>P. Tuderek</v>
      </c>
      <c r="P12" s="125">
        <f>E20</f>
        <v>1.5</v>
      </c>
      <c r="Q12" s="125">
        <f t="shared" ref="Q12:S12" si="25">F20</f>
        <v>1.6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1.5</v>
      </c>
      <c r="X12" s="125">
        <f t="shared" si="13"/>
        <v>1.6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Plantilla!D14</f>
        <v>I. Stone</v>
      </c>
      <c r="B13" s="322">
        <f>Plantilla!E14</f>
        <v>19</v>
      </c>
      <c r="C13" s="322">
        <f>Plantilla!H14</f>
        <v>6</v>
      </c>
      <c r="D13" s="323">
        <f>Plantilla!I14</f>
        <v>2</v>
      </c>
      <c r="E13" s="324">
        <f t="shared" si="4"/>
        <v>2</v>
      </c>
      <c r="F13" s="324">
        <f t="shared" si="5"/>
        <v>2.1</v>
      </c>
      <c r="G13" s="324">
        <f t="shared" si="6"/>
        <v>6</v>
      </c>
      <c r="H13" s="324">
        <f t="shared" si="7"/>
        <v>6.99</v>
      </c>
      <c r="I13" s="325">
        <f t="shared" si="8"/>
        <v>72</v>
      </c>
      <c r="J13" s="325">
        <f t="shared" si="9"/>
        <v>102.60621</v>
      </c>
      <c r="K13" s="124"/>
      <c r="O13" t="str">
        <f>A19</f>
        <v>A. Grimaud</v>
      </c>
      <c r="P13" s="125">
        <f>E19</f>
        <v>2.8</v>
      </c>
      <c r="Q13" s="125">
        <f t="shared" ref="Q13:S13" si="26">F19</f>
        <v>2.9</v>
      </c>
      <c r="R13" s="125">
        <f t="shared" si="26"/>
        <v>2</v>
      </c>
      <c r="S13" s="125">
        <f t="shared" si="26"/>
        <v>2.99</v>
      </c>
      <c r="V13" s="55" t="str">
        <f t="shared" si="11"/>
        <v>A. Grimaud</v>
      </c>
      <c r="W13" s="125">
        <f t="shared" si="12"/>
        <v>2.8</v>
      </c>
      <c r="X13" s="125">
        <f t="shared" si="13"/>
        <v>2.9</v>
      </c>
      <c r="Y13" s="125">
        <f t="shared" si="14"/>
        <v>2</v>
      </c>
      <c r="Z13" s="125">
        <f t="shared" si="15"/>
        <v>2.99</v>
      </c>
    </row>
    <row r="14" spans="1:26" x14ac:dyDescent="0.25">
      <c r="A14" s="128" t="str">
        <f>Plantilla!D15</f>
        <v>G. Piscaer</v>
      </c>
      <c r="B14" s="50">
        <f>Plantilla!E15</f>
        <v>19</v>
      </c>
      <c r="C14" s="50">
        <f>Plantilla!H15</f>
        <v>1</v>
      </c>
      <c r="D14" s="129">
        <f>Plantilla!I15</f>
        <v>2.2999999999999998</v>
      </c>
      <c r="E14" s="123">
        <f t="shared" si="4"/>
        <v>2.2999999999999998</v>
      </c>
      <c r="F14" s="123">
        <f t="shared" si="5"/>
        <v>2.4</v>
      </c>
      <c r="G14" s="123">
        <f t="shared" si="6"/>
        <v>1</v>
      </c>
      <c r="H14" s="123">
        <f t="shared" si="7"/>
        <v>1.99</v>
      </c>
      <c r="I14" s="127">
        <f t="shared" si="8"/>
        <v>2.2999999999999998</v>
      </c>
      <c r="J14" s="127">
        <f t="shared" si="9"/>
        <v>9.5042399999999994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Plantilla!D16</f>
        <v>M. Bondarewski</v>
      </c>
      <c r="B15" s="50">
        <f>Plantilla!E16</f>
        <v>19</v>
      </c>
      <c r="C15" s="50">
        <f>Plantilla!H16</f>
        <v>1</v>
      </c>
      <c r="D15" s="129">
        <f>Plantilla!I16</f>
        <v>2.2999999999999998</v>
      </c>
      <c r="E15" s="123">
        <f t="shared" si="4"/>
        <v>2.2999999999999998</v>
      </c>
      <c r="F15" s="123">
        <f t="shared" si="5"/>
        <v>2.4</v>
      </c>
      <c r="G15" s="123">
        <f t="shared" si="6"/>
        <v>1</v>
      </c>
      <c r="H15" s="123">
        <f t="shared" si="7"/>
        <v>1.99</v>
      </c>
      <c r="I15" s="127">
        <f t="shared" si="8"/>
        <v>2.2999999999999998</v>
      </c>
      <c r="J15" s="127">
        <f t="shared" si="9"/>
        <v>9.5042399999999994</v>
      </c>
      <c r="K15" s="124"/>
    </row>
    <row r="16" spans="1:26" x14ac:dyDescent="0.25">
      <c r="A16" s="128" t="str">
        <f>Plantilla!D20</f>
        <v>R. Binst</v>
      </c>
      <c r="B16" s="50">
        <f>Plantilla!E20</f>
        <v>22</v>
      </c>
      <c r="C16" s="50">
        <f>Plantilla!H20</f>
        <v>3</v>
      </c>
      <c r="D16" s="129">
        <f>Plantilla!I20</f>
        <v>4.2</v>
      </c>
      <c r="E16" s="123">
        <f t="shared" si="4"/>
        <v>4.2</v>
      </c>
      <c r="F16" s="123">
        <f t="shared" si="5"/>
        <v>4.3</v>
      </c>
      <c r="G16" s="123">
        <f t="shared" si="6"/>
        <v>3</v>
      </c>
      <c r="H16" s="123">
        <f t="shared" si="7"/>
        <v>3.99</v>
      </c>
      <c r="I16" s="127">
        <f t="shared" si="8"/>
        <v>37.800000000000004</v>
      </c>
      <c r="J16" s="127">
        <f t="shared" si="9"/>
        <v>68.456429999999997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Plantilla!D18</f>
        <v>R. Forsyth</v>
      </c>
      <c r="B17" s="50">
        <f>Plantilla!E18</f>
        <v>20</v>
      </c>
      <c r="C17" s="50">
        <f>Plantilla!H18</f>
        <v>4</v>
      </c>
      <c r="D17" s="129">
        <f>Plantilla!I18</f>
        <v>2.4</v>
      </c>
      <c r="E17" s="123">
        <f t="shared" si="4"/>
        <v>2.4</v>
      </c>
      <c r="F17" s="123">
        <f t="shared" si="5"/>
        <v>2.5</v>
      </c>
      <c r="G17" s="123">
        <f t="shared" si="6"/>
        <v>4</v>
      </c>
      <c r="H17" s="123">
        <f t="shared" si="7"/>
        <v>4.99</v>
      </c>
      <c r="I17" s="127">
        <f t="shared" si="8"/>
        <v>38.4</v>
      </c>
      <c r="J17" s="127">
        <f t="shared" si="9"/>
        <v>62.250250000000008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Plantilla!D19</f>
        <v>M. Grupinski</v>
      </c>
      <c r="B18" s="50">
        <f>Plantilla!E19</f>
        <v>23</v>
      </c>
      <c r="C18" s="50">
        <f>Plantilla!H19</f>
        <v>5</v>
      </c>
      <c r="D18" s="129">
        <f>Plantilla!I19</f>
        <v>2.2000000000000002</v>
      </c>
      <c r="E18" s="123">
        <f t="shared" si="4"/>
        <v>2.2000000000000002</v>
      </c>
      <c r="F18" s="123">
        <f t="shared" si="5"/>
        <v>2.3000000000000003</v>
      </c>
      <c r="G18" s="123">
        <f t="shared" si="6"/>
        <v>5</v>
      </c>
      <c r="H18" s="123">
        <f t="shared" si="7"/>
        <v>5.99</v>
      </c>
      <c r="I18" s="127">
        <f t="shared" si="8"/>
        <v>55.000000000000007</v>
      </c>
      <c r="J18" s="127">
        <f t="shared" si="9"/>
        <v>82.524230000000017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Plantilla!D10</f>
        <v>A. Grimaud</v>
      </c>
      <c r="B19" s="50">
        <f>Plantilla!E10</f>
        <v>19</v>
      </c>
      <c r="C19" s="50">
        <f>Plantilla!H10</f>
        <v>2</v>
      </c>
      <c r="D19" s="129">
        <f>Plantilla!I10</f>
        <v>2.8</v>
      </c>
      <c r="E19" s="123">
        <f t="shared" si="4"/>
        <v>2.8</v>
      </c>
      <c r="F19" s="123">
        <f t="shared" si="5"/>
        <v>2.9</v>
      </c>
      <c r="G19" s="123">
        <f t="shared" si="6"/>
        <v>2</v>
      </c>
      <c r="H19" s="123">
        <f t="shared" si="7"/>
        <v>2.99</v>
      </c>
      <c r="I19" s="127">
        <f t="shared" si="8"/>
        <v>11.2</v>
      </c>
      <c r="J19" s="127">
        <f t="shared" si="9"/>
        <v>25.926290000000002</v>
      </c>
      <c r="K19" s="124"/>
      <c r="L19" s="56" t="s">
        <v>241</v>
      </c>
      <c r="O19" s="69" t="s">
        <v>242</v>
      </c>
      <c r="P19" s="83">
        <f>P18*P3</f>
        <v>885.6</v>
      </c>
      <c r="Q19" s="83">
        <f>Q18*Q3</f>
        <v>1206.8444700000002</v>
      </c>
      <c r="R19" s="83"/>
      <c r="V19" s="55" t="s">
        <v>242</v>
      </c>
      <c r="W19" s="83">
        <f>W18*W3</f>
        <v>885.6</v>
      </c>
      <c r="X19" s="83">
        <f>X18*X3</f>
        <v>1206.8444700000002</v>
      </c>
      <c r="Y19" s="83"/>
    </row>
    <row r="20" spans="1:25" x14ac:dyDescent="0.25">
      <c r="A20" s="128" t="str">
        <f>Plantilla!D17</f>
        <v>P. Tuderek</v>
      </c>
      <c r="B20" s="50">
        <f>Plantilla!E17</f>
        <v>19</v>
      </c>
      <c r="C20" s="50">
        <f>Plantilla!H17</f>
        <v>4</v>
      </c>
      <c r="D20" s="129">
        <f>Plantilla!I17</f>
        <v>1.5</v>
      </c>
      <c r="E20" s="123">
        <f t="shared" si="4"/>
        <v>1.5</v>
      </c>
      <c r="F20" s="123">
        <f t="shared" si="5"/>
        <v>1.6</v>
      </c>
      <c r="G20" s="123">
        <f t="shared" si="6"/>
        <v>4</v>
      </c>
      <c r="H20" s="123">
        <f t="shared" si="7"/>
        <v>4.99</v>
      </c>
      <c r="I20" s="127">
        <f t="shared" si="8"/>
        <v>24</v>
      </c>
      <c r="J20" s="127">
        <f t="shared" si="9"/>
        <v>39.840160000000004</v>
      </c>
      <c r="K20" s="124"/>
      <c r="L20" s="56" t="s">
        <v>243</v>
      </c>
      <c r="O20" s="110" t="s">
        <v>394</v>
      </c>
      <c r="P20" s="48">
        <f>(P19^(2/3))/27</f>
        <v>3.4155551940226334</v>
      </c>
      <c r="Q20" s="48">
        <f>(Q19^(2/3))/27</f>
        <v>4.1982707098207461</v>
      </c>
      <c r="R20" s="48"/>
      <c r="V20" s="55" t="s">
        <v>244</v>
      </c>
      <c r="W20" s="48">
        <f>(W19^(2/3))/30</f>
        <v>3.0739996746203699</v>
      </c>
      <c r="X20" s="48">
        <f>(X19^(2/3))/30</f>
        <v>3.7784436388386715</v>
      </c>
      <c r="Y20" s="48"/>
    </row>
    <row r="21" spans="1:25" x14ac:dyDescent="0.25">
      <c r="A21" s="128" t="str">
        <f>Plantilla!D12</f>
        <v>B. Bruton</v>
      </c>
      <c r="B21" s="50">
        <f>Plantilla!E12</f>
        <v>19</v>
      </c>
      <c r="C21" s="50">
        <f>Plantilla!H12</f>
        <v>4</v>
      </c>
      <c r="D21" s="129">
        <f>Plantilla!I12</f>
        <v>2</v>
      </c>
      <c r="E21" s="123">
        <f t="shared" si="4"/>
        <v>2</v>
      </c>
      <c r="F21" s="123">
        <f t="shared" si="5"/>
        <v>2.1</v>
      </c>
      <c r="G21" s="123">
        <f t="shared" si="6"/>
        <v>4</v>
      </c>
      <c r="H21" s="123">
        <f t="shared" si="7"/>
        <v>4.99</v>
      </c>
      <c r="I21" s="127">
        <f t="shared" si="8"/>
        <v>32</v>
      </c>
      <c r="J21" s="127">
        <f t="shared" si="9"/>
        <v>52.290210000000009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36</v>
      </c>
      <c r="C22" s="50">
        <f>Plantilla!H21</f>
        <v>2</v>
      </c>
      <c r="D22" s="129">
        <f>Plantilla!I21</f>
        <v>13.8</v>
      </c>
      <c r="E22" s="123">
        <f t="shared" si="4"/>
        <v>13.8</v>
      </c>
      <c r="F22" s="123">
        <f t="shared" si="5"/>
        <v>13.9</v>
      </c>
      <c r="G22" s="123">
        <f t="shared" si="6"/>
        <v>2</v>
      </c>
      <c r="H22" s="123">
        <f t="shared" si="7"/>
        <v>2.99</v>
      </c>
      <c r="I22" s="127">
        <f t="shared" si="8"/>
        <v>55.2</v>
      </c>
      <c r="J22" s="127">
        <f t="shared" si="9"/>
        <v>124.26739000000002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13.7</v>
      </c>
      <c r="E23" s="123">
        <f t="shared" si="4"/>
        <v>13.7</v>
      </c>
      <c r="F23" s="123">
        <f t="shared" si="5"/>
        <v>13.799999999999999</v>
      </c>
      <c r="G23" s="123">
        <f t="shared" si="6"/>
        <v>2</v>
      </c>
      <c r="H23" s="123">
        <f t="shared" si="7"/>
        <v>2.99</v>
      </c>
      <c r="I23" s="127">
        <f t="shared" si="8"/>
        <v>54.8</v>
      </c>
      <c r="J23" s="127">
        <f t="shared" si="9"/>
        <v>123.37338000000001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12.3</v>
      </c>
      <c r="E24" s="123">
        <f t="shared" si="4"/>
        <v>12.3</v>
      </c>
      <c r="F24" s="123">
        <f t="shared" si="5"/>
        <v>12.4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12.15324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14.7</v>
      </c>
      <c r="E25" s="123">
        <f t="shared" si="4"/>
        <v>14.7</v>
      </c>
      <c r="F25" s="123">
        <f t="shared" si="5"/>
        <v>14.799999999999999</v>
      </c>
      <c r="G25" s="123">
        <f t="shared" si="6"/>
        <v>3</v>
      </c>
      <c r="H25" s="123">
        <f t="shared" si="7"/>
        <v>3.99</v>
      </c>
      <c r="I25" s="127">
        <f t="shared" si="8"/>
        <v>132.29999999999998</v>
      </c>
      <c r="J25" s="127">
        <f t="shared" si="9"/>
        <v>235.61748</v>
      </c>
      <c r="V25"/>
    </row>
    <row r="26" spans="1:25" x14ac:dyDescent="0.25">
      <c r="A26" s="128" t="str">
        <f>Plantilla!D25</f>
        <v>P .Trivadi</v>
      </c>
      <c r="B26" s="50">
        <f>Plantilla!E25</f>
        <v>33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87042.857142857145</v>
      </c>
      <c r="S2" s="63">
        <v>2068800</v>
      </c>
      <c r="T2" s="63">
        <f ca="1">S2+Q2+P2+R2</f>
        <v>2934485.7142857146</v>
      </c>
      <c r="U2" s="67">
        <f ca="1">T2/((O2-N2)/112)</f>
        <v>572582.57839721255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62442.857142857145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13.008928571428571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43762</v>
      </c>
    </row>
    <row r="8" spans="1:22" x14ac:dyDescent="0.25">
      <c r="A8" s="53">
        <v>41757</v>
      </c>
    </row>
    <row r="9" spans="1:22" x14ac:dyDescent="0.25">
      <c r="A9" s="55">
        <f ca="1">A7-A8</f>
        <v>2005</v>
      </c>
    </row>
    <row r="10" spans="1:22" x14ac:dyDescent="0.25">
      <c r="A10" s="149">
        <f ca="1">A9/112</f>
        <v>17.901785714285715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43762</v>
      </c>
      <c r="P13" s="267">
        <v>1800000</v>
      </c>
      <c r="Q13" s="63">
        <v>372</v>
      </c>
      <c r="R13" s="63">
        <f t="shared" ref="R13" ca="1" si="4">((TODAY()-N13)/7)*L13</f>
        <v>105408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570934.03278688528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43762</v>
      </c>
      <c r="B18" s="87"/>
      <c r="C18">
        <v>400</v>
      </c>
      <c r="D18">
        <v>1</v>
      </c>
    </row>
    <row r="19" spans="1:22" x14ac:dyDescent="0.25">
      <c r="A19">
        <f ca="1">A18-A17</f>
        <v>854</v>
      </c>
      <c r="C19">
        <f>C18-C17</f>
        <v>288</v>
      </c>
      <c r="D19" s="254">
        <f ca="1">(A19-C17)/C19</f>
        <v>2.5763888888888888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706" t="s">
        <v>108</v>
      </c>
      <c r="B28" s="706"/>
      <c r="C28" s="706"/>
      <c r="D28" s="706"/>
    </row>
    <row r="29" spans="1:22" x14ac:dyDescent="0.25">
      <c r="A29" s="707" t="s">
        <v>92</v>
      </c>
      <c r="B29" s="708" t="s">
        <v>109</v>
      </c>
      <c r="C29" s="708" t="s">
        <v>110</v>
      </c>
      <c r="D29" s="708" t="s">
        <v>111</v>
      </c>
    </row>
    <row r="30" spans="1:22" x14ac:dyDescent="0.25">
      <c r="A30" s="707"/>
      <c r="B30" s="708"/>
      <c r="C30" s="708"/>
      <c r="D30" s="70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709" t="s">
        <v>278</v>
      </c>
      <c r="AI1" s="709"/>
      <c r="AJ1" s="709"/>
      <c r="AK1" s="709"/>
      <c r="AL1" s="709"/>
      <c r="AM1" s="709"/>
      <c r="AN1" s="709"/>
      <c r="AO1" s="709"/>
      <c r="AP1" s="709"/>
      <c r="AQ1" s="709"/>
      <c r="AR1" s="709"/>
      <c r="AS1" s="709"/>
      <c r="AT1" s="70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43762</v>
      </c>
      <c r="D2" s="674">
        <v>41471</v>
      </c>
      <c r="E2" s="674"/>
      <c r="F2" s="67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10">
        <v>451</v>
      </c>
      <c r="AI3" s="71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36</v>
      </c>
      <c r="E4" s="138">
        <f ca="1">Plantilla!F4</f>
        <v>12</v>
      </c>
      <c r="F4" s="134"/>
      <c r="G4" s="327">
        <f>Plantilla!H4</f>
        <v>6</v>
      </c>
      <c r="H4" s="102">
        <f>Plantilla!I4</f>
        <v>24.6</v>
      </c>
      <c r="I4" s="184">
        <f>Plantilla!X4</f>
        <v>15.95</v>
      </c>
      <c r="J4" s="184">
        <f>Plantilla!Y4</f>
        <v>11.95</v>
      </c>
      <c r="K4" s="184">
        <f>Plantilla!Z4</f>
        <v>2.0699999999999985</v>
      </c>
      <c r="L4" s="184">
        <f>Plantilla!AA4</f>
        <v>0.95</v>
      </c>
      <c r="M4" s="184">
        <f>Plantilla!AB4</f>
        <v>0</v>
      </c>
      <c r="N4" s="184">
        <f>Plantilla!AC4</f>
        <v>0</v>
      </c>
      <c r="O4" s="184">
        <f>Plantilla!AD4</f>
        <v>18.2</v>
      </c>
      <c r="P4" s="146">
        <f t="shared" ref="P4:P5" si="3">D4</f>
        <v>36</v>
      </c>
      <c r="Q4" s="147">
        <f t="shared" ref="Q4:Q5" ca="1" si="4">E4+7</f>
        <v>19</v>
      </c>
      <c r="R4" s="92">
        <f t="shared" ref="R4:R27" si="5">H4+$R$2</f>
        <v>24.6</v>
      </c>
      <c r="S4" s="200">
        <f>I4</f>
        <v>15.95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0.95</v>
      </c>
      <c r="W4" s="200">
        <f t="shared" si="6"/>
        <v>0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40</v>
      </c>
      <c r="E5" s="138">
        <f ca="1">Plantilla!F5</f>
        <v>21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5.95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40</v>
      </c>
      <c r="Q5" s="147">
        <f t="shared" ca="1" si="4"/>
        <v>28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5.95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37</v>
      </c>
      <c r="E6" s="138">
        <f ca="1">Plantilla!F6</f>
        <v>23</v>
      </c>
      <c r="F6" s="134"/>
      <c r="G6" s="327">
        <f>Plantilla!H6</f>
        <v>4</v>
      </c>
      <c r="H6" s="102">
        <f>Plantilla!I6</f>
        <v>18.7</v>
      </c>
      <c r="I6" s="184">
        <f>Plantilla!X6</f>
        <v>0</v>
      </c>
      <c r="J6" s="184">
        <f>Plantilla!Y6</f>
        <v>10.95</v>
      </c>
      <c r="K6" s="184">
        <f>Plantilla!Z6</f>
        <v>11.75</v>
      </c>
      <c r="L6" s="184">
        <f>Plantilla!AA6</f>
        <v>7.95</v>
      </c>
      <c r="M6" s="184">
        <f>Plantilla!AB6</f>
        <v>7.95</v>
      </c>
      <c r="N6" s="184">
        <f>Plantilla!AC6</f>
        <v>0.95</v>
      </c>
      <c r="O6" s="184">
        <f>Plantilla!AD6</f>
        <v>16.95</v>
      </c>
      <c r="P6" s="146">
        <f t="shared" ref="P6:P27" si="21">D6</f>
        <v>37</v>
      </c>
      <c r="Q6" s="147">
        <f t="shared" ref="Q6:Q27" ca="1" si="22">E6+7</f>
        <v>30</v>
      </c>
      <c r="R6" s="92">
        <f t="shared" si="5"/>
        <v>18.7</v>
      </c>
      <c r="S6" s="200">
        <f t="shared" si="14"/>
        <v>0</v>
      </c>
      <c r="T6" s="200">
        <f t="shared" si="15"/>
        <v>10.95</v>
      </c>
      <c r="U6" s="200">
        <f t="shared" si="16"/>
        <v>11.75</v>
      </c>
      <c r="V6" s="200">
        <f t="shared" si="17"/>
        <v>7.95</v>
      </c>
      <c r="W6" s="200">
        <f t="shared" si="18"/>
        <v>7.95</v>
      </c>
      <c r="X6" s="200">
        <f t="shared" si="19"/>
        <v>0.95</v>
      </c>
      <c r="Y6" s="200">
        <f t="shared" si="20"/>
        <v>16.95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33</v>
      </c>
      <c r="E8" s="138">
        <f ca="1">Plantilla!F7</f>
        <v>31</v>
      </c>
      <c r="F8" s="134"/>
      <c r="G8" s="327">
        <f>Plantilla!H7</f>
        <v>4</v>
      </c>
      <c r="H8" s="102">
        <f>Plantilla!I7</f>
        <v>6.8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5.95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33</v>
      </c>
      <c r="Q8" s="147">
        <f t="shared" ca="1" si="22"/>
        <v>38</v>
      </c>
      <c r="R8" s="92">
        <f t="shared" si="5"/>
        <v>6.8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5.95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97</v>
      </c>
      <c r="F9" s="134" t="str">
        <f>Plantilla!G8</f>
        <v>IMP</v>
      </c>
      <c r="G9" s="327">
        <f>Plantilla!H8</f>
        <v>0</v>
      </c>
      <c r="H9" s="102">
        <f>Plantilla!I8</f>
        <v>17.899999999999999</v>
      </c>
      <c r="I9" s="184">
        <f>Plantilla!X8</f>
        <v>0</v>
      </c>
      <c r="J9" s="184">
        <f>Plantilla!Y8</f>
        <v>10.95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104</v>
      </c>
      <c r="R9" s="92">
        <f t="shared" si="5"/>
        <v>17.899999999999999</v>
      </c>
      <c r="S9" s="200">
        <f t="shared" si="14"/>
        <v>0</v>
      </c>
      <c r="T9" s="200">
        <f t="shared" si="15"/>
        <v>10.95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8.0000000000000018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56</v>
      </c>
      <c r="F10" s="134" t="str">
        <f>Plantilla!G9</f>
        <v>TEC</v>
      </c>
      <c r="G10" s="327">
        <f>Plantilla!H9</f>
        <v>3</v>
      </c>
      <c r="H10" s="102">
        <f>Plantilla!I9</f>
        <v>15.3</v>
      </c>
      <c r="I10" s="184">
        <f>Plantilla!X9</f>
        <v>0</v>
      </c>
      <c r="J10" s="184">
        <f>Plantilla!Y9</f>
        <v>9.3036666666666648</v>
      </c>
      <c r="K10" s="184">
        <f>Plantilla!Z9</f>
        <v>13.95</v>
      </c>
      <c r="L10" s="184">
        <f>Plantilla!AA9</f>
        <v>11.95</v>
      </c>
      <c r="M10" s="184">
        <f>Plantilla!AB9</f>
        <v>9.9499999999999993</v>
      </c>
      <c r="N10" s="184">
        <f>Plantilla!AC9</f>
        <v>2.95</v>
      </c>
      <c r="O10" s="184">
        <f>Plantilla!AD9</f>
        <v>16</v>
      </c>
      <c r="P10" s="146">
        <f t="shared" si="21"/>
        <v>35</v>
      </c>
      <c r="Q10" s="147">
        <f t="shared" ca="1" si="22"/>
        <v>63</v>
      </c>
      <c r="R10" s="92">
        <f t="shared" si="5"/>
        <v>15.3</v>
      </c>
      <c r="S10" s="200">
        <f t="shared" si="14"/>
        <v>0</v>
      </c>
      <c r="T10" s="200">
        <f t="shared" si="15"/>
        <v>9.3036666666666648</v>
      </c>
      <c r="U10" s="200">
        <f t="shared" si="16"/>
        <v>13.95</v>
      </c>
      <c r="V10" s="200">
        <f t="shared" si="17"/>
        <v>11.95</v>
      </c>
      <c r="W10" s="200">
        <f t="shared" si="18"/>
        <v>9.9499999999999993</v>
      </c>
      <c r="X10" s="200">
        <f t="shared" si="19"/>
        <v>2.95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647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7.5520000000000014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7.9999999999999982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e">
        <f>Plantilla!#REF!</f>
        <v>#REF!</v>
      </c>
      <c r="B12" s="131" t="e">
        <f>Plantilla!#REF!</f>
        <v>#REF!</v>
      </c>
      <c r="C12" s="90" t="e">
        <f>Plantilla!#REF!</f>
        <v>#REF!</v>
      </c>
      <c r="D12" s="133" t="e">
        <f>Plantilla!#REF!</f>
        <v>#REF!</v>
      </c>
      <c r="E12" s="138" t="e">
        <f>Plantilla!#REF!</f>
        <v>#REF!</v>
      </c>
      <c r="F12" s="134"/>
      <c r="G12" s="327" t="e">
        <f>Plantilla!#REF!</f>
        <v>#REF!</v>
      </c>
      <c r="H12" s="102" t="e">
        <f>Plantilla!#REF!</f>
        <v>#REF!</v>
      </c>
      <c r="I12" s="184" t="e">
        <f>Plantilla!#REF!</f>
        <v>#REF!</v>
      </c>
      <c r="J12" s="184" t="e">
        <f>Plantilla!#REF!</f>
        <v>#REF!</v>
      </c>
      <c r="K12" s="184" t="e">
        <f>Plantilla!#REF!</f>
        <v>#REF!</v>
      </c>
      <c r="L12" s="184" t="e">
        <f>Plantilla!#REF!</f>
        <v>#REF!</v>
      </c>
      <c r="M12" s="184" t="e">
        <f>Plantilla!#REF!</f>
        <v>#REF!</v>
      </c>
      <c r="N12" s="184" t="e">
        <f>Plantilla!#REF!</f>
        <v>#REF!</v>
      </c>
      <c r="O12" s="184" t="e">
        <f>Plantilla!#REF!</f>
        <v>#REF!</v>
      </c>
      <c r="P12" s="146" t="e">
        <f t="shared" si="21"/>
        <v>#REF!</v>
      </c>
      <c r="Q12" s="147" t="e">
        <f t="shared" si="22"/>
        <v>#REF!</v>
      </c>
      <c r="R12" s="92" t="e">
        <f t="shared" si="5"/>
        <v>#REF!</v>
      </c>
      <c r="S12" s="200" t="e">
        <f t="shared" si="14"/>
        <v>#REF!</v>
      </c>
      <c r="T12" s="200" t="e">
        <f t="shared" si="15"/>
        <v>#REF!</v>
      </c>
      <c r="U12" s="200" t="e">
        <f t="shared" si="16"/>
        <v>#REF!</v>
      </c>
      <c r="V12" s="200" t="e">
        <f t="shared" si="17"/>
        <v>#REF!</v>
      </c>
      <c r="W12" s="200" t="e">
        <f t="shared" si="18"/>
        <v>#REF!</v>
      </c>
      <c r="X12" s="200" t="e">
        <f t="shared" si="19"/>
        <v>#REF!</v>
      </c>
      <c r="Y12" s="200" t="e">
        <f t="shared" si="20"/>
        <v>#REF!</v>
      </c>
      <c r="Z12" s="156" t="e">
        <f t="shared" si="7"/>
        <v>#REF!</v>
      </c>
      <c r="AA12" s="156" t="e">
        <f t="shared" si="8"/>
        <v>#REF!</v>
      </c>
      <c r="AB12" s="156" t="e">
        <f t="shared" si="9"/>
        <v>#REF!</v>
      </c>
      <c r="AC12" s="156" t="e">
        <f t="shared" si="10"/>
        <v>#REF!</v>
      </c>
      <c r="AD12" s="156" t="e">
        <f t="shared" si="11"/>
        <v>#REF!</v>
      </c>
      <c r="AE12" s="156" t="e">
        <f t="shared" si="12"/>
        <v>#REF!</v>
      </c>
      <c r="AF12" s="156" t="e">
        <f t="shared" si="13"/>
        <v>#REF!</v>
      </c>
      <c r="AH12" s="625" t="s">
        <v>648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6.3100000000000005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Plantilla!A13</f>
        <v>#17</v>
      </c>
      <c r="B13" s="131" t="str">
        <f>Plantilla!B13</f>
        <v>MED</v>
      </c>
      <c r="C13" s="90" t="str">
        <f>Plantilla!D13</f>
        <v>I. Vanags</v>
      </c>
      <c r="D13" s="133">
        <f>Plantilla!E13</f>
        <v>19</v>
      </c>
      <c r="E13" s="138">
        <f ca="1">Plantilla!F13</f>
        <v>79</v>
      </c>
      <c r="F13" s="134" t="str">
        <f>Plantilla!G13</f>
        <v>CAB</v>
      </c>
      <c r="G13" s="327">
        <f>Plantilla!H13</f>
        <v>4</v>
      </c>
      <c r="H13" s="102">
        <f>Plantilla!I13</f>
        <v>0.8</v>
      </c>
      <c r="I13" s="184">
        <f>Plantilla!X13</f>
        <v>0</v>
      </c>
      <c r="J13" s="184">
        <f>Plantilla!Y13</f>
        <v>4</v>
      </c>
      <c r="K13" s="184">
        <f>Plantilla!Z13</f>
        <v>10.666666666666666</v>
      </c>
      <c r="L13" s="184">
        <f>Plantilla!AA13</f>
        <v>3</v>
      </c>
      <c r="M13" s="184">
        <f>Plantilla!AB13</f>
        <v>4</v>
      </c>
      <c r="N13" s="184">
        <f>Plantilla!AC13</f>
        <v>7</v>
      </c>
      <c r="O13" s="184">
        <f>Plantilla!AD13</f>
        <v>6</v>
      </c>
      <c r="P13" s="146">
        <f t="shared" si="21"/>
        <v>19</v>
      </c>
      <c r="Q13" s="147">
        <f t="shared" ca="1" si="22"/>
        <v>86</v>
      </c>
      <c r="R13" s="92">
        <f t="shared" si="5"/>
        <v>0.8</v>
      </c>
      <c r="S13" s="200">
        <f t="shared" ref="S13:S23" si="23">I13</f>
        <v>0</v>
      </c>
      <c r="T13" s="200">
        <f>J13+T$2/4</f>
        <v>4</v>
      </c>
      <c r="U13" s="200">
        <f>K13+U$2/5</f>
        <v>18.666666666666664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7.9999999999999982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5" t="s">
        <v>648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Plantilla!A14</f>
        <v>#8</v>
      </c>
      <c r="B14" s="131" t="str">
        <f>Plantilla!B14</f>
        <v>MED</v>
      </c>
      <c r="C14" s="90" t="str">
        <f>Plantilla!D14</f>
        <v>I. Stone</v>
      </c>
      <c r="D14" s="133">
        <f>Plantilla!E14</f>
        <v>19</v>
      </c>
      <c r="E14" s="138">
        <f ca="1">Plantilla!F14</f>
        <v>22</v>
      </c>
      <c r="F14" s="134" t="str">
        <f>Plantilla!G14</f>
        <v>RAP</v>
      </c>
      <c r="G14" s="327">
        <f>Plantilla!H14</f>
        <v>6</v>
      </c>
      <c r="H14" s="102">
        <f>Plantilla!I14</f>
        <v>2</v>
      </c>
      <c r="I14" s="184">
        <f>Plantilla!X14</f>
        <v>0</v>
      </c>
      <c r="J14" s="184">
        <f>Plantilla!Y14</f>
        <v>3</v>
      </c>
      <c r="K14" s="184">
        <f>Plantilla!Z14</f>
        <v>9.5</v>
      </c>
      <c r="L14" s="184">
        <f>Plantilla!AA14</f>
        <v>2</v>
      </c>
      <c r="M14" s="184">
        <f>Plantilla!AB14</f>
        <v>6</v>
      </c>
      <c r="N14" s="184">
        <f>Plantilla!AC14</f>
        <v>9</v>
      </c>
      <c r="O14" s="184">
        <f>Plantilla!AD14</f>
        <v>2</v>
      </c>
      <c r="P14" s="146">
        <f t="shared" si="21"/>
        <v>19</v>
      </c>
      <c r="Q14" s="147">
        <f t="shared" ca="1" si="22"/>
        <v>29</v>
      </c>
      <c r="R14" s="92">
        <f t="shared" si="5"/>
        <v>2</v>
      </c>
      <c r="S14" s="200">
        <f t="shared" si="23"/>
        <v>0</v>
      </c>
      <c r="T14" s="200">
        <f>J14+T$2/3</f>
        <v>3</v>
      </c>
      <c r="U14" s="200">
        <f t="shared" ref="U14" si="26">K14+U$2/4</f>
        <v>19.5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5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 t="e">
        <f>(AD12*0.142)+(AC12*0.221)+(AE12*0.26)</f>
        <v>#REF!</v>
      </c>
      <c r="AO14" s="162" t="e">
        <f>AN14</f>
        <v>#REF!</v>
      </c>
      <c r="AP14" s="162" t="e">
        <f>(AD12*0.369)+(AE12*1)</f>
        <v>#REF!</v>
      </c>
      <c r="AQ14" s="167" t="e">
        <f>(0.5*AE12+0.3*AF12)/10</f>
        <v>#REF!</v>
      </c>
      <c r="AR14" s="167" t="e">
        <f>(0.4*AA12+0.3*AF12)/10</f>
        <v>#REF!</v>
      </c>
      <c r="AS14" s="165">
        <v>0</v>
      </c>
      <c r="AT14" s="165">
        <v>0</v>
      </c>
    </row>
    <row r="15" spans="1:53" s="75" customFormat="1" x14ac:dyDescent="0.25">
      <c r="A15" s="131" t="str">
        <f>Plantilla!A15</f>
        <v>#14</v>
      </c>
      <c r="B15" s="131" t="str">
        <f>Plantilla!B15</f>
        <v>MED</v>
      </c>
      <c r="C15" s="90" t="str">
        <f>Plantilla!D15</f>
        <v>G. Piscaer</v>
      </c>
      <c r="D15" s="133">
        <f>Plantilla!E15</f>
        <v>19</v>
      </c>
      <c r="E15" s="138">
        <f ca="1">Plantilla!F15</f>
        <v>95</v>
      </c>
      <c r="F15" s="134" t="str">
        <f>Plantilla!G15</f>
        <v>IMP</v>
      </c>
      <c r="G15" s="327">
        <f>Plantilla!H15</f>
        <v>1</v>
      </c>
      <c r="H15" s="102">
        <f>Plantilla!I15</f>
        <v>2.2999999999999998</v>
      </c>
      <c r="I15" s="184">
        <f>Plantilla!X15</f>
        <v>0</v>
      </c>
      <c r="J15" s="184">
        <f>Plantilla!Y15</f>
        <v>4</v>
      </c>
      <c r="K15" s="184">
        <f>Plantilla!Z15</f>
        <v>11.214285714285714</v>
      </c>
      <c r="L15" s="184">
        <f>Plantilla!AA15</f>
        <v>3</v>
      </c>
      <c r="M15" s="184">
        <f>Plantilla!AB15</f>
        <v>2</v>
      </c>
      <c r="N15" s="184">
        <f>Plantilla!AC15</f>
        <v>8</v>
      </c>
      <c r="O15" s="184">
        <f>Plantilla!AD15</f>
        <v>0</v>
      </c>
      <c r="P15" s="146">
        <f t="shared" si="21"/>
        <v>19</v>
      </c>
      <c r="Q15" s="147">
        <f t="shared" ca="1" si="22"/>
        <v>102</v>
      </c>
      <c r="R15" s="92">
        <f t="shared" si="5"/>
        <v>2.2999999999999998</v>
      </c>
      <c r="S15" s="200">
        <f t="shared" si="23"/>
        <v>0</v>
      </c>
      <c r="T15" s="200">
        <f>J15+T$2/4</f>
        <v>4</v>
      </c>
      <c r="U15" s="200">
        <f>K15+U$2/5</f>
        <v>19.214285714285715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8.0000000000000018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Plantilla!A16</f>
        <v>#3</v>
      </c>
      <c r="B16" s="131" t="str">
        <f>Plantilla!B16</f>
        <v>MED</v>
      </c>
      <c r="C16" s="90" t="str">
        <f>Plantilla!D16</f>
        <v>M. Bondarewski</v>
      </c>
      <c r="D16" s="133">
        <f>Plantilla!E16</f>
        <v>19</v>
      </c>
      <c r="E16" s="138">
        <f ca="1">Plantilla!F16</f>
        <v>95</v>
      </c>
      <c r="F16" s="134" t="str">
        <f>Plantilla!G16</f>
        <v>RAP</v>
      </c>
      <c r="G16" s="327">
        <f>Plantilla!H16</f>
        <v>1</v>
      </c>
      <c r="H16" s="102">
        <f>Plantilla!I16</f>
        <v>2.2999999999999998</v>
      </c>
      <c r="I16" s="184">
        <f>Plantilla!X16</f>
        <v>0</v>
      </c>
      <c r="J16" s="184">
        <f>Plantilla!Y16</f>
        <v>2</v>
      </c>
      <c r="K16" s="184">
        <f>Plantilla!Z16</f>
        <v>11.25</v>
      </c>
      <c r="L16" s="184">
        <f>Plantilla!AA16</f>
        <v>5</v>
      </c>
      <c r="M16" s="184">
        <f>Plantilla!AB16</f>
        <v>4</v>
      </c>
      <c r="N16" s="184">
        <f>Plantilla!AC16</f>
        <v>8</v>
      </c>
      <c r="O16" s="184">
        <f>Plantilla!AD16</f>
        <v>6</v>
      </c>
      <c r="P16" s="146">
        <f t="shared" si="21"/>
        <v>19</v>
      </c>
      <c r="Q16" s="147">
        <f t="shared" ca="1" si="22"/>
        <v>102</v>
      </c>
      <c r="R16" s="92">
        <f t="shared" si="5"/>
        <v>2.2999999999999998</v>
      </c>
      <c r="S16" s="200">
        <f t="shared" si="23"/>
        <v>0</v>
      </c>
      <c r="T16" s="200">
        <f>J16+T$2/3</f>
        <v>2</v>
      </c>
      <c r="U16" s="200">
        <f>K16+U$2/5</f>
        <v>19.25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7.125</v>
      </c>
      <c r="AT16" s="169">
        <f t="shared" si="29"/>
        <v>0</v>
      </c>
    </row>
    <row r="17" spans="1:46" s="75" customFormat="1" x14ac:dyDescent="0.25">
      <c r="A17" s="131" t="str">
        <f>Plantilla!A20</f>
        <v>#18</v>
      </c>
      <c r="B17" s="131" t="str">
        <f>Plantilla!B20</f>
        <v>EXT</v>
      </c>
      <c r="C17" s="90" t="str">
        <f>Plantilla!D20</f>
        <v>R. Binst</v>
      </c>
      <c r="D17" s="133">
        <f>Plantilla!E20</f>
        <v>22</v>
      </c>
      <c r="E17" s="138">
        <f ca="1">Plantilla!F20</f>
        <v>73</v>
      </c>
      <c r="F17" s="134">
        <f>Plantilla!G20</f>
        <v>0</v>
      </c>
      <c r="G17" s="327">
        <f>Plantilla!H20</f>
        <v>3</v>
      </c>
      <c r="H17" s="102">
        <f>Plantilla!I20</f>
        <v>4.2</v>
      </c>
      <c r="I17" s="184">
        <f>Plantilla!X20</f>
        <v>0</v>
      </c>
      <c r="J17" s="184">
        <f>Plantilla!Y20</f>
        <v>2</v>
      </c>
      <c r="K17" s="184">
        <f>Plantilla!Z20</f>
        <v>10.142857142857142</v>
      </c>
      <c r="L17" s="184">
        <f>Plantilla!AA20</f>
        <v>12</v>
      </c>
      <c r="M17" s="184">
        <f>Plantilla!AB20</f>
        <v>5</v>
      </c>
      <c r="N17" s="184">
        <f>Plantilla!AC20</f>
        <v>5</v>
      </c>
      <c r="O17" s="184">
        <f>Plantilla!AD20</f>
        <v>4</v>
      </c>
      <c r="P17" s="146">
        <f t="shared" si="21"/>
        <v>22</v>
      </c>
      <c r="Q17" s="147">
        <f t="shared" ca="1" si="22"/>
        <v>80</v>
      </c>
      <c r="R17" s="92">
        <f t="shared" si="5"/>
        <v>4.2</v>
      </c>
      <c r="S17" s="200">
        <f t="shared" si="23"/>
        <v>0</v>
      </c>
      <c r="T17" s="200">
        <f>J17+T$2/5</f>
        <v>2</v>
      </c>
      <c r="U17" s="200">
        <f>K17+U$2/5</f>
        <v>18.142857142857142</v>
      </c>
      <c r="V17" s="200">
        <f t="shared" si="24"/>
        <v>12</v>
      </c>
      <c r="W17" s="200">
        <f t="shared" si="25"/>
        <v>5</v>
      </c>
      <c r="X17" s="200">
        <f>N17+X$2/4</f>
        <v>9.25</v>
      </c>
      <c r="Y17" s="200">
        <f t="shared" si="27"/>
        <v>4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10">
        <v>550</v>
      </c>
      <c r="AI17" s="71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Plantilla!A18</f>
        <v>#16</v>
      </c>
      <c r="B18" s="131" t="str">
        <f>Plantilla!B18</f>
        <v>MED</v>
      </c>
      <c r="C18" s="90" t="str">
        <f>Plantilla!D18</f>
        <v>R. Forsyth</v>
      </c>
      <c r="D18" s="133">
        <f>Plantilla!E18</f>
        <v>20</v>
      </c>
      <c r="E18" s="138">
        <f ca="1">Plantilla!F18</f>
        <v>24</v>
      </c>
      <c r="F18" s="134" t="str">
        <f>Plantilla!G18</f>
        <v>POT</v>
      </c>
      <c r="G18" s="327">
        <f>Plantilla!H18</f>
        <v>4</v>
      </c>
      <c r="H18" s="102">
        <f>Plantilla!I18</f>
        <v>2.4</v>
      </c>
      <c r="I18" s="184">
        <f>Plantilla!X18</f>
        <v>0</v>
      </c>
      <c r="J18" s="184">
        <f>Plantilla!Y18</f>
        <v>7</v>
      </c>
      <c r="K18" s="184">
        <f>Plantilla!Z18</f>
        <v>10.714285714285714</v>
      </c>
      <c r="L18" s="184">
        <f>Plantilla!AA18</f>
        <v>2</v>
      </c>
      <c r="M18" s="184">
        <f>Plantilla!AB18</f>
        <v>4</v>
      </c>
      <c r="N18" s="184">
        <f>Plantilla!AC18</f>
        <v>6</v>
      </c>
      <c r="O18" s="184">
        <f>Plantilla!AD18</f>
        <v>2</v>
      </c>
      <c r="P18" s="146">
        <f t="shared" si="21"/>
        <v>20</v>
      </c>
      <c r="Q18" s="147">
        <f t="shared" ca="1" si="22"/>
        <v>31</v>
      </c>
      <c r="R18" s="92">
        <f t="shared" si="5"/>
        <v>2.4</v>
      </c>
      <c r="S18" s="200">
        <f t="shared" si="23"/>
        <v>0</v>
      </c>
      <c r="T18" s="200">
        <f>J18+T$2/5</f>
        <v>7</v>
      </c>
      <c r="U18" s="200">
        <f>K18+U$2/5</f>
        <v>18.714285714285715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8.0000000000000018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Plantilla!A19</f>
        <v>#21</v>
      </c>
      <c r="B19" s="131" t="str">
        <f>Plantilla!B19</f>
        <v>EXT</v>
      </c>
      <c r="C19" s="90" t="str">
        <f>Plantilla!D19</f>
        <v>M. Grupinski</v>
      </c>
      <c r="D19" s="133">
        <f>Plantilla!E19</f>
        <v>23</v>
      </c>
      <c r="E19" s="138">
        <f ca="1">Plantilla!F19</f>
        <v>94</v>
      </c>
      <c r="F19" s="134" t="str">
        <f>Plantilla!G19</f>
        <v>CAB</v>
      </c>
      <c r="G19" s="327">
        <f>Plantilla!H19</f>
        <v>5</v>
      </c>
      <c r="H19" s="102">
        <f>Plantilla!I19</f>
        <v>2.2000000000000002</v>
      </c>
      <c r="I19" s="184">
        <f>Plantilla!X19</f>
        <v>0</v>
      </c>
      <c r="J19" s="184">
        <f>Plantilla!Y19</f>
        <v>3</v>
      </c>
      <c r="K19" s="184">
        <f>Plantilla!Z19</f>
        <v>10</v>
      </c>
      <c r="L19" s="184">
        <f>Plantilla!AA19</f>
        <v>9</v>
      </c>
      <c r="M19" s="184">
        <f>Plantilla!AB19</f>
        <v>6</v>
      </c>
      <c r="N19" s="184">
        <f>Plantilla!AC19</f>
        <v>3</v>
      </c>
      <c r="O19" s="184">
        <f>Plantilla!AD19</f>
        <v>3</v>
      </c>
      <c r="P19" s="146">
        <f t="shared" si="21"/>
        <v>23</v>
      </c>
      <c r="Q19" s="147">
        <f t="shared" ca="1" si="22"/>
        <v>101</v>
      </c>
      <c r="R19" s="92">
        <f t="shared" si="5"/>
        <v>2.2000000000000002</v>
      </c>
      <c r="S19" s="200">
        <f t="shared" si="23"/>
        <v>0</v>
      </c>
      <c r="T19" s="200">
        <f>J19+T$2/4</f>
        <v>3</v>
      </c>
      <c r="U19" s="200">
        <f>K19+U$2/4</f>
        <v>20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Plantilla!A10</f>
        <v>#19</v>
      </c>
      <c r="B20" s="131" t="str">
        <f>Plantilla!B10</f>
        <v>DEF</v>
      </c>
      <c r="C20" s="90" t="str">
        <f>Plantilla!D10</f>
        <v>A. Grimaud</v>
      </c>
      <c r="D20" s="133">
        <f>Plantilla!E10</f>
        <v>19</v>
      </c>
      <c r="E20" s="138">
        <f ca="1">Plantilla!F10</f>
        <v>103</v>
      </c>
      <c r="F20" s="134"/>
      <c r="G20" s="327">
        <f>Plantilla!H10</f>
        <v>2</v>
      </c>
      <c r="H20" s="102">
        <f>Plantilla!I10</f>
        <v>2.8</v>
      </c>
      <c r="I20" s="184">
        <f>Plantilla!X10</f>
        <v>0</v>
      </c>
      <c r="J20" s="184">
        <f>Plantilla!Y10</f>
        <v>12</v>
      </c>
      <c r="K20" s="184">
        <f>Plantilla!Z10</f>
        <v>4.166666666666667</v>
      </c>
      <c r="L20" s="184">
        <f>Plantilla!AA10</f>
        <v>3</v>
      </c>
      <c r="M20" s="184">
        <f>Plantilla!AB10</f>
        <v>3</v>
      </c>
      <c r="N20" s="184">
        <f>Plantilla!AC10</f>
        <v>5</v>
      </c>
      <c r="O20" s="184">
        <f>Plantilla!AD10</f>
        <v>0</v>
      </c>
      <c r="P20" s="146">
        <f t="shared" si="21"/>
        <v>19</v>
      </c>
      <c r="Q20" s="147">
        <f t="shared" ca="1" si="22"/>
        <v>110</v>
      </c>
      <c r="R20" s="92">
        <f t="shared" si="5"/>
        <v>2.8</v>
      </c>
      <c r="S20" s="200">
        <f t="shared" si="23"/>
        <v>0</v>
      </c>
      <c r="T20" s="200">
        <f>J20+T$2/3</f>
        <v>12</v>
      </c>
      <c r="U20" s="200">
        <f>K20+U$2/5</f>
        <v>12.166666666666668</v>
      </c>
      <c r="V20" s="200">
        <f t="shared" si="24"/>
        <v>3</v>
      </c>
      <c r="W20" s="200">
        <f t="shared" si="25"/>
        <v>3</v>
      </c>
      <c r="X20" s="200">
        <f t="shared" si="28"/>
        <v>8.4</v>
      </c>
      <c r="Y20" s="200">
        <f t="shared" si="27"/>
        <v>0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2.625</v>
      </c>
      <c r="AT20" s="166">
        <f>((AA22)+(AD22)*2)/8</f>
        <v>0</v>
      </c>
    </row>
    <row r="21" spans="1:46" s="78" customFormat="1" x14ac:dyDescent="0.25">
      <c r="A21" s="131" t="str">
        <f>Plantilla!A17</f>
        <v>#20</v>
      </c>
      <c r="B21" s="131" t="str">
        <f>Plantilla!B17</f>
        <v>MED</v>
      </c>
      <c r="C21" s="90" t="str">
        <f>Plantilla!D17</f>
        <v>P. Tuderek</v>
      </c>
      <c r="D21" s="133">
        <f>Plantilla!E17</f>
        <v>19</v>
      </c>
      <c r="E21" s="138">
        <f ca="1">Plantilla!F17</f>
        <v>81</v>
      </c>
      <c r="F21" s="134" t="str">
        <f>Plantilla!G17</f>
        <v>CAB</v>
      </c>
      <c r="G21" s="327">
        <f>Plantilla!H17</f>
        <v>4</v>
      </c>
      <c r="H21" s="102">
        <f>Plantilla!I17</f>
        <v>1.5</v>
      </c>
      <c r="I21" s="184">
        <f>Plantilla!X17</f>
        <v>0</v>
      </c>
      <c r="J21" s="184">
        <f>Plantilla!Y17</f>
        <v>6</v>
      </c>
      <c r="K21" s="184">
        <f>Plantilla!Z17</f>
        <v>9.5</v>
      </c>
      <c r="L21" s="184">
        <f>Plantilla!AA17</f>
        <v>2</v>
      </c>
      <c r="M21" s="184">
        <f>Plantilla!AB17</f>
        <v>3</v>
      </c>
      <c r="N21" s="184">
        <f>Plantilla!AC17</f>
        <v>6</v>
      </c>
      <c r="O21" s="184">
        <f>Plantilla!AD17</f>
        <v>8</v>
      </c>
      <c r="P21" s="146">
        <f t="shared" si="21"/>
        <v>19</v>
      </c>
      <c r="Q21" s="147">
        <f t="shared" ca="1" si="22"/>
        <v>88</v>
      </c>
      <c r="R21" s="92">
        <f t="shared" si="5"/>
        <v>1.5</v>
      </c>
      <c r="S21" s="200">
        <f t="shared" si="23"/>
        <v>0</v>
      </c>
      <c r="T21" s="200">
        <f>J21+T$2/5</f>
        <v>6</v>
      </c>
      <c r="U21" s="200">
        <f>K21+U$2/4</f>
        <v>19.5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Plantilla!A12</f>
        <v>#18</v>
      </c>
      <c r="B22" s="131" t="str">
        <f>Plantilla!B12</f>
        <v>DEF</v>
      </c>
      <c r="C22" s="90" t="str">
        <f>Plantilla!D12</f>
        <v>B. Bruton</v>
      </c>
      <c r="D22" s="133">
        <f>Plantilla!E12</f>
        <v>19</v>
      </c>
      <c r="E22" s="138">
        <f ca="1">Plantilla!F12</f>
        <v>86</v>
      </c>
      <c r="F22" s="134">
        <f>Plantilla!G12</f>
        <v>0</v>
      </c>
      <c r="G22" s="327">
        <f>Plantilla!H12</f>
        <v>4</v>
      </c>
      <c r="H22" s="102">
        <f>Plantilla!I12</f>
        <v>2</v>
      </c>
      <c r="I22" s="184">
        <f>Plantilla!X12</f>
        <v>0</v>
      </c>
      <c r="J22" s="184">
        <f>Plantilla!Y12</f>
        <v>10</v>
      </c>
      <c r="K22" s="184">
        <f>Plantilla!Z12</f>
        <v>8.125</v>
      </c>
      <c r="L22" s="184">
        <f>Plantilla!AA12</f>
        <v>2</v>
      </c>
      <c r="M22" s="184">
        <f>Plantilla!AB12</f>
        <v>4</v>
      </c>
      <c r="N22" s="184">
        <f>Plantilla!AC12</f>
        <v>3</v>
      </c>
      <c r="O22" s="184">
        <f>Plantilla!AD12</f>
        <v>3</v>
      </c>
      <c r="P22" s="146">
        <f t="shared" si="21"/>
        <v>19</v>
      </c>
      <c r="Q22" s="147">
        <f t="shared" ca="1" si="22"/>
        <v>93</v>
      </c>
      <c r="R22" s="92">
        <f t="shared" si="5"/>
        <v>2</v>
      </c>
      <c r="S22" s="200">
        <f t="shared" si="23"/>
        <v>0</v>
      </c>
      <c r="T22" s="200">
        <f>J22+T$2/4</f>
        <v>10</v>
      </c>
      <c r="U22" s="200">
        <f>K22+U$2/4</f>
        <v>18.125</v>
      </c>
      <c r="V22" s="200">
        <f t="shared" si="24"/>
        <v>2</v>
      </c>
      <c r="W22" s="200">
        <f t="shared" si="25"/>
        <v>4</v>
      </c>
      <c r="X22" s="200">
        <f>N22+X$2/6</f>
        <v>5.8333333333333339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36</v>
      </c>
      <c r="E23" s="138">
        <f ca="1">Plantilla!F21</f>
        <v>44</v>
      </c>
      <c r="F23" s="134" t="str">
        <f>Plantilla!G21</f>
        <v>TEC</v>
      </c>
      <c r="G23" s="327">
        <f>Plantilla!H21</f>
        <v>2</v>
      </c>
      <c r="H23" s="102">
        <f>Plantilla!I21</f>
        <v>13.8</v>
      </c>
      <c r="I23" s="184">
        <f>Plantilla!X21</f>
        <v>0</v>
      </c>
      <c r="J23" s="184">
        <f>Plantilla!Y21</f>
        <v>6.95</v>
      </c>
      <c r="K23" s="184">
        <f>Plantilla!Z21</f>
        <v>9.9499999999999993</v>
      </c>
      <c r="L23" s="184">
        <f>Plantilla!AA21</f>
        <v>12.95</v>
      </c>
      <c r="M23" s="184">
        <f>Plantilla!AB21</f>
        <v>9.9499999999999993</v>
      </c>
      <c r="N23" s="184">
        <f>Plantilla!AC21</f>
        <v>2.95</v>
      </c>
      <c r="O23" s="184">
        <f>Plantilla!AD21</f>
        <v>17.95</v>
      </c>
      <c r="P23" s="146">
        <f t="shared" si="21"/>
        <v>36</v>
      </c>
      <c r="Q23" s="147">
        <f t="shared" ca="1" si="22"/>
        <v>51</v>
      </c>
      <c r="R23" s="92">
        <f t="shared" si="5"/>
        <v>13.8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9.9499999999999993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2.95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59</v>
      </c>
      <c r="F24" s="134" t="str">
        <f>Plantilla!G22</f>
        <v>CAB</v>
      </c>
      <c r="G24" s="327">
        <f>Plantilla!H22</f>
        <v>2</v>
      </c>
      <c r="H24" s="102">
        <f>Plantilla!I22</f>
        <v>13.7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66</v>
      </c>
      <c r="R24" s="92">
        <f t="shared" si="5"/>
        <v>13.7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8.0000000000000018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59</v>
      </c>
      <c r="F25" s="134"/>
      <c r="G25" s="327">
        <f>Plantilla!H23</f>
        <v>0</v>
      </c>
      <c r="H25" s="102">
        <f>Plantilla!I23</f>
        <v>12.3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1.95</v>
      </c>
      <c r="M25" s="184">
        <f>Plantilla!AB23</f>
        <v>7.95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66</v>
      </c>
      <c r="R25" s="92">
        <f t="shared" si="5"/>
        <v>12.3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1.95</v>
      </c>
      <c r="W25" s="200">
        <f t="shared" si="42"/>
        <v>7.95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647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7.5520000000000014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96</v>
      </c>
      <c r="F26" s="134" t="str">
        <f>Plantilla!G24</f>
        <v>RAP</v>
      </c>
      <c r="G26" s="327">
        <f>Plantilla!H24</f>
        <v>3</v>
      </c>
      <c r="H26" s="102">
        <f>Plantilla!I24</f>
        <v>14.7</v>
      </c>
      <c r="I26" s="184">
        <f>Plantilla!X24</f>
        <v>0</v>
      </c>
      <c r="J26" s="184">
        <f>Plantilla!Y24</f>
        <v>5.95</v>
      </c>
      <c r="K26" s="184">
        <f>Plantilla!Z24</f>
        <v>8.9499999999999993</v>
      </c>
      <c r="L26" s="184">
        <f>Plantilla!AA24</f>
        <v>7.95</v>
      </c>
      <c r="M26" s="184">
        <f>Plantilla!AB24</f>
        <v>8.9499999999999993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103</v>
      </c>
      <c r="R26" s="92">
        <f t="shared" si="5"/>
        <v>14.7</v>
      </c>
      <c r="S26" s="200">
        <f t="shared" si="38"/>
        <v>0</v>
      </c>
      <c r="T26" s="200">
        <f t="shared" si="39"/>
        <v>5.95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7.9999999999999982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33</v>
      </c>
      <c r="E27" s="138">
        <f ca="1">Plantilla!F25</f>
        <v>15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33</v>
      </c>
      <c r="Q27" s="147">
        <f t="shared" ca="1" si="22"/>
        <v>22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5" t="s">
        <v>648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6.3100000000000005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5" t="s">
        <v>648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</v>
      </c>
      <c r="AN28" s="164" t="e">
        <f t="shared" ref="AN28:AP28" si="53">AN14</f>
        <v>#REF!</v>
      </c>
      <c r="AO28" s="164" t="e">
        <f t="shared" si="53"/>
        <v>#REF!</v>
      </c>
      <c r="AP28" s="164" t="e">
        <f t="shared" si="53"/>
        <v>#REF!</v>
      </c>
      <c r="AQ28" s="165" t="e">
        <f>AQ14</f>
        <v>#REF!</v>
      </c>
      <c r="AR28" s="165" t="e">
        <f t="shared" ref="AR28:AT28" si="54">AR14</f>
        <v>#REF!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1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1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1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1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1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1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1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1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1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1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1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1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1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1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1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1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1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1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1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1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1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1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1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1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1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1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1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1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1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1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1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1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1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1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1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1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1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1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1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1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1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1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1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1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1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1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1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1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15.95</v>
      </c>
      <c r="F3" s="83">
        <f>Evaluacion!L3</f>
        <v>11.95</v>
      </c>
      <c r="G3" s="83">
        <f>Evaluacion!M3</f>
        <v>2.0699999999999985</v>
      </c>
      <c r="H3" s="83">
        <f>Evaluacion!N3</f>
        <v>0.95</v>
      </c>
      <c r="I3" s="83">
        <f>Evaluacion!O3</f>
        <v>0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15.312398464668332</v>
      </c>
      <c r="P3" s="244">
        <f ca="1">Evaluacion!Y3</f>
        <v>22.576712964360617</v>
      </c>
      <c r="Q3" s="244">
        <f ca="1">Evaluacion!Z3</f>
        <v>15.312398464668332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11.214285714285714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1.9474758289993086</v>
      </c>
      <c r="P5" s="244">
        <f ca="1">Evaluacion!AB14</f>
        <v>5.03223728423594</v>
      </c>
      <c r="Q5" s="244">
        <f ca="1">O5</f>
        <v>1.9474758289993086</v>
      </c>
      <c r="R5" s="244">
        <f ca="1">Evaluacion!AD14</f>
        <v>2.9146724736481535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13.95</v>
      </c>
      <c r="H6" s="83">
        <f>Evaluacion!N9</f>
        <v>11.95</v>
      </c>
      <c r="I6" s="83">
        <f>Evaluacion!O9</f>
        <v>9.9499999999999993</v>
      </c>
      <c r="J6" s="83">
        <f>Evaluacion!P9</f>
        <v>2.95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5.1266676698113134</v>
      </c>
      <c r="Q6" s="244">
        <f>Evaluacion!AI9</f>
        <v>11.39259482180292</v>
      </c>
      <c r="R6" s="244">
        <f>Evaluacion!AK9</f>
        <v>2.8439412919287186</v>
      </c>
      <c r="S6" s="244">
        <v>0</v>
      </c>
      <c r="T6" s="244">
        <f>0</f>
        <v>0</v>
      </c>
      <c r="U6" s="244">
        <f>Evaluacion!AL9</f>
        <v>8.8373980817609965</v>
      </c>
      <c r="V6" s="244">
        <f>Evaluacion!R9</f>
        <v>4.0254583333333329</v>
      </c>
      <c r="W6" s="244">
        <f>Evaluacion!T9</f>
        <v>0.62750000000000006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10.666666666666666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1.0638511031165765</v>
      </c>
      <c r="P7" s="244">
        <f ca="1">Evaluacion!BF12*N7</f>
        <v>1.2722343088816792</v>
      </c>
      <c r="Q7" s="244">
        <v>0</v>
      </c>
      <c r="R7" s="244">
        <f ca="1">Evaluacion!BG12*N7</f>
        <v>8.0663000750711475</v>
      </c>
      <c r="S7" s="244">
        <f ca="1">Evaluacion!BH12*N7</f>
        <v>2.7764968407925656</v>
      </c>
      <c r="T7" s="244">
        <f ca="1">Evaluacion!BI12*N7</f>
        <v>0.88105881735771463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11.25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0.355532847916255</v>
      </c>
      <c r="P8" s="244">
        <f ca="1">Evaluacion!AY15*N8</f>
        <v>1.0032672957072453</v>
      </c>
      <c r="Q8" s="244">
        <f ca="1">O8</f>
        <v>0.355532847916255</v>
      </c>
      <c r="R8" s="244">
        <f ca="1">Evaluacion!BA15*N8</f>
        <v>10.139418239268114</v>
      </c>
      <c r="S8" s="244">
        <f ca="1">((Evaluacion!BB15+Evaluacion!BD15)/2)*N8</f>
        <v>0.78901242340112432</v>
      </c>
      <c r="T8" s="244">
        <f ca="1">Evaluacion!BC15*N8</f>
        <v>2.98415069983673</v>
      </c>
      <c r="U8" s="244">
        <f ca="1">S8</f>
        <v>0.78901242340112432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9.5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1.1321141757310995</v>
      </c>
      <c r="Q9" s="244">
        <f ca="1">Evaluacion!BE13*N9</f>
        <v>0.94668168143031606</v>
      </c>
      <c r="R9" s="244">
        <f ca="1">Evaluacion!BG13*N9</f>
        <v>7.5904331575261459</v>
      </c>
      <c r="S9" s="244">
        <v>0</v>
      </c>
      <c r="T9" s="244">
        <f ca="1">Evaluacion!BI13*N9</f>
        <v>1.3804965987103306</v>
      </c>
      <c r="U9" s="244">
        <f ca="1">Evaluacion!BH13*N9</f>
        <v>3.1981712707613434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10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2.5873169113149679</v>
      </c>
      <c r="S12" s="244">
        <f ca="1">N12*Evaluacion!CH18</f>
        <v>4.1061568254666883</v>
      </c>
      <c r="T12" s="244">
        <f ca="1">N12*Evaluacion!CI18</f>
        <v>6.1583274063607645</v>
      </c>
      <c r="U12" s="244">
        <f ca="1">S12</f>
        <v>4.1061568254666883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A. Grimaud</v>
      </c>
      <c r="D13" s="274" t="str">
        <f>Evaluacion!D19</f>
        <v>RAP</v>
      </c>
      <c r="E13" s="83">
        <f>Evaluacion!K19</f>
        <v>0</v>
      </c>
      <c r="F13" s="83">
        <f>Evaluacion!L19</f>
        <v>12</v>
      </c>
      <c r="G13" s="83">
        <f>Evaluacion!M19</f>
        <v>4.166666666666667</v>
      </c>
      <c r="H13" s="83">
        <f>Evaluacion!N19</f>
        <v>3</v>
      </c>
      <c r="I13" s="83">
        <f>Evaluacion!O19</f>
        <v>3</v>
      </c>
      <c r="J13" s="83">
        <f>Evaluacion!P19</f>
        <v>5</v>
      </c>
      <c r="K13" s="83">
        <f>Evaluacion!Q19</f>
        <v>0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1.8963346339683727</v>
      </c>
      <c r="S13" s="244">
        <f ca="1">N13*Evaluacion!CE19</f>
        <v>2.0991012544273939</v>
      </c>
      <c r="T13" s="244">
        <f ca="1">N13*Evaluacion!CF19</f>
        <v>5.1197476055379001</v>
      </c>
      <c r="U13" s="244">
        <f ca="1">S13</f>
        <v>2.0991012544273939</v>
      </c>
      <c r="V13" s="244">
        <v>0</v>
      </c>
      <c r="W13" s="244">
        <f>Evaluacion!T19*N13</f>
        <v>0.23624999999999999</v>
      </c>
      <c r="X13" s="244">
        <f>Evaluacion!U19*N13</f>
        <v>0.45360000000000006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15.95</v>
      </c>
      <c r="E2" s="83">
        <f>Evaluacion!L3</f>
        <v>11.95</v>
      </c>
      <c r="F2" s="83">
        <f>Evaluacion!M3</f>
        <v>2.0699999999999985</v>
      </c>
      <c r="G2" s="83">
        <f>Evaluacion!N3</f>
        <v>0.95</v>
      </c>
      <c r="H2" s="83">
        <f>Evaluacion!O3</f>
        <v>0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15.312398464668332</v>
      </c>
      <c r="O2" s="244">
        <f ca="1">Evaluacion!Y3</f>
        <v>22.576712964360617</v>
      </c>
      <c r="P2" s="244">
        <f ca="1">Evaluacion!Z3</f>
        <v>15.312398464668332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13.95</v>
      </c>
      <c r="G3" s="83">
        <f>Evaluacion!N9</f>
        <v>11.95</v>
      </c>
      <c r="H3" s="83">
        <f>Evaluacion!O9</f>
        <v>9.9499999999999993</v>
      </c>
      <c r="I3" s="83">
        <f>Evaluacion!P9</f>
        <v>2.95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11.39259482180292</v>
      </c>
      <c r="O3" s="244">
        <f>Evaluacion!AJ9</f>
        <v>5.1266676698113134</v>
      </c>
      <c r="P3" s="244">
        <v>0</v>
      </c>
      <c r="Q3" s="244">
        <f>Evaluacion!AK9</f>
        <v>2.8439412919287186</v>
      </c>
      <c r="R3" s="244">
        <f>Evaluacion!AL9</f>
        <v>8.8373980817609965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0.62750000000000006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5.95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8.288880864216603</v>
      </c>
      <c r="O4" s="244">
        <f>M4*Evaluacion!AN7</f>
        <v>7.7831931722352188</v>
      </c>
      <c r="P4" s="244">
        <v>0</v>
      </c>
      <c r="Q4" s="244">
        <f>M4*Evaluacion!AO7</f>
        <v>2.3967022861063296</v>
      </c>
      <c r="R4" s="244">
        <f>M4*Evaluacion!AP7</f>
        <v>1.6592502802312752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10.95</v>
      </c>
      <c r="F6" s="83">
        <f>Evaluacion!M5</f>
        <v>11.75</v>
      </c>
      <c r="G6" s="83">
        <f>Evaluacion!N5</f>
        <v>7.95</v>
      </c>
      <c r="H6" s="83">
        <f>Evaluacion!O5</f>
        <v>7.95</v>
      </c>
      <c r="I6" s="83">
        <f>Evaluacion!P5</f>
        <v>0.95</v>
      </c>
      <c r="J6" s="83">
        <f>Evaluacion!Q5</f>
        <v>16.95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9.0136966289134079</v>
      </c>
      <c r="P6" s="244">
        <f>M6*Evaluacion!AM5</f>
        <v>9.5993322855942242</v>
      </c>
      <c r="Q6" s="244">
        <f>M6*Evaluacion!AO5</f>
        <v>3.0279120579499144</v>
      </c>
      <c r="R6" s="244">
        <v>0</v>
      </c>
      <c r="S6" s="244">
        <v>0</v>
      </c>
      <c r="T6" s="244">
        <f>M6*Evaluacion!AP5</f>
        <v>1.7954884592190139</v>
      </c>
      <c r="U6" s="244">
        <f>Evaluacion!R5</f>
        <v>3.7312499999999997</v>
      </c>
      <c r="V6" s="244">
        <f>Evaluacion!T5*M6</f>
        <v>0.50039999999999996</v>
      </c>
      <c r="W6" s="244">
        <f>Evaluacion!U5*M6</f>
        <v>0.85185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9.5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1.0729059056210251</v>
      </c>
      <c r="O8" s="244">
        <f ca="1">M8*Evaluacion!BF13</f>
        <v>1.2830627324952464</v>
      </c>
      <c r="P8" s="244">
        <v>0</v>
      </c>
      <c r="Q8" s="244">
        <f ca="1">Evaluacion!BG13*M8</f>
        <v>8.6024909118629651</v>
      </c>
      <c r="R8" s="244">
        <f ca="1">Evaluacion!BH13*M8</f>
        <v>3.6245941068628564</v>
      </c>
      <c r="S8" s="244">
        <f ca="1">Evaluacion!BI13*M8</f>
        <v>1.5645628118717081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10.666666666666666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1.4418655500659032</v>
      </c>
      <c r="P9" s="244">
        <f ca="1">M9*Evaluacion!BE12</f>
        <v>1.2056979168654536</v>
      </c>
      <c r="Q9" s="244">
        <f ca="1">Evaluacion!BG12*M9</f>
        <v>9.1418067517473016</v>
      </c>
      <c r="R9" s="244">
        <v>0</v>
      </c>
      <c r="S9" s="244">
        <f ca="1">Evaluacion!BI12*M9</f>
        <v>0.99853332633874337</v>
      </c>
      <c r="T9" s="244">
        <f ca="1">Evaluacion!BH12*M9</f>
        <v>3.1466964195649081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e">
        <f>Evaluacion!A11</f>
        <v>#REF!</v>
      </c>
      <c r="C11" t="e">
        <f>Evaluacion!D11</f>
        <v>#REF!</v>
      </c>
      <c r="D11" s="83" t="e">
        <f>Evaluacion!K11</f>
        <v>#REF!</v>
      </c>
      <c r="E11" s="83" t="e">
        <f>Evaluacion!L11</f>
        <v>#REF!</v>
      </c>
      <c r="F11" s="83" t="e">
        <f>Evaluacion!M11</f>
        <v>#REF!</v>
      </c>
      <c r="G11" s="83" t="e">
        <f>Evaluacion!N11</f>
        <v>#REF!</v>
      </c>
      <c r="H11" s="83" t="e">
        <f>Evaluacion!O11</f>
        <v>#REF!</v>
      </c>
      <c r="I11" s="83" t="e">
        <f>Evaluacion!P11</f>
        <v>#REF!</v>
      </c>
      <c r="J11" s="83" t="e">
        <f>Evaluacion!Q11</f>
        <v>#REF!</v>
      </c>
      <c r="L11" t="str">
        <f t="shared" si="0"/>
        <v>EXTN</v>
      </c>
      <c r="M11" s="243">
        <v>1</v>
      </c>
      <c r="N11" s="244">
        <v>0</v>
      </c>
      <c r="O11" s="244" t="e">
        <f>Evaluacion!BU11</f>
        <v>#REF!</v>
      </c>
      <c r="P11" s="244" t="e">
        <f>Evaluacion!BT11</f>
        <v>#REF!</v>
      </c>
      <c r="Q11" s="244" t="e">
        <f>Evaluacion!BV11</f>
        <v>#REF!</v>
      </c>
      <c r="R11" s="244">
        <v>0</v>
      </c>
      <c r="S11" s="244" t="e">
        <f>Evaluacion!BX11</f>
        <v>#REF!</v>
      </c>
      <c r="T11" s="244" t="e">
        <f>Evaluacion!BW11</f>
        <v>#REF!</v>
      </c>
      <c r="U11" s="244">
        <v>0</v>
      </c>
      <c r="V11" s="244" t="e">
        <f>Evaluacion!T11</f>
        <v>#REF!</v>
      </c>
      <c r="W11" s="244" t="e">
        <f>Evaluacion!U11</f>
        <v>#REF!</v>
      </c>
      <c r="AA11" s="250"/>
    </row>
    <row r="12" spans="1:27" x14ac:dyDescent="0.25">
      <c r="A12" t="s">
        <v>277</v>
      </c>
      <c r="B12" t="str">
        <f>Evaluacion!A19</f>
        <v>A. Grimaud</v>
      </c>
      <c r="C12" t="str">
        <f>Evaluacion!D19</f>
        <v>RAP</v>
      </c>
      <c r="D12" s="83">
        <f>Evaluacion!K19</f>
        <v>0</v>
      </c>
      <c r="E12" s="83">
        <f>Evaluacion!L19</f>
        <v>12</v>
      </c>
      <c r="F12" s="83">
        <f>Evaluacion!M19</f>
        <v>4.166666666666667</v>
      </c>
      <c r="G12" s="83">
        <f>Evaluacion!N19</f>
        <v>3</v>
      </c>
      <c r="H12" s="83">
        <f>Evaluacion!O19</f>
        <v>3</v>
      </c>
      <c r="I12" s="83">
        <f>Evaluacion!P19</f>
        <v>5</v>
      </c>
      <c r="J12" s="83">
        <f>Evaluacion!Q19</f>
        <v>0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2.0067033163686485</v>
      </c>
      <c r="R12" s="244">
        <f ca="1">M12*Evaluacion!CE19</f>
        <v>2.2212711687062372</v>
      </c>
      <c r="S12" s="244">
        <f ca="1">M12*Evaluacion!CF19</f>
        <v>5.4177223339025398</v>
      </c>
      <c r="T12" s="244">
        <f ca="1">R12</f>
        <v>2.2212711687062372</v>
      </c>
      <c r="U12" s="244">
        <v>0</v>
      </c>
      <c r="V12" s="244">
        <f>Evaluacion!T19*M12</f>
        <v>0.25</v>
      </c>
      <c r="W12" s="244">
        <f>Evaluacion!U19*M12</f>
        <v>0.48000000000000009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37</v>
      </c>
      <c r="D7" s="3">
        <f ca="1">Plantilla!F6</f>
        <v>23</v>
      </c>
      <c r="E7" s="49">
        <f>Plantilla!X6</f>
        <v>0</v>
      </c>
      <c r="F7" s="49">
        <f>Plantilla!Y6</f>
        <v>10.95</v>
      </c>
      <c r="G7" s="49">
        <f>Plantilla!Z6</f>
        <v>11.75</v>
      </c>
      <c r="H7" s="49">
        <f>Plantilla!AA6</f>
        <v>7.95</v>
      </c>
      <c r="I7" s="49">
        <f>Plantilla!AB6</f>
        <v>7.95</v>
      </c>
      <c r="J7" s="49">
        <f>Plantilla!AC6</f>
        <v>0.95</v>
      </c>
      <c r="K7" s="49">
        <f>Plantilla!AD6</f>
        <v>16.95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97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36</v>
      </c>
      <c r="D11" s="3">
        <f ca="1">Plantilla!F4</f>
        <v>12</v>
      </c>
      <c r="E11" s="49">
        <f>Plantilla!X4</f>
        <v>15.95</v>
      </c>
      <c r="F11" s="49">
        <f>Plantilla!Y4</f>
        <v>11.95</v>
      </c>
      <c r="G11" s="49">
        <f>Plantilla!Z4</f>
        <v>2.0699999999999985</v>
      </c>
      <c r="H11" s="49">
        <f>Plantilla!AA4</f>
        <v>0.95</v>
      </c>
      <c r="I11" s="49">
        <f>Plantilla!AB4</f>
        <v>0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59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1.95</v>
      </c>
      <c r="I12" s="49">
        <f>Plantilla!AB23</f>
        <v>7.95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36</v>
      </c>
      <c r="D13" s="3">
        <f ca="1">Plantilla!F21</f>
        <v>44</v>
      </c>
      <c r="E13" s="49">
        <f>Plantilla!X21</f>
        <v>0</v>
      </c>
      <c r="F13" s="49">
        <f>Plantilla!Y21</f>
        <v>6.95</v>
      </c>
      <c r="G13" s="49">
        <f>Plantilla!Z21</f>
        <v>9.9499999999999993</v>
      </c>
      <c r="H13" s="49">
        <f>Plantilla!AA21</f>
        <v>12.95</v>
      </c>
      <c r="I13" s="49">
        <f>Plantilla!AB21</f>
        <v>9.9499999999999993</v>
      </c>
      <c r="J13" s="49">
        <f>Plantilla!AC21</f>
        <v>2.95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59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56</v>
      </c>
      <c r="E15" s="49">
        <f>Plantilla!X9</f>
        <v>0</v>
      </c>
      <c r="F15" s="49">
        <f>Plantilla!Y9</f>
        <v>9.3036666666666648</v>
      </c>
      <c r="G15" s="49">
        <f>Plantilla!Z9</f>
        <v>13.95</v>
      </c>
      <c r="H15" s="49">
        <f>Plantilla!AA9</f>
        <v>11.95</v>
      </c>
      <c r="I15" s="49">
        <f>Plantilla!AB9</f>
        <v>9.9499999999999993</v>
      </c>
      <c r="J15" s="49">
        <f>Plantilla!AC9</f>
        <v>2.95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96</v>
      </c>
      <c r="E17" s="49">
        <f>Plantilla!X24</f>
        <v>0</v>
      </c>
      <c r="F17" s="49">
        <f>Plantilla!Y24</f>
        <v>5.95</v>
      </c>
      <c r="G17" s="49">
        <f>Plantilla!Z24</f>
        <v>8.9499999999999993</v>
      </c>
      <c r="H17" s="49">
        <f>Plantilla!AA24</f>
        <v>7.95</v>
      </c>
      <c r="I17" s="49">
        <f>Plantilla!AB24</f>
        <v>8.9499999999999993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33</v>
      </c>
      <c r="D18" s="3">
        <f ca="1">Plantilla!F25</f>
        <v>15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33</v>
      </c>
      <c r="D20" s="3">
        <f ca="1">Plantilla!F7</f>
        <v>31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5.95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e">
        <f>Plantilla!#REF!</f>
        <v>#REF!</v>
      </c>
      <c r="B21" s="86" t="e">
        <f>Plantilla!#REF!</f>
        <v>#REF!</v>
      </c>
      <c r="C21" s="3" t="e">
        <f>Plantilla!#REF!</f>
        <v>#REF!</v>
      </c>
      <c r="D21" s="3" t="e">
        <f>Plantilla!#REF!</f>
        <v>#REF!</v>
      </c>
      <c r="E21" s="49" t="e">
        <f>Plantilla!#REF!</f>
        <v>#REF!</v>
      </c>
      <c r="F21" s="49" t="e">
        <f>Plantilla!#REF!</f>
        <v>#REF!</v>
      </c>
      <c r="G21" s="49" t="e">
        <f>Plantilla!#REF!</f>
        <v>#REF!</v>
      </c>
      <c r="H21" s="49" t="e">
        <f>Plantilla!#REF!</f>
        <v>#REF!</v>
      </c>
      <c r="I21" s="49" t="e">
        <f>Plantilla!#REF!</f>
        <v>#REF!</v>
      </c>
      <c r="J21" s="49" t="e">
        <f>Plantilla!#REF!</f>
        <v>#REF!</v>
      </c>
      <c r="K21" s="49" t="e">
        <f>Plantilla!#REF!</f>
        <v>#REF!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40</v>
      </c>
      <c r="D22" s="3">
        <f ca="1">Plantilla!F5</f>
        <v>21</v>
      </c>
      <c r="E22" s="49">
        <f>Plantilla!X5</f>
        <v>6.95</v>
      </c>
      <c r="F22" s="49">
        <f>Plantilla!Y5</f>
        <v>5.95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56</v>
      </c>
      <c r="E4" s="49">
        <f>Plantilla!X9</f>
        <v>0</v>
      </c>
      <c r="F4" s="49">
        <f>Plantilla!Y9</f>
        <v>9.3036666666666648</v>
      </c>
      <c r="G4" s="49">
        <f>Plantilla!Z9</f>
        <v>13.95</v>
      </c>
      <c r="H4" s="49">
        <f>Plantilla!AA9</f>
        <v>11.95</v>
      </c>
      <c r="I4" s="49">
        <f>Plantilla!AB9</f>
        <v>9.9499999999999993</v>
      </c>
      <c r="J4" s="49">
        <f>Plantilla!AC9</f>
        <v>2.95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59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1.95</v>
      </c>
      <c r="I5" s="49">
        <f>Plantilla!AB23</f>
        <v>7.95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96</v>
      </c>
      <c r="E6" s="49">
        <f>Plantilla!X24</f>
        <v>0</v>
      </c>
      <c r="F6" s="49">
        <f>Plantilla!Y24</f>
        <v>5.95</v>
      </c>
      <c r="G6" s="49">
        <f>Plantilla!Z24</f>
        <v>8.9499999999999993</v>
      </c>
      <c r="H6" s="49">
        <f>Plantilla!AA24</f>
        <v>7.95</v>
      </c>
      <c r="I6" s="49">
        <f>Plantilla!AB24</f>
        <v>8.9499999999999993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36</v>
      </c>
      <c r="D8" s="86">
        <f ca="1">Plantilla!F21</f>
        <v>44</v>
      </c>
      <c r="E8" s="49">
        <f>Plantilla!X21</f>
        <v>0</v>
      </c>
      <c r="F8" s="49">
        <f>Plantilla!Y21</f>
        <v>6.95</v>
      </c>
      <c r="G8" s="49">
        <f>Plantilla!Z21</f>
        <v>9.9499999999999993</v>
      </c>
      <c r="H8" s="49">
        <f>Plantilla!AA21</f>
        <v>12.95</v>
      </c>
      <c r="I8" s="49">
        <f>Plantilla!AB21</f>
        <v>9.9499999999999993</v>
      </c>
      <c r="J8" s="49">
        <f>Plantilla!AC21</f>
        <v>2.95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59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97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37</v>
      </c>
      <c r="D14" s="86">
        <f ca="1">Plantilla!F6</f>
        <v>23</v>
      </c>
      <c r="E14" s="49">
        <f>Plantilla!X6</f>
        <v>0</v>
      </c>
      <c r="F14" s="49">
        <f>Plantilla!Y6</f>
        <v>10.95</v>
      </c>
      <c r="G14" s="49">
        <f>Plantilla!Z6</f>
        <v>11.75</v>
      </c>
      <c r="H14" s="49">
        <f>Plantilla!AA6</f>
        <v>7.95</v>
      </c>
      <c r="I14" s="49">
        <f>Plantilla!AB6</f>
        <v>7.95</v>
      </c>
      <c r="J14" s="49">
        <f>Plantilla!AC6</f>
        <v>0.95</v>
      </c>
      <c r="K14" s="49">
        <f>Plantilla!AD6</f>
        <v>16.95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33</v>
      </c>
      <c r="D18" s="86">
        <f ca="1">Plantilla!F25</f>
        <v>15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36</v>
      </c>
      <c r="D19" s="86">
        <f ca="1">Plantilla!F4</f>
        <v>12</v>
      </c>
      <c r="E19" s="49">
        <f>Plantilla!X4</f>
        <v>15.95</v>
      </c>
      <c r="F19" s="49">
        <f>Plantilla!Y4</f>
        <v>11.95</v>
      </c>
      <c r="G19" s="49">
        <f>Plantilla!Z4</f>
        <v>2.0699999999999985</v>
      </c>
      <c r="H19" s="49">
        <f>Plantilla!AA4</f>
        <v>0.95</v>
      </c>
      <c r="I19" s="49">
        <f>Plantilla!AB4</f>
        <v>0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21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31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96</v>
      </c>
      <c r="E4" s="49">
        <f>Plantilla!X24</f>
        <v>0</v>
      </c>
      <c r="F4" s="49">
        <f>Plantilla!Y24</f>
        <v>5.95</v>
      </c>
      <c r="G4" s="49">
        <f>Plantilla!Z24</f>
        <v>8.9499999999999993</v>
      </c>
      <c r="H4" s="49">
        <f>Plantilla!AA24</f>
        <v>7.95</v>
      </c>
      <c r="I4" s="49">
        <f>Plantilla!AB24</f>
        <v>8.9499999999999993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59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1.95</v>
      </c>
      <c r="I5" s="49">
        <f>Plantilla!AB23</f>
        <v>7.95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56</v>
      </c>
      <c r="E6" s="49">
        <f>Plantilla!X9</f>
        <v>0</v>
      </c>
      <c r="F6" s="49">
        <f>Plantilla!Y9</f>
        <v>9.3036666666666648</v>
      </c>
      <c r="G6" s="49">
        <f>Plantilla!Z9</f>
        <v>13.95</v>
      </c>
      <c r="H6" s="49">
        <f>Plantilla!AA9</f>
        <v>11.95</v>
      </c>
      <c r="I6" s="49">
        <f>Plantilla!AB9</f>
        <v>9.9499999999999993</v>
      </c>
      <c r="J6" s="49">
        <f>Plantilla!AC9</f>
        <v>2.95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36</v>
      </c>
      <c r="D9" s="86">
        <f ca="1">Plantilla!F21</f>
        <v>44</v>
      </c>
      <c r="E9" s="49">
        <f>Plantilla!X21</f>
        <v>0</v>
      </c>
      <c r="F9" s="49">
        <f>Plantilla!Y21</f>
        <v>6.95</v>
      </c>
      <c r="G9" s="49">
        <f>Plantilla!Z21</f>
        <v>9.9499999999999993</v>
      </c>
      <c r="H9" s="49">
        <f>Plantilla!AA21</f>
        <v>12.95</v>
      </c>
      <c r="I9" s="49">
        <f>Plantilla!AB21</f>
        <v>9.9499999999999993</v>
      </c>
      <c r="J9" s="49">
        <f>Plantilla!AC21</f>
        <v>2.95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59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97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33</v>
      </c>
      <c r="D13" s="86">
        <f ca="1">Plantilla!F25</f>
        <v>15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36</v>
      </c>
      <c r="D14" s="86">
        <f ca="1">Plantilla!F4</f>
        <v>12</v>
      </c>
      <c r="E14" s="49">
        <f>Plantilla!X4</f>
        <v>15.95</v>
      </c>
      <c r="F14" s="49">
        <f>Plantilla!Y4</f>
        <v>11.95</v>
      </c>
      <c r="G14" s="49">
        <f>Plantilla!Z4</f>
        <v>2.0699999999999985</v>
      </c>
      <c r="H14" s="49">
        <f>Plantilla!AA4</f>
        <v>0.95</v>
      </c>
      <c r="I14" s="49">
        <f>Plantilla!AB4</f>
        <v>0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37</v>
      </c>
      <c r="D17" s="86">
        <f ca="1">Plantilla!F6</f>
        <v>23</v>
      </c>
      <c r="E17" s="49">
        <f>Plantilla!X6</f>
        <v>0</v>
      </c>
      <c r="F17" s="49">
        <f>Plantilla!Y6</f>
        <v>10.95</v>
      </c>
      <c r="G17" s="49">
        <f>Plantilla!Z6</f>
        <v>11.75</v>
      </c>
      <c r="H17" s="49">
        <f>Plantilla!AA6</f>
        <v>7.95</v>
      </c>
      <c r="I17" s="49">
        <f>Plantilla!AB6</f>
        <v>7.95</v>
      </c>
      <c r="J17" s="49">
        <f>Plantilla!AC6</f>
        <v>0.95</v>
      </c>
      <c r="K17" s="49">
        <f>Plantilla!AD6</f>
        <v>16.95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21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31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59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37</v>
      </c>
      <c r="D7" s="86">
        <f ca="1">Plantilla!F6</f>
        <v>23</v>
      </c>
      <c r="E7" s="49">
        <f>Plantilla!X6</f>
        <v>0</v>
      </c>
      <c r="F7" s="49">
        <f>Plantilla!Y6</f>
        <v>10.95</v>
      </c>
      <c r="G7" s="49">
        <f>Plantilla!Z6</f>
        <v>11.75</v>
      </c>
      <c r="H7" s="49">
        <f>Plantilla!AA6</f>
        <v>7.95</v>
      </c>
      <c r="I7" s="49">
        <f>Plantilla!AB6</f>
        <v>7.95</v>
      </c>
      <c r="J7" s="49">
        <f>Plantilla!AC6</f>
        <v>0.95</v>
      </c>
      <c r="K7" s="49">
        <f>Plantilla!AD6</f>
        <v>16.95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97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36</v>
      </c>
      <c r="D9" s="86">
        <f ca="1">Plantilla!F21</f>
        <v>44</v>
      </c>
      <c r="E9" s="49">
        <f>Plantilla!X21</f>
        <v>0</v>
      </c>
      <c r="F9" s="49">
        <f>Plantilla!Y21</f>
        <v>6.95</v>
      </c>
      <c r="G9" s="49">
        <f>Plantilla!Z21</f>
        <v>9.9499999999999993</v>
      </c>
      <c r="H9" s="49">
        <f>Plantilla!AA21</f>
        <v>12.95</v>
      </c>
      <c r="I9" s="49">
        <f>Plantilla!AB21</f>
        <v>9.9499999999999993</v>
      </c>
      <c r="J9" s="49">
        <f>Plantilla!AC21</f>
        <v>2.95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56</v>
      </c>
      <c r="E11" s="49">
        <f>Plantilla!X9</f>
        <v>0</v>
      </c>
      <c r="F11" s="49">
        <f>Plantilla!Y9</f>
        <v>9.3036666666666648</v>
      </c>
      <c r="G11" s="49">
        <f>Plantilla!Z9</f>
        <v>13.95</v>
      </c>
      <c r="H11" s="49">
        <f>Plantilla!AA9</f>
        <v>11.95</v>
      </c>
      <c r="I11" s="49">
        <f>Plantilla!AB9</f>
        <v>9.9499999999999993</v>
      </c>
      <c r="J11" s="49">
        <f>Plantilla!AC9</f>
        <v>2.95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59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1.95</v>
      </c>
      <c r="I14" s="49">
        <f>Plantilla!AB23</f>
        <v>7.95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96</v>
      </c>
      <c r="E16" s="49">
        <f>Plantilla!X24</f>
        <v>0</v>
      </c>
      <c r="F16" s="49">
        <f>Plantilla!Y24</f>
        <v>5.95</v>
      </c>
      <c r="G16" s="49">
        <f>Plantilla!Z24</f>
        <v>8.9499999999999993</v>
      </c>
      <c r="H16" s="49">
        <f>Plantilla!AA24</f>
        <v>7.95</v>
      </c>
      <c r="I16" s="49">
        <f>Plantilla!AB24</f>
        <v>8.9499999999999993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33</v>
      </c>
      <c r="D17" s="86">
        <f ca="1">Plantilla!F25</f>
        <v>15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36</v>
      </c>
      <c r="D18" s="86">
        <f ca="1">Plantilla!F4</f>
        <v>12</v>
      </c>
      <c r="E18" s="49">
        <f>Plantilla!X4</f>
        <v>15.95</v>
      </c>
      <c r="F18" s="49">
        <f>Plantilla!Y4</f>
        <v>11.95</v>
      </c>
      <c r="G18" s="49">
        <f>Plantilla!Z4</f>
        <v>2.0699999999999985</v>
      </c>
      <c r="H18" s="49">
        <f>Plantilla!AA4</f>
        <v>0.95</v>
      </c>
      <c r="I18" s="49">
        <f>Plantilla!AB4</f>
        <v>0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21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31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tabSelected="1"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O17" sqref="O17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4" bestFit="1" customWidth="1"/>
    <col min="34" max="34" width="6.5703125" style="634" bestFit="1" customWidth="1"/>
    <col min="35" max="36" width="7.5703125" style="634" bestFit="1" customWidth="1"/>
    <col min="37" max="39" width="6.5703125" style="634" bestFit="1" customWidth="1"/>
    <col min="40" max="40" width="7" style="634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  <col min="61" max="61" width="7.42578125" bestFit="1" customWidth="1"/>
  </cols>
  <sheetData>
    <row r="1" spans="1:63" s="72" customFormat="1" x14ac:dyDescent="0.25">
      <c r="C1" s="270"/>
      <c r="D1" s="117">
        <f ca="1">TODAY()</f>
        <v>43762</v>
      </c>
      <c r="E1" s="674">
        <v>41471</v>
      </c>
      <c r="F1" s="674"/>
      <c r="G1" s="67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27"/>
      <c r="AG1" s="627"/>
      <c r="AH1" s="628"/>
      <c r="AI1" s="628"/>
      <c r="AJ1" s="629"/>
      <c r="AK1" s="628"/>
      <c r="AL1" s="628"/>
      <c r="AM1" s="628"/>
      <c r="AN1" s="628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8.036363636363637</v>
      </c>
      <c r="J2" s="336"/>
      <c r="K2" s="336"/>
      <c r="M2" s="337">
        <f>AVERAGE(M4:M25)</f>
        <v>4.6909090909090914</v>
      </c>
      <c r="N2" s="336"/>
      <c r="O2" s="336"/>
      <c r="P2" s="336"/>
      <c r="Q2" s="337">
        <f t="shared" ref="Q2:V2" si="0">AVERAGE(Q4:Q25)</f>
        <v>5.4545454545454541</v>
      </c>
      <c r="R2" s="338">
        <f t="shared" si="0"/>
        <v>0.87967465046229232</v>
      </c>
      <c r="S2" s="338">
        <f t="shared" si="0"/>
        <v>0.95092631216557888</v>
      </c>
      <c r="T2" s="339">
        <f t="shared" si="0"/>
        <v>20965</v>
      </c>
      <c r="U2" s="339">
        <f t="shared" si="0"/>
        <v>225.45454545454547</v>
      </c>
      <c r="V2" s="339">
        <f t="shared" si="0"/>
        <v>3540.3636363636365</v>
      </c>
      <c r="W2" s="340"/>
      <c r="X2" s="341">
        <f>(X4+X5)/2</f>
        <v>11.45</v>
      </c>
      <c r="Y2" s="341">
        <f>AVERAGE(Y4:Y9)</f>
        <v>9.7847222222222232</v>
      </c>
      <c r="Z2" s="341">
        <f>AVERAGE(Z13:Z18)</f>
        <v>10.47420634920635</v>
      </c>
      <c r="AA2" s="341">
        <f>AVERAGE(AA19:AA20)</f>
        <v>10.5</v>
      </c>
      <c r="AB2" s="341">
        <f>AVERAGE(AB5:AB25)</f>
        <v>6.2715873015873012</v>
      </c>
      <c r="AC2" s="341">
        <f>AVERAGE(AC21:AC25)</f>
        <v>5.95</v>
      </c>
      <c r="AD2" s="341">
        <f>AVERAGE(AD4:AD25)</f>
        <v>9.9030050505050493</v>
      </c>
      <c r="AE2" s="340"/>
      <c r="AF2" s="630"/>
      <c r="AG2" s="630"/>
      <c r="AH2" s="631"/>
      <c r="AI2" s="631"/>
      <c r="AJ2" s="631"/>
      <c r="AK2" s="631"/>
      <c r="AL2" s="631"/>
      <c r="AM2" s="631"/>
      <c r="AN2" s="631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421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-2.1071428571428572</v>
      </c>
      <c r="D4" s="624" t="s">
        <v>344</v>
      </c>
      <c r="E4" s="133">
        <v>36</v>
      </c>
      <c r="F4" s="138">
        <f ca="1">-42406+$D$1-112-112-112-112-112-112-112-112-112-112-112-112</f>
        <v>12</v>
      </c>
      <c r="G4" s="134"/>
      <c r="H4" s="309">
        <v>6</v>
      </c>
      <c r="I4" s="102">
        <v>24.6</v>
      </c>
      <c r="J4" s="185">
        <f>LOG(I4+1)*4/3</f>
        <v>1.877653287082466</v>
      </c>
      <c r="K4" s="98">
        <f t="shared" ref="K4" si="1">(H4)*(H4)*(I4)</f>
        <v>885.6</v>
      </c>
      <c r="L4" s="98">
        <f t="shared" ref="L4" si="2">(H4+1)*(H4+1)*I4</f>
        <v>1205.4000000000001</v>
      </c>
      <c r="M4" s="135">
        <v>3.9</v>
      </c>
      <c r="N4" s="178">
        <f>M4*10+19</f>
        <v>58</v>
      </c>
      <c r="O4" s="303">
        <v>42468</v>
      </c>
      <c r="P4" s="304">
        <f ca="1">IF((TODAY()-O4)&gt;335,1,((TODAY()-O4)^0.64)/(336^0.64))</f>
        <v>1</v>
      </c>
      <c r="Q4" s="178">
        <v>6</v>
      </c>
      <c r="R4" s="199">
        <f>(Q4/7)^0.5</f>
        <v>0.92582009977255142</v>
      </c>
      <c r="S4" s="199">
        <f>IF(Q4=7,1,((Q4+0.99)/7)^0.5)</f>
        <v>0.99928545900129484</v>
      </c>
      <c r="T4" s="111">
        <v>32930</v>
      </c>
      <c r="U4" s="268">
        <f t="shared" ref="U4:U14" si="3">T4-BG4</f>
        <v>340</v>
      </c>
      <c r="V4" s="111">
        <v>8316</v>
      </c>
      <c r="W4" s="108">
        <f t="shared" ref="W4:W26" si="4">T4/V4</f>
        <v>3.9598364598364597</v>
      </c>
      <c r="X4" s="184">
        <v>15.95</v>
      </c>
      <c r="Y4" s="185">
        <v>11.95</v>
      </c>
      <c r="Z4" s="184">
        <f>2+0.01+0.01+0.01+0.01+0.01+0.01+0.01</f>
        <v>2.0699999999999985</v>
      </c>
      <c r="AA4" s="185">
        <v>0.95</v>
      </c>
      <c r="AB4" s="184">
        <v>0</v>
      </c>
      <c r="AC4" s="185">
        <v>0</v>
      </c>
      <c r="AD4" s="184">
        <f>18+0.2</f>
        <v>18.2</v>
      </c>
      <c r="AE4" s="312">
        <v>1285</v>
      </c>
      <c r="AF4" s="632">
        <f ca="1">(Z4+P4+J4)*(Q4/7)^0.5</f>
        <v>4.5806368598866793</v>
      </c>
      <c r="AG4" s="632">
        <f ca="1">(Z4+P4+J4)*(IF(Q4=7, (Q4/7)^0.5, ((Q4+1)/7)^0.5))</f>
        <v>4.9476532870824643</v>
      </c>
      <c r="AH4" s="108">
        <f ca="1">(((Y4+P4+J4)+(AB4+P4+J4)*2)/8)*(Q4/7)^0.5</f>
        <v>2.3820147440443105</v>
      </c>
      <c r="AI4" s="108">
        <f ca="1">(1.66*(AC4+J4+P4)+0.55*(AD4+J4+P4)-7.6)*(Q4/7)^0.5</f>
        <v>8.1190846903719223</v>
      </c>
      <c r="AJ4" s="108">
        <f ca="1">((AD4+J4+P4)*0.7+(AC4+J4+P4)*0.3)*(Q4/7)^0.5</f>
        <v>14.459137324459803</v>
      </c>
      <c r="AK4" s="108">
        <f ca="1">(0.5*(AC4+P4+J4)+ 0.3*(AD4+P4+J4))/10</f>
        <v>0.77621226296659729</v>
      </c>
      <c r="AL4" s="108">
        <f ca="1">(0.4*(Y4+P4+J4)+0.3*(AD4+P4+J4))/10</f>
        <v>1.2254357300957728</v>
      </c>
      <c r="AM4" s="633">
        <f ca="1">(AD4+P4+(LOG(I4)*4/3))*(Q4/7)^0.5</f>
        <v>19.492753488480446</v>
      </c>
      <c r="AN4" s="633">
        <f ca="1">(AD4+P4+(LOG(I4)*4/3))*(IF(Q4=7, (Q4/7)^0.5, ((Q4+1)/7)^0.5))</f>
        <v>21.054580142804504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32590</v>
      </c>
      <c r="BH4" s="316"/>
      <c r="BJ4" s="136"/>
      <c r="BK4" s="139"/>
    </row>
    <row r="5" spans="1:63" s="81" customFormat="1" x14ac:dyDescent="0.25">
      <c r="A5" s="131" t="s">
        <v>426</v>
      </c>
      <c r="B5" s="131" t="s">
        <v>1</v>
      </c>
      <c r="C5" s="132">
        <f ca="1">((34*112)-(E5*112)-(F5))/112</f>
        <v>-6.1875</v>
      </c>
      <c r="D5" s="624" t="s">
        <v>93</v>
      </c>
      <c r="E5" s="133">
        <v>40</v>
      </c>
      <c r="F5" s="138">
        <f ca="1">82-41471+$D$1-112-112-112-112-112-112-112-112-112-112-112-112-112-112-112-112-112-112-112-112-112</f>
        <v>21</v>
      </c>
      <c r="G5" s="134" t="s">
        <v>220</v>
      </c>
      <c r="H5" s="130">
        <v>3</v>
      </c>
      <c r="I5" s="102">
        <v>8.4</v>
      </c>
      <c r="J5" s="185">
        <f t="shared" ref="J5:J19" si="5">LOG(I5+1)*4/3</f>
        <v>1.2975038047995981</v>
      </c>
      <c r="K5" s="98">
        <f t="shared" ref="K5:K19" si="6">(H5)*(H5)*(I5)</f>
        <v>75.600000000000009</v>
      </c>
      <c r="L5" s="98">
        <f t="shared" ref="L5:L19" si="7">(H5+1)*(H5+1)*I5</f>
        <v>134.4</v>
      </c>
      <c r="M5" s="135">
        <v>1.8</v>
      </c>
      <c r="N5" s="178">
        <f t="shared" ref="N5:N19" si="8">M5*10+19</f>
        <v>37</v>
      </c>
      <c r="O5" s="178" t="s">
        <v>256</v>
      </c>
      <c r="P5" s="304">
        <v>1.5</v>
      </c>
      <c r="Q5" s="178">
        <v>5</v>
      </c>
      <c r="R5" s="199">
        <f t="shared" ref="R5:R19" si="9">(Q5/7)^0.5</f>
        <v>0.84515425472851657</v>
      </c>
      <c r="S5" s="199">
        <f t="shared" ref="S5:S19" si="10">IF(Q5=7,1,((Q5+0.99)/7)^0.5)</f>
        <v>0.92504826128926143</v>
      </c>
      <c r="T5" s="111">
        <v>380</v>
      </c>
      <c r="U5" s="268">
        <f t="shared" si="3"/>
        <v>-10</v>
      </c>
      <c r="V5" s="111">
        <v>380</v>
      </c>
      <c r="W5" s="108">
        <f t="shared" si="4"/>
        <v>1</v>
      </c>
      <c r="X5" s="184">
        <v>6.95</v>
      </c>
      <c r="Y5" s="185">
        <v>5.95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348</v>
      </c>
      <c r="AF5" s="632">
        <f t="shared" ref="AF5:AF19" si="11">(Z5+P5+J5)*(Q5/7)^0.5</f>
        <v>2.3643222432455939</v>
      </c>
      <c r="AG5" s="632">
        <f t="shared" ref="AG5:AG19" si="12">(Z5+P5+J5)*(IF(Q5=7, (Q5/7)^0.5, ((Q5+1)/7)^0.5))</f>
        <v>2.5899852516736566</v>
      </c>
      <c r="AH5" s="108">
        <f t="shared" ref="AH5:AH19" si="13">(((Y5+P5+J5)+(AB5+P5+J5)*2)/8)*(Q5/7)^0.5</f>
        <v>1.7159284536694546</v>
      </c>
      <c r="AI5" s="108">
        <f t="shared" ref="AI5:AI19" si="14">(1.66*(AC5+J5+P5)+0.55*(AD5+J5+P5)-7.6)*(Q5/7)^0.5</f>
        <v>5.2864258410405798</v>
      </c>
      <c r="AJ5" s="108">
        <f t="shared" ref="AJ5:AJ19" si="15">((AD5+J5+P5)*0.7+(AC5+J5+P5)*0.3)*(Q5/7)^0.5</f>
        <v>10.617253540669559</v>
      </c>
      <c r="AK5" s="108">
        <f t="shared" ref="AK5:AK19" si="16">(0.5*(AC5+P5+J5)+ 0.3*(AD5+P5+J5))/10</f>
        <v>0.64230030438396779</v>
      </c>
      <c r="AL5" s="108">
        <f t="shared" ref="AL5:AL19" si="17">(0.4*(Y5+P5+J5)+0.3*(AD5+P5+J5))/10</f>
        <v>0.85232526633597183</v>
      </c>
      <c r="AM5" s="633">
        <f t="shared" ref="AM5:AM19" si="18">(AD5+P5+(LOG(I5)*4/3))*(Q5/7)^0.5</f>
        <v>14.099177997119094</v>
      </c>
      <c r="AN5" s="633">
        <f t="shared" ref="AN5:AN19" si="19">(AD5+P5+(LOG(I5)*4/3))*(IF(Q5=7, (Q5/7)^0.5, ((Q5+1)/7)^0.5))</f>
        <v>15.444875662605272</v>
      </c>
      <c r="AO5" s="178">
        <v>4</v>
      </c>
      <c r="AP5" s="178">
        <v>3</v>
      </c>
      <c r="AQ5" s="241">
        <f t="shared" ref="AQ5:AQ19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390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19" ca="1" si="21">((34*112)-(E6*112)-(F6))/112</f>
        <v>-3.2053571428571428</v>
      </c>
      <c r="D6" s="624" t="s">
        <v>95</v>
      </c>
      <c r="E6" s="133">
        <v>37</v>
      </c>
      <c r="F6" s="138">
        <f ca="1">84-41471+$D$1-112-112-112-112-112-112-112-112-112-112-112-112-112-112-112-112-112-112-112-112-112</f>
        <v>23</v>
      </c>
      <c r="G6" s="134"/>
      <c r="H6" s="137">
        <v>4</v>
      </c>
      <c r="I6" s="102">
        <v>18.7</v>
      </c>
      <c r="J6" s="185">
        <f t="shared" si="5"/>
        <v>1.7259549682154571</v>
      </c>
      <c r="K6" s="98">
        <f t="shared" si="6"/>
        <v>299.2</v>
      </c>
      <c r="L6" s="98">
        <f t="shared" si="7"/>
        <v>467.5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4</v>
      </c>
      <c r="R6" s="199">
        <f t="shared" si="9"/>
        <v>0.7559289460184544</v>
      </c>
      <c r="S6" s="199">
        <f t="shared" si="10"/>
        <v>0.84430867747355465</v>
      </c>
      <c r="T6" s="111">
        <v>6420</v>
      </c>
      <c r="U6" s="268">
        <f t="shared" si="3"/>
        <v>-640</v>
      </c>
      <c r="V6" s="111">
        <v>1160</v>
      </c>
      <c r="W6" s="108">
        <f t="shared" si="4"/>
        <v>5.5344827586206895</v>
      </c>
      <c r="X6" s="184">
        <v>0</v>
      </c>
      <c r="Y6" s="185">
        <v>10.95</v>
      </c>
      <c r="Z6" s="184">
        <v>11.75</v>
      </c>
      <c r="AA6" s="185">
        <v>7.95</v>
      </c>
      <c r="AB6" s="184">
        <v>7.95</v>
      </c>
      <c r="AC6" s="185">
        <v>0.95</v>
      </c>
      <c r="AD6" s="184">
        <v>16.95</v>
      </c>
      <c r="AE6" s="312">
        <v>1297</v>
      </c>
      <c r="AF6" s="632">
        <f t="shared" si="11"/>
        <v>11.320757854742947</v>
      </c>
      <c r="AG6" s="632">
        <f t="shared" si="12"/>
        <v>12.65699206000996</v>
      </c>
      <c r="AH6" s="108">
        <f t="shared" si="13"/>
        <v>3.4515588022092278</v>
      </c>
      <c r="AI6" s="108">
        <f t="shared" si="14"/>
        <v>7.8834775106355881</v>
      </c>
      <c r="AJ6" s="108">
        <f t="shared" si="15"/>
        <v>11.623129433150327</v>
      </c>
      <c r="AK6" s="108">
        <f t="shared" si="16"/>
        <v>0.81407639745723659</v>
      </c>
      <c r="AL6" s="108">
        <f t="shared" si="17"/>
        <v>1.172316847775082</v>
      </c>
      <c r="AM6" s="633">
        <f t="shared" si="18"/>
        <v>15.228784900882554</v>
      </c>
      <c r="AN6" s="633">
        <f t="shared" si="19"/>
        <v>17.026299126547894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7060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0.7232142857142857</v>
      </c>
      <c r="D7" s="624" t="s">
        <v>258</v>
      </c>
      <c r="E7" s="57">
        <v>33</v>
      </c>
      <c r="F7" s="58">
        <f ca="1">75-41471+$D$1-24-112-10-112-112+6-112-112-112+45-112-112-112-112-112-112-112-112-112-112-112-112-112-112-112</f>
        <v>31</v>
      </c>
      <c r="G7" s="80"/>
      <c r="H7" s="137">
        <v>4</v>
      </c>
      <c r="I7" s="59">
        <v>6.8</v>
      </c>
      <c r="J7" s="185">
        <f t="shared" si="5"/>
        <v>1.1894594702539738</v>
      </c>
      <c r="K7" s="98">
        <f t="shared" si="6"/>
        <v>108.8</v>
      </c>
      <c r="L7" s="98">
        <f t="shared" si="7"/>
        <v>170</v>
      </c>
      <c r="M7" s="92">
        <v>4.9000000000000004</v>
      </c>
      <c r="N7" s="178">
        <f t="shared" si="8"/>
        <v>68</v>
      </c>
      <c r="O7" s="178" t="s">
        <v>256</v>
      </c>
      <c r="P7" s="304">
        <v>1.5</v>
      </c>
      <c r="Q7" s="179">
        <v>6</v>
      </c>
      <c r="R7" s="199">
        <f t="shared" si="9"/>
        <v>0.92582009977255142</v>
      </c>
      <c r="S7" s="199">
        <f t="shared" si="10"/>
        <v>0.99928545900129484</v>
      </c>
      <c r="T7" s="269">
        <v>7340</v>
      </c>
      <c r="U7" s="268">
        <f t="shared" si="3"/>
        <v>60</v>
      </c>
      <c r="V7" s="269">
        <v>1710</v>
      </c>
      <c r="W7" s="108">
        <f t="shared" si="4"/>
        <v>4.2923976608187138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v>5.95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1005</v>
      </c>
      <c r="AF7" s="632">
        <f t="shared" si="11"/>
        <v>9.8965164332651785</v>
      </c>
      <c r="AG7" s="632">
        <f t="shared" si="12"/>
        <v>10.689459470253974</v>
      </c>
      <c r="AH7" s="108">
        <f t="shared" si="13"/>
        <v>4.0967205823547284</v>
      </c>
      <c r="AI7" s="108">
        <f t="shared" si="14"/>
        <v>9.791072069558826</v>
      </c>
      <c r="AJ7" s="108">
        <f t="shared" si="15"/>
        <v>11.952094227010178</v>
      </c>
      <c r="AK7" s="108">
        <f t="shared" si="16"/>
        <v>0.76274009095365114</v>
      </c>
      <c r="AL7" s="108">
        <f t="shared" si="17"/>
        <v>0.97253216291777811</v>
      </c>
      <c r="AM7" s="633">
        <f t="shared" si="18"/>
        <v>14.763241181956515</v>
      </c>
      <c r="AN7" s="633">
        <f t="shared" si="19"/>
        <v>15.946122994719426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7280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-2.8660714285714284</v>
      </c>
      <c r="D8" s="624" t="s">
        <v>364</v>
      </c>
      <c r="E8" s="133">
        <v>36</v>
      </c>
      <c r="F8" s="58">
        <f ca="1">46-41471+$D$1-112-112-112-112-112-112-112-112-112-112-112-112-112-112-112-112-112-112-112-112</f>
        <v>97</v>
      </c>
      <c r="G8" s="134" t="s">
        <v>96</v>
      </c>
      <c r="H8" s="130">
        <v>0</v>
      </c>
      <c r="I8" s="102">
        <v>17.899999999999999</v>
      </c>
      <c r="J8" s="185">
        <f t="shared" si="5"/>
        <v>1.701949072230992</v>
      </c>
      <c r="K8" s="98">
        <f t="shared" si="6"/>
        <v>0</v>
      </c>
      <c r="L8" s="98">
        <f t="shared" si="7"/>
        <v>17.899999999999999</v>
      </c>
      <c r="M8" s="135">
        <v>3.4</v>
      </c>
      <c r="N8" s="178">
        <f t="shared" si="8"/>
        <v>53</v>
      </c>
      <c r="O8" s="178" t="s">
        <v>256</v>
      </c>
      <c r="P8" s="304">
        <v>1.5</v>
      </c>
      <c r="Q8" s="178">
        <v>7</v>
      </c>
      <c r="R8" s="199">
        <f t="shared" si="9"/>
        <v>1</v>
      </c>
      <c r="S8" s="199">
        <f t="shared" si="10"/>
        <v>1</v>
      </c>
      <c r="T8" s="111">
        <v>14850</v>
      </c>
      <c r="U8" s="268">
        <f t="shared" si="3"/>
        <v>-360</v>
      </c>
      <c r="V8" s="111">
        <v>3010</v>
      </c>
      <c r="W8" s="108">
        <f t="shared" si="4"/>
        <v>4.9335548172757475</v>
      </c>
      <c r="X8" s="184">
        <v>0</v>
      </c>
      <c r="Y8" s="185">
        <v>10.95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1657</v>
      </c>
      <c r="AF8" s="632">
        <f t="shared" si="11"/>
        <v>15.151949072230991</v>
      </c>
      <c r="AG8" s="632">
        <f t="shared" si="12"/>
        <v>15.151949072230991</v>
      </c>
      <c r="AH8" s="108">
        <f t="shared" si="13"/>
        <v>5.0569809020866217</v>
      </c>
      <c r="AI8" s="108">
        <f t="shared" si="14"/>
        <v>17.334807449630489</v>
      </c>
      <c r="AJ8" s="108">
        <f t="shared" si="15"/>
        <v>16.957949072230988</v>
      </c>
      <c r="AK8" s="108">
        <f t="shared" si="16"/>
        <v>1.0295559257784794</v>
      </c>
      <c r="AL8" s="108">
        <f t="shared" si="17"/>
        <v>1.1880364350561694</v>
      </c>
      <c r="AM8" s="633">
        <f t="shared" si="18"/>
        <v>20.700470707973189</v>
      </c>
      <c r="AN8" s="633">
        <f t="shared" si="19"/>
        <v>20.700470707973189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15210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-1.5</v>
      </c>
      <c r="D9" s="624" t="s">
        <v>291</v>
      </c>
      <c r="E9" s="57">
        <v>35</v>
      </c>
      <c r="F9" s="58">
        <f ca="1">7-41471+$D$1-112-111-3-112-112-112-112-112-112-112-112-112-112-112-112-112-112-112-112-112-112</f>
        <v>56</v>
      </c>
      <c r="G9" s="134" t="s">
        <v>94</v>
      </c>
      <c r="H9" s="130">
        <v>3</v>
      </c>
      <c r="I9" s="59">
        <v>15.3</v>
      </c>
      <c r="J9" s="185">
        <f t="shared" si="5"/>
        <v>1.6162501392052773</v>
      </c>
      <c r="K9" s="98">
        <f t="shared" si="6"/>
        <v>137.70000000000002</v>
      </c>
      <c r="L9" s="98">
        <f t="shared" si="7"/>
        <v>244.8</v>
      </c>
      <c r="M9" s="92">
        <v>3.8</v>
      </c>
      <c r="N9" s="178">
        <f t="shared" si="8"/>
        <v>57</v>
      </c>
      <c r="O9" s="178" t="s">
        <v>256</v>
      </c>
      <c r="P9" s="304">
        <v>1.5</v>
      </c>
      <c r="Q9" s="179">
        <v>4</v>
      </c>
      <c r="R9" s="199">
        <f t="shared" si="9"/>
        <v>0.7559289460184544</v>
      </c>
      <c r="S9" s="199">
        <f t="shared" si="10"/>
        <v>0.84430867747355465</v>
      </c>
      <c r="T9" s="111">
        <v>16310</v>
      </c>
      <c r="U9" s="268">
        <f t="shared" si="3"/>
        <v>-1430</v>
      </c>
      <c r="V9" s="269">
        <v>8170</v>
      </c>
      <c r="W9" s="108">
        <f t="shared" si="4"/>
        <v>1.996328029375765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13.95</v>
      </c>
      <c r="AA9" s="185">
        <v>11.95</v>
      </c>
      <c r="AB9" s="184">
        <v>9.9499999999999993</v>
      </c>
      <c r="AC9" s="185">
        <v>2.95</v>
      </c>
      <c r="AD9" s="184">
        <v>16</v>
      </c>
      <c r="AE9" s="312">
        <v>1675</v>
      </c>
      <c r="AF9" s="632">
        <f t="shared" si="11"/>
        <v>12.900872480216746</v>
      </c>
      <c r="AG9" s="632">
        <f t="shared" si="12"/>
        <v>14.423613917410478</v>
      </c>
      <c r="AH9" s="108">
        <f t="shared" si="13"/>
        <v>3.6428610016231904</v>
      </c>
      <c r="AI9" s="108">
        <f t="shared" si="14"/>
        <v>9.8149155238775858</v>
      </c>
      <c r="AJ9" s="108">
        <f t="shared" si="15"/>
        <v>11.491064995892328</v>
      </c>
      <c r="AK9" s="108">
        <f t="shared" si="16"/>
        <v>0.87680001113642214</v>
      </c>
      <c r="AL9" s="108">
        <f t="shared" si="17"/>
        <v>1.070284176411036</v>
      </c>
      <c r="AM9" s="633">
        <f t="shared" si="18"/>
        <v>14.422813281529674</v>
      </c>
      <c r="AN9" s="633">
        <f t="shared" si="19"/>
        <v>16.125195462143584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17740</v>
      </c>
      <c r="BH9" s="316"/>
      <c r="BJ9" s="136"/>
      <c r="BK9" s="139"/>
    </row>
    <row r="10" spans="1:63" s="78" customFormat="1" x14ac:dyDescent="0.25">
      <c r="A10" s="131" t="s">
        <v>292</v>
      </c>
      <c r="B10" s="131" t="s">
        <v>2</v>
      </c>
      <c r="C10" s="132">
        <f ca="1">((34*112)-(E10*112)-(F10))/112</f>
        <v>14.080357142857142</v>
      </c>
      <c r="D10" s="314" t="s">
        <v>671</v>
      </c>
      <c r="E10" s="133">
        <v>19</v>
      </c>
      <c r="F10" s="58">
        <f ca="1">-43570+$D$1-89</f>
        <v>103</v>
      </c>
      <c r="G10" s="134" t="s">
        <v>105</v>
      </c>
      <c r="H10" s="130">
        <v>2</v>
      </c>
      <c r="I10" s="102">
        <v>2.8</v>
      </c>
      <c r="J10" s="185">
        <f>LOG(I10+1)*4/3</f>
        <v>0.77304479548908012</v>
      </c>
      <c r="K10" s="98">
        <f>(H10)*(H10)*(I10)</f>
        <v>11.2</v>
      </c>
      <c r="L10" s="98">
        <f>(H10+1)*(H10+1)*I10</f>
        <v>25.2</v>
      </c>
      <c r="M10" s="135">
        <v>6</v>
      </c>
      <c r="N10" s="178">
        <f>M10*10+19</f>
        <v>79</v>
      </c>
      <c r="O10" s="303">
        <v>43739</v>
      </c>
      <c r="P10" s="304">
        <f ca="1">IF((TODAY()-O10)&gt;335,1,((TODAY()-O10)^0.64)/(336^0.64))</f>
        <v>0.17974163071114982</v>
      </c>
      <c r="Q10" s="178">
        <v>6</v>
      </c>
      <c r="R10" s="199">
        <f>(Q10/7)^0.5</f>
        <v>0.92582009977255142</v>
      </c>
      <c r="S10" s="199">
        <f>IF(Q10=7,1,((Q10+0.99)/7)^0.5)</f>
        <v>0.99928545900129484</v>
      </c>
      <c r="T10" s="111">
        <v>31160</v>
      </c>
      <c r="U10" s="268">
        <f>T10-BG10</f>
        <v>400</v>
      </c>
      <c r="V10" s="111">
        <v>5268</v>
      </c>
      <c r="W10" s="108">
        <f>T10/V10</f>
        <v>5.9149582384206534</v>
      </c>
      <c r="X10" s="184">
        <v>0</v>
      </c>
      <c r="Y10" s="185">
        <v>12</v>
      </c>
      <c r="Z10" s="184">
        <f>4+0/3+1/6</f>
        <v>4.166666666666667</v>
      </c>
      <c r="AA10" s="185">
        <v>3</v>
      </c>
      <c r="AB10" s="184">
        <v>3</v>
      </c>
      <c r="AC10" s="185">
        <v>5</v>
      </c>
      <c r="AD10" s="184">
        <v>0</v>
      </c>
      <c r="AE10" s="312">
        <v>878</v>
      </c>
      <c r="AF10" s="632">
        <f ca="1">(Z10+P10+J10)*(Q10/7)^0.5</f>
        <v>4.7396925732189281</v>
      </c>
      <c r="AG10" s="632">
        <f ca="1">(Z10+P10+J10)*(IF(Q10=7, (Q10/7)^0.5, ((Q10+1)/7)^0.5))</f>
        <v>5.1194530928668973</v>
      </c>
      <c r="AH10" s="108">
        <f ca="1">(((Y10+P10+J10)+(AB10+P10+J10)*2)/8)*(Q10/7)^0.5</f>
        <v>2.4138860335507264</v>
      </c>
      <c r="AI10" s="108">
        <f ca="1">(1.66*(AC10+J10+P10)+0.55*(AD10+J10+P10)-7.6)*(Q10/7)^0.5</f>
        <v>2.5975345712490387</v>
      </c>
      <c r="AJ10" s="108">
        <f ca="1">((AD10+J10+P10)*0.7+(AC10+J10+P10)*0.3)*(Q10/7)^0.5</f>
        <v>2.2708389738254566</v>
      </c>
      <c r="AK10" s="108">
        <f ca="1">(0.5*(AC10+P10+J10)+ 0.3*(AD10+P10+J10))/10</f>
        <v>0.32622291409601839</v>
      </c>
      <c r="AL10" s="108">
        <f ca="1">(0.4*(Y10+P10+J10)+0.3*(AD10+P10+J10))/10</f>
        <v>0.54669504983401607</v>
      </c>
      <c r="AM10" s="633">
        <f ca="1">(AD10+P10+(LOG(I10)*4/3))*(Q10/7)^0.5</f>
        <v>0.71839227206674594</v>
      </c>
      <c r="AN10" s="633">
        <f ca="1">(AD10+P10+(LOG(I10)*4/3))*(IF(Q10=7, (Q10/7)^0.5, ((Q10+1)/7)^0.5))</f>
        <v>0.77595233916744211</v>
      </c>
      <c r="AO10" s="178">
        <v>2</v>
      </c>
      <c r="AP10" s="178">
        <v>2</v>
      </c>
      <c r="AQ10" s="241">
        <f>IF(AO10=4,IF(AP10=0,0.137+0.0697,0.137+0.02),IF(AO10=3,IF(AP10=0,0.0958+0.0697,0.0958+0.02),IF(AO10=2,IF(AP10=0,0.0415+0.0697,0.0415+0.02),IF(AO10=1,IF(AP10=0,0.0294+0.0697,0.0294+0.02),IF(AO10=0,IF(AP10=0,0.0063+0.0697,0.0063+0.02))))))</f>
        <v>6.1499999999999999E-2</v>
      </c>
      <c r="AR10" s="320">
        <v>56</v>
      </c>
      <c r="AS10" s="320">
        <v>6.5</v>
      </c>
      <c r="AT10" s="320">
        <v>8</v>
      </c>
      <c r="AU10" s="320">
        <v>-2</v>
      </c>
      <c r="AV10" s="320">
        <f>AR10*1+AS10*0.066</f>
        <v>56.429000000000002</v>
      </c>
      <c r="AW10" s="320">
        <f>AR10*0.919+AS10*0.167</f>
        <v>52.549500000000002</v>
      </c>
      <c r="AX10" s="320">
        <f>AR10*1+AS10*0.236</f>
        <v>57.533999999999999</v>
      </c>
      <c r="AY10" s="320">
        <f>AR10*0.75+AS10*0.165</f>
        <v>43.072499999999998</v>
      </c>
      <c r="AZ10" s="320">
        <f>AR10*0.73+AS10*0.38</f>
        <v>43.349999999999994</v>
      </c>
      <c r="BA10" s="320">
        <f>AR10*0.45+AS10*1</f>
        <v>31.7</v>
      </c>
      <c r="BB10" s="320">
        <f>AR10*0.65+AS10*0.95</f>
        <v>42.574999999999996</v>
      </c>
      <c r="BC10" s="320">
        <f>AR10*0.3+AS10*0.53</f>
        <v>20.245000000000001</v>
      </c>
      <c r="BD10" s="320">
        <f>AR10*0.4+AS10*0.44</f>
        <v>25.26</v>
      </c>
      <c r="BE10" s="320">
        <f>AR10*0.25+AS10*0.73</f>
        <v>18.745000000000001</v>
      </c>
      <c r="BF10" s="320">
        <f>AS10*0.46</f>
        <v>2.99</v>
      </c>
      <c r="BG10" s="111">
        <v>30760</v>
      </c>
      <c r="BH10" s="316">
        <v>2040</v>
      </c>
      <c r="BI10" s="669">
        <f>AU10+AT10+AS10+AR10</f>
        <v>68.5</v>
      </c>
      <c r="BJ10" s="136"/>
      <c r="BK10" s="139"/>
    </row>
    <row r="11" spans="1:63" s="78" customFormat="1" x14ac:dyDescent="0.25">
      <c r="A11" s="131" t="s">
        <v>680</v>
      </c>
      <c r="B11" s="131" t="s">
        <v>2</v>
      </c>
      <c r="C11" s="132">
        <f ca="1">((34*112)-(E11*112)-(F11))/112</f>
        <v>14.178571428571429</v>
      </c>
      <c r="D11" s="314" t="s">
        <v>679</v>
      </c>
      <c r="E11" s="133">
        <v>19</v>
      </c>
      <c r="F11" s="58">
        <f ca="1">-43670+$D$1</f>
        <v>92</v>
      </c>
      <c r="G11" s="134"/>
      <c r="H11" s="130">
        <v>3</v>
      </c>
      <c r="I11" s="102">
        <v>1.8</v>
      </c>
      <c r="J11" s="185">
        <f>LOG(I11+1)*4/3</f>
        <v>0.59621070845629232</v>
      </c>
      <c r="K11" s="98">
        <f>(H11)*(H11)*(I11)</f>
        <v>16.2</v>
      </c>
      <c r="L11" s="98">
        <f>(H11+1)*(H11+1)*I11</f>
        <v>28.8</v>
      </c>
      <c r="M11" s="135">
        <v>5</v>
      </c>
      <c r="N11" s="178">
        <f>M11*10+19</f>
        <v>69</v>
      </c>
      <c r="O11" s="303">
        <v>43756</v>
      </c>
      <c r="P11" s="304">
        <f ca="1">IF((TODAY()-O11)&gt;335,1,((TODAY()-O11)^0.64)/(336^0.64))</f>
        <v>7.6060585239192346E-2</v>
      </c>
      <c r="Q11" s="178">
        <v>4</v>
      </c>
      <c r="R11" s="199">
        <f>(Q11/7)^0.5</f>
        <v>0.7559289460184544</v>
      </c>
      <c r="S11" s="199">
        <f>IF(Q11=7,1,((Q11+0.99)/7)^0.5)</f>
        <v>0.84430867747355465</v>
      </c>
      <c r="T11" s="111">
        <v>31070</v>
      </c>
      <c r="U11" s="268">
        <f>T11-BG11</f>
        <v>0</v>
      </c>
      <c r="V11" s="111">
        <v>4630</v>
      </c>
      <c r="W11" s="108">
        <f>T11/V11</f>
        <v>6.7105831533477325</v>
      </c>
      <c r="X11" s="184">
        <v>0</v>
      </c>
      <c r="Y11" s="185">
        <v>12</v>
      </c>
      <c r="Z11" s="184">
        <v>2</v>
      </c>
      <c r="AA11" s="185">
        <v>3</v>
      </c>
      <c r="AB11" s="184">
        <v>5</v>
      </c>
      <c r="AC11" s="185">
        <v>6</v>
      </c>
      <c r="AD11" s="184">
        <v>4</v>
      </c>
      <c r="AE11" s="312">
        <v>932</v>
      </c>
      <c r="AF11" s="632">
        <f ca="1">(Z11+P11+J11)*(Q11/7)^0.5</f>
        <v>2.0200472225185995</v>
      </c>
      <c r="AG11" s="632">
        <f ca="1">(Z11+P11+J11)*(IF(Q11=7, (Q11/7)^0.5, ((Q11+1)/7)^0.5))</f>
        <v>2.2584814536556164</v>
      </c>
      <c r="AH11" s="108">
        <f ca="1">(((Y11+P11+J11)+(AB11+P11+J11)*2)/8)*(Q11/7)^0.5</f>
        <v>2.2693756004813834</v>
      </c>
      <c r="AI11" s="108">
        <f ca="1">(1.66*(AC11+J11+P11)+0.55*(AD11+J11+P11)-7.6)*(Q11/7)^0.5</f>
        <v>4.5701344142086864</v>
      </c>
      <c r="AJ11" s="108">
        <f ca="1">((AD11+J11+P11)*0.7+(AC11+J11+P11)*0.3)*(Q11/7)^0.5</f>
        <v>3.9854624821665801</v>
      </c>
      <c r="AK11" s="108">
        <f ca="1">(0.5*(AC11+P11+J11)+ 0.3*(AD11+P11+J11))/10</f>
        <v>0.47378170349563875</v>
      </c>
      <c r="AL11" s="108">
        <f ca="1">(0.4*(Y11+P11+J11)+0.3*(AD11+P11+J11))/10</f>
        <v>0.64705899055868399</v>
      </c>
      <c r="AM11" s="633">
        <f ca="1">(AD11+P11+(LOG(I11)*4/3))*(Q11/7)^0.5</f>
        <v>3.3385026830808702</v>
      </c>
      <c r="AN11" s="633">
        <f ca="1">(AD11+P11+(LOG(I11)*4/3))*(IF(Q11=7, (Q11/7)^0.5, ((Q11+1)/7)^0.5))</f>
        <v>3.7325594712171317</v>
      </c>
      <c r="AO11" s="178">
        <v>3</v>
      </c>
      <c r="AP11" s="178">
        <v>1</v>
      </c>
      <c r="AQ11" s="241">
        <f>IF(AO11=4,IF(AP11=0,0.137+0.0697,0.137+0.02),IF(AO11=3,IF(AP11=0,0.0958+0.0697,0.0958+0.02),IF(AO11=2,IF(AP11=0,0.0415+0.0697,0.0415+0.02),IF(AO11=1,IF(AP11=0,0.0294+0.0697,0.0294+0.02),IF(AO11=0,IF(AP11=0,0.0063+0.0697,0.0063+0.02))))))</f>
        <v>0.1158</v>
      </c>
      <c r="AR11" s="320">
        <v>56</v>
      </c>
      <c r="AS11" s="320">
        <v>0</v>
      </c>
      <c r="AT11" s="320">
        <v>12</v>
      </c>
      <c r="AU11" s="320">
        <v>2</v>
      </c>
      <c r="AV11" s="320">
        <f>AR11*1+AS11*0.066</f>
        <v>56</v>
      </c>
      <c r="AW11" s="320">
        <f>AR11*0.919+AS11*0.167</f>
        <v>51.463999999999999</v>
      </c>
      <c r="AX11" s="320">
        <f>AR11*1+AS11*0.236</f>
        <v>56</v>
      </c>
      <c r="AY11" s="320">
        <f>AR11*0.75+AS11*0.165</f>
        <v>42</v>
      </c>
      <c r="AZ11" s="320">
        <f>AR11*0.73+AS11*0.38</f>
        <v>40.879999999999995</v>
      </c>
      <c r="BA11" s="320">
        <f>AR11*0.45+AS11*1</f>
        <v>25.2</v>
      </c>
      <c r="BB11" s="320">
        <f>AR11*0.65+AS11*0.95</f>
        <v>36.4</v>
      </c>
      <c r="BC11" s="320">
        <f>AR11*0.3+AS11*0.53</f>
        <v>16.8</v>
      </c>
      <c r="BD11" s="320">
        <f>AR11*0.4+AS11*0.44</f>
        <v>22.400000000000002</v>
      </c>
      <c r="BE11" s="320">
        <f>AR11*0.25+AS11*0.73</f>
        <v>14</v>
      </c>
      <c r="BF11" s="320">
        <f>AS11*0.46</f>
        <v>0</v>
      </c>
      <c r="BG11" s="111">
        <v>31070</v>
      </c>
      <c r="BH11" s="316">
        <v>2121</v>
      </c>
      <c r="BI11" s="669">
        <f>AU11+AT11+AS11+AR11</f>
        <v>70</v>
      </c>
      <c r="BJ11" s="136"/>
      <c r="BK11" s="139"/>
    </row>
    <row r="12" spans="1:63" s="78" customFormat="1" x14ac:dyDescent="0.25">
      <c r="A12" s="131" t="s">
        <v>259</v>
      </c>
      <c r="B12" s="131" t="s">
        <v>2</v>
      </c>
      <c r="C12" s="132">
        <f ca="1">((34*112)-(E12*112)-(F12))/112</f>
        <v>14.232142857142858</v>
      </c>
      <c r="D12" s="342" t="s">
        <v>672</v>
      </c>
      <c r="E12" s="133">
        <v>19</v>
      </c>
      <c r="F12" s="58">
        <f ca="1">-43570+$D$1-106</f>
        <v>86</v>
      </c>
      <c r="G12" s="134"/>
      <c r="H12" s="130">
        <v>4</v>
      </c>
      <c r="I12" s="102">
        <v>2</v>
      </c>
      <c r="J12" s="185">
        <f>LOG(I12+1)*4/3</f>
        <v>0.63616167295954995</v>
      </c>
      <c r="K12" s="98">
        <f>(H12)*(H12)*(I12)</f>
        <v>32</v>
      </c>
      <c r="L12" s="98">
        <f>(H12+1)*(H12+1)*I12</f>
        <v>50</v>
      </c>
      <c r="M12" s="135">
        <v>5.0999999999999996</v>
      </c>
      <c r="N12" s="178">
        <f>M12*10+19</f>
        <v>70</v>
      </c>
      <c r="O12" s="303">
        <v>43650</v>
      </c>
      <c r="P12" s="304">
        <f ca="1">IF((TODAY()-O12)&gt;335,1,((TODAY()-O12)^0.64)/(336^0.64))</f>
        <v>0.49504239939036226</v>
      </c>
      <c r="Q12" s="178">
        <v>6</v>
      </c>
      <c r="R12" s="199">
        <f>(Q12/7)^0.5</f>
        <v>0.92582009977255142</v>
      </c>
      <c r="S12" s="199">
        <f>IF(Q12=7,1,((Q12+0.99)/7)^0.5)</f>
        <v>0.99928545900129484</v>
      </c>
      <c r="T12" s="111">
        <v>20990</v>
      </c>
      <c r="U12" s="268">
        <f>T12-BG12</f>
        <v>1350</v>
      </c>
      <c r="V12" s="111">
        <v>3036</v>
      </c>
      <c r="W12" s="108">
        <f>T12/V12</f>
        <v>6.9137022397891963</v>
      </c>
      <c r="X12" s="184">
        <v>0</v>
      </c>
      <c r="Y12" s="185">
        <v>10</v>
      </c>
      <c r="Z12" s="184">
        <f>8+0/5+1/10+1/40</f>
        <v>8.125</v>
      </c>
      <c r="AA12" s="185">
        <v>2</v>
      </c>
      <c r="AB12" s="184">
        <v>4</v>
      </c>
      <c r="AC12" s="185">
        <v>3</v>
      </c>
      <c r="AD12" s="184">
        <v>3</v>
      </c>
      <c r="AE12" s="312">
        <v>802</v>
      </c>
      <c r="AF12" s="632">
        <f ca="1">(Z12+P12+J12)*(Q12/7)^0.5</f>
        <v>8.5695797777780935</v>
      </c>
      <c r="AG12" s="632">
        <f ca="1">(Z12+P12+J12)*(IF(Q12=7, (Q12/7)^0.5, ((Q12+1)/7)^0.5))</f>
        <v>9.256204072349913</v>
      </c>
      <c r="AH12" s="108">
        <f ca="1">(((Y12+P12+J12)+(AB12+P12+J12)*2)/8)*(Q12/7)^0.5</f>
        <v>2.4758295246605329</v>
      </c>
      <c r="AI12" s="108">
        <f ca="1">(1.66*(AC12+J12+P12)+0.55*(AD12+J12+P12)-7.6)*(Q12/7)^0.5</f>
        <v>1.4164686455693338</v>
      </c>
      <c r="AJ12" s="108">
        <f ca="1">((AD12+J12+P12)*0.7+(AC12+J12+P12)*0.3)*(Q12/7)^0.5</f>
        <v>3.8247517664437662</v>
      </c>
      <c r="AK12" s="108">
        <f ca="1">(0.5*(AC12+P12+J12)+ 0.3*(AD12+P12+J12))/10</f>
        <v>0.33049632578799298</v>
      </c>
      <c r="AL12" s="108">
        <f ca="1">(0.4*(Y12+P12+J12)+0.3*(AD12+P12+J12))/10</f>
        <v>0.56918428506449392</v>
      </c>
      <c r="AM12" s="633">
        <f ca="1">(AD12+P12+(LOG(I12)*4/3))*(Q12/7)^0.5</f>
        <v>3.6073799970730929</v>
      </c>
      <c r="AN12" s="633">
        <f ca="1">(AD12+P12+(LOG(I12)*4/3))*(IF(Q12=7, (Q12/7)^0.5, ((Q12+1)/7)^0.5))</f>
        <v>3.8964157269423372</v>
      </c>
      <c r="AO12" s="178">
        <v>1</v>
      </c>
      <c r="AP12" s="178">
        <v>2</v>
      </c>
      <c r="AQ12" s="241">
        <f>IF(AO12=4,IF(AP12=0,0.137+0.0697,0.137+0.02),IF(AO12=3,IF(AP12=0,0.0958+0.0697,0.0958+0.02),IF(AO12=2,IF(AP12=0,0.0415+0.0697,0.0415+0.02),IF(AO12=1,IF(AP12=0,0.0294+0.0697,0.0294+0.02),IF(AO12=0,IF(AP12=0,0.0063+0.0697,0.0063+0.02))))))</f>
        <v>4.9399999999999999E-2</v>
      </c>
      <c r="AR12" s="320">
        <v>37</v>
      </c>
      <c r="AS12" s="320">
        <v>21.5</v>
      </c>
      <c r="AT12" s="320">
        <v>2</v>
      </c>
      <c r="AU12" s="320">
        <v>1</v>
      </c>
      <c r="AV12" s="320">
        <f>AR12*1+AS12*0.066</f>
        <v>38.418999999999997</v>
      </c>
      <c r="AW12" s="320">
        <f>AR12*0.919+AS12*0.167</f>
        <v>37.593499999999999</v>
      </c>
      <c r="AX12" s="320">
        <f>AR12*1+AS12*0.236</f>
        <v>42.073999999999998</v>
      </c>
      <c r="AY12" s="320">
        <f>AR12*0.75+AS12*0.165</f>
        <v>31.297499999999999</v>
      </c>
      <c r="AZ12" s="320">
        <f>AR12*0.73+AS12*0.38</f>
        <v>35.18</v>
      </c>
      <c r="BA12" s="320">
        <f>AR12*0.45+AS12*1</f>
        <v>38.150000000000006</v>
      </c>
      <c r="BB12" s="320">
        <f>AR12*0.65+AS12*0.95</f>
        <v>44.475000000000001</v>
      </c>
      <c r="BC12" s="320">
        <f>AR12*0.3+AS12*0.53</f>
        <v>22.495000000000001</v>
      </c>
      <c r="BD12" s="320">
        <f>AR12*0.4+AS12*0.44</f>
        <v>24.26</v>
      </c>
      <c r="BE12" s="320">
        <f>AR12*0.25+AS12*0.73</f>
        <v>24.945</v>
      </c>
      <c r="BF12" s="320">
        <f>AS12*0.46</f>
        <v>9.89</v>
      </c>
      <c r="BG12" s="111">
        <v>19640</v>
      </c>
      <c r="BH12" s="316">
        <v>1900</v>
      </c>
      <c r="BI12" s="669">
        <f>AU12+AT12+AS12+AR12</f>
        <v>61.5</v>
      </c>
      <c r="BJ12" s="136"/>
      <c r="BK12" s="183"/>
    </row>
    <row r="13" spans="1:63" s="78" customFormat="1" x14ac:dyDescent="0.25">
      <c r="A13" s="131" t="s">
        <v>264</v>
      </c>
      <c r="B13" s="131" t="s">
        <v>62</v>
      </c>
      <c r="C13" s="132">
        <f t="shared" ca="1" si="21"/>
        <v>14.294642857142858</v>
      </c>
      <c r="D13" s="314" t="s">
        <v>404</v>
      </c>
      <c r="E13" s="133">
        <v>19</v>
      </c>
      <c r="F13" s="58">
        <f ca="1">-43571+$D$1-112</f>
        <v>79</v>
      </c>
      <c r="G13" s="134" t="s">
        <v>220</v>
      </c>
      <c r="H13" s="130">
        <v>4</v>
      </c>
      <c r="I13" s="102">
        <v>0.8</v>
      </c>
      <c r="J13" s="185">
        <f t="shared" si="5"/>
        <v>0.34036334013774144</v>
      </c>
      <c r="K13" s="98">
        <f t="shared" si="6"/>
        <v>12.8</v>
      </c>
      <c r="L13" s="98">
        <f t="shared" si="7"/>
        <v>20</v>
      </c>
      <c r="M13" s="135">
        <v>5.7</v>
      </c>
      <c r="N13" s="178">
        <f t="shared" si="8"/>
        <v>76</v>
      </c>
      <c r="O13" s="303">
        <v>43626</v>
      </c>
      <c r="P13" s="304">
        <f t="shared" ref="P13:P14" ca="1" si="22">IF((TODAY()-O13)&gt;335,1,((TODAY()-O13)^0.64)/(336^0.64))</f>
        <v>0.56054149028618405</v>
      </c>
      <c r="Q13" s="178">
        <v>5</v>
      </c>
      <c r="R13" s="199">
        <f t="shared" si="9"/>
        <v>0.84515425472851657</v>
      </c>
      <c r="S13" s="199">
        <f t="shared" si="10"/>
        <v>0.92504826128926143</v>
      </c>
      <c r="T13" s="111">
        <v>18560</v>
      </c>
      <c r="U13" s="268">
        <f t="shared" si="3"/>
        <v>-810</v>
      </c>
      <c r="V13" s="111">
        <v>1884</v>
      </c>
      <c r="W13" s="108">
        <f t="shared" si="4"/>
        <v>9.8513800424628446</v>
      </c>
      <c r="X13" s="184">
        <v>0</v>
      </c>
      <c r="Y13" s="185">
        <v>4</v>
      </c>
      <c r="Z13" s="184">
        <f>10+4/6</f>
        <v>10.666666666666666</v>
      </c>
      <c r="AA13" s="185">
        <v>3</v>
      </c>
      <c r="AB13" s="184">
        <v>4</v>
      </c>
      <c r="AC13" s="185">
        <v>7</v>
      </c>
      <c r="AD13" s="184">
        <v>6</v>
      </c>
      <c r="AE13" s="312">
        <v>782</v>
      </c>
      <c r="AF13" s="632">
        <f t="shared" ca="1" si="11"/>
        <v>9.776382267642429</v>
      </c>
      <c r="AG13" s="632">
        <f t="shared" ca="1" si="12"/>
        <v>10.709490197562534</v>
      </c>
      <c r="AH13" s="108">
        <f t="shared" ca="1" si="13"/>
        <v>1.5532577135446195</v>
      </c>
      <c r="AI13" s="108">
        <f t="shared" ca="1" si="14"/>
        <v>7.8692309913022793</v>
      </c>
      <c r="AJ13" s="108">
        <f t="shared" ca="1" si="15"/>
        <v>6.0858753553279072</v>
      </c>
      <c r="AK13" s="108">
        <f t="shared" ca="1" si="16"/>
        <v>0.60207238643391392</v>
      </c>
      <c r="AL13" s="108">
        <f t="shared" ca="1" si="17"/>
        <v>0.40306333812967471</v>
      </c>
      <c r="AM13" s="633">
        <f t="shared" ca="1" si="18"/>
        <v>5.4354643407455914</v>
      </c>
      <c r="AN13" s="633">
        <f t="shared" ca="1" si="19"/>
        <v>5.9542528598826134</v>
      </c>
      <c r="AO13" s="178">
        <v>4</v>
      </c>
      <c r="AP13" s="178">
        <v>3</v>
      </c>
      <c r="AQ13" s="241">
        <f t="shared" si="20"/>
        <v>0.157</v>
      </c>
      <c r="AR13" s="320">
        <v>6</v>
      </c>
      <c r="AS13" s="320">
        <v>37.5</v>
      </c>
      <c r="AT13" s="320">
        <v>16</v>
      </c>
      <c r="AU13" s="320">
        <v>5</v>
      </c>
      <c r="AV13" s="320">
        <f>AR13*1+AS13*0.066</f>
        <v>8.4749999999999996</v>
      </c>
      <c r="AW13" s="320">
        <f>AR13*0.919+AS13*0.167</f>
        <v>11.7765</v>
      </c>
      <c r="AX13" s="320">
        <f>AR13*1+AS13*0.236</f>
        <v>14.85</v>
      </c>
      <c r="AY13" s="320">
        <f>AR13*0.75+AS13*0.165</f>
        <v>10.6875</v>
      </c>
      <c r="AZ13" s="320">
        <f>AR13*0.73+AS13*0.38</f>
        <v>18.63</v>
      </c>
      <c r="BA13" s="320">
        <f>AR13*0.45+AS13*1</f>
        <v>40.200000000000003</v>
      </c>
      <c r="BB13" s="320">
        <f>AR13*0.65+AS13*0.95</f>
        <v>39.524999999999999</v>
      </c>
      <c r="BC13" s="320">
        <f>AR13*0.3+AS13*0.53</f>
        <v>21.675000000000001</v>
      </c>
      <c r="BD13" s="320">
        <f>AR13*0.4+AS13*0.44</f>
        <v>18.899999999999999</v>
      </c>
      <c r="BE13" s="320">
        <f>AR13*0.25+AS13*0.73</f>
        <v>28.875</v>
      </c>
      <c r="BF13" s="320">
        <f>AS13*0.46</f>
        <v>17.25</v>
      </c>
      <c r="BG13" s="111">
        <v>19370</v>
      </c>
      <c r="BH13" s="316">
        <v>2327</v>
      </c>
      <c r="BI13" s="669">
        <f>AU13+AT13+AS13+AR13</f>
        <v>64.5</v>
      </c>
      <c r="BJ13" s="136"/>
      <c r="BK13" s="139"/>
    </row>
    <row r="14" spans="1:63" s="78" customFormat="1" x14ac:dyDescent="0.25">
      <c r="A14" s="131" t="s">
        <v>179</v>
      </c>
      <c r="B14" s="131" t="s">
        <v>62</v>
      </c>
      <c r="C14" s="132">
        <f t="shared" ca="1" si="21"/>
        <v>14.803571428571429</v>
      </c>
      <c r="D14" s="314" t="s">
        <v>423</v>
      </c>
      <c r="E14" s="133">
        <v>19</v>
      </c>
      <c r="F14" s="58">
        <f ca="1">-43628+$D$1-112</f>
        <v>22</v>
      </c>
      <c r="G14" s="134" t="s">
        <v>105</v>
      </c>
      <c r="H14" s="309">
        <v>6</v>
      </c>
      <c r="I14" s="102">
        <v>2</v>
      </c>
      <c r="J14" s="185">
        <f t="shared" si="5"/>
        <v>0.63616167295954995</v>
      </c>
      <c r="K14" s="98">
        <f t="shared" si="6"/>
        <v>72</v>
      </c>
      <c r="L14" s="98">
        <f t="shared" si="7"/>
        <v>98</v>
      </c>
      <c r="M14" s="135">
        <v>4.9000000000000004</v>
      </c>
      <c r="N14" s="178">
        <f t="shared" si="8"/>
        <v>68</v>
      </c>
      <c r="O14" s="303">
        <v>43633</v>
      </c>
      <c r="P14" s="304">
        <f t="shared" ca="1" si="22"/>
        <v>0.54190140505373663</v>
      </c>
      <c r="Q14" s="178">
        <v>6</v>
      </c>
      <c r="R14" s="199">
        <f t="shared" si="9"/>
        <v>0.92582009977255142</v>
      </c>
      <c r="S14" s="199">
        <f t="shared" si="10"/>
        <v>0.99928545900129484</v>
      </c>
      <c r="T14" s="111">
        <v>24930</v>
      </c>
      <c r="U14" s="268">
        <f t="shared" si="3"/>
        <v>1050</v>
      </c>
      <c r="V14" s="111">
        <v>1490</v>
      </c>
      <c r="W14" s="108">
        <f t="shared" si="4"/>
        <v>16.731543624161073</v>
      </c>
      <c r="X14" s="184">
        <v>0</v>
      </c>
      <c r="Y14" s="185">
        <v>3</v>
      </c>
      <c r="Z14" s="184">
        <f>9+3/6</f>
        <v>9.5</v>
      </c>
      <c r="AA14" s="185">
        <v>2</v>
      </c>
      <c r="AB14" s="184">
        <v>6</v>
      </c>
      <c r="AC14" s="185">
        <v>9</v>
      </c>
      <c r="AD14" s="184">
        <v>2</v>
      </c>
      <c r="AE14" s="312">
        <v>806</v>
      </c>
      <c r="AF14" s="632">
        <f t="shared" ref="AF14" ca="1" si="23">(Z14+P14+J14)*(Q14/7)^0.5</f>
        <v>9.8859654242638602</v>
      </c>
      <c r="AG14" s="632">
        <f t="shared" ref="AG14" ca="1" si="24">(Z14+P14+J14)*(IF(Q14=7, (Q14/7)^0.5, ((Q14+1)/7)^0.5))</f>
        <v>10.678063078013288</v>
      </c>
      <c r="AH14" s="108">
        <f t="shared" ca="1" si="13"/>
        <v>2.1449156157327662</v>
      </c>
      <c r="AI14" s="108">
        <f t="shared" ca="1" si="14"/>
        <v>10.224312234978745</v>
      </c>
      <c r="AJ14" s="108">
        <f t="shared" ca="1" si="15"/>
        <v>4.8865368854920801</v>
      </c>
      <c r="AK14" s="108">
        <f t="shared" ca="1" si="16"/>
        <v>0.6042450462410629</v>
      </c>
      <c r="AL14" s="108">
        <f t="shared" ca="1" si="17"/>
        <v>0.26246441546093002</v>
      </c>
      <c r="AM14" s="633">
        <f t="shared" ca="1" si="18"/>
        <v>2.7249429065990491</v>
      </c>
      <c r="AN14" s="633">
        <f t="shared" ca="1" si="19"/>
        <v>2.9432747326057114</v>
      </c>
      <c r="AO14" s="178">
        <v>4</v>
      </c>
      <c r="AP14" s="178">
        <v>2</v>
      </c>
      <c r="AQ14" s="241">
        <f t="shared" si="20"/>
        <v>0.157</v>
      </c>
      <c r="AR14" s="320">
        <v>3</v>
      </c>
      <c r="AS14" s="320">
        <v>30</v>
      </c>
      <c r="AT14" s="320">
        <v>27</v>
      </c>
      <c r="AU14" s="320">
        <v>1</v>
      </c>
      <c r="AV14" s="320">
        <f t="shared" ref="AV14:AV20" si="25">AR14*1+AS14*0.066</f>
        <v>4.9800000000000004</v>
      </c>
      <c r="AW14" s="320">
        <f t="shared" ref="AW14:AW20" si="26">AR14*0.919+AS14*0.167</f>
        <v>7.7670000000000012</v>
      </c>
      <c r="AX14" s="320">
        <f t="shared" ref="AX14:AX20" si="27">AR14*1+AS14*0.236</f>
        <v>10.08</v>
      </c>
      <c r="AY14" s="320">
        <f t="shared" ref="AY14:AY20" si="28">AR14*0.75+AS14*0.165</f>
        <v>7.2</v>
      </c>
      <c r="AZ14" s="320">
        <f t="shared" ref="AZ14:AZ20" si="29">AR14*0.73+AS14*0.38</f>
        <v>13.59</v>
      </c>
      <c r="BA14" s="320">
        <f t="shared" ref="BA14:BA20" si="30">AR14*0.45+AS14*1</f>
        <v>31.35</v>
      </c>
      <c r="BB14" s="320">
        <f t="shared" ref="BB14:BB20" si="31">AR14*0.65+AS14*0.95</f>
        <v>30.45</v>
      </c>
      <c r="BC14" s="320">
        <f t="shared" ref="BC14:BC20" si="32">AR14*0.3+AS14*0.53</f>
        <v>16.8</v>
      </c>
      <c r="BD14" s="320">
        <f t="shared" ref="BD14:BD20" si="33">AR14*0.4+AS14*0.44</f>
        <v>14.399999999999999</v>
      </c>
      <c r="BE14" s="320">
        <f t="shared" ref="BE14:BE20" si="34">AR14*0.25+AS14*0.73</f>
        <v>22.65</v>
      </c>
      <c r="BF14" s="320">
        <f t="shared" ref="BF14:BF20" si="35">AS14*0.46</f>
        <v>13.8</v>
      </c>
      <c r="BG14" s="111">
        <v>23880</v>
      </c>
      <c r="BH14" s="316">
        <v>4689</v>
      </c>
      <c r="BI14" s="669">
        <f t="shared" ref="BI14:BI21" si="36">AU14+AT14+AS14+AR14</f>
        <v>61</v>
      </c>
      <c r="BJ14" s="136"/>
      <c r="BK14" s="139"/>
    </row>
    <row r="15" spans="1:63" s="78" customFormat="1" x14ac:dyDescent="0.25">
      <c r="A15" s="131" t="s">
        <v>223</v>
      </c>
      <c r="B15" s="131" t="s">
        <v>62</v>
      </c>
      <c r="C15" s="132">
        <f ca="1">((34*112)-(E15*112)-(F15))/112</f>
        <v>14.151785714285714</v>
      </c>
      <c r="D15" s="314" t="s">
        <v>422</v>
      </c>
      <c r="E15" s="133">
        <v>19</v>
      </c>
      <c r="F15" s="58">
        <f ca="1">-43569+$D$1+14-112</f>
        <v>95</v>
      </c>
      <c r="G15" s="134" t="s">
        <v>96</v>
      </c>
      <c r="H15" s="130">
        <v>1</v>
      </c>
      <c r="I15" s="102">
        <v>2.2999999999999998</v>
      </c>
      <c r="J15" s="185">
        <f>LOG(I15+1)*4/3</f>
        <v>0.69135191983718325</v>
      </c>
      <c r="K15" s="98">
        <f>(H15)*(H15)*(I15)</f>
        <v>2.2999999999999998</v>
      </c>
      <c r="L15" s="98">
        <f>(H15+1)*(H15+1)*I15</f>
        <v>9.1999999999999993</v>
      </c>
      <c r="M15" s="135">
        <v>5.0999999999999996</v>
      </c>
      <c r="N15" s="178">
        <f>M15*10+19</f>
        <v>70</v>
      </c>
      <c r="O15" s="303">
        <v>43630</v>
      </c>
      <c r="P15" s="304">
        <f t="shared" ref="P15:P20" ca="1" si="37">IF((TODAY()-O15)&gt;335,1,((TODAY()-O15)^0.64)/(336^0.64))</f>
        <v>0.54993350287914911</v>
      </c>
      <c r="Q15" s="178">
        <v>5</v>
      </c>
      <c r="R15" s="199">
        <f>(Q15/7)^0.5</f>
        <v>0.84515425472851657</v>
      </c>
      <c r="S15" s="199">
        <f>IF(Q15=7,1,((Q15+0.99)/7)^0.5)</f>
        <v>0.92504826128926143</v>
      </c>
      <c r="T15" s="111">
        <v>23630</v>
      </c>
      <c r="U15" s="268">
        <f t="shared" ref="U15:U20" si="38">T15-BG15</f>
        <v>-990</v>
      </c>
      <c r="V15" s="111">
        <v>2436</v>
      </c>
      <c r="W15" s="108">
        <f>T15/V15</f>
        <v>9.7003284072249585</v>
      </c>
      <c r="X15" s="184">
        <v>0</v>
      </c>
      <c r="Y15" s="185">
        <v>4</v>
      </c>
      <c r="Z15" s="184">
        <f>11+1.5/7</f>
        <v>11.214285714285714</v>
      </c>
      <c r="AA15" s="185">
        <v>3</v>
      </c>
      <c r="AB15" s="184">
        <v>2</v>
      </c>
      <c r="AC15" s="185">
        <v>8</v>
      </c>
      <c r="AD15" s="184">
        <v>0</v>
      </c>
      <c r="AE15" s="312">
        <v>754</v>
      </c>
      <c r="AF15" s="632">
        <f ca="1">(Z15+P15+J15)*(Q15/7)^0.5</f>
        <v>10.526878941510986</v>
      </c>
      <c r="AG15" s="632">
        <f ca="1">(Z15+P15+J15)*(IF(Q15=7, (Q15/7)^0.5, ((Q15+1)/7)^0.5))</f>
        <v>11.531618112783345</v>
      </c>
      <c r="AH15" s="108">
        <f ca="1">(((Y15+P15+J15)+(AB15+P15+J15)*2)/8)*(Q15/7)^0.5</f>
        <v>1.2385583758564642</v>
      </c>
      <c r="AI15" s="108">
        <f ca="1">(1.66*(AC15+J15+P15)+0.55*(AD15+J15+P15)-7.6)*(Q15/7)^0.5</f>
        <v>7.1189377873720137</v>
      </c>
      <c r="AJ15" s="108">
        <f ca="1">((AD15+J15+P15)*0.7+(AC15+J15+P15)*0.3)*(Q15/7)^0.5</f>
        <v>3.0774478676896333</v>
      </c>
      <c r="AK15" s="108">
        <f ca="1">(0.5*(AC15+P15+J15)+ 0.3*(AD15+P15+J15))/10</f>
        <v>0.49930283381730661</v>
      </c>
      <c r="AL15" s="108">
        <f ca="1">(0.4*(Y15+P15+J15)+0.3*(AD15+P15+J15))/10</f>
        <v>0.24688997959014328</v>
      </c>
      <c r="AM15" s="633">
        <f ca="1">(AD15+P15+(LOG(I15)*4/3))*(Q15/7)^0.5</f>
        <v>0.87239973266141335</v>
      </c>
      <c r="AN15" s="633">
        <f ca="1">(AD15+P15+(LOG(I15)*4/3))*(IF(Q15=7, (Q15/7)^0.5, ((Q15+1)/7)^0.5))</f>
        <v>0.95566602548026502</v>
      </c>
      <c r="AO15" s="178">
        <v>3</v>
      </c>
      <c r="AP15" s="178">
        <v>0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0.16549999999999998</v>
      </c>
      <c r="AR15" s="320">
        <v>6</v>
      </c>
      <c r="AS15" s="320">
        <v>41.5</v>
      </c>
      <c r="AT15" s="320">
        <v>21</v>
      </c>
      <c r="AU15" s="320">
        <v>-1</v>
      </c>
      <c r="AV15" s="320">
        <f>AR15*1+AS15*0.066</f>
        <v>8.7390000000000008</v>
      </c>
      <c r="AW15" s="320">
        <f>AR15*0.919+AS15*0.167</f>
        <v>12.444500000000001</v>
      </c>
      <c r="AX15" s="320">
        <f>AR15*1+AS15*0.236</f>
        <v>15.793999999999999</v>
      </c>
      <c r="AY15" s="320">
        <f>AR15*0.75+AS15*0.165</f>
        <v>11.3475</v>
      </c>
      <c r="AZ15" s="320">
        <f>AR15*0.73+AS15*0.38</f>
        <v>20.149999999999999</v>
      </c>
      <c r="BA15" s="320">
        <f>AR15*0.45+AS15*1</f>
        <v>44.2</v>
      </c>
      <c r="BB15" s="320">
        <f>AR15*0.65+AS15*0.95</f>
        <v>43.324999999999996</v>
      </c>
      <c r="BC15" s="320">
        <f>AR15*0.3+AS15*0.53</f>
        <v>23.795000000000002</v>
      </c>
      <c r="BD15" s="320">
        <f>AR15*0.4+AS15*0.44</f>
        <v>20.660000000000004</v>
      </c>
      <c r="BE15" s="320">
        <f>AR15*0.25+AS15*0.73</f>
        <v>31.794999999999998</v>
      </c>
      <c r="BF15" s="320">
        <f>AS15*0.46</f>
        <v>19.09</v>
      </c>
      <c r="BG15" s="111">
        <v>24620</v>
      </c>
      <c r="BH15" s="316">
        <v>1887</v>
      </c>
      <c r="BI15" s="669">
        <f t="shared" si="36"/>
        <v>67.5</v>
      </c>
      <c r="BJ15" s="136"/>
      <c r="BK15" s="139"/>
    </row>
    <row r="16" spans="1:63" s="78" customFormat="1" x14ac:dyDescent="0.25">
      <c r="A16" s="131" t="s">
        <v>172</v>
      </c>
      <c r="B16" s="131" t="s">
        <v>62</v>
      </c>
      <c r="C16" s="132">
        <f ca="1">((34*112)-(E16*112)-(F16))/112</f>
        <v>14.151785714285714</v>
      </c>
      <c r="D16" s="314" t="s">
        <v>418</v>
      </c>
      <c r="E16" s="133">
        <v>19</v>
      </c>
      <c r="F16" s="58">
        <f ca="1">-43569+$D$1+14-112</f>
        <v>95</v>
      </c>
      <c r="G16" s="134" t="s">
        <v>105</v>
      </c>
      <c r="H16" s="130">
        <v>1</v>
      </c>
      <c r="I16" s="102">
        <v>2.2999999999999998</v>
      </c>
      <c r="J16" s="185">
        <f>LOG(I16+1)*4/3</f>
        <v>0.69135191983718325</v>
      </c>
      <c r="K16" s="98">
        <f>(H16)*(H16)*(I16)</f>
        <v>2.2999999999999998</v>
      </c>
      <c r="L16" s="98">
        <f>(H16+1)*(H16+1)*I16</f>
        <v>9.1999999999999993</v>
      </c>
      <c r="M16" s="135">
        <v>6.1</v>
      </c>
      <c r="N16" s="178">
        <f>M16*10+19</f>
        <v>80</v>
      </c>
      <c r="O16" s="303">
        <v>43627</v>
      </c>
      <c r="P16" s="304">
        <f t="shared" ca="1" si="37"/>
        <v>0.55790014502880092</v>
      </c>
      <c r="Q16" s="178">
        <v>6</v>
      </c>
      <c r="R16" s="199">
        <f>(Q16/7)^0.5</f>
        <v>0.92582009977255142</v>
      </c>
      <c r="S16" s="199">
        <f>IF(Q16=7,1,((Q16+0.99)/7)^0.5)</f>
        <v>0.99928545900129484</v>
      </c>
      <c r="T16" s="111">
        <v>32880</v>
      </c>
      <c r="U16" s="268">
        <f t="shared" si="38"/>
        <v>2070</v>
      </c>
      <c r="V16" s="111">
        <v>2604</v>
      </c>
      <c r="W16" s="108">
        <f>T16/V16</f>
        <v>12.626728110599078</v>
      </c>
      <c r="X16" s="184">
        <v>0</v>
      </c>
      <c r="Y16" s="185">
        <v>2</v>
      </c>
      <c r="Z16" s="184">
        <f>11+2/8</f>
        <v>11.25</v>
      </c>
      <c r="AA16" s="185">
        <v>5</v>
      </c>
      <c r="AB16" s="184">
        <v>4</v>
      </c>
      <c r="AC16" s="185">
        <v>8</v>
      </c>
      <c r="AD16" s="184">
        <v>6</v>
      </c>
      <c r="AE16" s="312">
        <v>877</v>
      </c>
      <c r="AF16" s="632">
        <f ca="1">(Z16+P16+J16)*(Q16/7)^0.5</f>
        <v>11.572058793776495</v>
      </c>
      <c r="AG16" s="632">
        <f ca="1">(Z16+P16+J16)*(IF(Q16=7, (Q16/7)^0.5, ((Q16+1)/7)^0.5))</f>
        <v>12.499252064865985</v>
      </c>
      <c r="AH16" s="108">
        <f ca="1">(((Y16+P16+J16)+(AB16+P16+J16)*2)/8)*(Q16/7)^0.5</f>
        <v>1.5909936264664235</v>
      </c>
      <c r="AI16" s="108">
        <f ca="1">(1.66*(AC16+J16+P16)+0.55*(AD16+J16+P16)-7.6)*(Q16/7)^0.5</f>
        <v>10.869912199608505</v>
      </c>
      <c r="AJ16" s="108">
        <f ca="1">((AD16+J16+P16)*0.7+(AC16+J16+P16)*0.3)*(Q16/7)^0.5</f>
        <v>7.2669953298341303</v>
      </c>
      <c r="AK16" s="108">
        <f ca="1">(0.5*(AC16+P16+J16)+ 0.3*(AD16+P16+J16))/10</f>
        <v>0.67994016518927869</v>
      </c>
      <c r="AL16" s="108">
        <f ca="1">(0.4*(Y16+P16+J16)+0.3*(AD16+P16+J16))/10</f>
        <v>0.34744764454061883</v>
      </c>
      <c r="AM16" s="633">
        <f ca="1">(AD16+P16+(LOG(I16)*4/3))*(Q16/7)^0.5</f>
        <v>6.517962301545416</v>
      </c>
      <c r="AN16" s="633">
        <f ca="1">(AD16+P16+(LOG(I16)*4/3))*(IF(Q16=7, (Q16/7)^0.5, ((Q16+1)/7)^0.5))</f>
        <v>7.0402039263855913</v>
      </c>
      <c r="AO16" s="178">
        <v>4</v>
      </c>
      <c r="AP16" s="178">
        <v>2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0.157</v>
      </c>
      <c r="AR16" s="320">
        <v>0</v>
      </c>
      <c r="AS16" s="320">
        <v>42</v>
      </c>
      <c r="AT16" s="320">
        <v>21</v>
      </c>
      <c r="AU16" s="320">
        <v>5</v>
      </c>
      <c r="AV16" s="320">
        <f>AR16*1+AS16*0.066</f>
        <v>2.7720000000000002</v>
      </c>
      <c r="AW16" s="320">
        <f>AR16*0.919+AS16*0.167</f>
        <v>7.0140000000000002</v>
      </c>
      <c r="AX16" s="320">
        <f>AR16*1+AS16*0.236</f>
        <v>9.911999999999999</v>
      </c>
      <c r="AY16" s="320">
        <f>AR16*0.75+AS16*0.165</f>
        <v>6.9300000000000006</v>
      </c>
      <c r="AZ16" s="320">
        <f>AR16*0.73+AS16*0.38</f>
        <v>15.96</v>
      </c>
      <c r="BA16" s="320">
        <f>AR16*0.45+AS16*1</f>
        <v>42</v>
      </c>
      <c r="BB16" s="320">
        <f>AR16*0.65+AS16*0.95</f>
        <v>39.9</v>
      </c>
      <c r="BC16" s="320">
        <f>AR16*0.3+AS16*0.53</f>
        <v>22.26</v>
      </c>
      <c r="BD16" s="320">
        <f>AR16*0.4+AS16*0.44</f>
        <v>18.48</v>
      </c>
      <c r="BE16" s="320">
        <f>AR16*0.25+AS16*0.73</f>
        <v>30.66</v>
      </c>
      <c r="BF16" s="320">
        <f>AS16*0.46</f>
        <v>19.32</v>
      </c>
      <c r="BG16" s="111">
        <v>30810</v>
      </c>
      <c r="BH16" s="316">
        <v>3853</v>
      </c>
      <c r="BI16" s="669">
        <f t="shared" si="36"/>
        <v>68</v>
      </c>
      <c r="BJ16" s="136"/>
      <c r="BK16" s="139"/>
    </row>
    <row r="17" spans="1:63" s="78" customFormat="1" x14ac:dyDescent="0.25">
      <c r="A17" s="131" t="s">
        <v>424</v>
      </c>
      <c r="B17" s="131" t="s">
        <v>62</v>
      </c>
      <c r="C17" s="132">
        <f ca="1">((34*112)-(E17*112)-(F17))/112</f>
        <v>14.276785714285714</v>
      </c>
      <c r="D17" s="314" t="s">
        <v>405</v>
      </c>
      <c r="E17" s="133">
        <v>19</v>
      </c>
      <c r="F17" s="58">
        <f ca="1">-43569+$D$1-112</f>
        <v>81</v>
      </c>
      <c r="G17" s="134" t="s">
        <v>220</v>
      </c>
      <c r="H17" s="130">
        <v>4</v>
      </c>
      <c r="I17" s="102">
        <v>1.5</v>
      </c>
      <c r="J17" s="185">
        <f>LOG(I17+1)*4/3</f>
        <v>0.53058667822938343</v>
      </c>
      <c r="K17" s="98">
        <f>(H17)*(H17)*(I17)</f>
        <v>24</v>
      </c>
      <c r="L17" s="98">
        <f>(H17+1)*(H17+1)*I17</f>
        <v>37.5</v>
      </c>
      <c r="M17" s="135">
        <v>5.6</v>
      </c>
      <c r="N17" s="178">
        <f>M17*10+19</f>
        <v>75</v>
      </c>
      <c r="O17" s="303">
        <v>43626</v>
      </c>
      <c r="P17" s="304">
        <f t="shared" ca="1" si="37"/>
        <v>0.56054149028618405</v>
      </c>
      <c r="Q17" s="178">
        <v>4</v>
      </c>
      <c r="R17" s="199">
        <f>(Q17/7)^0.5</f>
        <v>0.7559289460184544</v>
      </c>
      <c r="S17" s="199">
        <f>IF(Q17=7,1,((Q17+0.99)/7)^0.5)</f>
        <v>0.84430867747355465</v>
      </c>
      <c r="T17" s="111">
        <v>13920</v>
      </c>
      <c r="U17" s="268">
        <f t="shared" si="38"/>
        <v>2280</v>
      </c>
      <c r="V17" s="111">
        <v>1020</v>
      </c>
      <c r="W17" s="108">
        <f>T17/V17</f>
        <v>13.647058823529411</v>
      </c>
      <c r="X17" s="184">
        <v>0</v>
      </c>
      <c r="Y17" s="185">
        <v>6</v>
      </c>
      <c r="Z17" s="184">
        <f>9+3/6</f>
        <v>9.5</v>
      </c>
      <c r="AA17" s="185">
        <v>2</v>
      </c>
      <c r="AB17" s="184">
        <v>3</v>
      </c>
      <c r="AC17" s="185">
        <v>6</v>
      </c>
      <c r="AD17" s="184">
        <v>8</v>
      </c>
      <c r="AE17" s="312">
        <v>736</v>
      </c>
      <c r="AF17" s="632">
        <f ca="1">(Z17+P17+J17)*(Q17/7)^0.5</f>
        <v>8.0061403535723361</v>
      </c>
      <c r="AG17" s="632">
        <f ca="1">(Z17+P17+J17)*(IF(Q17=7, (Q17/7)^0.5, ((Q17+1)/7)^0.5))</f>
        <v>8.9511370339959733</v>
      </c>
      <c r="AH17" s="108">
        <f ca="1">(((Y17+P17+J17)+(AB17+P17+J17)*2)/8)*(Q17/7)^0.5</f>
        <v>1.4431991814265639</v>
      </c>
      <c r="AI17" s="108">
        <f ca="1">(1.66*(AC17+J17+P17)+0.55*(AD17+J17+P17)-7.6)*(Q17/7)^0.5</f>
        <v>6.9329216348221623</v>
      </c>
      <c r="AJ17" s="108">
        <f ca="1">((AD17+J17+P17)*0.7+(AC17+J17+P17)*0.3)*(Q17/7)^0.5</f>
        <v>6.4186895669335806</v>
      </c>
      <c r="AK17" s="108">
        <f ca="1">(0.5*(AC17+P17+J17)+ 0.3*(AD17+P17+J17))/10</f>
        <v>0.62729025348124545</v>
      </c>
      <c r="AL17" s="108">
        <f ca="1">(0.4*(Y17+P17+J17)+0.3*(AD17+P17+J17))/10</f>
        <v>0.55637897179608975</v>
      </c>
      <c r="AM17" s="633">
        <f ca="1">(AD17+P17+(LOG(I17)*4/3))*(Q17/7)^0.5</f>
        <v>6.6486444125806488</v>
      </c>
      <c r="AN17" s="633">
        <f ca="1">(AD17+P17+(LOG(I17)*4/3))*(IF(Q17=7, (Q17/7)^0.5, ((Q17+1)/7)^0.5))</f>
        <v>7.4334104323772445</v>
      </c>
      <c r="AO17" s="178">
        <v>2</v>
      </c>
      <c r="AP17" s="178">
        <v>3</v>
      </c>
      <c r="AQ17" s="241">
        <f>IF(AO17=4,IF(AP17=0,0.137+0.0697,0.137+0.02),IF(AO17=3,IF(AP17=0,0.0958+0.0697,0.0958+0.02),IF(AO17=2,IF(AP17=0,0.0415+0.0697,0.0415+0.02),IF(AO17=1,IF(AP17=0,0.0294+0.0697,0.0294+0.02),IF(AO17=0,IF(AP17=0,0.0063+0.0697,0.0063+0.02))))))</f>
        <v>6.1499999999999999E-2</v>
      </c>
      <c r="AR17" s="320">
        <v>14</v>
      </c>
      <c r="AS17" s="320">
        <v>30</v>
      </c>
      <c r="AT17" s="320">
        <v>12</v>
      </c>
      <c r="AU17" s="320">
        <v>8</v>
      </c>
      <c r="AV17" s="320">
        <f>AR17*1+AS17*0.066</f>
        <v>15.98</v>
      </c>
      <c r="AW17" s="320">
        <f>AR17*0.919+AS17*0.167</f>
        <v>17.876000000000001</v>
      </c>
      <c r="AX17" s="320">
        <f>AR17*1+AS17*0.236</f>
        <v>21.08</v>
      </c>
      <c r="AY17" s="320">
        <f>AR17*0.75+AS17*0.165</f>
        <v>15.45</v>
      </c>
      <c r="AZ17" s="320">
        <f>AR17*0.73+AS17*0.38</f>
        <v>21.619999999999997</v>
      </c>
      <c r="BA17" s="320">
        <f>AR17*0.45+AS17*1</f>
        <v>36.299999999999997</v>
      </c>
      <c r="BB17" s="320">
        <f>AR17*0.65+AS17*0.95</f>
        <v>37.6</v>
      </c>
      <c r="BC17" s="320">
        <f>AR17*0.3+AS17*0.53</f>
        <v>20.100000000000001</v>
      </c>
      <c r="BD17" s="320">
        <f>AR17*0.4+AS17*0.44</f>
        <v>18.8</v>
      </c>
      <c r="BE17" s="320">
        <f>AR17*0.25+AS17*0.73</f>
        <v>25.4</v>
      </c>
      <c r="BF17" s="320">
        <f>AS17*0.46</f>
        <v>13.8</v>
      </c>
      <c r="BG17" s="111">
        <v>11640</v>
      </c>
      <c r="BH17" s="316">
        <v>1548</v>
      </c>
      <c r="BI17" s="669">
        <f>AU17+AT17+AS17+AR17</f>
        <v>64</v>
      </c>
      <c r="BJ17" s="136"/>
      <c r="BK17" s="139"/>
    </row>
    <row r="18" spans="1:63" s="78" customFormat="1" x14ac:dyDescent="0.25">
      <c r="A18" s="131" t="s">
        <v>213</v>
      </c>
      <c r="B18" s="131" t="s">
        <v>62</v>
      </c>
      <c r="C18" s="132">
        <f ca="1">((34*112)-(E18*112)-(F18))/112</f>
        <v>13.785714285714286</v>
      </c>
      <c r="D18" s="314" t="s">
        <v>406</v>
      </c>
      <c r="E18" s="133">
        <v>20</v>
      </c>
      <c r="F18" s="58">
        <f ca="1">-43626+$D$1-112</f>
        <v>24</v>
      </c>
      <c r="G18" s="134" t="s">
        <v>67</v>
      </c>
      <c r="H18" s="130">
        <v>4</v>
      </c>
      <c r="I18" s="102">
        <v>2.4</v>
      </c>
      <c r="J18" s="185">
        <f>LOG(I18+1)*4/3</f>
        <v>0.70863855605634019</v>
      </c>
      <c r="K18" s="98">
        <f>(H18)*(H18)*(I18)</f>
        <v>38.4</v>
      </c>
      <c r="L18" s="98">
        <f>(H18+1)*(H18+1)*I18</f>
        <v>60</v>
      </c>
      <c r="M18" s="135">
        <v>4.9000000000000004</v>
      </c>
      <c r="N18" s="178">
        <f>M18*10+19</f>
        <v>68</v>
      </c>
      <c r="O18" s="303">
        <v>43626</v>
      </c>
      <c r="P18" s="304">
        <f t="shared" ca="1" si="37"/>
        <v>0.56054149028618405</v>
      </c>
      <c r="Q18" s="178">
        <v>6</v>
      </c>
      <c r="R18" s="199">
        <f>(Q18/7)^0.5</f>
        <v>0.92582009977255142</v>
      </c>
      <c r="S18" s="199">
        <f>IF(Q18=7,1,((Q18+0.99)/7)^0.5)</f>
        <v>0.99928545900129484</v>
      </c>
      <c r="T18" s="111">
        <v>25170</v>
      </c>
      <c r="U18" s="268">
        <f t="shared" si="38"/>
        <v>1440</v>
      </c>
      <c r="V18" s="111">
        <v>3730</v>
      </c>
      <c r="W18" s="108">
        <f>T18/V18</f>
        <v>6.7479892761394105</v>
      </c>
      <c r="X18" s="184">
        <v>0</v>
      </c>
      <c r="Y18" s="185">
        <v>7</v>
      </c>
      <c r="Z18" s="184">
        <f>10+5/7</f>
        <v>10.714285714285714</v>
      </c>
      <c r="AA18" s="185">
        <v>2</v>
      </c>
      <c r="AB18" s="184">
        <v>4</v>
      </c>
      <c r="AC18" s="185">
        <v>6</v>
      </c>
      <c r="AD18" s="184">
        <v>2</v>
      </c>
      <c r="AE18" s="312">
        <v>841</v>
      </c>
      <c r="AF18" s="632">
        <f ca="1">(Z18+P18+J18)*(Q18/7)^0.5</f>
        <v>11.094533466125789</v>
      </c>
      <c r="AG18" s="632">
        <f ca="1">(Z18+P18+J18)*(IF(Q18=7, (Q18/7)^0.5, ((Q18+1)/7)^0.5))</f>
        <v>11.983465760628238</v>
      </c>
      <c r="AH18" s="108">
        <f ca="1">(((Y18+P18+J18)+(AB18+P18+J18)*2)/8)*(Q18/7)^0.5</f>
        <v>2.1765498359988467</v>
      </c>
      <c r="AI18" s="108">
        <f ca="1">(1.66*(AC18+J18+P18)+0.55*(AD18+J18+P18)-7.6)*(Q18/7)^0.5</f>
        <v>5.8001591428795374</v>
      </c>
      <c r="AJ18" s="108">
        <f ca="1">((AD18+J18+P18)*0.7+(AC18+J18+P18)*0.3)*(Q18/7)^0.5</f>
        <v>4.1376567164063314</v>
      </c>
      <c r="AK18" s="108">
        <f ca="1">(0.5*(AC18+P18+J18)+ 0.3*(AD18+P18+J18))/10</f>
        <v>0.4615344037074019</v>
      </c>
      <c r="AL18" s="108">
        <f ca="1">(0.4*(Y18+P18+J18)+0.3*(AD18+P18+J18))/10</f>
        <v>0.42884260324397666</v>
      </c>
      <c r="AM18" s="633">
        <f ca="1">(AD18+P18+(LOG(I18)*4/3))*(Q18/7)^0.5</f>
        <v>2.8399437243232919</v>
      </c>
      <c r="AN18" s="633">
        <f ca="1">(AD18+P18+(LOG(I18)*4/3))*(IF(Q18=7, (Q18/7)^0.5, ((Q18+1)/7)^0.5))</f>
        <v>3.0674898125683252</v>
      </c>
      <c r="AO18" s="178">
        <v>3</v>
      </c>
      <c r="AP18" s="178">
        <v>3</v>
      </c>
      <c r="AQ18" s="241">
        <f>IF(AO18=4,IF(AP18=0,0.137+0.0697,0.137+0.02),IF(AO18=3,IF(AP18=0,0.0958+0.0697,0.0958+0.02),IF(AO18=2,IF(AP18=0,0.0415+0.0697,0.0415+0.02),IF(AO18=1,IF(AP18=0,0.0294+0.0697,0.0294+0.02),IF(AO18=0,IF(AP18=0,0.0063+0.0697,0.0063+0.02))))))</f>
        <v>0.1158</v>
      </c>
      <c r="AR18" s="320">
        <v>18</v>
      </c>
      <c r="AS18" s="320">
        <v>38</v>
      </c>
      <c r="AT18" s="320">
        <v>12</v>
      </c>
      <c r="AU18" s="320">
        <v>1</v>
      </c>
      <c r="AV18" s="320">
        <f>AR18*1+AS18*0.066</f>
        <v>20.507999999999999</v>
      </c>
      <c r="AW18" s="320">
        <f>AR18*0.919+AS18*0.167</f>
        <v>22.888000000000002</v>
      </c>
      <c r="AX18" s="320">
        <f>AR18*1+AS18*0.236</f>
        <v>26.968</v>
      </c>
      <c r="AY18" s="320">
        <f>AR18*0.75+AS18*0.165</f>
        <v>19.77</v>
      </c>
      <c r="AZ18" s="320">
        <f>AR18*0.73+AS18*0.38</f>
        <v>27.58</v>
      </c>
      <c r="BA18" s="320">
        <f>AR18*0.45+AS18*1</f>
        <v>46.1</v>
      </c>
      <c r="BB18" s="320">
        <f>AR18*0.65+AS18*0.95</f>
        <v>47.800000000000004</v>
      </c>
      <c r="BC18" s="320">
        <f>AR18*0.3+AS18*0.53</f>
        <v>25.54</v>
      </c>
      <c r="BD18" s="320">
        <f>AR18*0.4+AS18*0.44</f>
        <v>23.919999999999998</v>
      </c>
      <c r="BE18" s="320">
        <f>AR18*0.25+AS18*0.73</f>
        <v>32.239999999999995</v>
      </c>
      <c r="BF18" s="320">
        <f>AS18*0.46</f>
        <v>17.48</v>
      </c>
      <c r="BG18" s="111">
        <v>23730</v>
      </c>
      <c r="BH18" s="316">
        <v>1308</v>
      </c>
      <c r="BI18" s="669">
        <f t="shared" si="36"/>
        <v>69</v>
      </c>
      <c r="BJ18" s="136"/>
      <c r="BK18" s="139"/>
    </row>
    <row r="19" spans="1:63" s="78" customFormat="1" x14ac:dyDescent="0.25">
      <c r="A19" s="131" t="s">
        <v>425</v>
      </c>
      <c r="B19" s="131" t="s">
        <v>63</v>
      </c>
      <c r="C19" s="132">
        <f t="shared" ca="1" si="21"/>
        <v>10.160714285714286</v>
      </c>
      <c r="D19" s="342" t="s">
        <v>645</v>
      </c>
      <c r="E19" s="133">
        <v>23</v>
      </c>
      <c r="F19" s="58">
        <f ca="1">-43571+$D$1+15-112</f>
        <v>94</v>
      </c>
      <c r="G19" s="134" t="s">
        <v>220</v>
      </c>
      <c r="H19" s="130">
        <v>5</v>
      </c>
      <c r="I19" s="102">
        <v>2.2000000000000002</v>
      </c>
      <c r="J19" s="185">
        <f t="shared" si="5"/>
        <v>0.67353330442654136</v>
      </c>
      <c r="K19" s="98">
        <f t="shared" si="6"/>
        <v>55.000000000000007</v>
      </c>
      <c r="L19" s="98">
        <f t="shared" si="7"/>
        <v>79.2</v>
      </c>
      <c r="M19" s="135">
        <v>6.5</v>
      </c>
      <c r="N19" s="178">
        <f t="shared" si="8"/>
        <v>84</v>
      </c>
      <c r="O19" s="303">
        <v>43650</v>
      </c>
      <c r="P19" s="304">
        <f t="shared" ca="1" si="37"/>
        <v>0.49504239939036226</v>
      </c>
      <c r="Q19" s="178">
        <v>6</v>
      </c>
      <c r="R19" s="199">
        <f t="shared" si="9"/>
        <v>0.92582009977255142</v>
      </c>
      <c r="S19" s="199">
        <f t="shared" si="10"/>
        <v>0.99928545900129484</v>
      </c>
      <c r="T19" s="111">
        <v>25530</v>
      </c>
      <c r="U19" s="268">
        <f t="shared" si="38"/>
        <v>490</v>
      </c>
      <c r="V19" s="111">
        <v>2316</v>
      </c>
      <c r="W19" s="108">
        <f t="shared" si="4"/>
        <v>11.023316062176166</v>
      </c>
      <c r="X19" s="184">
        <v>0</v>
      </c>
      <c r="Y19" s="185">
        <v>3</v>
      </c>
      <c r="Z19" s="184">
        <f>10+0/7+0/14</f>
        <v>10</v>
      </c>
      <c r="AA19" s="185">
        <v>9</v>
      </c>
      <c r="AB19" s="184">
        <v>6</v>
      </c>
      <c r="AC19" s="185">
        <v>3</v>
      </c>
      <c r="AD19" s="184">
        <v>3</v>
      </c>
      <c r="AE19" s="312">
        <v>808</v>
      </c>
      <c r="AF19" s="632">
        <f t="shared" ca="1" si="11"/>
        <v>10.340091872425059</v>
      </c>
      <c r="AG19" s="632">
        <f t="shared" ca="1" si="12"/>
        <v>11.168575703816904</v>
      </c>
      <c r="AH19" s="108">
        <f t="shared" ca="1" si="13"/>
        <v>2.1416217650858633</v>
      </c>
      <c r="AI19" s="108">
        <f t="shared" ca="1" si="14"/>
        <v>1.4929333363066193</v>
      </c>
      <c r="AJ19" s="108">
        <f t="shared" ca="1" si="15"/>
        <v>3.8593511740171982</v>
      </c>
      <c r="AK19" s="108">
        <f t="shared" ca="1" si="16"/>
        <v>0.33348605630535227</v>
      </c>
      <c r="AL19" s="108">
        <f t="shared" ca="1" si="17"/>
        <v>0.29180029926718326</v>
      </c>
      <c r="AM19" s="633">
        <f t="shared" ca="1" si="18"/>
        <v>3.6584762369438155</v>
      </c>
      <c r="AN19" s="633">
        <f t="shared" ca="1" si="19"/>
        <v>3.9516059738199707</v>
      </c>
      <c r="AO19" s="178">
        <v>1</v>
      </c>
      <c r="AP19" s="178">
        <v>2</v>
      </c>
      <c r="AQ19" s="241">
        <f t="shared" si="20"/>
        <v>4.9399999999999999E-2</v>
      </c>
      <c r="AR19" s="320">
        <v>3</v>
      </c>
      <c r="AS19" s="320">
        <v>33</v>
      </c>
      <c r="AT19" s="320">
        <v>2</v>
      </c>
      <c r="AU19" s="320">
        <v>1</v>
      </c>
      <c r="AV19" s="320">
        <f t="shared" si="25"/>
        <v>5.1779999999999999</v>
      </c>
      <c r="AW19" s="320">
        <f t="shared" si="26"/>
        <v>8.2680000000000007</v>
      </c>
      <c r="AX19" s="320">
        <f t="shared" si="27"/>
        <v>10.788</v>
      </c>
      <c r="AY19" s="320">
        <f t="shared" si="28"/>
        <v>7.6950000000000003</v>
      </c>
      <c r="AZ19" s="320">
        <f t="shared" si="29"/>
        <v>14.73</v>
      </c>
      <c r="BA19" s="320">
        <f t="shared" si="30"/>
        <v>34.35</v>
      </c>
      <c r="BB19" s="320">
        <f t="shared" si="31"/>
        <v>33.299999999999997</v>
      </c>
      <c r="BC19" s="320">
        <f t="shared" si="32"/>
        <v>18.39</v>
      </c>
      <c r="BD19" s="320">
        <f t="shared" si="33"/>
        <v>15.719999999999999</v>
      </c>
      <c r="BE19" s="320">
        <f t="shared" si="34"/>
        <v>24.84</v>
      </c>
      <c r="BF19" s="320">
        <f t="shared" si="35"/>
        <v>15.180000000000001</v>
      </c>
      <c r="BG19" s="111">
        <v>25040</v>
      </c>
      <c r="BH19" s="316">
        <v>2017</v>
      </c>
      <c r="BI19" s="669">
        <f t="shared" si="36"/>
        <v>39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ca="1">((34*112)-(E20*112)-(F20))/112</f>
        <v>11.348214285714286</v>
      </c>
      <c r="D20" s="342" t="s">
        <v>675</v>
      </c>
      <c r="E20" s="133">
        <v>22</v>
      </c>
      <c r="F20" s="58">
        <f ca="1">-43657+$D$1-32</f>
        <v>73</v>
      </c>
      <c r="G20" s="134"/>
      <c r="H20" s="130">
        <v>3</v>
      </c>
      <c r="I20" s="102">
        <v>4.2</v>
      </c>
      <c r="J20" s="185">
        <f>LOG(I20+1)*4/3</f>
        <v>0.95467112484639893</v>
      </c>
      <c r="K20" s="98">
        <f>(H20)*(H20)*(I20)</f>
        <v>37.800000000000004</v>
      </c>
      <c r="L20" s="98">
        <f>(H20+1)*(H20+1)*I20</f>
        <v>67.2</v>
      </c>
      <c r="M20" s="135">
        <v>7.3</v>
      </c>
      <c r="N20" s="178">
        <f>M20*10+19</f>
        <v>92</v>
      </c>
      <c r="O20" s="303">
        <v>43745</v>
      </c>
      <c r="P20" s="304">
        <f t="shared" ca="1" si="37"/>
        <v>0.14812561692891457</v>
      </c>
      <c r="Q20" s="178">
        <v>5</v>
      </c>
      <c r="R20" s="199">
        <f>(Q20/7)^0.5</f>
        <v>0.84515425472851657</v>
      </c>
      <c r="S20" s="199">
        <f>IF(Q20=7,1,((Q20+0.99)/7)^0.5)</f>
        <v>0.92504826128926143</v>
      </c>
      <c r="T20" s="111">
        <v>63820</v>
      </c>
      <c r="U20" s="268">
        <f t="shared" si="38"/>
        <v>390</v>
      </c>
      <c r="V20" s="111">
        <v>8148</v>
      </c>
      <c r="W20" s="108">
        <f>T20/V20</f>
        <v>7.8325969563082962</v>
      </c>
      <c r="X20" s="184">
        <v>0</v>
      </c>
      <c r="Y20" s="185">
        <v>2</v>
      </c>
      <c r="Z20" s="184">
        <f>10+0/7+2/14</f>
        <v>10.142857142857142</v>
      </c>
      <c r="AA20" s="185">
        <v>12</v>
      </c>
      <c r="AB20" s="184">
        <v>5</v>
      </c>
      <c r="AC20" s="185">
        <v>5</v>
      </c>
      <c r="AD20" s="184">
        <v>4</v>
      </c>
      <c r="AE20" s="312">
        <v>964</v>
      </c>
      <c r="AF20" s="632">
        <f ca="1">(Z20+P20+J20)*(Q20/7)^0.5</f>
        <v>9.5043122278013907</v>
      </c>
      <c r="AG20" s="632">
        <f ca="1">(Z20+P20+J20)*(IF(Q20=7, (Q20/7)^0.5, ((Q20+1)/7)^0.5))</f>
        <v>10.411452401478002</v>
      </c>
      <c r="AH20" s="108">
        <f ca="1">(((Y20+P20+J20)+(AB20+P20+J20)*2)/8)*(Q20/7)^0.5</f>
        <v>1.6172438914973317</v>
      </c>
      <c r="AI20" s="108">
        <f ca="1">(1.66*(AC20+J20+P20)+0.55*(AD20+J20+P20)-7.6)*(Q20/7)^0.5</f>
        <v>4.5107410608035545</v>
      </c>
      <c r="AJ20" s="108">
        <f ca="1">((AD20+J20+P20)*0.7+(AC20+J20+P20)*0.3)*(Q20/7)^0.5</f>
        <v>4.5661966537447727</v>
      </c>
      <c r="AK20" s="108">
        <f ca="1">(0.5*(AC20+P20+J20)+ 0.3*(AD20+P20+J20))/10</f>
        <v>0.45822373934202509</v>
      </c>
      <c r="AL20" s="108">
        <f ca="1">(0.4*(Y20+P20+J20)+0.3*(AD20+P20+J20))/10</f>
        <v>0.27719577192427192</v>
      </c>
      <c r="AM20" s="633">
        <f ca="1">(AD20+P20+(LOG(I20)*4/3))*(Q20/7)^0.5</f>
        <v>4.2081284003442443</v>
      </c>
      <c r="AN20" s="633">
        <f ca="1">(AD20+P20+(LOG(I20)*4/3))*(IF(Q20=7, (Q20/7)^0.5, ((Q20+1)/7)^0.5))</f>
        <v>4.6097736994933456</v>
      </c>
      <c r="AO20" s="178">
        <v>3</v>
      </c>
      <c r="AP20" s="178">
        <v>3</v>
      </c>
      <c r="AQ20" s="241">
        <f>IF(AO20=4,IF(AP20=0,0.137+0.0697,0.137+0.02),IF(AO20=3,IF(AP20=0,0.0958+0.0697,0.0958+0.02),IF(AO20=2,IF(AP20=0,0.0415+0.0697,0.0415+0.02),IF(AO20=1,IF(AP20=0,0.0294+0.0697,0.0294+0.02),IF(AO20=0,IF(AP20=0,0.0063+0.0697,0.0063+0.02))))))</f>
        <v>0.1158</v>
      </c>
      <c r="AR20" s="320">
        <v>0</v>
      </c>
      <c r="AS20" s="320">
        <v>34.5</v>
      </c>
      <c r="AT20" s="320">
        <v>8</v>
      </c>
      <c r="AU20" s="320">
        <v>2</v>
      </c>
      <c r="AV20" s="320">
        <f t="shared" si="25"/>
        <v>2.2770000000000001</v>
      </c>
      <c r="AW20" s="320">
        <f t="shared" si="26"/>
        <v>5.7615000000000007</v>
      </c>
      <c r="AX20" s="320">
        <f t="shared" si="27"/>
        <v>8.1419999999999995</v>
      </c>
      <c r="AY20" s="320">
        <f t="shared" si="28"/>
        <v>5.6924999999999999</v>
      </c>
      <c r="AZ20" s="320">
        <f t="shared" si="29"/>
        <v>13.11</v>
      </c>
      <c r="BA20" s="320">
        <f t="shared" si="30"/>
        <v>34.5</v>
      </c>
      <c r="BB20" s="320">
        <f t="shared" si="31"/>
        <v>32.774999999999999</v>
      </c>
      <c r="BC20" s="320">
        <f t="shared" si="32"/>
        <v>18.285</v>
      </c>
      <c r="BD20" s="320">
        <f t="shared" si="33"/>
        <v>15.18</v>
      </c>
      <c r="BE20" s="320">
        <f t="shared" si="34"/>
        <v>25.184999999999999</v>
      </c>
      <c r="BF20" s="320">
        <f t="shared" si="35"/>
        <v>15.870000000000001</v>
      </c>
      <c r="BG20" s="111">
        <v>63430</v>
      </c>
      <c r="BH20" s="316">
        <v>5093</v>
      </c>
      <c r="BI20" s="669">
        <f t="shared" si="36"/>
        <v>44.5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9">((34*112)-(E21*112)-(F21))/112</f>
        <v>-2.3928571428571428</v>
      </c>
      <c r="D21" s="624" t="s">
        <v>107</v>
      </c>
      <c r="E21" s="133">
        <v>36</v>
      </c>
      <c r="F21" s="138">
        <f ca="1">75-41471+$D$1-24-112-10-112-40-8-112-112-112-112-112-112-112-112-112-112-112-112-112-112-112-112-112-112</f>
        <v>44</v>
      </c>
      <c r="G21" s="134" t="s">
        <v>94</v>
      </c>
      <c r="H21" s="130">
        <v>2</v>
      </c>
      <c r="I21" s="102">
        <v>13.8</v>
      </c>
      <c r="J21" s="185">
        <f t="shared" ref="J21:J25" si="40">LOG(I21+1)*4/3</f>
        <v>1.5603489538599433</v>
      </c>
      <c r="K21" s="98">
        <f t="shared" ref="K21:K25" si="41">(H21)*(H21)*(I21)</f>
        <v>55.2</v>
      </c>
      <c r="L21" s="98">
        <f t="shared" ref="L21:L25" si="42">(H21+1)*(H21+1)*I21</f>
        <v>124.2</v>
      </c>
      <c r="M21" s="135">
        <v>3.4</v>
      </c>
      <c r="N21" s="178">
        <f t="shared" ref="N21:N25" si="43">M21*10+19</f>
        <v>53</v>
      </c>
      <c r="O21" s="178" t="s">
        <v>256</v>
      </c>
      <c r="P21" s="304">
        <v>1.5</v>
      </c>
      <c r="Q21" s="178">
        <v>7</v>
      </c>
      <c r="R21" s="199">
        <f t="shared" ref="R21:R25" si="44">(Q21/7)^0.5</f>
        <v>1</v>
      </c>
      <c r="S21" s="199">
        <f t="shared" ref="S21:S25" si="45">IF(Q21=7,1,((Q21+0.99)/7)^0.5)</f>
        <v>1</v>
      </c>
      <c r="T21" s="111">
        <v>7930</v>
      </c>
      <c r="U21" s="268">
        <f t="shared" ref="U21:U25" si="46">T21-BG21</f>
        <v>-310</v>
      </c>
      <c r="V21" s="111">
        <v>1790</v>
      </c>
      <c r="W21" s="108">
        <f t="shared" ref="W21:W25" si="47">T21/V21</f>
        <v>4.4301675977653634</v>
      </c>
      <c r="X21" s="184">
        <v>0</v>
      </c>
      <c r="Y21" s="185">
        <v>6.95</v>
      </c>
      <c r="Z21" s="184">
        <v>9.9499999999999993</v>
      </c>
      <c r="AA21" s="185">
        <v>12.95</v>
      </c>
      <c r="AB21" s="184">
        <v>9.9499999999999993</v>
      </c>
      <c r="AC21" s="185">
        <v>2.95</v>
      </c>
      <c r="AD21" s="184">
        <v>17.95</v>
      </c>
      <c r="AE21" s="312">
        <v>1305</v>
      </c>
      <c r="AF21" s="632">
        <f t="shared" ref="AF21:AF25" si="48">(Z21+P21+J21)*(Q21/7)^0.5</f>
        <v>13.010348953859943</v>
      </c>
      <c r="AG21" s="632">
        <f t="shared" ref="AG21:AG25" si="49">(Z21+P21+J21)*(IF(Q21=7, (Q21/7)^0.5, ((Q21+1)/7)^0.5))</f>
        <v>13.010348953859943</v>
      </c>
      <c r="AH21" s="108">
        <f t="shared" ref="AH21:AH25" si="50">(((Y21+P21+J21)+(AB21+P21+J21)*2)/8)*(Q21/7)^0.5</f>
        <v>4.503880857697478</v>
      </c>
      <c r="AI21" s="108">
        <f t="shared" ref="AI21:AI25" si="51">(1.66*(AC21+J21+P21)+0.55*(AD21+J21+P21)-7.6)*(Q21/7)^0.5</f>
        <v>13.932871188030477</v>
      </c>
      <c r="AJ21" s="108">
        <f t="shared" ref="AJ21:AJ25" si="52">((AD21+J21+P21)*0.7+(AC21+J21+P21)*0.3)*(Q21/7)^0.5</f>
        <v>16.510348953859943</v>
      </c>
      <c r="AK21" s="108">
        <f t="shared" ref="AK21:AK25" si="53">(0.5*(AC21+P21+J21)+ 0.3*(AD21+P21+J21))/10</f>
        <v>0.93082791630879547</v>
      </c>
      <c r="AL21" s="108">
        <f t="shared" ref="AL21:AL25" si="54">(0.4*(Y21+P21+J21)+0.3*(AD21+P21+J21))/10</f>
        <v>1.0307244267701958</v>
      </c>
      <c r="AM21" s="633">
        <f t="shared" ref="AM21:AM25" si="55">(AD21+P21+(LOG(I21)*4/3))*(Q21/7)^0.5</f>
        <v>20.969838781868315</v>
      </c>
      <c r="AN21" s="633">
        <f t="shared" ref="AN21:AN25" si="56">(AD21+P21+(LOG(I21)*4/3))*(IF(Q21=7, (Q21/7)^0.5, ((Q21+1)/7)^0.5))</f>
        <v>20.969838781868315</v>
      </c>
      <c r="AO21" s="178">
        <v>4</v>
      </c>
      <c r="AP21" s="178">
        <v>4</v>
      </c>
      <c r="AQ21" s="241">
        <f t="shared" ref="AQ21:AQ25" si="57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111">
        <v>8240</v>
      </c>
      <c r="BH21" s="318"/>
      <c r="BI21" s="637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9"/>
        <v>0.4732142857142857</v>
      </c>
      <c r="D22" s="624" t="s">
        <v>225</v>
      </c>
      <c r="E22" s="133">
        <v>33</v>
      </c>
      <c r="F22" s="58">
        <f ca="1">7-41471+$D$1-112-111-112+4-112-116-112-112-112-112-112-112-112-112-112-112-112-112-112-112-112</f>
        <v>59</v>
      </c>
      <c r="G22" s="134" t="s">
        <v>220</v>
      </c>
      <c r="H22" s="130">
        <v>2</v>
      </c>
      <c r="I22" s="102">
        <v>13.7</v>
      </c>
      <c r="J22" s="185">
        <f t="shared" si="40"/>
        <v>1.5564231129975681</v>
      </c>
      <c r="K22" s="98">
        <f t="shared" si="41"/>
        <v>54.8</v>
      </c>
      <c r="L22" s="98">
        <f t="shared" si="42"/>
        <v>123.3</v>
      </c>
      <c r="M22" s="135">
        <v>4.8</v>
      </c>
      <c r="N22" s="178">
        <f t="shared" si="43"/>
        <v>67</v>
      </c>
      <c r="O22" s="178" t="s">
        <v>256</v>
      </c>
      <c r="P22" s="304">
        <v>1.5</v>
      </c>
      <c r="Q22" s="178">
        <v>6</v>
      </c>
      <c r="R22" s="199">
        <f t="shared" si="44"/>
        <v>0.92582009977255142</v>
      </c>
      <c r="S22" s="199">
        <f t="shared" si="45"/>
        <v>0.99928545900129484</v>
      </c>
      <c r="T22" s="111">
        <v>48980</v>
      </c>
      <c r="U22" s="268">
        <f t="shared" si="46"/>
        <v>-410</v>
      </c>
      <c r="V22" s="111">
        <v>9890</v>
      </c>
      <c r="W22" s="108">
        <f t="shared" si="47"/>
        <v>4.9524772497472194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2">
        <f t="shared" si="48"/>
        <v>14.174153718421234</v>
      </c>
      <c r="AG22" s="632">
        <f t="shared" si="49"/>
        <v>15.309835811410267</v>
      </c>
      <c r="AH22" s="108">
        <f t="shared" si="50"/>
        <v>4.3987181914635007</v>
      </c>
      <c r="AI22" s="108">
        <f t="shared" si="51"/>
        <v>18.045803083446799</v>
      </c>
      <c r="AJ22" s="108">
        <f t="shared" si="52"/>
        <v>15.129217976900886</v>
      </c>
      <c r="AK22" s="108">
        <f t="shared" si="53"/>
        <v>1.0720138490398052</v>
      </c>
      <c r="AL22" s="108">
        <f t="shared" si="54"/>
        <v>1.0283496179098297</v>
      </c>
      <c r="AM22" s="633">
        <f t="shared" si="55"/>
        <v>17.605050077883991</v>
      </c>
      <c r="AN22" s="633">
        <f t="shared" si="56"/>
        <v>19.015627422875209</v>
      </c>
      <c r="AO22" s="178">
        <v>3</v>
      </c>
      <c r="AP22" s="178">
        <v>2</v>
      </c>
      <c r="AQ22" s="241">
        <f t="shared" si="57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111">
        <v>49390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9"/>
        <v>-2.5267857142857144</v>
      </c>
      <c r="D23" s="624" t="s">
        <v>169</v>
      </c>
      <c r="E23" s="57">
        <v>36</v>
      </c>
      <c r="F23" s="58">
        <f ca="1">7-41471+$D$1-112-111-112-112-112-112-112-112-112-112-112-112-112-112-112-112-112-112-112-112</f>
        <v>59</v>
      </c>
      <c r="G23" s="80"/>
      <c r="H23" s="130">
        <v>0</v>
      </c>
      <c r="I23" s="59">
        <v>12.3</v>
      </c>
      <c r="J23" s="185">
        <f t="shared" si="40"/>
        <v>1.4984688546227811</v>
      </c>
      <c r="K23" s="98">
        <f t="shared" si="41"/>
        <v>0</v>
      </c>
      <c r="L23" s="98">
        <f t="shared" si="42"/>
        <v>12.3</v>
      </c>
      <c r="M23" s="92">
        <v>3.5</v>
      </c>
      <c r="N23" s="178">
        <f t="shared" si="43"/>
        <v>54</v>
      </c>
      <c r="O23" s="178" t="s">
        <v>256</v>
      </c>
      <c r="P23" s="304">
        <v>1.5</v>
      </c>
      <c r="Q23" s="179">
        <v>6</v>
      </c>
      <c r="R23" s="199">
        <f t="shared" si="44"/>
        <v>0.92582009977255142</v>
      </c>
      <c r="S23" s="199">
        <f t="shared" si="45"/>
        <v>0.99928545900129484</v>
      </c>
      <c r="T23" s="111">
        <v>6150</v>
      </c>
      <c r="U23" s="268">
        <f t="shared" si="46"/>
        <v>-40</v>
      </c>
      <c r="V23" s="269">
        <v>4550</v>
      </c>
      <c r="W23" s="108">
        <f t="shared" si="47"/>
        <v>1.3516483516483517</v>
      </c>
      <c r="X23" s="184">
        <v>0</v>
      </c>
      <c r="Y23" s="185">
        <v>5.95</v>
      </c>
      <c r="Z23" s="184">
        <v>13.95</v>
      </c>
      <c r="AA23" s="185">
        <v>1.95</v>
      </c>
      <c r="AB23" s="184">
        <v>7.95</v>
      </c>
      <c r="AC23" s="185">
        <v>4.95</v>
      </c>
      <c r="AD23" s="184">
        <v>16.95</v>
      </c>
      <c r="AE23" s="312">
        <v>1170</v>
      </c>
      <c r="AF23" s="632">
        <f t="shared" si="48"/>
        <v>15.691233125978844</v>
      </c>
      <c r="AG23" s="632">
        <f t="shared" si="49"/>
        <v>16.948468854622782</v>
      </c>
      <c r="AH23" s="108">
        <f t="shared" si="50"/>
        <v>3.5696621728106877</v>
      </c>
      <c r="AI23" s="108">
        <f t="shared" si="51"/>
        <v>15.337243324164646</v>
      </c>
      <c r="AJ23" s="108">
        <f t="shared" si="52"/>
        <v>15.135741066115312</v>
      </c>
      <c r="AK23" s="108">
        <f t="shared" si="53"/>
        <v>0.99587750836982247</v>
      </c>
      <c r="AL23" s="108">
        <f t="shared" si="54"/>
        <v>0.9563928198235947</v>
      </c>
      <c r="AM23" s="633">
        <f t="shared" si="55"/>
        <v>18.426788919490825</v>
      </c>
      <c r="AN23" s="633">
        <f t="shared" si="56"/>
        <v>19.903206815252531</v>
      </c>
      <c r="AO23" s="179">
        <v>2</v>
      </c>
      <c r="AP23" s="179">
        <v>1</v>
      </c>
      <c r="AQ23" s="241">
        <f t="shared" si="57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6190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9"/>
        <v>-1.8571428571428572</v>
      </c>
      <c r="D24" s="624" t="s">
        <v>102</v>
      </c>
      <c r="E24" s="133">
        <v>35</v>
      </c>
      <c r="F24" s="138">
        <f ca="1">74-41471+$D$1-112-112-29-112-112-112-112-112-112-112-112-112-112-112-112-112-112-112-112-112-112</f>
        <v>96</v>
      </c>
      <c r="G24" s="134" t="s">
        <v>105</v>
      </c>
      <c r="H24" s="130">
        <v>3</v>
      </c>
      <c r="I24" s="102">
        <v>14.7</v>
      </c>
      <c r="J24" s="185">
        <f t="shared" si="40"/>
        <v>1.5945328698789785</v>
      </c>
      <c r="K24" s="98">
        <f t="shared" si="41"/>
        <v>132.29999999999998</v>
      </c>
      <c r="L24" s="98">
        <f t="shared" si="42"/>
        <v>235.2</v>
      </c>
      <c r="M24" s="135">
        <v>3.6</v>
      </c>
      <c r="N24" s="178">
        <f t="shared" si="43"/>
        <v>55</v>
      </c>
      <c r="O24" s="178" t="s">
        <v>256</v>
      </c>
      <c r="P24" s="304">
        <v>1.5</v>
      </c>
      <c r="Q24" s="178">
        <v>5</v>
      </c>
      <c r="R24" s="199">
        <f t="shared" si="44"/>
        <v>0.84515425472851657</v>
      </c>
      <c r="S24" s="199">
        <f t="shared" si="45"/>
        <v>0.92504826128926143</v>
      </c>
      <c r="T24" s="111">
        <v>2400</v>
      </c>
      <c r="U24" s="268">
        <f t="shared" si="46"/>
        <v>-100</v>
      </c>
      <c r="V24" s="111">
        <v>790</v>
      </c>
      <c r="W24" s="108">
        <f t="shared" si="47"/>
        <v>3.037974683544304</v>
      </c>
      <c r="X24" s="184">
        <v>0</v>
      </c>
      <c r="Y24" s="185">
        <v>5.95</v>
      </c>
      <c r="Z24" s="184">
        <v>8.9499999999999993</v>
      </c>
      <c r="AA24" s="185">
        <v>7.95</v>
      </c>
      <c r="AB24" s="184">
        <v>8.9499999999999993</v>
      </c>
      <c r="AC24" s="185">
        <v>6.95</v>
      </c>
      <c r="AD24" s="184">
        <f>17.99+0.2+0.15+0.15+0.15+0.15+0.11+0.1</f>
        <v>18.999999999999993</v>
      </c>
      <c r="AE24" s="312">
        <v>1153</v>
      </c>
      <c r="AF24" s="632">
        <f t="shared" si="48"/>
        <v>10.179488201195689</v>
      </c>
      <c r="AG24" s="632">
        <f t="shared" si="49"/>
        <v>11.151070623305131</v>
      </c>
      <c r="AH24" s="108">
        <f t="shared" si="50"/>
        <v>3.5003752299251896</v>
      </c>
      <c r="AI24" s="108">
        <f t="shared" si="51"/>
        <v>17.939174606018941</v>
      </c>
      <c r="AJ24" s="108">
        <f t="shared" si="52"/>
        <v>15.618055830373688</v>
      </c>
      <c r="AK24" s="108">
        <f t="shared" si="53"/>
        <v>1.1650626295903179</v>
      </c>
      <c r="AL24" s="108">
        <f t="shared" si="54"/>
        <v>1.0246173008915282</v>
      </c>
      <c r="AM24" s="633">
        <f t="shared" si="55"/>
        <v>18.64107983804228</v>
      </c>
      <c r="AN24" s="633">
        <f t="shared" si="56"/>
        <v>20.420279847101011</v>
      </c>
      <c r="AO24" s="178">
        <v>4</v>
      </c>
      <c r="AP24" s="178">
        <v>2</v>
      </c>
      <c r="AQ24" s="241">
        <f t="shared" si="57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2500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9"/>
        <v>0.8660714285714286</v>
      </c>
      <c r="D25" s="624" t="s">
        <v>251</v>
      </c>
      <c r="E25" s="57">
        <v>33</v>
      </c>
      <c r="F25" s="58">
        <f ca="1">7-41471+$D$1-112-111-43-112-112-1-112-112-112-112-112-112-112-112-112-112-112-112-112-112-112-112</f>
        <v>15</v>
      </c>
      <c r="G25" s="80"/>
      <c r="H25" s="310">
        <v>5</v>
      </c>
      <c r="I25" s="59">
        <v>6.3</v>
      </c>
      <c r="J25" s="185">
        <f t="shared" si="40"/>
        <v>1.1510971468272746</v>
      </c>
      <c r="K25" s="98">
        <f t="shared" si="41"/>
        <v>157.5</v>
      </c>
      <c r="L25" s="98">
        <f t="shared" si="42"/>
        <v>226.79999999999998</v>
      </c>
      <c r="M25" s="92">
        <v>4.5</v>
      </c>
      <c r="N25" s="178">
        <f t="shared" si="43"/>
        <v>64</v>
      </c>
      <c r="O25" s="178" t="s">
        <v>256</v>
      </c>
      <c r="P25" s="304">
        <v>1.5</v>
      </c>
      <c r="Q25" s="179">
        <v>5</v>
      </c>
      <c r="R25" s="199">
        <f t="shared" si="44"/>
        <v>0.84515425472851657</v>
      </c>
      <c r="S25" s="199">
        <f t="shared" si="45"/>
        <v>0.92504826128926143</v>
      </c>
      <c r="T25" s="269">
        <v>5880</v>
      </c>
      <c r="U25" s="268">
        <f t="shared" si="46"/>
        <v>190</v>
      </c>
      <c r="V25" s="269">
        <v>1560</v>
      </c>
      <c r="W25" s="108">
        <f t="shared" si="47"/>
        <v>3.7692307692307692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2">
        <f t="shared" si="48"/>
        <v>7.3115115617108009</v>
      </c>
      <c r="AG25" s="632">
        <f t="shared" si="49"/>
        <v>8.0093596236176623</v>
      </c>
      <c r="AH25" s="108">
        <f t="shared" si="50"/>
        <v>3.5785195478227818</v>
      </c>
      <c r="AI25" s="108">
        <f t="shared" si="51"/>
        <v>16.189711258805826</v>
      </c>
      <c r="AJ25" s="108">
        <f t="shared" si="52"/>
        <v>12.538790627206676</v>
      </c>
      <c r="AK25" s="108">
        <f t="shared" si="53"/>
        <v>1.0295877717461819</v>
      </c>
      <c r="AL25" s="108">
        <f t="shared" si="54"/>
        <v>0.76637680027790922</v>
      </c>
      <c r="AM25" s="633">
        <f t="shared" si="55"/>
        <v>14.000645703422308</v>
      </c>
      <c r="AN25" s="633">
        <f t="shared" si="56"/>
        <v>15.336938942804363</v>
      </c>
      <c r="AO25" s="179">
        <v>2</v>
      </c>
      <c r="AP25" s="179">
        <v>1</v>
      </c>
      <c r="AQ25" s="241">
        <f t="shared" si="57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5690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461230</v>
      </c>
      <c r="U26" s="68">
        <f>SUM(U4:U25)</f>
        <v>4960</v>
      </c>
      <c r="V26" s="68">
        <f>SUM(V4:V25)</f>
        <v>77888</v>
      </c>
      <c r="W26" s="107">
        <f t="shared" si="4"/>
        <v>5.921708093672966</v>
      </c>
      <c r="X26"/>
      <c r="AD26" s="105"/>
      <c r="AE26" s="68"/>
      <c r="AH26" s="635"/>
      <c r="AI26" s="635"/>
      <c r="AJ26" s="635"/>
      <c r="AK26" s="635"/>
      <c r="AL26" s="635"/>
      <c r="AM26" s="635"/>
      <c r="AN26" s="635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36"/>
      <c r="AI27" s="636"/>
      <c r="AJ27" s="636"/>
      <c r="AK27" s="636"/>
      <c r="AL27" s="636"/>
      <c r="AM27" s="636"/>
      <c r="AN27" s="636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82" priority="479" operator="greaterThan">
      <formula>6</formula>
    </cfRule>
    <cfRule type="cellIs" dxfId="81" priority="480" operator="lessThan">
      <formula>5</formula>
    </cfRule>
  </conditionalFormatting>
  <conditionalFormatting sqref="R5:S25">
    <cfRule type="cellIs" dxfId="80" priority="473" operator="greaterThan">
      <formula>0.95</formula>
    </cfRule>
    <cfRule type="cellIs" dxfId="79" priority="474" operator="lessThan">
      <formula>0.85</formula>
    </cfRule>
  </conditionalFormatting>
  <conditionalFormatting sqref="Q4">
    <cfRule type="cellIs" dxfId="78" priority="352" operator="greaterThan">
      <formula>6</formula>
    </cfRule>
    <cfRule type="cellIs" dxfId="77" priority="353" operator="lessThan">
      <formula>5</formula>
    </cfRule>
  </conditionalFormatting>
  <conditionalFormatting sqref="R4:S4">
    <cfRule type="cellIs" dxfId="76" priority="350" operator="greaterThan">
      <formula>0.95</formula>
    </cfRule>
    <cfRule type="cellIs" dxfId="75" priority="351" operator="lessThan">
      <formula>0.85</formula>
    </cfRule>
  </conditionalFormatting>
  <conditionalFormatting sqref="AQ4:AQ25">
    <cfRule type="cellIs" dxfId="74" priority="68" operator="lessThan">
      <formula>0.07</formula>
    </cfRule>
    <cfRule type="cellIs" dxfId="73" priority="69" operator="greaterThan">
      <formula>0.1</formula>
    </cfRule>
  </conditionalFormatting>
  <conditionalFormatting sqref="BI10:BI20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5">
    <cfRule type="dataBar" priority="37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7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7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7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72" priority="3798" operator="greaterThan">
      <formula>10</formula>
    </cfRule>
    <cfRule type="colorScale" priority="3799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806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8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814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{7901FFBE-912A-47FD-8848-5747A425192A}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01FFBE-912A-47FD-8848-5747A4251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16" t="s">
        <v>11</v>
      </c>
      <c r="E2" s="716"/>
      <c r="F2" s="717" t="s">
        <v>12</v>
      </c>
      <c r="G2" s="717"/>
      <c r="H2" s="718" t="s">
        <v>13</v>
      </c>
      <c r="I2" s="71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T110"/>
  <sheetViews>
    <sheetView workbookViewId="0">
      <selection activeCell="N13" sqref="N13"/>
    </sheetView>
  </sheetViews>
  <sheetFormatPr baseColWidth="10" defaultRowHeight="15" x14ac:dyDescent="0.25"/>
  <cols>
    <col min="1" max="1" width="22.2851562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5.57031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8554687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21.7109375" bestFit="1" customWidth="1"/>
    <col min="27" max="27" width="6.85546875" bestFit="1" customWidth="1"/>
    <col min="28" max="28" width="5.28515625" customWidth="1"/>
    <col min="29" max="29" width="17" bestFit="1" customWidth="1"/>
    <col min="30" max="30" width="5.28515625" bestFit="1" customWidth="1"/>
    <col min="31" max="31" width="5.7109375" bestFit="1" customWidth="1"/>
    <col min="32" max="32" width="5.140625" bestFit="1" customWidth="1"/>
    <col min="33" max="33" width="6.5703125" bestFit="1" customWidth="1"/>
    <col min="34" max="34" width="5.85546875" bestFit="1" customWidth="1"/>
    <col min="35" max="35" width="5" bestFit="1" customWidth="1"/>
    <col min="36" max="36" width="7.5703125" bestFit="1" customWidth="1"/>
    <col min="37" max="37" width="5.140625" bestFit="1" customWidth="1"/>
    <col min="38" max="38" width="7.42578125" bestFit="1" customWidth="1"/>
    <col min="39" max="39" width="5.140625" bestFit="1" customWidth="1"/>
    <col min="40" max="40" width="7.140625" bestFit="1" customWidth="1"/>
    <col min="41" max="41" width="7.5703125" bestFit="1" customWidth="1"/>
    <col min="42" max="42" width="8.140625" bestFit="1" customWidth="1"/>
    <col min="43" max="43" width="5.140625" bestFit="1" customWidth="1"/>
    <col min="44" max="44" width="7.5703125" bestFit="1" customWidth="1"/>
    <col min="45" max="45" width="5.140625" bestFit="1" customWidth="1"/>
    <col min="46" max="46" width="6" bestFit="1" customWidth="1"/>
  </cols>
  <sheetData>
    <row r="1" spans="1:46" ht="18.75" x14ac:dyDescent="0.3">
      <c r="A1" s="675" t="s">
        <v>443</v>
      </c>
      <c r="B1" s="675"/>
      <c r="C1" s="675"/>
      <c r="D1" s="675"/>
      <c r="E1" s="67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3"/>
      <c r="AA1" s="374"/>
      <c r="AC1" s="678" t="s">
        <v>577</v>
      </c>
      <c r="AD1" s="678"/>
      <c r="AE1" s="678"/>
      <c r="AF1" s="67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18"/>
      <c r="AT1" s="418"/>
    </row>
    <row r="2" spans="1:46" x14ac:dyDescent="0.25">
      <c r="A2" s="375" t="s">
        <v>71</v>
      </c>
      <c r="B2" s="375" t="s">
        <v>444</v>
      </c>
      <c r="C2" s="375" t="s">
        <v>61</v>
      </c>
      <c r="D2" s="376" t="s">
        <v>445</v>
      </c>
      <c r="E2" s="375" t="s">
        <v>446</v>
      </c>
      <c r="F2" s="375" t="s">
        <v>331</v>
      </c>
      <c r="G2" s="375" t="s">
        <v>1</v>
      </c>
      <c r="H2" s="375" t="s">
        <v>447</v>
      </c>
      <c r="I2" s="377" t="s">
        <v>2</v>
      </c>
      <c r="J2" s="377" t="s">
        <v>447</v>
      </c>
      <c r="K2" s="375" t="s">
        <v>321</v>
      </c>
      <c r="L2" s="375" t="s">
        <v>447</v>
      </c>
      <c r="M2" s="377" t="s">
        <v>260</v>
      </c>
      <c r="N2" s="377" t="s">
        <v>447</v>
      </c>
      <c r="O2" s="375" t="s">
        <v>262</v>
      </c>
      <c r="P2" s="375" t="s">
        <v>447</v>
      </c>
      <c r="Q2" s="377" t="s">
        <v>322</v>
      </c>
      <c r="R2" s="377" t="s">
        <v>447</v>
      </c>
      <c r="S2" s="375" t="s">
        <v>0</v>
      </c>
      <c r="T2" s="375" t="s">
        <v>447</v>
      </c>
      <c r="U2" s="376" t="s">
        <v>448</v>
      </c>
      <c r="V2" s="376" t="s">
        <v>75</v>
      </c>
      <c r="W2" s="376" t="s">
        <v>67</v>
      </c>
      <c r="X2" s="376" t="s">
        <v>449</v>
      </c>
      <c r="Y2" s="376" t="s">
        <v>0</v>
      </c>
      <c r="Z2" s="378" t="s">
        <v>450</v>
      </c>
      <c r="AA2" s="379"/>
    </row>
    <row r="3" spans="1:46" x14ac:dyDescent="0.25">
      <c r="A3" s="679" t="s">
        <v>451</v>
      </c>
      <c r="B3" s="679"/>
      <c r="C3" s="679"/>
      <c r="D3" s="679"/>
      <c r="E3" s="679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3"/>
      <c r="AA3" s="374"/>
      <c r="AC3" s="676" t="s">
        <v>452</v>
      </c>
      <c r="AD3" s="676"/>
      <c r="AE3" s="676"/>
      <c r="AF3" s="676"/>
      <c r="AG3" s="677" t="s">
        <v>453</v>
      </c>
      <c r="AH3" s="677"/>
      <c r="AI3" s="677"/>
      <c r="AJ3" s="677"/>
      <c r="AK3" s="677"/>
      <c r="AL3" s="677"/>
      <c r="AM3" s="677"/>
      <c r="AN3" s="677"/>
      <c r="AO3" s="677"/>
      <c r="AP3" s="677"/>
      <c r="AQ3" s="677"/>
      <c r="AR3" s="677"/>
      <c r="AS3" s="677"/>
      <c r="AT3" s="677"/>
    </row>
    <row r="4" spans="1:46" x14ac:dyDescent="0.25">
      <c r="A4" s="384" t="s">
        <v>452</v>
      </c>
      <c r="B4" s="384"/>
      <c r="C4" s="384"/>
      <c r="D4" s="384"/>
      <c r="E4" s="384"/>
      <c r="F4" s="384"/>
      <c r="G4" s="384" t="s">
        <v>453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6"/>
      <c r="AA4" s="387"/>
      <c r="AC4" s="422" t="s">
        <v>71</v>
      </c>
      <c r="AD4" s="422" t="s">
        <v>444</v>
      </c>
      <c r="AE4" s="422" t="s">
        <v>61</v>
      </c>
      <c r="AF4" s="446" t="s">
        <v>445</v>
      </c>
      <c r="AG4" s="447" t="s">
        <v>1</v>
      </c>
      <c r="AH4" s="447" t="s">
        <v>481</v>
      </c>
      <c r="AI4" s="447" t="s">
        <v>2</v>
      </c>
      <c r="AJ4" s="447" t="s">
        <v>482</v>
      </c>
      <c r="AK4" s="447" t="s">
        <v>321</v>
      </c>
      <c r="AL4" s="447" t="s">
        <v>483</v>
      </c>
      <c r="AM4" s="447" t="s">
        <v>260</v>
      </c>
      <c r="AN4" s="447" t="s">
        <v>484</v>
      </c>
      <c r="AO4" s="447" t="s">
        <v>322</v>
      </c>
      <c r="AP4" s="447" t="s">
        <v>485</v>
      </c>
      <c r="AQ4" s="447" t="s">
        <v>262</v>
      </c>
      <c r="AR4" s="447" t="s">
        <v>486</v>
      </c>
      <c r="AS4" s="447" t="s">
        <v>0</v>
      </c>
      <c r="AT4" s="447" t="s">
        <v>487</v>
      </c>
    </row>
    <row r="5" spans="1:46" x14ac:dyDescent="0.25">
      <c r="A5" s="384" t="s">
        <v>71</v>
      </c>
      <c r="B5" s="384" t="s">
        <v>444</v>
      </c>
      <c r="C5" s="384" t="s">
        <v>61</v>
      </c>
      <c r="D5" s="385" t="s">
        <v>445</v>
      </c>
      <c r="E5" s="384" t="s">
        <v>446</v>
      </c>
      <c r="F5" s="384" t="s">
        <v>331</v>
      </c>
      <c r="G5" s="384" t="s">
        <v>1</v>
      </c>
      <c r="H5" s="384" t="s">
        <v>447</v>
      </c>
      <c r="I5" s="388" t="s">
        <v>2</v>
      </c>
      <c r="J5" s="388" t="s">
        <v>447</v>
      </c>
      <c r="K5" s="384" t="s">
        <v>321</v>
      </c>
      <c r="L5" s="384" t="s">
        <v>447</v>
      </c>
      <c r="M5" s="388" t="s">
        <v>260</v>
      </c>
      <c r="N5" s="388" t="s">
        <v>447</v>
      </c>
      <c r="O5" s="384" t="s">
        <v>262</v>
      </c>
      <c r="P5" s="384" t="s">
        <v>447</v>
      </c>
      <c r="Q5" s="388" t="s">
        <v>322</v>
      </c>
      <c r="R5" s="388" t="s">
        <v>447</v>
      </c>
      <c r="S5" s="384" t="s">
        <v>0</v>
      </c>
      <c r="T5" s="384" t="s">
        <v>447</v>
      </c>
      <c r="U5" s="385" t="s">
        <v>448</v>
      </c>
      <c r="V5" s="385" t="s">
        <v>75</v>
      </c>
      <c r="W5" s="385" t="s">
        <v>67</v>
      </c>
      <c r="X5" s="385" t="s">
        <v>449</v>
      </c>
      <c r="Y5" s="385" t="s">
        <v>0</v>
      </c>
      <c r="Z5" s="386" t="s">
        <v>450</v>
      </c>
      <c r="AA5" s="379"/>
      <c r="AC5" s="487" t="s">
        <v>99</v>
      </c>
      <c r="AD5" s="424">
        <v>17</v>
      </c>
      <c r="AE5" s="425">
        <v>1798</v>
      </c>
      <c r="AF5" s="427" t="s">
        <v>220</v>
      </c>
      <c r="AG5" s="448"/>
      <c r="AH5" s="448"/>
      <c r="AI5" s="449">
        <v>3</v>
      </c>
      <c r="AJ5" s="449">
        <v>3.99</v>
      </c>
      <c r="AK5" s="449">
        <v>2</v>
      </c>
      <c r="AL5" s="449">
        <v>2.99</v>
      </c>
      <c r="AM5" s="448"/>
      <c r="AN5" s="450">
        <v>3.99</v>
      </c>
      <c r="AO5" s="448"/>
      <c r="AP5" s="450">
        <v>3.99</v>
      </c>
      <c r="AQ5" s="449">
        <v>2</v>
      </c>
      <c r="AR5" s="449">
        <v>2.99</v>
      </c>
      <c r="AS5" s="448"/>
      <c r="AT5" s="448"/>
    </row>
    <row r="6" spans="1:46" ht="15.75" x14ac:dyDescent="0.25">
      <c r="A6" s="665" t="s">
        <v>457</v>
      </c>
      <c r="B6" s="369">
        <v>16</v>
      </c>
      <c r="C6" s="412">
        <f ca="1">58+$A$33-$A$32-112</f>
        <v>64</v>
      </c>
      <c r="D6" s="413" t="s">
        <v>105</v>
      </c>
      <c r="E6" s="428">
        <f ca="1">F6-$A$33</f>
        <v>48</v>
      </c>
      <c r="F6" s="392">
        <v>43810</v>
      </c>
      <c r="G6" s="368"/>
      <c r="H6" s="398">
        <v>0.99</v>
      </c>
      <c r="I6" s="394">
        <v>1</v>
      </c>
      <c r="J6" s="405">
        <v>1.99</v>
      </c>
      <c r="K6" s="406">
        <v>5</v>
      </c>
      <c r="L6" s="648">
        <v>5.99</v>
      </c>
      <c r="M6" s="395">
        <v>3</v>
      </c>
      <c r="N6" s="398">
        <v>4.99</v>
      </c>
      <c r="O6" s="394">
        <v>2</v>
      </c>
      <c r="P6" s="405">
        <v>2.99</v>
      </c>
      <c r="Q6" s="406">
        <v>4</v>
      </c>
      <c r="R6" s="407">
        <v>4.99</v>
      </c>
      <c r="S6" s="368"/>
      <c r="T6" s="368"/>
      <c r="U6" s="370" t="s">
        <v>459</v>
      </c>
      <c r="V6" s="369"/>
      <c r="W6" s="400">
        <f>COUNTA(H6,J6,L6,N6,P6,R6,T6)</f>
        <v>6</v>
      </c>
      <c r="X6" s="400">
        <v>0</v>
      </c>
      <c r="Y6" s="400">
        <v>0</v>
      </c>
      <c r="Z6" s="401" t="s">
        <v>461</v>
      </c>
      <c r="AA6" s="369"/>
      <c r="AC6" s="487" t="s">
        <v>98</v>
      </c>
      <c r="AD6" s="424">
        <v>16</v>
      </c>
      <c r="AE6" s="425">
        <v>1849</v>
      </c>
      <c r="AF6" s="427"/>
      <c r="AG6" s="448"/>
      <c r="AH6" s="448"/>
      <c r="AI6" s="449">
        <v>4</v>
      </c>
      <c r="AJ6" s="449">
        <v>4.99</v>
      </c>
      <c r="AK6" s="448"/>
      <c r="AL6" s="448"/>
      <c r="AM6" s="449">
        <v>0</v>
      </c>
      <c r="AN6" s="449">
        <v>0.99</v>
      </c>
      <c r="AO6" s="451">
        <v>3</v>
      </c>
      <c r="AP6" s="450">
        <v>4.99</v>
      </c>
      <c r="AQ6" s="449">
        <v>1</v>
      </c>
      <c r="AR6" s="449">
        <v>1.99</v>
      </c>
      <c r="AS6" s="448"/>
      <c r="AT6" s="448"/>
    </row>
    <row r="7" spans="1:46" ht="15.75" x14ac:dyDescent="0.25">
      <c r="A7" s="440" t="s">
        <v>664</v>
      </c>
      <c r="B7" s="402">
        <v>16</v>
      </c>
      <c r="C7" s="390">
        <f ca="1">52+$A$33-$A$32-112</f>
        <v>58</v>
      </c>
      <c r="D7" s="403" t="s">
        <v>220</v>
      </c>
      <c r="E7" s="428">
        <f ca="1">F7-$A$33</f>
        <v>54</v>
      </c>
      <c r="F7" s="392">
        <v>43816</v>
      </c>
      <c r="G7" s="402"/>
      <c r="H7" s="426"/>
      <c r="I7" s="426"/>
      <c r="J7" s="398">
        <v>2.99</v>
      </c>
      <c r="K7" s="395">
        <v>4</v>
      </c>
      <c r="L7" s="396">
        <v>5.99</v>
      </c>
      <c r="M7" s="616">
        <v>3</v>
      </c>
      <c r="N7" s="617">
        <v>3.99</v>
      </c>
      <c r="O7" s="394">
        <v>1</v>
      </c>
      <c r="P7" s="405">
        <v>1.99</v>
      </c>
      <c r="Q7" s="616">
        <v>3</v>
      </c>
      <c r="R7" s="617">
        <v>3.99</v>
      </c>
      <c r="S7" s="426"/>
      <c r="T7" s="402"/>
      <c r="U7" s="399" t="s">
        <v>459</v>
      </c>
      <c r="V7" s="400"/>
      <c r="W7" s="400">
        <f t="shared" ref="W7" si="0">COUNTA(H7,J7,L7,N7,P7,R7,T7)</f>
        <v>5</v>
      </c>
      <c r="X7" s="400">
        <v>0</v>
      </c>
      <c r="Y7" s="400">
        <v>0</v>
      </c>
      <c r="Z7" s="401" t="s">
        <v>461</v>
      </c>
      <c r="AA7" s="374"/>
      <c r="AC7" s="487" t="s">
        <v>488</v>
      </c>
      <c r="AD7" s="424">
        <v>18</v>
      </c>
      <c r="AE7" s="425">
        <v>1773</v>
      </c>
      <c r="AF7" s="427"/>
      <c r="AG7" s="448"/>
      <c r="AH7" s="448"/>
      <c r="AI7" s="449">
        <v>4</v>
      </c>
      <c r="AJ7" s="449">
        <v>4.99</v>
      </c>
      <c r="AK7" s="449">
        <v>2</v>
      </c>
      <c r="AL7" s="449">
        <v>2.99</v>
      </c>
      <c r="AM7" s="448"/>
      <c r="AN7" s="448"/>
      <c r="AO7" s="448"/>
      <c r="AP7" s="448"/>
      <c r="AQ7" s="451">
        <v>4</v>
      </c>
      <c r="AR7" s="450">
        <v>4.99</v>
      </c>
      <c r="AS7" s="448"/>
      <c r="AT7" s="450">
        <v>2.99</v>
      </c>
    </row>
    <row r="8" spans="1:46" ht="15.75" x14ac:dyDescent="0.25">
      <c r="A8" s="440" t="s">
        <v>669</v>
      </c>
      <c r="B8" s="389">
        <v>15</v>
      </c>
      <c r="C8" s="390">
        <f ca="1">103+$A$33-$A$32-112</f>
        <v>109</v>
      </c>
      <c r="D8" s="403" t="s">
        <v>67</v>
      </c>
      <c r="E8" s="428">
        <f ca="1">F8-$A$33</f>
        <v>115</v>
      </c>
      <c r="F8" s="392">
        <v>43877</v>
      </c>
      <c r="G8" s="393"/>
      <c r="H8" s="426"/>
      <c r="I8" s="426"/>
      <c r="J8" s="398">
        <v>3.99</v>
      </c>
      <c r="K8" s="395">
        <v>4</v>
      </c>
      <c r="L8" s="396">
        <v>5.99</v>
      </c>
      <c r="M8" s="426"/>
      <c r="N8" s="396">
        <v>5.99</v>
      </c>
      <c r="O8" s="426"/>
      <c r="P8" s="398">
        <v>4.99</v>
      </c>
      <c r="Q8" s="395">
        <v>2</v>
      </c>
      <c r="R8" s="426"/>
      <c r="S8" s="393"/>
      <c r="T8" s="393"/>
      <c r="U8" s="408" t="s">
        <v>674</v>
      </c>
      <c r="V8" s="400"/>
      <c r="W8" s="400">
        <f t="shared" ref="W8" si="1">COUNTA(H8,J8,L8,N8,P8,R8,T8)</f>
        <v>4</v>
      </c>
      <c r="X8" s="400">
        <v>0</v>
      </c>
      <c r="Y8" s="400">
        <v>0</v>
      </c>
      <c r="Z8" s="401" t="s">
        <v>455</v>
      </c>
      <c r="AA8" s="387"/>
      <c r="AC8" s="487" t="s">
        <v>95</v>
      </c>
      <c r="AD8" s="424">
        <v>17</v>
      </c>
      <c r="AE8" s="425">
        <v>1752</v>
      </c>
      <c r="AF8" s="427"/>
      <c r="AG8" s="448"/>
      <c r="AH8" s="448">
        <v>1.99</v>
      </c>
      <c r="AI8" s="452">
        <v>6</v>
      </c>
      <c r="AJ8" s="453">
        <v>6.99</v>
      </c>
      <c r="AK8" s="454">
        <v>4</v>
      </c>
      <c r="AL8" s="454">
        <v>4.99</v>
      </c>
      <c r="AM8" s="449">
        <v>3</v>
      </c>
      <c r="AN8" s="449">
        <v>3.99</v>
      </c>
      <c r="AO8" s="451">
        <v>2</v>
      </c>
      <c r="AP8" s="450">
        <v>3.99</v>
      </c>
      <c r="AQ8" s="449">
        <v>2</v>
      </c>
      <c r="AR8" s="449">
        <v>2.99</v>
      </c>
      <c r="AS8" s="448"/>
      <c r="AT8" s="448"/>
    </row>
    <row r="9" spans="1:46" ht="15.75" x14ac:dyDescent="0.25">
      <c r="A9" s="441" t="s">
        <v>670</v>
      </c>
      <c r="B9" s="402">
        <v>15</v>
      </c>
      <c r="C9" s="390">
        <f ca="1">3+$A$33-$A$32-78</f>
        <v>43</v>
      </c>
      <c r="D9" s="391"/>
      <c r="E9" s="428">
        <f ca="1">F9-$A$33</f>
        <v>181</v>
      </c>
      <c r="F9" s="392">
        <v>43943</v>
      </c>
      <c r="G9" s="402"/>
      <c r="H9" s="402"/>
      <c r="I9" s="426"/>
      <c r="J9" s="398">
        <v>4.99</v>
      </c>
      <c r="K9" s="395">
        <v>4</v>
      </c>
      <c r="L9" s="397">
        <v>6.99</v>
      </c>
      <c r="M9" s="394">
        <v>2</v>
      </c>
      <c r="N9" s="405">
        <v>2.99</v>
      </c>
      <c r="O9" s="426"/>
      <c r="P9" s="398">
        <v>3.99</v>
      </c>
      <c r="Q9" s="426"/>
      <c r="R9" s="426"/>
      <c r="S9" s="426"/>
      <c r="T9" s="426"/>
      <c r="U9" s="370" t="s">
        <v>459</v>
      </c>
      <c r="V9" s="426"/>
      <c r="W9" s="400">
        <f>COUNTA(H9,J9,L9,N9,P9,R9,T9)</f>
        <v>4</v>
      </c>
      <c r="X9" s="400">
        <v>0</v>
      </c>
      <c r="Y9" s="400">
        <v>0</v>
      </c>
      <c r="Z9" s="401" t="s">
        <v>461</v>
      </c>
      <c r="AA9" s="379"/>
      <c r="AC9" s="487" t="s">
        <v>97</v>
      </c>
      <c r="AD9" s="424">
        <v>17</v>
      </c>
      <c r="AE9" s="425">
        <v>1701</v>
      </c>
      <c r="AF9" s="427"/>
      <c r="AG9" s="448"/>
      <c r="AH9" s="448"/>
      <c r="AI9" s="449">
        <v>1</v>
      </c>
      <c r="AJ9" s="449">
        <v>1.99</v>
      </c>
      <c r="AK9" s="454">
        <v>5</v>
      </c>
      <c r="AL9" s="455">
        <v>5.99</v>
      </c>
      <c r="AM9" s="449">
        <v>2</v>
      </c>
      <c r="AN9" s="449">
        <v>2.99</v>
      </c>
      <c r="AO9" s="449">
        <v>2</v>
      </c>
      <c r="AP9" s="449">
        <v>2.99</v>
      </c>
      <c r="AQ9" s="449">
        <v>2</v>
      </c>
      <c r="AR9" s="449">
        <v>2.99</v>
      </c>
      <c r="AS9" s="448"/>
      <c r="AT9" s="448"/>
    </row>
    <row r="10" spans="1:46" ht="15.75" x14ac:dyDescent="0.25">
      <c r="A10" s="680" t="s">
        <v>456</v>
      </c>
      <c r="B10" s="680"/>
      <c r="C10" s="680"/>
      <c r="D10" s="680"/>
      <c r="E10" s="680"/>
      <c r="F10" s="431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2"/>
      <c r="V10" s="432"/>
      <c r="W10" s="432"/>
      <c r="X10" s="432"/>
      <c r="Y10" s="432"/>
      <c r="Z10" s="433"/>
      <c r="AA10" s="368"/>
      <c r="AC10" s="487" t="s">
        <v>489</v>
      </c>
      <c r="AD10" s="424">
        <v>17</v>
      </c>
      <c r="AE10" s="425">
        <v>1714</v>
      </c>
      <c r="AF10" s="427" t="s">
        <v>96</v>
      </c>
      <c r="AG10" s="456"/>
      <c r="AH10" s="456"/>
      <c r="AI10" s="457">
        <v>5</v>
      </c>
      <c r="AJ10" s="458">
        <v>5.99</v>
      </c>
      <c r="AK10" s="459">
        <v>2</v>
      </c>
      <c r="AL10" s="459">
        <v>2.99</v>
      </c>
      <c r="AM10" s="459">
        <v>4</v>
      </c>
      <c r="AN10" s="459">
        <v>4.99</v>
      </c>
      <c r="AO10" s="459">
        <v>5</v>
      </c>
      <c r="AP10" s="460">
        <v>5.99</v>
      </c>
      <c r="AQ10" s="456"/>
      <c r="AR10" s="461">
        <v>5.99</v>
      </c>
      <c r="AS10" s="456"/>
      <c r="AT10" s="450">
        <v>2.99</v>
      </c>
    </row>
    <row r="11" spans="1:46" ht="15.75" x14ac:dyDescent="0.25">
      <c r="A11" s="434" t="s">
        <v>452</v>
      </c>
      <c r="B11" s="434"/>
      <c r="C11" s="434"/>
      <c r="D11" s="434"/>
      <c r="E11" s="434"/>
      <c r="F11" s="434"/>
      <c r="G11" s="434" t="s">
        <v>453</v>
      </c>
      <c r="H11" s="434"/>
      <c r="I11" s="434"/>
      <c r="J11" s="434"/>
      <c r="K11" s="434"/>
      <c r="L11" s="434"/>
      <c r="M11" s="434"/>
      <c r="N11" s="434"/>
      <c r="O11" s="434"/>
      <c r="P11" s="434"/>
      <c r="Q11" s="434"/>
      <c r="R11" s="434"/>
      <c r="S11" s="434"/>
      <c r="T11" s="434"/>
      <c r="U11" s="435"/>
      <c r="V11" s="435"/>
      <c r="W11" s="435"/>
      <c r="X11" s="435"/>
      <c r="Y11" s="435"/>
      <c r="Z11" s="436"/>
      <c r="AA11" s="368"/>
      <c r="AC11" s="487" t="s">
        <v>490</v>
      </c>
      <c r="AD11" s="424">
        <v>17</v>
      </c>
      <c r="AE11" s="425">
        <v>1719</v>
      </c>
      <c r="AF11" s="427" t="s">
        <v>220</v>
      </c>
      <c r="AG11" s="456"/>
      <c r="AH11" s="456"/>
      <c r="AI11" s="462">
        <v>2</v>
      </c>
      <c r="AJ11" s="456"/>
      <c r="AK11" s="462">
        <v>2</v>
      </c>
      <c r="AL11" s="456"/>
      <c r="AM11" s="456"/>
      <c r="AN11" s="462">
        <v>2.99</v>
      </c>
      <c r="AO11" s="457">
        <v>5</v>
      </c>
      <c r="AP11" s="458">
        <v>5.99</v>
      </c>
      <c r="AQ11" s="457">
        <v>4</v>
      </c>
      <c r="AR11" s="457">
        <v>4.99</v>
      </c>
      <c r="AS11" s="456"/>
      <c r="AT11" s="456"/>
    </row>
    <row r="12" spans="1:46" ht="15.75" x14ac:dyDescent="0.25">
      <c r="A12" s="434" t="s">
        <v>71</v>
      </c>
      <c r="B12" s="434" t="s">
        <v>444</v>
      </c>
      <c r="C12" s="434" t="s">
        <v>61</v>
      </c>
      <c r="D12" s="435" t="s">
        <v>445</v>
      </c>
      <c r="E12" s="434" t="s">
        <v>446</v>
      </c>
      <c r="F12" s="434" t="s">
        <v>331</v>
      </c>
      <c r="G12" s="434" t="s">
        <v>1</v>
      </c>
      <c r="H12" s="434" t="s">
        <v>447</v>
      </c>
      <c r="I12" s="437" t="s">
        <v>2</v>
      </c>
      <c r="J12" s="437" t="s">
        <v>447</v>
      </c>
      <c r="K12" s="434" t="s">
        <v>321</v>
      </c>
      <c r="L12" s="434" t="s">
        <v>447</v>
      </c>
      <c r="M12" s="437" t="s">
        <v>260</v>
      </c>
      <c r="N12" s="437" t="s">
        <v>447</v>
      </c>
      <c r="O12" s="434" t="s">
        <v>262</v>
      </c>
      <c r="P12" s="434" t="s">
        <v>447</v>
      </c>
      <c r="Q12" s="437" t="s">
        <v>322</v>
      </c>
      <c r="R12" s="437" t="s">
        <v>447</v>
      </c>
      <c r="S12" s="434" t="s">
        <v>0</v>
      </c>
      <c r="T12" s="434" t="s">
        <v>447</v>
      </c>
      <c r="U12" s="435" t="s">
        <v>448</v>
      </c>
      <c r="V12" s="435" t="s">
        <v>75</v>
      </c>
      <c r="W12" s="435" t="s">
        <v>67</v>
      </c>
      <c r="X12" s="435" t="s">
        <v>449</v>
      </c>
      <c r="Y12" s="435" t="s">
        <v>0</v>
      </c>
      <c r="Z12" s="436" t="s">
        <v>450</v>
      </c>
      <c r="AA12" s="369"/>
      <c r="AC12" s="487" t="s">
        <v>491</v>
      </c>
      <c r="AD12" s="424">
        <v>18</v>
      </c>
      <c r="AE12" s="425">
        <v>1715</v>
      </c>
      <c r="AF12" s="427"/>
      <c r="AG12" s="456"/>
      <c r="AH12" s="456"/>
      <c r="AI12" s="456"/>
      <c r="AJ12" s="462">
        <v>2.99</v>
      </c>
      <c r="AK12" s="459">
        <v>2</v>
      </c>
      <c r="AL12" s="459">
        <v>2.99</v>
      </c>
      <c r="AM12" s="462">
        <v>5</v>
      </c>
      <c r="AN12" s="463">
        <v>6.99</v>
      </c>
      <c r="AO12" s="457">
        <v>3</v>
      </c>
      <c r="AP12" s="457">
        <v>3.99</v>
      </c>
      <c r="AQ12" s="456"/>
      <c r="AR12" s="461">
        <v>5.99</v>
      </c>
      <c r="AS12" s="456"/>
      <c r="AT12" s="456"/>
    </row>
    <row r="13" spans="1:46" ht="15.75" x14ac:dyDescent="0.25">
      <c r="A13" s="440" t="s">
        <v>677</v>
      </c>
      <c r="B13" s="402">
        <v>15</v>
      </c>
      <c r="C13" s="390">
        <f ca="1">-18+$A$33-$A$32</f>
        <v>100</v>
      </c>
      <c r="D13" s="403"/>
      <c r="E13" s="404">
        <f ca="1">F13-A33</f>
        <v>124</v>
      </c>
      <c r="F13" s="392">
        <v>43886</v>
      </c>
      <c r="G13" s="402"/>
      <c r="H13" s="402"/>
      <c r="I13" s="426"/>
      <c r="J13" s="398">
        <v>1.99</v>
      </c>
      <c r="K13" s="616">
        <v>4</v>
      </c>
      <c r="L13" s="617">
        <v>4.99</v>
      </c>
      <c r="M13" s="426"/>
      <c r="N13" s="426"/>
      <c r="O13" s="426"/>
      <c r="P13" s="398">
        <v>2.99</v>
      </c>
      <c r="Q13" s="395">
        <v>3</v>
      </c>
      <c r="R13" s="398">
        <v>4.99</v>
      </c>
      <c r="S13" s="426"/>
      <c r="T13" s="426"/>
      <c r="U13" s="426"/>
      <c r="V13" s="400"/>
      <c r="W13" s="400">
        <f>COUNTA(H13,J13,L13,N13,P13,R13,T13)</f>
        <v>4</v>
      </c>
      <c r="X13" s="400">
        <v>0</v>
      </c>
      <c r="Y13" s="400">
        <v>0</v>
      </c>
      <c r="Z13" s="401" t="s">
        <v>455</v>
      </c>
      <c r="AA13" s="423"/>
      <c r="AC13" s="487" t="s">
        <v>101</v>
      </c>
      <c r="AD13" s="424">
        <v>18</v>
      </c>
      <c r="AE13" s="425">
        <v>1707</v>
      </c>
      <c r="AF13" s="427" t="s">
        <v>94</v>
      </c>
      <c r="AG13" s="456"/>
      <c r="AH13" s="456"/>
      <c r="AI13" s="462">
        <v>1</v>
      </c>
      <c r="AJ13" s="462">
        <v>2.99</v>
      </c>
      <c r="AK13" s="462">
        <v>6</v>
      </c>
      <c r="AL13" s="463">
        <v>7</v>
      </c>
      <c r="AM13" s="457">
        <v>4</v>
      </c>
      <c r="AN13" s="457">
        <v>4.99</v>
      </c>
      <c r="AO13" s="456"/>
      <c r="AP13" s="456"/>
      <c r="AQ13" s="459">
        <v>3</v>
      </c>
      <c r="AR13" s="459">
        <v>3.99</v>
      </c>
      <c r="AS13" s="456"/>
      <c r="AT13" s="462">
        <v>4.99</v>
      </c>
    </row>
    <row r="14" spans="1:46" ht="15.75" x14ac:dyDescent="0.25">
      <c r="A14" s="441" t="s">
        <v>681</v>
      </c>
      <c r="B14" s="389">
        <v>15</v>
      </c>
      <c r="C14" s="390">
        <f ca="1">-39+$A$33-$A$32</f>
        <v>79</v>
      </c>
      <c r="D14" s="403"/>
      <c r="E14" s="428">
        <f ca="1">F14-$A$33</f>
        <v>145</v>
      </c>
      <c r="F14" s="392">
        <v>43907</v>
      </c>
      <c r="G14" s="393"/>
      <c r="H14" s="393"/>
      <c r="I14" s="395">
        <v>3</v>
      </c>
      <c r="J14" s="393"/>
      <c r="K14" s="395">
        <v>4</v>
      </c>
      <c r="L14" s="393"/>
      <c r="M14" s="393"/>
      <c r="N14" s="398">
        <v>3.99</v>
      </c>
      <c r="O14" s="393"/>
      <c r="P14" s="398">
        <v>4.99</v>
      </c>
      <c r="Q14" s="393"/>
      <c r="R14" s="393"/>
      <c r="S14" s="393"/>
      <c r="T14" s="393"/>
      <c r="U14" s="399" t="s">
        <v>459</v>
      </c>
      <c r="V14" s="400" t="s">
        <v>460</v>
      </c>
      <c r="W14" s="400">
        <f>COUNTA(H14,J14,L14,N14,P14,R14,T14)</f>
        <v>2</v>
      </c>
      <c r="X14" s="400">
        <v>0</v>
      </c>
      <c r="Y14" s="400">
        <v>0</v>
      </c>
      <c r="Z14" s="401" t="s">
        <v>455</v>
      </c>
      <c r="AA14" s="368"/>
      <c r="AC14" s="487" t="s">
        <v>102</v>
      </c>
      <c r="AD14" s="424">
        <v>17</v>
      </c>
      <c r="AE14" s="425">
        <v>1601</v>
      </c>
      <c r="AF14" s="427" t="s">
        <v>105</v>
      </c>
      <c r="AG14" s="456"/>
      <c r="AH14" s="462">
        <v>1.99</v>
      </c>
      <c r="AI14" s="462">
        <v>4</v>
      </c>
      <c r="AJ14" s="461">
        <v>5.99</v>
      </c>
      <c r="AK14" s="459">
        <v>2</v>
      </c>
      <c r="AL14" s="459">
        <v>2.99</v>
      </c>
      <c r="AM14" s="459">
        <v>2</v>
      </c>
      <c r="AN14" s="459">
        <v>2.99</v>
      </c>
      <c r="AO14" s="459">
        <v>6</v>
      </c>
      <c r="AP14" s="464">
        <v>6.99</v>
      </c>
      <c r="AQ14" s="459">
        <v>2</v>
      </c>
      <c r="AR14" s="459">
        <v>2.99</v>
      </c>
      <c r="AS14" s="456"/>
      <c r="AT14" s="463">
        <v>7</v>
      </c>
    </row>
    <row r="15" spans="1:46" ht="15.75" x14ac:dyDescent="0.25">
      <c r="A15" s="675" t="s">
        <v>465</v>
      </c>
      <c r="B15" s="675"/>
      <c r="C15" s="675"/>
      <c r="D15" s="675"/>
      <c r="E15" s="675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1"/>
      <c r="V15" s="371"/>
      <c r="W15" s="371"/>
      <c r="X15" s="371"/>
      <c r="Y15" s="371"/>
      <c r="Z15" s="411"/>
      <c r="AA15" s="374"/>
      <c r="AC15" s="487" t="s">
        <v>492</v>
      </c>
      <c r="AD15" s="424">
        <v>18</v>
      </c>
      <c r="AE15" s="425">
        <v>1658</v>
      </c>
      <c r="AF15" s="427"/>
      <c r="AG15" s="456"/>
      <c r="AH15" s="456"/>
      <c r="AI15" s="457">
        <v>4</v>
      </c>
      <c r="AJ15" s="457">
        <v>4.99</v>
      </c>
      <c r="AK15" s="457">
        <v>2</v>
      </c>
      <c r="AL15" s="457">
        <v>2.99</v>
      </c>
      <c r="AM15" s="457">
        <v>4</v>
      </c>
      <c r="AN15" s="457">
        <v>4.99</v>
      </c>
      <c r="AO15" s="462">
        <v>6</v>
      </c>
      <c r="AP15" s="463">
        <v>6.99</v>
      </c>
      <c r="AQ15" s="457">
        <v>5</v>
      </c>
      <c r="AR15" s="458">
        <v>5.99</v>
      </c>
      <c r="AS15" s="459">
        <v>4</v>
      </c>
      <c r="AT15" s="459">
        <v>4.99</v>
      </c>
    </row>
    <row r="16" spans="1:46" ht="15.75" x14ac:dyDescent="0.25">
      <c r="A16" s="375" t="s">
        <v>452</v>
      </c>
      <c r="B16" s="375"/>
      <c r="C16" s="375"/>
      <c r="D16" s="375"/>
      <c r="E16" s="375"/>
      <c r="F16" s="375"/>
      <c r="G16" s="375" t="s">
        <v>453</v>
      </c>
      <c r="H16" s="375"/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/>
      <c r="T16" s="375"/>
      <c r="U16" s="376"/>
      <c r="V16" s="376"/>
      <c r="W16" s="376"/>
      <c r="X16" s="376"/>
      <c r="Y16" s="376"/>
      <c r="Z16" s="411"/>
      <c r="AA16" s="387"/>
      <c r="AC16" s="487" t="s">
        <v>169</v>
      </c>
      <c r="AD16" s="424">
        <v>17</v>
      </c>
      <c r="AE16" s="425">
        <v>1676</v>
      </c>
      <c r="AF16" s="427"/>
      <c r="AG16" s="465"/>
      <c r="AH16" s="462">
        <v>1.99</v>
      </c>
      <c r="AI16" s="462">
        <v>1</v>
      </c>
      <c r="AJ16" s="465"/>
      <c r="AK16" s="459">
        <v>6</v>
      </c>
      <c r="AL16" s="464">
        <v>6.99</v>
      </c>
      <c r="AM16" s="465"/>
      <c r="AN16" s="462">
        <v>1.99</v>
      </c>
      <c r="AO16" s="462">
        <v>5</v>
      </c>
      <c r="AP16" s="463">
        <v>6.99</v>
      </c>
      <c r="AQ16" s="459">
        <v>1</v>
      </c>
      <c r="AR16" s="459">
        <v>1.99</v>
      </c>
      <c r="AS16" s="465"/>
      <c r="AT16" s="462">
        <v>2.99</v>
      </c>
    </row>
    <row r="17" spans="1:46" ht="15.75" x14ac:dyDescent="0.25">
      <c r="A17" s="375" t="s">
        <v>71</v>
      </c>
      <c r="B17" s="375" t="s">
        <v>444</v>
      </c>
      <c r="C17" s="375" t="s">
        <v>61</v>
      </c>
      <c r="D17" s="376" t="s">
        <v>445</v>
      </c>
      <c r="E17" s="375" t="s">
        <v>446</v>
      </c>
      <c r="F17" s="375" t="s">
        <v>331</v>
      </c>
      <c r="G17" s="375" t="s">
        <v>1</v>
      </c>
      <c r="H17" s="375" t="s">
        <v>447</v>
      </c>
      <c r="I17" s="377" t="s">
        <v>2</v>
      </c>
      <c r="J17" s="377" t="s">
        <v>447</v>
      </c>
      <c r="K17" s="375" t="s">
        <v>321</v>
      </c>
      <c r="L17" s="375" t="s">
        <v>447</v>
      </c>
      <c r="M17" s="377" t="s">
        <v>260</v>
      </c>
      <c r="N17" s="377" t="s">
        <v>447</v>
      </c>
      <c r="O17" s="375" t="s">
        <v>262</v>
      </c>
      <c r="P17" s="375" t="s">
        <v>447</v>
      </c>
      <c r="Q17" s="377" t="s">
        <v>322</v>
      </c>
      <c r="R17" s="377" t="s">
        <v>447</v>
      </c>
      <c r="S17" s="375" t="s">
        <v>0</v>
      </c>
      <c r="T17" s="375" t="s">
        <v>447</v>
      </c>
      <c r="U17" s="376" t="s">
        <v>448</v>
      </c>
      <c r="V17" s="376" t="s">
        <v>75</v>
      </c>
      <c r="W17" s="376" t="s">
        <v>67</v>
      </c>
      <c r="X17" s="376" t="s">
        <v>449</v>
      </c>
      <c r="Y17" s="376" t="s">
        <v>0</v>
      </c>
      <c r="Z17" s="411" t="s">
        <v>450</v>
      </c>
      <c r="AA17" s="379"/>
      <c r="AC17" s="487" t="s">
        <v>107</v>
      </c>
      <c r="AD17" s="424">
        <v>18</v>
      </c>
      <c r="AE17" s="425">
        <v>1549</v>
      </c>
      <c r="AF17" s="427" t="s">
        <v>94</v>
      </c>
      <c r="AG17" s="466"/>
      <c r="AH17" s="466"/>
      <c r="AI17" s="457">
        <v>3</v>
      </c>
      <c r="AJ17" s="457">
        <v>3.99</v>
      </c>
      <c r="AK17" s="459">
        <v>3</v>
      </c>
      <c r="AL17" s="459">
        <v>3.99</v>
      </c>
      <c r="AM17" s="457">
        <v>5</v>
      </c>
      <c r="AN17" s="458">
        <v>5.99</v>
      </c>
      <c r="AO17" s="466"/>
      <c r="AP17" s="462">
        <v>2.99</v>
      </c>
      <c r="AQ17" s="459">
        <v>4</v>
      </c>
      <c r="AR17" s="459">
        <v>4.99</v>
      </c>
      <c r="AS17" s="459">
        <v>4</v>
      </c>
      <c r="AT17" s="459">
        <v>4.99</v>
      </c>
    </row>
    <row r="18" spans="1:46" ht="15.75" x14ac:dyDescent="0.25">
      <c r="A18" s="440" t="s">
        <v>673</v>
      </c>
      <c r="B18" s="402">
        <v>15</v>
      </c>
      <c r="C18" s="390">
        <f ca="1">9+$A$33-$A$32-74-34</f>
        <v>19</v>
      </c>
      <c r="D18" s="403"/>
      <c r="E18" s="428">
        <f ca="1">F18-$A$33</f>
        <v>205</v>
      </c>
      <c r="F18" s="392">
        <v>43967</v>
      </c>
      <c r="G18" s="395">
        <v>3</v>
      </c>
      <c r="H18" s="426"/>
      <c r="I18" s="426"/>
      <c r="J18" s="398">
        <v>2.99</v>
      </c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370" t="s">
        <v>459</v>
      </c>
      <c r="V18" s="400"/>
      <c r="W18" s="400">
        <f>COUNTA(H18,J18,L18,N18,P18,R18,T18)</f>
        <v>1</v>
      </c>
      <c r="X18" s="400">
        <v>0</v>
      </c>
      <c r="Y18" s="400">
        <v>0</v>
      </c>
      <c r="Z18" s="401" t="s">
        <v>455</v>
      </c>
      <c r="AC18" s="487" t="s">
        <v>493</v>
      </c>
      <c r="AD18" s="424">
        <v>16</v>
      </c>
      <c r="AE18" s="425">
        <v>1633</v>
      </c>
      <c r="AF18" s="427" t="s">
        <v>96</v>
      </c>
      <c r="AG18" s="467"/>
      <c r="AH18" s="467"/>
      <c r="AI18" s="459">
        <v>2</v>
      </c>
      <c r="AJ18" s="459">
        <v>2.99</v>
      </c>
      <c r="AK18" s="457">
        <v>5</v>
      </c>
      <c r="AL18" s="458">
        <v>5.99</v>
      </c>
      <c r="AM18" s="459">
        <v>2</v>
      </c>
      <c r="AN18" s="459">
        <v>2.99</v>
      </c>
      <c r="AO18" s="457">
        <v>4</v>
      </c>
      <c r="AP18" s="457">
        <v>4.99</v>
      </c>
      <c r="AQ18" s="467"/>
      <c r="AR18" s="462">
        <v>4.99</v>
      </c>
      <c r="AS18" s="467"/>
      <c r="AT18" s="462">
        <v>1.99</v>
      </c>
    </row>
    <row r="19" spans="1:46" ht="15.75" x14ac:dyDescent="0.25">
      <c r="A19" s="441" t="s">
        <v>665</v>
      </c>
      <c r="B19" s="426">
        <v>16</v>
      </c>
      <c r="C19" s="425">
        <f ca="1">-2+$A$33-$A$32-112</f>
        <v>4</v>
      </c>
      <c r="D19" s="391"/>
      <c r="E19" s="428">
        <f ca="1">F19-$A$33</f>
        <v>108</v>
      </c>
      <c r="F19" s="392">
        <v>43870</v>
      </c>
      <c r="G19" s="426"/>
      <c r="H19" s="397">
        <v>6.99</v>
      </c>
      <c r="I19" s="426"/>
      <c r="J19" s="398">
        <v>1.99</v>
      </c>
      <c r="K19" s="426"/>
      <c r="L19" s="426"/>
      <c r="M19" s="426"/>
      <c r="N19" s="426"/>
      <c r="O19" s="426"/>
      <c r="P19" s="426"/>
      <c r="Q19" s="395">
        <v>0</v>
      </c>
      <c r="R19" s="398">
        <v>1.99</v>
      </c>
      <c r="S19" s="426"/>
      <c r="T19" s="426"/>
      <c r="U19" s="408" t="s">
        <v>478</v>
      </c>
      <c r="V19" s="400"/>
      <c r="W19" s="400">
        <f>COUNTA(H19,J19,L19,N19,P19,R19,T19)</f>
        <v>3</v>
      </c>
      <c r="X19" s="400">
        <v>0</v>
      </c>
      <c r="Y19" s="400">
        <v>0</v>
      </c>
      <c r="Z19" s="401" t="s">
        <v>455</v>
      </c>
      <c r="AA19" s="402"/>
      <c r="AC19" s="487" t="s">
        <v>181</v>
      </c>
      <c r="AD19" s="424">
        <v>16</v>
      </c>
      <c r="AE19" s="425">
        <v>1626</v>
      </c>
      <c r="AF19" s="427"/>
      <c r="AG19" s="465"/>
      <c r="AH19" s="465"/>
      <c r="AI19" s="459">
        <v>4</v>
      </c>
      <c r="AJ19" s="459">
        <v>4.99</v>
      </c>
      <c r="AK19" s="459">
        <v>5</v>
      </c>
      <c r="AL19" s="460">
        <v>5.99</v>
      </c>
      <c r="AM19" s="459">
        <v>4</v>
      </c>
      <c r="AN19" s="459">
        <v>4.99</v>
      </c>
      <c r="AO19" s="465"/>
      <c r="AP19" s="465"/>
      <c r="AQ19" s="457">
        <v>2</v>
      </c>
      <c r="AR19" s="457">
        <v>2.99</v>
      </c>
      <c r="AS19" s="459">
        <v>1</v>
      </c>
      <c r="AT19" s="459">
        <v>1.99</v>
      </c>
    </row>
    <row r="20" spans="1:46" ht="15.75" x14ac:dyDescent="0.25">
      <c r="A20" s="440" t="s">
        <v>667</v>
      </c>
      <c r="B20" s="426">
        <v>16</v>
      </c>
      <c r="C20" s="425">
        <f ca="1">9+$A$33-$A$32-74</f>
        <v>53</v>
      </c>
      <c r="D20" s="427"/>
      <c r="E20" s="428">
        <f ca="1">F20-$A$33</f>
        <v>60</v>
      </c>
      <c r="F20" s="392">
        <v>43822</v>
      </c>
      <c r="G20" s="426"/>
      <c r="H20" s="426"/>
      <c r="I20" s="395">
        <v>3</v>
      </c>
      <c r="J20" s="398">
        <v>4.99</v>
      </c>
      <c r="K20" s="395">
        <v>3</v>
      </c>
      <c r="L20" s="398">
        <v>4.99</v>
      </c>
      <c r="M20" s="395">
        <v>3</v>
      </c>
      <c r="N20" s="398">
        <v>3.99</v>
      </c>
      <c r="O20" s="394">
        <v>2</v>
      </c>
      <c r="P20" s="405">
        <v>2.99</v>
      </c>
      <c r="Q20" s="426"/>
      <c r="R20" s="398">
        <v>4.99</v>
      </c>
      <c r="S20" s="426"/>
      <c r="T20" s="426"/>
      <c r="U20" s="370" t="s">
        <v>459</v>
      </c>
      <c r="V20" s="400"/>
      <c r="W20" s="400">
        <f>COUNTA(H20,J20,L20,N20,P20,R20,T20)</f>
        <v>5</v>
      </c>
      <c r="X20" s="400">
        <v>0</v>
      </c>
      <c r="Y20" s="400">
        <v>0</v>
      </c>
      <c r="Z20" s="401" t="s">
        <v>461</v>
      </c>
      <c r="AA20" s="368"/>
      <c r="AC20" s="487" t="s">
        <v>494</v>
      </c>
      <c r="AD20" s="424">
        <v>17</v>
      </c>
      <c r="AE20" s="425">
        <v>1561</v>
      </c>
      <c r="AF20" s="427" t="s">
        <v>94</v>
      </c>
      <c r="AG20" s="456"/>
      <c r="AH20" s="456"/>
      <c r="AI20" s="459">
        <v>4</v>
      </c>
      <c r="AJ20" s="459">
        <v>4.99</v>
      </c>
      <c r="AK20" s="457">
        <v>5</v>
      </c>
      <c r="AL20" s="458">
        <v>5.99</v>
      </c>
      <c r="AM20" s="459">
        <v>4</v>
      </c>
      <c r="AN20" s="459">
        <v>4.99</v>
      </c>
      <c r="AO20" s="456"/>
      <c r="AP20" s="456"/>
      <c r="AQ20" s="456"/>
      <c r="AR20" s="462">
        <v>2.99</v>
      </c>
      <c r="AS20" s="459">
        <v>3</v>
      </c>
      <c r="AT20" s="459">
        <v>3.99</v>
      </c>
    </row>
    <row r="21" spans="1:46" ht="15.75" x14ac:dyDescent="0.25">
      <c r="A21" s="439" t="s">
        <v>651</v>
      </c>
      <c r="B21" s="402">
        <v>17</v>
      </c>
      <c r="C21" s="390">
        <f ca="1">2+$A$33-$A$32-112</f>
        <v>8</v>
      </c>
      <c r="D21" s="391"/>
      <c r="E21" s="428">
        <f ca="1">F21-$A$33</f>
        <v>18</v>
      </c>
      <c r="F21" s="392">
        <v>43780</v>
      </c>
      <c r="G21" s="402"/>
      <c r="H21" s="398">
        <v>1.99</v>
      </c>
      <c r="I21" s="395">
        <v>3</v>
      </c>
      <c r="J21" s="396">
        <v>5.99</v>
      </c>
      <c r="K21" s="616">
        <v>4</v>
      </c>
      <c r="L21" s="617">
        <v>4.99</v>
      </c>
      <c r="M21" s="394">
        <v>2</v>
      </c>
      <c r="N21" s="405">
        <v>2.99</v>
      </c>
      <c r="O21" s="426"/>
      <c r="P21" s="397">
        <v>6.99</v>
      </c>
      <c r="Q21" s="395">
        <v>4</v>
      </c>
      <c r="R21" s="396">
        <v>5.99</v>
      </c>
      <c r="S21" s="426"/>
      <c r="T21" s="426"/>
      <c r="U21" s="408" t="s">
        <v>652</v>
      </c>
      <c r="V21" s="400"/>
      <c r="W21" s="400">
        <f>COUNTA(H21,J21,L21,N21,P21,R21,T21)</f>
        <v>6</v>
      </c>
      <c r="X21" s="400">
        <v>0</v>
      </c>
      <c r="Y21" s="400">
        <v>0</v>
      </c>
      <c r="Z21" s="401" t="s">
        <v>461</v>
      </c>
      <c r="AA21" s="368"/>
      <c r="AC21" s="487" t="s">
        <v>495</v>
      </c>
      <c r="AD21" s="424">
        <v>17</v>
      </c>
      <c r="AE21" s="425">
        <v>1515</v>
      </c>
      <c r="AF21" s="427"/>
      <c r="AG21" s="465"/>
      <c r="AH21" s="465"/>
      <c r="AI21" s="457">
        <v>3</v>
      </c>
      <c r="AJ21" s="457">
        <v>3.99</v>
      </c>
      <c r="AK21" s="459">
        <v>4</v>
      </c>
      <c r="AL21" s="459">
        <v>4.99</v>
      </c>
      <c r="AM21" s="459">
        <v>5</v>
      </c>
      <c r="AN21" s="460">
        <v>5.99</v>
      </c>
      <c r="AO21" s="465"/>
      <c r="AP21" s="465"/>
      <c r="AQ21" s="459">
        <v>3</v>
      </c>
      <c r="AR21" s="459">
        <v>3.99</v>
      </c>
      <c r="AS21" s="465"/>
      <c r="AT21" s="465"/>
    </row>
    <row r="22" spans="1:46" ht="15.75" x14ac:dyDescent="0.25">
      <c r="A22" s="439" t="s">
        <v>467</v>
      </c>
      <c r="B22" s="402">
        <v>18</v>
      </c>
      <c r="C22" s="390">
        <f ca="1">103+$A$33-$A$32-112</f>
        <v>109</v>
      </c>
      <c r="D22" s="391"/>
      <c r="E22" s="428">
        <v>0</v>
      </c>
      <c r="F22" s="392">
        <f t="shared" ref="F22:F29" ca="1" si="2">TODAY()</f>
        <v>43762</v>
      </c>
      <c r="G22" s="409">
        <v>1</v>
      </c>
      <c r="H22" s="410">
        <v>1.99</v>
      </c>
      <c r="I22" s="394">
        <v>4</v>
      </c>
      <c r="J22" s="405">
        <v>4.99</v>
      </c>
      <c r="K22" s="394">
        <v>3</v>
      </c>
      <c r="L22" s="405">
        <v>3.99</v>
      </c>
      <c r="M22" s="394">
        <v>1</v>
      </c>
      <c r="N22" s="405">
        <v>1.99</v>
      </c>
      <c r="O22" s="402"/>
      <c r="P22" s="396">
        <v>5.99</v>
      </c>
      <c r="Q22" s="395">
        <v>4</v>
      </c>
      <c r="R22" s="396">
        <v>5.99</v>
      </c>
      <c r="S22" s="402"/>
      <c r="T22" s="396">
        <v>5.99</v>
      </c>
      <c r="U22" s="408" t="s">
        <v>468</v>
      </c>
      <c r="V22" s="400"/>
      <c r="W22" s="400">
        <f t="shared" ref="W22:W29" si="3">COUNTA(H22,J22,L22,N22,P22,R22,T22)</f>
        <v>7</v>
      </c>
      <c r="X22" s="400">
        <v>3</v>
      </c>
      <c r="Y22" s="400">
        <v>6</v>
      </c>
      <c r="Z22" s="401" t="s">
        <v>461</v>
      </c>
      <c r="AA22" s="368"/>
      <c r="AC22" s="487" t="s">
        <v>496</v>
      </c>
      <c r="AD22" s="424">
        <v>19</v>
      </c>
      <c r="AE22" s="425">
        <v>1502</v>
      </c>
      <c r="AF22" s="427"/>
      <c r="AG22" s="465"/>
      <c r="AH22" s="462">
        <v>1.99</v>
      </c>
      <c r="AI22" s="465"/>
      <c r="AJ22" s="462">
        <v>2.99</v>
      </c>
      <c r="AK22" s="462">
        <v>3</v>
      </c>
      <c r="AL22" s="465"/>
      <c r="AM22" s="465"/>
      <c r="AN22" s="465"/>
      <c r="AO22" s="457">
        <v>5</v>
      </c>
      <c r="AP22" s="468">
        <v>5.99</v>
      </c>
      <c r="AQ22" s="465"/>
      <c r="AR22" s="462">
        <v>2.99</v>
      </c>
      <c r="AS22" s="465"/>
      <c r="AT22" s="465"/>
    </row>
    <row r="23" spans="1:46" ht="15.75" x14ac:dyDescent="0.25">
      <c r="A23" s="439" t="s">
        <v>469</v>
      </c>
      <c r="B23" s="402">
        <v>18</v>
      </c>
      <c r="C23" s="390">
        <f ca="1">92+$A$33-$A$32-112</f>
        <v>98</v>
      </c>
      <c r="D23" s="391"/>
      <c r="E23" s="428">
        <v>0</v>
      </c>
      <c r="F23" s="392">
        <f t="shared" ca="1" si="2"/>
        <v>43762</v>
      </c>
      <c r="G23" s="402"/>
      <c r="H23" s="398">
        <v>1.99</v>
      </c>
      <c r="I23" s="394">
        <v>4</v>
      </c>
      <c r="J23" s="405">
        <v>4.99</v>
      </c>
      <c r="K23" s="394">
        <v>3</v>
      </c>
      <c r="L23" s="405">
        <v>3.99</v>
      </c>
      <c r="M23" s="402"/>
      <c r="N23" s="398">
        <v>2.99</v>
      </c>
      <c r="O23" s="402"/>
      <c r="P23" s="396">
        <v>5.99</v>
      </c>
      <c r="Q23" s="409">
        <v>3</v>
      </c>
      <c r="R23" s="410">
        <v>3.99</v>
      </c>
      <c r="S23" s="402"/>
      <c r="T23" s="398">
        <v>4.99</v>
      </c>
      <c r="U23" s="408" t="s">
        <v>470</v>
      </c>
      <c r="V23" s="400"/>
      <c r="W23" s="400">
        <f t="shared" si="3"/>
        <v>7</v>
      </c>
      <c r="X23" s="400">
        <v>0</v>
      </c>
      <c r="Y23" s="400">
        <v>0</v>
      </c>
      <c r="Z23" s="401" t="s">
        <v>461</v>
      </c>
      <c r="AA23" s="368"/>
      <c r="AC23" s="487" t="s">
        <v>497</v>
      </c>
      <c r="AD23" s="424">
        <v>18</v>
      </c>
      <c r="AE23" s="425">
        <v>1561</v>
      </c>
      <c r="AF23" s="427"/>
      <c r="AG23" s="456"/>
      <c r="AH23" s="456"/>
      <c r="AI23" s="462">
        <v>1</v>
      </c>
      <c r="AJ23" s="462">
        <v>2.99</v>
      </c>
      <c r="AK23" s="457">
        <v>3</v>
      </c>
      <c r="AL23" s="457">
        <v>3.99</v>
      </c>
      <c r="AM23" s="456"/>
      <c r="AN23" s="461">
        <v>5.99</v>
      </c>
      <c r="AO23" s="462">
        <v>3</v>
      </c>
      <c r="AP23" s="462">
        <v>4.99</v>
      </c>
      <c r="AQ23" s="459">
        <v>1</v>
      </c>
      <c r="AR23" s="459">
        <v>1.99</v>
      </c>
      <c r="AS23" s="456"/>
      <c r="AT23" s="456"/>
    </row>
    <row r="24" spans="1:46" ht="15.75" x14ac:dyDescent="0.25">
      <c r="A24" s="439" t="s">
        <v>471</v>
      </c>
      <c r="B24" s="389">
        <v>18</v>
      </c>
      <c r="C24" s="414">
        <f ca="1">75+$A$33-$A$32-112</f>
        <v>81</v>
      </c>
      <c r="D24" s="368"/>
      <c r="E24" s="428">
        <v>0</v>
      </c>
      <c r="F24" s="392">
        <f t="shared" ca="1" si="2"/>
        <v>43762</v>
      </c>
      <c r="G24" s="368"/>
      <c r="H24" s="398">
        <v>1.99</v>
      </c>
      <c r="I24" s="394">
        <v>3</v>
      </c>
      <c r="J24" s="405">
        <v>3.99</v>
      </c>
      <c r="K24" s="394">
        <v>3</v>
      </c>
      <c r="L24" s="405">
        <v>3.99</v>
      </c>
      <c r="M24" s="395">
        <v>4</v>
      </c>
      <c r="N24" s="396">
        <v>5.99</v>
      </c>
      <c r="O24" s="618">
        <v>4</v>
      </c>
      <c r="P24" s="626">
        <v>4.99</v>
      </c>
      <c r="Q24" s="368"/>
      <c r="R24" s="398">
        <v>3.99</v>
      </c>
      <c r="S24" s="394">
        <v>1</v>
      </c>
      <c r="T24" s="405">
        <v>1.99</v>
      </c>
      <c r="U24" s="399" t="s">
        <v>459</v>
      </c>
      <c r="V24" s="368"/>
      <c r="W24" s="400">
        <f t="shared" si="3"/>
        <v>7</v>
      </c>
      <c r="X24" s="370">
        <v>0</v>
      </c>
      <c r="Y24" s="370">
        <v>0</v>
      </c>
      <c r="Z24" s="401" t="s">
        <v>461</v>
      </c>
      <c r="AA24" s="402"/>
      <c r="AC24" s="487" t="s">
        <v>498</v>
      </c>
      <c r="AD24" s="424">
        <v>18</v>
      </c>
      <c r="AE24" s="425">
        <v>1540</v>
      </c>
      <c r="AF24" s="427" t="s">
        <v>105</v>
      </c>
      <c r="AG24" s="465"/>
      <c r="AH24" s="465"/>
      <c r="AI24" s="465"/>
      <c r="AJ24" s="462">
        <v>4.99</v>
      </c>
      <c r="AK24" s="459">
        <v>5.5</v>
      </c>
      <c r="AL24" s="460">
        <v>5.99</v>
      </c>
      <c r="AM24" s="459">
        <v>1</v>
      </c>
      <c r="AN24" s="459">
        <v>1.99</v>
      </c>
      <c r="AO24" s="459">
        <v>2</v>
      </c>
      <c r="AP24" s="459">
        <v>2.99</v>
      </c>
      <c r="AQ24" s="459">
        <v>3</v>
      </c>
      <c r="AR24" s="459">
        <v>3.99</v>
      </c>
      <c r="AS24" s="465"/>
      <c r="AT24" s="465"/>
    </row>
    <row r="25" spans="1:46" ht="15.75" x14ac:dyDescent="0.25">
      <c r="A25" s="439" t="s">
        <v>472</v>
      </c>
      <c r="B25" s="402">
        <v>18</v>
      </c>
      <c r="C25" s="390">
        <f ca="1">75+$A$33-$A$32-112</f>
        <v>81</v>
      </c>
      <c r="D25" s="403" t="s">
        <v>94</v>
      </c>
      <c r="E25" s="428">
        <v>0</v>
      </c>
      <c r="F25" s="392">
        <f t="shared" ca="1" si="2"/>
        <v>43762</v>
      </c>
      <c r="G25" s="402"/>
      <c r="H25" s="402"/>
      <c r="I25" s="394">
        <v>2</v>
      </c>
      <c r="J25" s="405">
        <v>2.99</v>
      </c>
      <c r="K25" s="394">
        <v>2</v>
      </c>
      <c r="L25" s="405">
        <v>2.99</v>
      </c>
      <c r="M25" s="395">
        <v>5</v>
      </c>
      <c r="N25" s="397">
        <v>6.99</v>
      </c>
      <c r="O25" s="402"/>
      <c r="P25" s="396">
        <v>5.99</v>
      </c>
      <c r="Q25" s="395">
        <v>2</v>
      </c>
      <c r="R25" s="398">
        <v>3.99</v>
      </c>
      <c r="S25" s="402"/>
      <c r="T25" s="398">
        <v>3.99</v>
      </c>
      <c r="U25" s="399" t="s">
        <v>459</v>
      </c>
      <c r="V25" s="400"/>
      <c r="W25" s="400">
        <f t="shared" si="3"/>
        <v>6</v>
      </c>
      <c r="X25" s="400">
        <v>0</v>
      </c>
      <c r="Y25" s="400">
        <v>0</v>
      </c>
      <c r="Z25" s="401" t="s">
        <v>455</v>
      </c>
      <c r="AA25" s="368"/>
      <c r="AC25" s="487" t="s">
        <v>499</v>
      </c>
      <c r="AD25" s="424">
        <v>18</v>
      </c>
      <c r="AE25" s="425">
        <v>1501</v>
      </c>
      <c r="AF25" s="427" t="s">
        <v>67</v>
      </c>
      <c r="AG25" s="465"/>
      <c r="AH25" s="462">
        <v>1.99</v>
      </c>
      <c r="AI25" s="465"/>
      <c r="AJ25" s="462">
        <v>1.99</v>
      </c>
      <c r="AK25" s="457">
        <v>5</v>
      </c>
      <c r="AL25" s="458">
        <v>5.99</v>
      </c>
      <c r="AM25" s="465"/>
      <c r="AN25" s="462">
        <v>3.99</v>
      </c>
      <c r="AO25" s="459">
        <v>3</v>
      </c>
      <c r="AP25" s="459">
        <v>3.99</v>
      </c>
      <c r="AQ25" s="457">
        <v>2</v>
      </c>
      <c r="AR25" s="457">
        <v>2.99</v>
      </c>
      <c r="AS25" s="465"/>
      <c r="AT25" s="465"/>
    </row>
    <row r="26" spans="1:46" ht="15.75" x14ac:dyDescent="0.25">
      <c r="A26" s="438" t="s">
        <v>473</v>
      </c>
      <c r="B26" s="389">
        <v>18</v>
      </c>
      <c r="C26" s="390">
        <f ca="1">48+$A$33-$A$32-112</f>
        <v>54</v>
      </c>
      <c r="D26" s="403" t="s">
        <v>67</v>
      </c>
      <c r="E26" s="428">
        <v>0</v>
      </c>
      <c r="F26" s="392">
        <f t="shared" ca="1" si="2"/>
        <v>43762</v>
      </c>
      <c r="G26" s="393"/>
      <c r="H26" s="398">
        <v>1.99</v>
      </c>
      <c r="I26" s="618">
        <v>4</v>
      </c>
      <c r="J26" s="626">
        <v>4.99</v>
      </c>
      <c r="K26" s="394">
        <v>3</v>
      </c>
      <c r="L26" s="405">
        <v>3.99</v>
      </c>
      <c r="M26" s="394">
        <v>2</v>
      </c>
      <c r="N26" s="405">
        <v>2.99</v>
      </c>
      <c r="O26" s="394">
        <v>2</v>
      </c>
      <c r="P26" s="405">
        <v>2.99</v>
      </c>
      <c r="Q26" s="395">
        <v>4</v>
      </c>
      <c r="R26" s="397">
        <v>6.99</v>
      </c>
      <c r="S26" s="393"/>
      <c r="T26" s="398">
        <v>2.99</v>
      </c>
      <c r="U26" s="399" t="s">
        <v>459</v>
      </c>
      <c r="V26" s="400" t="s">
        <v>460</v>
      </c>
      <c r="W26" s="400">
        <f t="shared" si="3"/>
        <v>7</v>
      </c>
      <c r="X26" s="400">
        <v>0</v>
      </c>
      <c r="Y26" s="400">
        <v>0</v>
      </c>
      <c r="Z26" s="401" t="s">
        <v>461</v>
      </c>
      <c r="AA26" s="402"/>
      <c r="AC26" s="487" t="s">
        <v>500</v>
      </c>
      <c r="AD26" s="424">
        <v>16</v>
      </c>
      <c r="AE26" s="425">
        <v>1510</v>
      </c>
      <c r="AF26" s="427"/>
      <c r="AG26" s="456"/>
      <c r="AH26" s="462">
        <v>1.99</v>
      </c>
      <c r="AI26" s="459">
        <v>3</v>
      </c>
      <c r="AJ26" s="460">
        <v>3.99</v>
      </c>
      <c r="AK26" s="459">
        <v>5.4</v>
      </c>
      <c r="AL26" s="460">
        <v>5.99</v>
      </c>
      <c r="AM26" s="459">
        <v>2</v>
      </c>
      <c r="AN26" s="459">
        <v>2.99</v>
      </c>
      <c r="AO26" s="456"/>
      <c r="AP26" s="456"/>
      <c r="AQ26" s="459">
        <v>4</v>
      </c>
      <c r="AR26" s="459">
        <v>4.99</v>
      </c>
      <c r="AS26" s="465"/>
      <c r="AT26" s="462">
        <v>3.99</v>
      </c>
    </row>
    <row r="27" spans="1:46" ht="15.75" x14ac:dyDescent="0.25">
      <c r="A27" s="438" t="s">
        <v>474</v>
      </c>
      <c r="B27" s="389">
        <v>17</v>
      </c>
      <c r="C27" s="390">
        <f ca="1">76+$A$33-$A$32-112</f>
        <v>82</v>
      </c>
      <c r="D27" s="403" t="s">
        <v>67</v>
      </c>
      <c r="E27" s="428">
        <v>0</v>
      </c>
      <c r="F27" s="392">
        <f t="shared" ca="1" si="2"/>
        <v>43762</v>
      </c>
      <c r="G27" s="393"/>
      <c r="H27" s="398">
        <v>0.99</v>
      </c>
      <c r="I27" s="394">
        <v>3</v>
      </c>
      <c r="J27" s="405">
        <v>3.99</v>
      </c>
      <c r="K27" s="618">
        <v>4</v>
      </c>
      <c r="L27" s="626">
        <v>4.99</v>
      </c>
      <c r="M27" s="393"/>
      <c r="N27" s="398">
        <v>3.99</v>
      </c>
      <c r="O27" s="393"/>
      <c r="P27" s="397">
        <v>6.99</v>
      </c>
      <c r="Q27" s="393"/>
      <c r="R27" s="398">
        <v>4.99</v>
      </c>
      <c r="S27" s="393"/>
      <c r="T27" s="393"/>
      <c r="U27" s="408" t="s">
        <v>475</v>
      </c>
      <c r="V27" s="400" t="s">
        <v>460</v>
      </c>
      <c r="W27" s="400">
        <f t="shared" si="3"/>
        <v>6</v>
      </c>
      <c r="X27" s="400">
        <v>0</v>
      </c>
      <c r="Y27" s="400">
        <v>0</v>
      </c>
      <c r="Z27" s="401" t="s">
        <v>455</v>
      </c>
      <c r="AA27" s="368"/>
      <c r="AC27" s="487" t="s">
        <v>501</v>
      </c>
      <c r="AD27" s="424">
        <v>17</v>
      </c>
      <c r="AE27" s="425">
        <v>1456</v>
      </c>
      <c r="AF27" s="427"/>
      <c r="AG27" s="469"/>
      <c r="AH27" s="469"/>
      <c r="AI27" s="469"/>
      <c r="AJ27" s="462">
        <v>3.99</v>
      </c>
      <c r="AK27" s="459">
        <v>2</v>
      </c>
      <c r="AL27" s="459">
        <v>2.99</v>
      </c>
      <c r="AM27" s="459">
        <v>4</v>
      </c>
      <c r="AN27" s="459">
        <v>4.99</v>
      </c>
      <c r="AO27" s="459">
        <v>5</v>
      </c>
      <c r="AP27" s="460">
        <v>5.99</v>
      </c>
      <c r="AQ27" s="459">
        <v>6</v>
      </c>
      <c r="AR27" s="464">
        <v>6.99</v>
      </c>
      <c r="AS27" s="469"/>
      <c r="AT27" s="469"/>
    </row>
    <row r="28" spans="1:46" ht="15.75" x14ac:dyDescent="0.25">
      <c r="A28" s="438" t="s">
        <v>476</v>
      </c>
      <c r="B28" s="389">
        <v>18</v>
      </c>
      <c r="C28" s="390">
        <f ca="1">27+$A$33-$A$32-112</f>
        <v>33</v>
      </c>
      <c r="D28" s="403"/>
      <c r="E28" s="428">
        <v>0</v>
      </c>
      <c r="F28" s="392">
        <f t="shared" ca="1" si="2"/>
        <v>43762</v>
      </c>
      <c r="G28" s="393"/>
      <c r="H28" s="393"/>
      <c r="I28" s="393"/>
      <c r="J28" s="393"/>
      <c r="K28" s="395">
        <v>3</v>
      </c>
      <c r="L28" s="393"/>
      <c r="M28" s="393"/>
      <c r="N28" s="393"/>
      <c r="O28" s="393"/>
      <c r="P28" s="397">
        <v>7</v>
      </c>
      <c r="Q28" s="393"/>
      <c r="R28" s="398">
        <v>1.99</v>
      </c>
      <c r="S28" s="393"/>
      <c r="T28" s="396">
        <v>5.99</v>
      </c>
      <c r="U28" s="399" t="s">
        <v>459</v>
      </c>
      <c r="V28" s="400" t="s">
        <v>460</v>
      </c>
      <c r="W28" s="400">
        <f t="shared" si="3"/>
        <v>3</v>
      </c>
      <c r="X28" s="400">
        <v>0</v>
      </c>
      <c r="Y28" s="400">
        <v>0</v>
      </c>
      <c r="Z28" s="401" t="s">
        <v>461</v>
      </c>
      <c r="AA28" s="368"/>
      <c r="AC28" s="487" t="s">
        <v>502</v>
      </c>
      <c r="AD28" s="424">
        <v>17</v>
      </c>
      <c r="AE28" s="425">
        <v>1439</v>
      </c>
      <c r="AF28" s="427" t="s">
        <v>220</v>
      </c>
      <c r="AG28" s="465"/>
      <c r="AH28" s="465"/>
      <c r="AI28" s="459">
        <v>2</v>
      </c>
      <c r="AJ28" s="459">
        <v>2.99</v>
      </c>
      <c r="AK28" s="457">
        <v>4</v>
      </c>
      <c r="AL28" s="457">
        <v>4.99</v>
      </c>
      <c r="AM28" s="465"/>
      <c r="AN28" s="462">
        <v>3.99</v>
      </c>
      <c r="AO28" s="465"/>
      <c r="AP28" s="462">
        <v>3.99</v>
      </c>
      <c r="AQ28" s="459">
        <v>4</v>
      </c>
      <c r="AR28" s="459">
        <v>4.99</v>
      </c>
      <c r="AS28" s="465"/>
      <c r="AT28" s="465"/>
    </row>
    <row r="29" spans="1:46" ht="15.75" x14ac:dyDescent="0.25">
      <c r="A29" s="439" t="s">
        <v>477</v>
      </c>
      <c r="B29" s="402">
        <v>17</v>
      </c>
      <c r="C29" s="390">
        <f ca="1">68+$A$33-$A$32-112</f>
        <v>74</v>
      </c>
      <c r="D29" s="391"/>
      <c r="E29" s="428">
        <v>0</v>
      </c>
      <c r="F29" s="392">
        <f t="shared" ca="1" si="2"/>
        <v>43762</v>
      </c>
      <c r="G29" s="402"/>
      <c r="H29" s="397">
        <v>6.99</v>
      </c>
      <c r="I29" s="618">
        <v>2</v>
      </c>
      <c r="J29" s="626">
        <v>2.99</v>
      </c>
      <c r="K29" s="618">
        <v>1</v>
      </c>
      <c r="L29" s="626">
        <v>1.99</v>
      </c>
      <c r="M29" s="394">
        <v>0</v>
      </c>
      <c r="N29" s="405">
        <v>0.99</v>
      </c>
      <c r="O29" s="402"/>
      <c r="P29" s="398">
        <v>0.99</v>
      </c>
      <c r="Q29" s="402"/>
      <c r="R29" s="398">
        <v>1.99</v>
      </c>
      <c r="S29" s="402"/>
      <c r="T29" s="398">
        <v>1.99</v>
      </c>
      <c r="U29" s="408" t="s">
        <v>478</v>
      </c>
      <c r="V29" s="400"/>
      <c r="W29" s="400">
        <f t="shared" si="3"/>
        <v>7</v>
      </c>
      <c r="X29" s="400">
        <v>0</v>
      </c>
      <c r="Y29" s="400">
        <v>0</v>
      </c>
      <c r="Z29" s="401" t="s">
        <v>461</v>
      </c>
      <c r="AA29" s="402"/>
      <c r="AC29" s="487" t="s">
        <v>225</v>
      </c>
      <c r="AD29" s="424">
        <v>17</v>
      </c>
      <c r="AE29" s="425">
        <v>1340</v>
      </c>
      <c r="AF29" s="427" t="s">
        <v>220</v>
      </c>
      <c r="AG29" s="465"/>
      <c r="AH29" s="465"/>
      <c r="AI29" s="457">
        <v>2</v>
      </c>
      <c r="AJ29" s="457">
        <v>2.99</v>
      </c>
      <c r="AK29" s="459">
        <v>6.1</v>
      </c>
      <c r="AL29" s="464">
        <v>6.2</v>
      </c>
      <c r="AM29" s="459">
        <v>4</v>
      </c>
      <c r="AN29" s="459">
        <v>4.99</v>
      </c>
      <c r="AO29" s="459">
        <v>4</v>
      </c>
      <c r="AP29" s="459">
        <v>4.99</v>
      </c>
      <c r="AQ29" s="460">
        <v>5</v>
      </c>
      <c r="AR29" s="460">
        <v>5.99</v>
      </c>
      <c r="AS29" s="465"/>
      <c r="AT29" s="465"/>
    </row>
    <row r="30" spans="1:46" ht="15.75" x14ac:dyDescent="0.25">
      <c r="A30" s="402"/>
      <c r="B30" s="402"/>
      <c r="C30" s="414"/>
      <c r="D30" s="415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5"/>
      <c r="V30" s="415"/>
      <c r="W30" s="415"/>
      <c r="X30" s="415"/>
      <c r="Y30" s="415"/>
      <c r="Z30" s="416"/>
      <c r="AA30" s="368"/>
      <c r="AC30" s="487" t="s">
        <v>503</v>
      </c>
      <c r="AD30" s="424">
        <v>19</v>
      </c>
      <c r="AE30" s="425">
        <v>1416</v>
      </c>
      <c r="AF30" s="427" t="s">
        <v>67</v>
      </c>
      <c r="AG30" s="467"/>
      <c r="AH30" s="462">
        <v>1.99</v>
      </c>
      <c r="AI30" s="462">
        <v>5</v>
      </c>
      <c r="AJ30" s="463">
        <v>6.99</v>
      </c>
      <c r="AK30" s="459">
        <v>1</v>
      </c>
      <c r="AL30" s="459">
        <v>1.99</v>
      </c>
      <c r="AM30" s="459">
        <v>3</v>
      </c>
      <c r="AN30" s="459">
        <v>3.99</v>
      </c>
      <c r="AO30" s="467"/>
      <c r="AP30" s="462">
        <v>3.99</v>
      </c>
      <c r="AQ30" s="459">
        <v>2</v>
      </c>
      <c r="AR30" s="459">
        <v>2.99</v>
      </c>
      <c r="AS30" s="467"/>
      <c r="AT30" s="462">
        <v>2.99</v>
      </c>
    </row>
    <row r="31" spans="1:46" ht="15.75" x14ac:dyDescent="0.25">
      <c r="A31" s="442" t="s">
        <v>480</v>
      </c>
      <c r="B31" s="444"/>
      <c r="C31" s="444"/>
      <c r="D31" s="426"/>
      <c r="E31" s="412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C31" s="487" t="s">
        <v>504</v>
      </c>
      <c r="AD31" s="424">
        <v>19</v>
      </c>
      <c r="AE31" s="425">
        <v>1289</v>
      </c>
      <c r="AF31" s="427"/>
      <c r="AG31" s="467"/>
      <c r="AH31" s="467"/>
      <c r="AI31" s="467"/>
      <c r="AJ31" s="461">
        <v>5.99</v>
      </c>
      <c r="AK31" s="457">
        <v>4</v>
      </c>
      <c r="AL31" s="457">
        <v>4.99</v>
      </c>
      <c r="AM31" s="467"/>
      <c r="AN31" s="462">
        <v>2.99</v>
      </c>
      <c r="AO31" s="462">
        <v>5</v>
      </c>
      <c r="AP31" s="461">
        <v>5.99</v>
      </c>
      <c r="AQ31" s="459">
        <v>5</v>
      </c>
      <c r="AR31" s="460">
        <v>5.99</v>
      </c>
      <c r="AS31" s="459">
        <v>2</v>
      </c>
      <c r="AT31" s="459">
        <v>2.99</v>
      </c>
    </row>
    <row r="32" spans="1:46" ht="15.75" x14ac:dyDescent="0.25">
      <c r="A32" s="443">
        <v>43644</v>
      </c>
      <c r="B32" s="445"/>
      <c r="C32" s="444"/>
      <c r="D32" s="426"/>
      <c r="E32" s="412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417"/>
      <c r="AA32" s="368"/>
      <c r="AC32" s="487" t="s">
        <v>505</v>
      </c>
      <c r="AD32" s="424">
        <v>17</v>
      </c>
      <c r="AE32" s="425">
        <v>1296</v>
      </c>
      <c r="AF32" s="427"/>
      <c r="AG32" s="470"/>
      <c r="AH32" s="462">
        <v>1.99</v>
      </c>
      <c r="AI32" s="459">
        <v>2</v>
      </c>
      <c r="AJ32" s="459">
        <v>2.99</v>
      </c>
      <c r="AK32" s="457">
        <v>3</v>
      </c>
      <c r="AL32" s="457">
        <v>3.99</v>
      </c>
      <c r="AM32" s="459">
        <v>3</v>
      </c>
      <c r="AN32" s="459">
        <v>3.99</v>
      </c>
      <c r="AO32" s="459">
        <v>6</v>
      </c>
      <c r="AP32" s="464">
        <v>6.99</v>
      </c>
      <c r="AQ32" s="457">
        <v>6</v>
      </c>
      <c r="AR32" s="471">
        <v>6.99</v>
      </c>
      <c r="AS32" s="470"/>
      <c r="AT32" s="470"/>
    </row>
    <row r="33" spans="1:46" ht="15.75" x14ac:dyDescent="0.25">
      <c r="A33" s="429">
        <f ca="1">TODAY()</f>
        <v>43762</v>
      </c>
      <c r="B33" s="426"/>
      <c r="C33" s="426"/>
      <c r="D33" s="426"/>
      <c r="E33" s="402"/>
      <c r="F33" s="369" t="s">
        <v>576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C33" s="487" t="s">
        <v>506</v>
      </c>
      <c r="AD33" s="424">
        <v>17</v>
      </c>
      <c r="AE33" s="425">
        <v>1291</v>
      </c>
      <c r="AF33" s="427"/>
      <c r="AG33" s="465"/>
      <c r="AH33" s="465"/>
      <c r="AI33" s="459">
        <v>1</v>
      </c>
      <c r="AJ33" s="459">
        <v>1.99</v>
      </c>
      <c r="AK33" s="462">
        <v>4</v>
      </c>
      <c r="AL33" s="463">
        <v>6.99</v>
      </c>
      <c r="AM33" s="459">
        <v>3</v>
      </c>
      <c r="AN33" s="459">
        <v>3.99</v>
      </c>
      <c r="AO33" s="465"/>
      <c r="AP33" s="462">
        <v>2.99</v>
      </c>
      <c r="AQ33" s="459">
        <v>3</v>
      </c>
      <c r="AR33" s="459">
        <v>3.99</v>
      </c>
      <c r="AS33" s="465"/>
      <c r="AT33" s="465"/>
    </row>
    <row r="34" spans="1:46" ht="15.75" x14ac:dyDescent="0.25">
      <c r="A34" s="429"/>
      <c r="B34" s="430"/>
      <c r="C34" s="430"/>
      <c r="D34" s="426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C34" s="487" t="s">
        <v>507</v>
      </c>
      <c r="AD34" s="424">
        <v>17</v>
      </c>
      <c r="AE34" s="425">
        <v>1328</v>
      </c>
      <c r="AF34" s="427"/>
      <c r="AG34" s="465"/>
      <c r="AH34" s="465"/>
      <c r="AI34" s="459">
        <v>3</v>
      </c>
      <c r="AJ34" s="459">
        <v>3.99</v>
      </c>
      <c r="AK34" s="459">
        <v>6</v>
      </c>
      <c r="AL34" s="464">
        <v>6.99</v>
      </c>
      <c r="AM34" s="459">
        <v>3</v>
      </c>
      <c r="AN34" s="459">
        <v>3.99</v>
      </c>
      <c r="AO34" s="457">
        <v>4</v>
      </c>
      <c r="AP34" s="457">
        <v>4.99</v>
      </c>
      <c r="AQ34" s="459">
        <v>4</v>
      </c>
      <c r="AR34" s="459">
        <v>4.99</v>
      </c>
      <c r="AS34" s="465"/>
      <c r="AT34" s="465"/>
    </row>
    <row r="35" spans="1:46" ht="15.75" x14ac:dyDescent="0.25">
      <c r="A35" s="426"/>
      <c r="B35" s="426"/>
      <c r="C35" s="426"/>
      <c r="D35" s="426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C35" s="487" t="s">
        <v>508</v>
      </c>
      <c r="AD35" s="424">
        <v>17</v>
      </c>
      <c r="AE35" s="425">
        <v>-628</v>
      </c>
      <c r="AF35" s="427"/>
      <c r="AG35" s="465"/>
      <c r="AH35" s="465"/>
      <c r="AI35" s="457">
        <v>6</v>
      </c>
      <c r="AJ35" s="471">
        <v>6.99</v>
      </c>
      <c r="AK35" s="457">
        <v>4</v>
      </c>
      <c r="AL35" s="457">
        <v>4.99</v>
      </c>
      <c r="AM35" s="459">
        <v>1</v>
      </c>
      <c r="AN35" s="459">
        <v>1.99</v>
      </c>
      <c r="AO35" s="465"/>
      <c r="AP35" s="462">
        <v>3.99</v>
      </c>
      <c r="AQ35" s="459">
        <v>1</v>
      </c>
      <c r="AR35" s="459">
        <v>1.99</v>
      </c>
      <c r="AS35" s="465"/>
      <c r="AT35" s="462">
        <v>4.99</v>
      </c>
    </row>
    <row r="36" spans="1:46" ht="15.75" x14ac:dyDescent="0.25">
      <c r="AC36" s="487" t="s">
        <v>509</v>
      </c>
      <c r="AD36" s="424">
        <v>17</v>
      </c>
      <c r="AE36" s="425">
        <v>1272</v>
      </c>
      <c r="AF36" s="427"/>
      <c r="AG36" s="472"/>
      <c r="AH36" s="472"/>
      <c r="AI36" s="459">
        <v>2</v>
      </c>
      <c r="AJ36" s="459">
        <v>2.99</v>
      </c>
      <c r="AK36" s="457">
        <v>6</v>
      </c>
      <c r="AL36" s="471">
        <v>6.99</v>
      </c>
      <c r="AM36" s="459">
        <v>3</v>
      </c>
      <c r="AN36" s="459">
        <v>3.99</v>
      </c>
      <c r="AO36" s="459">
        <v>3</v>
      </c>
      <c r="AP36" s="459">
        <v>3.99</v>
      </c>
      <c r="AQ36" s="459">
        <v>2</v>
      </c>
      <c r="AR36" s="459">
        <v>2.99</v>
      </c>
      <c r="AS36" s="459">
        <v>2</v>
      </c>
      <c r="AT36" s="459">
        <v>2.99</v>
      </c>
    </row>
    <row r="37" spans="1:46" ht="15.75" x14ac:dyDescent="0.25">
      <c r="AC37" s="487" t="s">
        <v>258</v>
      </c>
      <c r="AD37" s="424">
        <v>18</v>
      </c>
      <c r="AE37" s="425">
        <v>1200</v>
      </c>
      <c r="AF37" s="427"/>
      <c r="AG37" s="467"/>
      <c r="AH37" s="467"/>
      <c r="AI37" s="459">
        <v>6</v>
      </c>
      <c r="AJ37" s="464">
        <v>6.99</v>
      </c>
      <c r="AK37" s="459">
        <v>6.7</v>
      </c>
      <c r="AL37" s="464">
        <v>6.99</v>
      </c>
      <c r="AM37" s="459">
        <v>5</v>
      </c>
      <c r="AN37" s="460">
        <v>5.99</v>
      </c>
      <c r="AO37" s="459">
        <v>2</v>
      </c>
      <c r="AP37" s="459">
        <v>2.99</v>
      </c>
      <c r="AQ37" s="459">
        <v>3</v>
      </c>
      <c r="AR37" s="459">
        <v>3.99</v>
      </c>
      <c r="AS37" s="467"/>
      <c r="AT37" s="462">
        <v>2.99</v>
      </c>
    </row>
    <row r="38" spans="1:46" ht="15.75" x14ac:dyDescent="0.25">
      <c r="AC38" s="487" t="s">
        <v>510</v>
      </c>
      <c r="AD38" s="424">
        <v>18</v>
      </c>
      <c r="AE38" s="425">
        <v>1220</v>
      </c>
      <c r="AF38" s="427"/>
      <c r="AG38" s="465"/>
      <c r="AH38" s="462">
        <v>1.99</v>
      </c>
      <c r="AI38" s="457">
        <v>6</v>
      </c>
      <c r="AJ38" s="471">
        <v>6.99</v>
      </c>
      <c r="AK38" s="465"/>
      <c r="AL38" s="462">
        <v>3.99</v>
      </c>
      <c r="AM38" s="459">
        <v>3</v>
      </c>
      <c r="AN38" s="459">
        <v>3.99</v>
      </c>
      <c r="AO38" s="459">
        <v>2</v>
      </c>
      <c r="AP38" s="459">
        <v>2.99</v>
      </c>
      <c r="AQ38" s="459">
        <v>4</v>
      </c>
      <c r="AR38" s="459">
        <v>4.99</v>
      </c>
      <c r="AS38" s="465"/>
      <c r="AT38" s="461">
        <v>5.99</v>
      </c>
    </row>
    <row r="39" spans="1:46" ht="15.75" x14ac:dyDescent="0.25">
      <c r="AC39" s="487" t="s">
        <v>511</v>
      </c>
      <c r="AD39" s="424">
        <v>18</v>
      </c>
      <c r="AE39" s="425">
        <v>-673</v>
      </c>
      <c r="AF39" s="427"/>
      <c r="AG39" s="465"/>
      <c r="AH39" s="462">
        <v>1.99</v>
      </c>
      <c r="AI39" s="459">
        <v>2</v>
      </c>
      <c r="AJ39" s="459">
        <v>2.99</v>
      </c>
      <c r="AK39" s="459">
        <v>2</v>
      </c>
      <c r="AL39" s="459">
        <v>2.99</v>
      </c>
      <c r="AM39" s="459">
        <v>5</v>
      </c>
      <c r="AN39" s="460">
        <v>5.99</v>
      </c>
      <c r="AO39" s="462">
        <v>5</v>
      </c>
      <c r="AP39" s="463">
        <v>6.99</v>
      </c>
      <c r="AQ39" s="459">
        <v>4</v>
      </c>
      <c r="AR39" s="459">
        <v>4.99</v>
      </c>
      <c r="AS39" s="465"/>
      <c r="AT39" s="462">
        <v>4.99</v>
      </c>
    </row>
    <row r="40" spans="1:46" ht="15.75" x14ac:dyDescent="0.25">
      <c r="AC40" s="487" t="s">
        <v>297</v>
      </c>
      <c r="AD40" s="424">
        <v>17</v>
      </c>
      <c r="AE40" s="425">
        <v>1145</v>
      </c>
      <c r="AF40" s="427" t="s">
        <v>220</v>
      </c>
      <c r="AG40" s="465"/>
      <c r="AH40" s="462">
        <v>1.99</v>
      </c>
      <c r="AI40" s="459">
        <v>5</v>
      </c>
      <c r="AJ40" s="460">
        <v>5.99</v>
      </c>
      <c r="AK40" s="473">
        <v>7</v>
      </c>
      <c r="AL40" s="474">
        <v>7</v>
      </c>
      <c r="AM40" s="459">
        <v>1</v>
      </c>
      <c r="AN40" s="459">
        <v>1.99</v>
      </c>
      <c r="AO40" s="465"/>
      <c r="AP40" s="462">
        <v>2.99</v>
      </c>
      <c r="AQ40" s="459">
        <v>1</v>
      </c>
      <c r="AR40" s="459">
        <v>1.99</v>
      </c>
      <c r="AS40" s="465"/>
      <c r="AT40" s="465"/>
    </row>
    <row r="41" spans="1:46" ht="15.75" x14ac:dyDescent="0.25">
      <c r="AC41" s="487" t="s">
        <v>512</v>
      </c>
      <c r="AD41" s="424">
        <v>19</v>
      </c>
      <c r="AE41" s="425">
        <v>1042</v>
      </c>
      <c r="AF41" s="427" t="s">
        <v>94</v>
      </c>
      <c r="AG41" s="465"/>
      <c r="AH41" s="462">
        <v>1.99</v>
      </c>
      <c r="AI41" s="462">
        <v>5</v>
      </c>
      <c r="AJ41" s="463">
        <v>6.99</v>
      </c>
      <c r="AK41" s="457">
        <v>4</v>
      </c>
      <c r="AL41" s="457">
        <v>4.99</v>
      </c>
      <c r="AM41" s="459">
        <v>1</v>
      </c>
      <c r="AN41" s="459">
        <v>1.99</v>
      </c>
      <c r="AO41" s="465"/>
      <c r="AP41" s="462">
        <v>2.99</v>
      </c>
      <c r="AQ41" s="462">
        <v>2</v>
      </c>
      <c r="AR41" s="462">
        <v>3.99</v>
      </c>
      <c r="AS41" s="465"/>
      <c r="AT41" s="462">
        <v>1.99</v>
      </c>
    </row>
    <row r="42" spans="1:46" ht="15.75" x14ac:dyDescent="0.25">
      <c r="AC42" s="487" t="s">
        <v>513</v>
      </c>
      <c r="AD42" s="424">
        <v>19</v>
      </c>
      <c r="AE42" s="425">
        <v>-813</v>
      </c>
      <c r="AF42" s="427"/>
      <c r="AG42" s="467"/>
      <c r="AH42" s="462">
        <v>0.99</v>
      </c>
      <c r="AI42" s="459">
        <v>3</v>
      </c>
      <c r="AJ42" s="459">
        <v>3.99</v>
      </c>
      <c r="AK42" s="457">
        <v>5</v>
      </c>
      <c r="AL42" s="458">
        <v>5.99</v>
      </c>
      <c r="AM42" s="459">
        <v>5</v>
      </c>
      <c r="AN42" s="460">
        <v>5.99</v>
      </c>
      <c r="AO42" s="467"/>
      <c r="AP42" s="467">
        <v>3.99</v>
      </c>
      <c r="AQ42" s="467"/>
      <c r="AR42" s="475">
        <v>5.99</v>
      </c>
      <c r="AS42" s="467"/>
      <c r="AT42" s="467"/>
    </row>
    <row r="43" spans="1:46" ht="15.75" x14ac:dyDescent="0.25">
      <c r="Z43" s="561"/>
      <c r="AC43" s="487" t="s">
        <v>514</v>
      </c>
      <c r="AD43" s="424">
        <v>18</v>
      </c>
      <c r="AE43" s="425">
        <v>4</v>
      </c>
      <c r="AF43" s="427" t="s">
        <v>94</v>
      </c>
      <c r="AG43" s="465"/>
      <c r="AH43" s="462">
        <v>1.99</v>
      </c>
      <c r="AI43" s="459">
        <v>4</v>
      </c>
      <c r="AJ43" s="459">
        <v>4.99</v>
      </c>
      <c r="AK43" s="459">
        <v>3</v>
      </c>
      <c r="AL43" s="459">
        <v>3.99</v>
      </c>
      <c r="AM43" s="465"/>
      <c r="AN43" s="463">
        <v>6.99</v>
      </c>
      <c r="AO43" s="465"/>
      <c r="AP43" s="462">
        <v>3.99</v>
      </c>
      <c r="AQ43" s="459">
        <v>2</v>
      </c>
      <c r="AR43" s="459">
        <v>2.99</v>
      </c>
      <c r="AS43" s="465"/>
      <c r="AT43" s="465">
        <v>3.99</v>
      </c>
    </row>
    <row r="44" spans="1:46" ht="15.75" x14ac:dyDescent="0.25">
      <c r="AC44" s="487" t="s">
        <v>515</v>
      </c>
      <c r="AD44" s="424">
        <v>16</v>
      </c>
      <c r="AE44" s="425">
        <v>-718</v>
      </c>
      <c r="AF44" s="427" t="s">
        <v>220</v>
      </c>
      <c r="AG44" s="467"/>
      <c r="AH44" s="462">
        <v>1.99</v>
      </c>
      <c r="AI44" s="459">
        <v>1</v>
      </c>
      <c r="AJ44" s="459">
        <v>1.99</v>
      </c>
      <c r="AK44" s="457">
        <v>6</v>
      </c>
      <c r="AL44" s="471">
        <v>6.99</v>
      </c>
      <c r="AM44" s="467"/>
      <c r="AN44" s="462">
        <v>3.99</v>
      </c>
      <c r="AO44" s="467"/>
      <c r="AP44" s="462">
        <v>3.99</v>
      </c>
      <c r="AQ44" s="459">
        <v>2</v>
      </c>
      <c r="AR44" s="459">
        <v>2.99</v>
      </c>
      <c r="AS44" s="467"/>
      <c r="AT44" s="462">
        <v>2.99</v>
      </c>
    </row>
    <row r="45" spans="1:46" ht="15.75" x14ac:dyDescent="0.25">
      <c r="AC45" s="487" t="s">
        <v>516</v>
      </c>
      <c r="AD45" s="424">
        <v>18</v>
      </c>
      <c r="AE45" s="425">
        <v>1028</v>
      </c>
      <c r="AF45" s="427"/>
      <c r="AG45" s="476"/>
      <c r="AH45" s="476"/>
      <c r="AI45" s="457">
        <v>5</v>
      </c>
      <c r="AJ45" s="458">
        <v>5.99</v>
      </c>
      <c r="AK45" s="459">
        <v>6</v>
      </c>
      <c r="AL45" s="464">
        <v>6.99</v>
      </c>
      <c r="AM45" s="459">
        <v>2</v>
      </c>
      <c r="AN45" s="459">
        <v>2.99</v>
      </c>
      <c r="AO45" s="476"/>
      <c r="AP45" s="462">
        <v>2.99</v>
      </c>
      <c r="AQ45" s="459">
        <v>4</v>
      </c>
      <c r="AR45" s="459">
        <v>4.99</v>
      </c>
      <c r="AS45" s="476"/>
      <c r="AT45" s="476"/>
    </row>
    <row r="46" spans="1:46" ht="15.75" x14ac:dyDescent="0.25">
      <c r="AC46" s="487" t="s">
        <v>517</v>
      </c>
      <c r="AD46" s="424">
        <v>17</v>
      </c>
      <c r="AE46" s="425">
        <v>932</v>
      </c>
      <c r="AF46" s="427"/>
      <c r="AG46" s="465"/>
      <c r="AH46" s="465"/>
      <c r="AI46" s="459">
        <v>2</v>
      </c>
      <c r="AJ46" s="459">
        <v>2.99</v>
      </c>
      <c r="AK46" s="457">
        <v>7</v>
      </c>
      <c r="AL46" s="471">
        <v>7</v>
      </c>
      <c r="AM46" s="457">
        <v>3</v>
      </c>
      <c r="AN46" s="457">
        <v>3.99</v>
      </c>
      <c r="AO46" s="459">
        <v>1</v>
      </c>
      <c r="AP46" s="459">
        <v>1.99</v>
      </c>
      <c r="AQ46" s="465"/>
      <c r="AR46" s="462">
        <v>3.99</v>
      </c>
      <c r="AS46" s="465"/>
      <c r="AT46" s="465"/>
    </row>
    <row r="47" spans="1:46" ht="15.75" x14ac:dyDescent="0.25">
      <c r="AC47" s="487" t="s">
        <v>518</v>
      </c>
      <c r="AD47" s="424">
        <v>18</v>
      </c>
      <c r="AE47" s="425">
        <v>1032</v>
      </c>
      <c r="AF47" s="427" t="s">
        <v>105</v>
      </c>
      <c r="AG47" s="476"/>
      <c r="AH47" s="462">
        <v>1.99</v>
      </c>
      <c r="AI47" s="476"/>
      <c r="AJ47" s="462">
        <v>2.99</v>
      </c>
      <c r="AK47" s="459">
        <v>3</v>
      </c>
      <c r="AL47" s="459">
        <v>3.99</v>
      </c>
      <c r="AM47" s="459">
        <v>5</v>
      </c>
      <c r="AN47" s="460">
        <v>5.99</v>
      </c>
      <c r="AO47" s="459">
        <v>6</v>
      </c>
      <c r="AP47" s="464">
        <v>6.99</v>
      </c>
      <c r="AQ47" s="459">
        <v>2</v>
      </c>
      <c r="AR47" s="459">
        <v>2.99</v>
      </c>
      <c r="AS47" s="459">
        <v>4</v>
      </c>
      <c r="AT47" s="459">
        <v>4.99</v>
      </c>
    </row>
    <row r="48" spans="1:46" ht="15.75" x14ac:dyDescent="0.25">
      <c r="AC48" s="487" t="s">
        <v>519</v>
      </c>
      <c r="AD48" s="424">
        <v>17</v>
      </c>
      <c r="AE48" s="425">
        <v>959</v>
      </c>
      <c r="AF48" s="427"/>
      <c r="AG48" s="477"/>
      <c r="AH48" s="477">
        <v>1.99</v>
      </c>
      <c r="AI48" s="477"/>
      <c r="AJ48" s="462">
        <v>3.99</v>
      </c>
      <c r="AK48" s="457">
        <v>5</v>
      </c>
      <c r="AL48" s="458">
        <v>5.99</v>
      </c>
      <c r="AM48" s="476"/>
      <c r="AN48" s="462">
        <v>2.99</v>
      </c>
      <c r="AO48" s="459">
        <v>5</v>
      </c>
      <c r="AP48" s="460">
        <v>5.99</v>
      </c>
      <c r="AQ48" s="457">
        <v>4</v>
      </c>
      <c r="AR48" s="457">
        <v>4.99</v>
      </c>
      <c r="AS48" s="476"/>
      <c r="AT48" s="476">
        <v>3.99</v>
      </c>
    </row>
    <row r="49" spans="29:46" ht="15.75" x14ac:dyDescent="0.25">
      <c r="AC49" s="487" t="s">
        <v>520</v>
      </c>
      <c r="AD49" s="424">
        <v>17</v>
      </c>
      <c r="AE49" s="425">
        <v>852</v>
      </c>
      <c r="AF49" s="427"/>
      <c r="AG49" s="467"/>
      <c r="AH49" s="467"/>
      <c r="AI49" s="467"/>
      <c r="AJ49" s="462">
        <v>4.99</v>
      </c>
      <c r="AK49" s="459">
        <v>3</v>
      </c>
      <c r="AL49" s="459">
        <v>3.99</v>
      </c>
      <c r="AM49" s="457">
        <v>5</v>
      </c>
      <c r="AN49" s="458">
        <v>5.99</v>
      </c>
      <c r="AO49" s="467"/>
      <c r="AP49" s="462">
        <v>2.99</v>
      </c>
      <c r="AQ49" s="459">
        <v>4</v>
      </c>
      <c r="AR49" s="459">
        <v>4.99</v>
      </c>
      <c r="AS49" s="467"/>
      <c r="AT49" s="467"/>
    </row>
    <row r="50" spans="29:46" ht="15.75" x14ac:dyDescent="0.25">
      <c r="AC50" s="487" t="s">
        <v>521</v>
      </c>
      <c r="AD50" s="424">
        <v>18</v>
      </c>
      <c r="AE50" s="425">
        <v>908</v>
      </c>
      <c r="AF50" s="427" t="s">
        <v>220</v>
      </c>
      <c r="AG50" s="476"/>
      <c r="AH50" s="476"/>
      <c r="AI50" s="462">
        <v>4</v>
      </c>
      <c r="AJ50" s="461">
        <v>5.99</v>
      </c>
      <c r="AK50" s="459">
        <v>3</v>
      </c>
      <c r="AL50" s="459">
        <v>3.99</v>
      </c>
      <c r="AM50" s="457">
        <v>6</v>
      </c>
      <c r="AN50" s="471">
        <v>6.99</v>
      </c>
      <c r="AO50" s="462">
        <v>6</v>
      </c>
      <c r="AP50" s="463">
        <v>7</v>
      </c>
      <c r="AQ50" s="459">
        <v>4</v>
      </c>
      <c r="AR50" s="459">
        <v>4.99</v>
      </c>
      <c r="AS50" s="476"/>
      <c r="AT50" s="462">
        <v>2.99</v>
      </c>
    </row>
    <row r="51" spans="29:46" ht="15.75" x14ac:dyDescent="0.25">
      <c r="AC51" s="487" t="s">
        <v>522</v>
      </c>
      <c r="AD51" s="424">
        <v>17</v>
      </c>
      <c r="AE51" s="425">
        <v>856</v>
      </c>
      <c r="AF51" s="427" t="s">
        <v>220</v>
      </c>
      <c r="AG51" s="465"/>
      <c r="AH51" s="462">
        <v>0.99</v>
      </c>
      <c r="AI51" s="462">
        <v>4</v>
      </c>
      <c r="AJ51" s="461">
        <v>5.99</v>
      </c>
      <c r="AK51" s="459">
        <v>3</v>
      </c>
      <c r="AL51" s="459">
        <v>3.99</v>
      </c>
      <c r="AM51" s="459">
        <v>3</v>
      </c>
      <c r="AN51" s="459">
        <v>3.99</v>
      </c>
      <c r="AO51" s="459">
        <v>5.3</v>
      </c>
      <c r="AP51" s="460">
        <v>5.99</v>
      </c>
      <c r="AQ51" s="462">
        <v>5</v>
      </c>
      <c r="AR51" s="463">
        <v>6.99</v>
      </c>
      <c r="AS51" s="465"/>
      <c r="AT51" s="465"/>
    </row>
    <row r="52" spans="29:46" ht="15.75" x14ac:dyDescent="0.25">
      <c r="AC52" s="487" t="s">
        <v>523</v>
      </c>
      <c r="AD52" s="424">
        <v>18</v>
      </c>
      <c r="AE52" s="425">
        <v>-975</v>
      </c>
      <c r="AF52" s="427" t="s">
        <v>105</v>
      </c>
      <c r="AG52" s="465"/>
      <c r="AH52" s="462">
        <v>1.99</v>
      </c>
      <c r="AI52" s="462">
        <v>4</v>
      </c>
      <c r="AJ52" s="461">
        <v>5.99</v>
      </c>
      <c r="AK52" s="457">
        <v>5</v>
      </c>
      <c r="AL52" s="458">
        <v>5.99</v>
      </c>
      <c r="AM52" s="457">
        <v>4</v>
      </c>
      <c r="AN52" s="457">
        <v>4.99</v>
      </c>
      <c r="AO52" s="459">
        <v>4</v>
      </c>
      <c r="AP52" s="459">
        <v>4.99</v>
      </c>
      <c r="AQ52" s="457">
        <v>3</v>
      </c>
      <c r="AR52" s="457">
        <v>3.99</v>
      </c>
      <c r="AS52" s="465"/>
      <c r="AT52" s="465"/>
    </row>
    <row r="53" spans="29:46" ht="15.75" x14ac:dyDescent="0.25">
      <c r="AC53" s="487" t="s">
        <v>524</v>
      </c>
      <c r="AD53" s="424">
        <v>17</v>
      </c>
      <c r="AE53" s="425">
        <v>724</v>
      </c>
      <c r="AF53" s="427"/>
      <c r="AG53" s="465"/>
      <c r="AH53" s="462">
        <v>1.99</v>
      </c>
      <c r="AI53" s="459">
        <v>4</v>
      </c>
      <c r="AJ53" s="459">
        <v>4.99</v>
      </c>
      <c r="AK53" s="457">
        <v>6</v>
      </c>
      <c r="AL53" s="471">
        <v>6.99</v>
      </c>
      <c r="AM53" s="465"/>
      <c r="AN53" s="462">
        <v>3.99</v>
      </c>
      <c r="AO53" s="459">
        <v>2</v>
      </c>
      <c r="AP53" s="459">
        <v>2.99</v>
      </c>
      <c r="AQ53" s="459">
        <v>3</v>
      </c>
      <c r="AR53" s="459">
        <v>3.99</v>
      </c>
      <c r="AS53" s="465"/>
      <c r="AT53" s="461">
        <v>5.99</v>
      </c>
    </row>
    <row r="54" spans="29:46" ht="15.75" x14ac:dyDescent="0.25">
      <c r="AC54" s="487" t="s">
        <v>525</v>
      </c>
      <c r="AD54" s="424">
        <v>17</v>
      </c>
      <c r="AE54" s="425">
        <v>789</v>
      </c>
      <c r="AF54" s="427" t="s">
        <v>105</v>
      </c>
      <c r="AG54" s="467"/>
      <c r="AH54" s="467"/>
      <c r="AI54" s="457">
        <v>5</v>
      </c>
      <c r="AJ54" s="458">
        <v>5.99</v>
      </c>
      <c r="AK54" s="467"/>
      <c r="AL54" s="462">
        <v>2.99</v>
      </c>
      <c r="AM54" s="462">
        <v>5</v>
      </c>
      <c r="AN54" s="463">
        <v>7</v>
      </c>
      <c r="AO54" s="459">
        <v>3</v>
      </c>
      <c r="AP54" s="459">
        <v>3.99</v>
      </c>
      <c r="AQ54" s="459">
        <v>3</v>
      </c>
      <c r="AR54" s="459">
        <v>3.99</v>
      </c>
      <c r="AS54" s="467"/>
      <c r="AT54" s="462">
        <v>3.99</v>
      </c>
    </row>
    <row r="55" spans="29:46" ht="15.75" x14ac:dyDescent="0.25">
      <c r="AC55" s="487" t="s">
        <v>526</v>
      </c>
      <c r="AD55" s="424">
        <v>16</v>
      </c>
      <c r="AE55" s="425">
        <v>796</v>
      </c>
      <c r="AF55" s="427" t="s">
        <v>220</v>
      </c>
      <c r="AG55" s="476"/>
      <c r="AH55" s="476"/>
      <c r="AI55" s="459">
        <v>2</v>
      </c>
      <c r="AJ55" s="459">
        <v>2.99</v>
      </c>
      <c r="AK55" s="457">
        <v>5</v>
      </c>
      <c r="AL55" s="458">
        <v>5.99</v>
      </c>
      <c r="AM55" s="457">
        <v>5</v>
      </c>
      <c r="AN55" s="458">
        <v>5.99</v>
      </c>
      <c r="AO55" s="459">
        <v>4</v>
      </c>
      <c r="AP55" s="459">
        <v>4.99</v>
      </c>
      <c r="AQ55" s="459">
        <v>3</v>
      </c>
      <c r="AR55" s="459">
        <v>3.99</v>
      </c>
      <c r="AS55" s="476"/>
      <c r="AT55" s="476"/>
    </row>
    <row r="56" spans="29:46" ht="15.75" x14ac:dyDescent="0.25">
      <c r="AC56" s="487" t="s">
        <v>527</v>
      </c>
      <c r="AD56" s="424">
        <v>17</v>
      </c>
      <c r="AE56" s="425">
        <v>681</v>
      </c>
      <c r="AF56" s="427" t="s">
        <v>67</v>
      </c>
      <c r="AG56" s="465"/>
      <c r="AH56" s="462">
        <v>1.99</v>
      </c>
      <c r="AI56" s="459">
        <v>3</v>
      </c>
      <c r="AJ56" s="459">
        <v>3.99</v>
      </c>
      <c r="AK56" s="457">
        <v>5</v>
      </c>
      <c r="AL56" s="458">
        <v>5.99</v>
      </c>
      <c r="AM56" s="465"/>
      <c r="AN56" s="462">
        <v>2.99</v>
      </c>
      <c r="AO56" s="459">
        <v>4</v>
      </c>
      <c r="AP56" s="459">
        <v>4.99</v>
      </c>
      <c r="AQ56" s="459">
        <v>4</v>
      </c>
      <c r="AR56" s="459">
        <v>4.99</v>
      </c>
      <c r="AS56" s="459">
        <v>2</v>
      </c>
      <c r="AT56" s="459">
        <v>2.99</v>
      </c>
    </row>
    <row r="57" spans="29:46" ht="15.75" x14ac:dyDescent="0.25">
      <c r="AC57" s="487" t="s">
        <v>528</v>
      </c>
      <c r="AD57" s="424">
        <v>19</v>
      </c>
      <c r="AE57" s="425">
        <v>686</v>
      </c>
      <c r="AF57" s="427" t="s">
        <v>94</v>
      </c>
      <c r="AG57" s="476"/>
      <c r="AH57" s="462">
        <v>1.99</v>
      </c>
      <c r="AI57" s="459">
        <v>2</v>
      </c>
      <c r="AJ57" s="459">
        <v>2.99</v>
      </c>
      <c r="AK57" s="459">
        <v>3</v>
      </c>
      <c r="AL57" s="459">
        <v>3.99</v>
      </c>
      <c r="AM57" s="462">
        <v>4</v>
      </c>
      <c r="AN57" s="461">
        <v>5.99</v>
      </c>
      <c r="AO57" s="459">
        <v>4</v>
      </c>
      <c r="AP57" s="459">
        <v>4.99</v>
      </c>
      <c r="AQ57" s="459">
        <v>5</v>
      </c>
      <c r="AR57" s="460">
        <v>5.99</v>
      </c>
      <c r="AS57" s="476"/>
      <c r="AT57" s="462">
        <v>3.99</v>
      </c>
    </row>
    <row r="58" spans="29:46" ht="15.75" x14ac:dyDescent="0.25">
      <c r="AC58" s="487" t="s">
        <v>529</v>
      </c>
      <c r="AD58" s="424">
        <v>17</v>
      </c>
      <c r="AE58" s="425">
        <v>736</v>
      </c>
      <c r="AF58" s="427" t="s">
        <v>67</v>
      </c>
      <c r="AG58" s="465"/>
      <c r="AH58" s="462">
        <v>1.99</v>
      </c>
      <c r="AI58" s="459">
        <v>1</v>
      </c>
      <c r="AJ58" s="459">
        <v>1.99</v>
      </c>
      <c r="AK58" s="457">
        <v>6</v>
      </c>
      <c r="AL58" s="471">
        <v>6.99</v>
      </c>
      <c r="AM58" s="465"/>
      <c r="AN58" s="462">
        <v>2.99</v>
      </c>
      <c r="AO58" s="465"/>
      <c r="AP58" s="462">
        <v>3.99</v>
      </c>
      <c r="AQ58" s="465"/>
      <c r="AR58" s="462">
        <v>3.99</v>
      </c>
      <c r="AS58" s="465"/>
      <c r="AT58" s="462">
        <v>2.99</v>
      </c>
    </row>
    <row r="59" spans="29:46" ht="15.75" x14ac:dyDescent="0.25">
      <c r="AC59" s="487" t="s">
        <v>530</v>
      </c>
      <c r="AD59" s="424">
        <v>16</v>
      </c>
      <c r="AE59" s="425">
        <v>774</v>
      </c>
      <c r="AF59" s="427"/>
      <c r="AG59" s="476"/>
      <c r="AH59" s="462">
        <v>1.99</v>
      </c>
      <c r="AI59" s="462">
        <v>4</v>
      </c>
      <c r="AJ59" s="461">
        <v>5.99</v>
      </c>
      <c r="AK59" s="462">
        <v>4</v>
      </c>
      <c r="AL59" s="461">
        <v>5.99</v>
      </c>
      <c r="AM59" s="459">
        <v>5</v>
      </c>
      <c r="AN59" s="460">
        <v>5.99</v>
      </c>
      <c r="AO59" s="476"/>
      <c r="AP59" s="462">
        <v>3.99</v>
      </c>
      <c r="AQ59" s="476"/>
      <c r="AR59" s="462">
        <v>3.99</v>
      </c>
      <c r="AS59" s="476"/>
      <c r="AT59" s="462">
        <v>2.99</v>
      </c>
    </row>
    <row r="60" spans="29:46" ht="15.75" x14ac:dyDescent="0.25">
      <c r="AC60" s="487" t="s">
        <v>531</v>
      </c>
      <c r="AD60" s="424">
        <v>17</v>
      </c>
      <c r="AE60" s="425">
        <v>761</v>
      </c>
      <c r="AF60" s="427" t="s">
        <v>220</v>
      </c>
      <c r="AG60" s="467"/>
      <c r="AH60" s="462">
        <v>1.99</v>
      </c>
      <c r="AI60" s="457">
        <v>3</v>
      </c>
      <c r="AJ60" s="457">
        <v>3.99</v>
      </c>
      <c r="AK60" s="462">
        <v>5</v>
      </c>
      <c r="AL60" s="463">
        <v>6.99</v>
      </c>
      <c r="AM60" s="467"/>
      <c r="AN60" s="462">
        <v>2.99</v>
      </c>
      <c r="AO60" s="459">
        <v>2</v>
      </c>
      <c r="AP60" s="459">
        <v>2.99</v>
      </c>
      <c r="AQ60" s="467"/>
      <c r="AR60" s="461">
        <v>5.99</v>
      </c>
      <c r="AS60" s="459">
        <v>2</v>
      </c>
      <c r="AT60" s="459">
        <v>2.99</v>
      </c>
    </row>
    <row r="61" spans="29:46" ht="15.75" x14ac:dyDescent="0.25">
      <c r="AC61" s="487" t="s">
        <v>532</v>
      </c>
      <c r="AD61" s="424">
        <v>19</v>
      </c>
      <c r="AE61" s="425">
        <v>633</v>
      </c>
      <c r="AF61" s="427"/>
      <c r="AG61" s="465"/>
      <c r="AH61" s="465"/>
      <c r="AI61" s="462">
        <v>5</v>
      </c>
      <c r="AJ61" s="463">
        <v>6.99</v>
      </c>
      <c r="AK61" s="457">
        <v>4</v>
      </c>
      <c r="AL61" s="457">
        <v>4.99</v>
      </c>
      <c r="AM61" s="457">
        <v>4</v>
      </c>
      <c r="AN61" s="457">
        <v>4.99</v>
      </c>
      <c r="AO61" s="459">
        <v>3</v>
      </c>
      <c r="AP61" s="459">
        <v>3.99</v>
      </c>
      <c r="AQ61" s="459">
        <v>3</v>
      </c>
      <c r="AR61" s="459">
        <v>3.99</v>
      </c>
      <c r="AS61" s="465"/>
      <c r="AT61" s="465"/>
    </row>
    <row r="62" spans="29:46" ht="15.75" x14ac:dyDescent="0.25">
      <c r="AC62" s="487" t="s">
        <v>533</v>
      </c>
      <c r="AD62" s="424">
        <v>16</v>
      </c>
      <c r="AE62" s="425">
        <v>679</v>
      </c>
      <c r="AF62" s="427"/>
      <c r="AG62" s="476"/>
      <c r="AH62" s="462">
        <v>1.99</v>
      </c>
      <c r="AI62" s="457">
        <v>5</v>
      </c>
      <c r="AJ62" s="458">
        <v>5.99</v>
      </c>
      <c r="AK62" s="459">
        <v>3</v>
      </c>
      <c r="AL62" s="459">
        <v>3.99</v>
      </c>
      <c r="AM62" s="459">
        <v>4</v>
      </c>
      <c r="AN62" s="459">
        <v>4.99</v>
      </c>
      <c r="AO62" s="462">
        <v>3</v>
      </c>
      <c r="AP62" s="462">
        <v>4.99</v>
      </c>
      <c r="AQ62" s="459">
        <v>1</v>
      </c>
      <c r="AR62" s="459">
        <v>1.99</v>
      </c>
      <c r="AS62" s="476"/>
      <c r="AT62" s="462">
        <v>2.99</v>
      </c>
    </row>
    <row r="63" spans="29:46" ht="15.75" x14ac:dyDescent="0.25">
      <c r="AC63" s="487" t="s">
        <v>534</v>
      </c>
      <c r="AD63" s="424">
        <v>16</v>
      </c>
      <c r="AE63" s="425">
        <v>663</v>
      </c>
      <c r="AF63" s="427" t="s">
        <v>96</v>
      </c>
      <c r="AG63" s="476"/>
      <c r="AH63" s="476"/>
      <c r="AI63" s="459">
        <v>4</v>
      </c>
      <c r="AJ63" s="459">
        <v>4.99</v>
      </c>
      <c r="AK63" s="459">
        <v>5</v>
      </c>
      <c r="AL63" s="460">
        <v>5.99</v>
      </c>
      <c r="AM63" s="457">
        <v>4</v>
      </c>
      <c r="AN63" s="457">
        <v>4.99</v>
      </c>
      <c r="AO63" s="476"/>
      <c r="AP63" s="462">
        <v>3.99</v>
      </c>
      <c r="AQ63" s="459">
        <v>3</v>
      </c>
      <c r="AR63" s="459">
        <v>3.99</v>
      </c>
      <c r="AS63" s="476"/>
      <c r="AT63" s="476"/>
    </row>
    <row r="64" spans="29:46" ht="15.75" x14ac:dyDescent="0.25">
      <c r="AC64" s="487" t="s">
        <v>535</v>
      </c>
      <c r="AD64" s="424">
        <v>16</v>
      </c>
      <c r="AE64" s="425">
        <v>644</v>
      </c>
      <c r="AF64" s="427"/>
      <c r="AG64" s="476"/>
      <c r="AH64" s="462">
        <v>1.99</v>
      </c>
      <c r="AI64" s="457">
        <v>3</v>
      </c>
      <c r="AJ64" s="457">
        <v>3.99</v>
      </c>
      <c r="AK64" s="457">
        <v>6</v>
      </c>
      <c r="AL64" s="471">
        <v>6.99</v>
      </c>
      <c r="AM64" s="457">
        <v>5</v>
      </c>
      <c r="AN64" s="458">
        <v>5.99</v>
      </c>
      <c r="AO64" s="476"/>
      <c r="AP64" s="462">
        <v>2.99</v>
      </c>
      <c r="AQ64" s="459">
        <v>3</v>
      </c>
      <c r="AR64" s="459">
        <v>3.99</v>
      </c>
      <c r="AS64" s="476"/>
      <c r="AT64" s="476"/>
    </row>
    <row r="65" spans="29:46" ht="15.75" x14ac:dyDescent="0.25">
      <c r="AC65" s="487" t="s">
        <v>536</v>
      </c>
      <c r="AD65" s="424">
        <v>16</v>
      </c>
      <c r="AE65" s="425">
        <v>607</v>
      </c>
      <c r="AF65" s="427" t="s">
        <v>94</v>
      </c>
      <c r="AG65" s="476"/>
      <c r="AH65" s="476"/>
      <c r="AI65" s="459">
        <v>4</v>
      </c>
      <c r="AJ65" s="459">
        <v>4.99</v>
      </c>
      <c r="AK65" s="457">
        <v>4</v>
      </c>
      <c r="AL65" s="457">
        <v>4.99</v>
      </c>
      <c r="AM65" s="459">
        <v>4</v>
      </c>
      <c r="AN65" s="459">
        <v>4.99</v>
      </c>
      <c r="AO65" s="457">
        <v>4</v>
      </c>
      <c r="AP65" s="457">
        <v>4.99</v>
      </c>
      <c r="AQ65" s="457">
        <v>5</v>
      </c>
      <c r="AR65" s="458">
        <v>5.99</v>
      </c>
      <c r="AS65" s="476"/>
      <c r="AT65" s="462">
        <v>2.99</v>
      </c>
    </row>
    <row r="66" spans="29:46" ht="15.75" x14ac:dyDescent="0.25">
      <c r="AC66" s="487" t="s">
        <v>537</v>
      </c>
      <c r="AD66" s="424">
        <v>17</v>
      </c>
      <c r="AE66" s="425">
        <v>621</v>
      </c>
      <c r="AF66" s="427" t="s">
        <v>94</v>
      </c>
      <c r="AG66" s="467"/>
      <c r="AH66" s="467"/>
      <c r="AI66" s="462">
        <v>3</v>
      </c>
      <c r="AJ66" s="462">
        <v>4.99</v>
      </c>
      <c r="AK66" s="462">
        <v>5</v>
      </c>
      <c r="AL66" s="463">
        <v>6.99</v>
      </c>
      <c r="AM66" s="459">
        <v>5</v>
      </c>
      <c r="AN66" s="460">
        <v>5.99</v>
      </c>
      <c r="AO66" s="467"/>
      <c r="AP66" s="462">
        <v>2.99</v>
      </c>
      <c r="AQ66" s="457">
        <v>5</v>
      </c>
      <c r="AR66" s="458">
        <v>5.99</v>
      </c>
      <c r="AS66" s="467"/>
      <c r="AT66" s="462">
        <v>3.99</v>
      </c>
    </row>
    <row r="67" spans="29:46" ht="15.75" x14ac:dyDescent="0.25">
      <c r="AC67" s="487" t="s">
        <v>538</v>
      </c>
      <c r="AD67" s="424">
        <v>16</v>
      </c>
      <c r="AE67" s="425">
        <v>571</v>
      </c>
      <c r="AF67" s="427"/>
      <c r="AG67" s="476"/>
      <c r="AH67" s="462">
        <v>1.99</v>
      </c>
      <c r="AI67" s="457">
        <v>4</v>
      </c>
      <c r="AJ67" s="457">
        <v>4.99</v>
      </c>
      <c r="AK67" s="459">
        <v>3</v>
      </c>
      <c r="AL67" s="459">
        <v>3.99</v>
      </c>
      <c r="AM67" s="462">
        <v>7</v>
      </c>
      <c r="AN67" s="463">
        <v>7</v>
      </c>
      <c r="AO67" s="459">
        <v>2</v>
      </c>
      <c r="AP67" s="459">
        <v>2.99</v>
      </c>
      <c r="AQ67" s="457">
        <v>4</v>
      </c>
      <c r="AR67" s="457">
        <v>4.99</v>
      </c>
      <c r="AS67" s="476"/>
      <c r="AT67" s="476"/>
    </row>
    <row r="68" spans="29:46" ht="15.75" x14ac:dyDescent="0.25">
      <c r="AC68" s="487" t="s">
        <v>539</v>
      </c>
      <c r="AD68" s="424">
        <v>17</v>
      </c>
      <c r="AE68" s="425">
        <v>467</v>
      </c>
      <c r="AF68" s="427"/>
      <c r="AG68" s="467"/>
      <c r="AH68" s="467"/>
      <c r="AI68" s="467"/>
      <c r="AJ68" s="462">
        <v>2.99</v>
      </c>
      <c r="AK68" s="459">
        <v>2</v>
      </c>
      <c r="AL68" s="459">
        <v>2.99</v>
      </c>
      <c r="AM68" s="459">
        <v>5</v>
      </c>
      <c r="AN68" s="460">
        <v>5.99</v>
      </c>
      <c r="AO68" s="467"/>
      <c r="AP68" s="461">
        <v>5.99</v>
      </c>
      <c r="AQ68" s="457">
        <v>3</v>
      </c>
      <c r="AR68" s="457">
        <v>3.99</v>
      </c>
      <c r="AS68" s="467"/>
      <c r="AT68" s="467"/>
    </row>
    <row r="69" spans="29:46" ht="15.75" x14ac:dyDescent="0.25">
      <c r="AC69" s="487" t="s">
        <v>540</v>
      </c>
      <c r="AD69" s="424">
        <v>16</v>
      </c>
      <c r="AE69" s="425">
        <v>475</v>
      </c>
      <c r="AF69" s="427"/>
      <c r="AG69" s="476"/>
      <c r="AH69" s="462">
        <v>1.99</v>
      </c>
      <c r="AI69" s="476"/>
      <c r="AJ69" s="462">
        <v>3.99</v>
      </c>
      <c r="AK69" s="457">
        <v>5</v>
      </c>
      <c r="AL69" s="458">
        <v>5.99</v>
      </c>
      <c r="AM69" s="457">
        <v>6</v>
      </c>
      <c r="AN69" s="471">
        <v>6.99</v>
      </c>
      <c r="AO69" s="476"/>
      <c r="AP69" s="476"/>
      <c r="AQ69" s="459">
        <v>2</v>
      </c>
      <c r="AR69" s="459">
        <v>2.99</v>
      </c>
      <c r="AS69" s="476"/>
      <c r="AT69" s="476"/>
    </row>
    <row r="70" spans="29:46" ht="15.75" x14ac:dyDescent="0.25">
      <c r="AC70" s="487" t="s">
        <v>541</v>
      </c>
      <c r="AD70" s="424">
        <v>16</v>
      </c>
      <c r="AE70" s="425">
        <v>422</v>
      </c>
      <c r="AF70" s="427"/>
      <c r="AG70" s="476"/>
      <c r="AH70" s="476"/>
      <c r="AI70" s="459">
        <v>1</v>
      </c>
      <c r="AJ70" s="459">
        <v>1.99</v>
      </c>
      <c r="AK70" s="457">
        <v>5</v>
      </c>
      <c r="AL70" s="458">
        <v>5.99</v>
      </c>
      <c r="AM70" s="457">
        <v>4</v>
      </c>
      <c r="AN70" s="457">
        <v>4.99</v>
      </c>
      <c r="AO70" s="476"/>
      <c r="AP70" s="462">
        <v>2.99</v>
      </c>
      <c r="AQ70" s="476"/>
      <c r="AR70" s="462">
        <v>2.99</v>
      </c>
      <c r="AS70" s="476"/>
      <c r="AT70" s="476"/>
    </row>
    <row r="71" spans="29:46" ht="15.75" x14ac:dyDescent="0.25">
      <c r="AC71" s="487" t="s">
        <v>542</v>
      </c>
      <c r="AD71" s="424">
        <v>16</v>
      </c>
      <c r="AE71" s="425">
        <v>434</v>
      </c>
      <c r="AF71" s="427"/>
      <c r="AG71" s="476"/>
      <c r="AH71" s="462">
        <v>1.99</v>
      </c>
      <c r="AI71" s="462">
        <v>3</v>
      </c>
      <c r="AJ71" s="462">
        <v>4.99</v>
      </c>
      <c r="AK71" s="457">
        <v>2</v>
      </c>
      <c r="AL71" s="457">
        <v>2.99</v>
      </c>
      <c r="AM71" s="462">
        <v>4</v>
      </c>
      <c r="AN71" s="463">
        <v>6.99</v>
      </c>
      <c r="AO71" s="476"/>
      <c r="AP71" s="462">
        <v>2.99</v>
      </c>
      <c r="AQ71" s="476"/>
      <c r="AR71" s="463">
        <v>6.99</v>
      </c>
      <c r="AS71" s="476"/>
      <c r="AT71" s="476"/>
    </row>
    <row r="72" spans="29:46" ht="15.75" x14ac:dyDescent="0.25">
      <c r="AC72" s="487" t="s">
        <v>543</v>
      </c>
      <c r="AD72" s="424">
        <v>16</v>
      </c>
      <c r="AE72" s="425">
        <v>454</v>
      </c>
      <c r="AF72" s="427"/>
      <c r="AG72" s="476"/>
      <c r="AH72" s="462">
        <v>1.99</v>
      </c>
      <c r="AI72" s="476"/>
      <c r="AJ72" s="461">
        <v>5.99</v>
      </c>
      <c r="AK72" s="457">
        <v>5</v>
      </c>
      <c r="AL72" s="458">
        <v>5.99</v>
      </c>
      <c r="AM72" s="459">
        <v>4</v>
      </c>
      <c r="AN72" s="459">
        <v>4.99</v>
      </c>
      <c r="AO72" s="462">
        <v>3</v>
      </c>
      <c r="AP72" s="461">
        <v>5.99</v>
      </c>
      <c r="AQ72" s="462">
        <v>4</v>
      </c>
      <c r="AR72" s="461">
        <v>5.99</v>
      </c>
      <c r="AS72" s="476"/>
      <c r="AT72" s="476"/>
    </row>
    <row r="73" spans="29:46" ht="15.75" x14ac:dyDescent="0.25">
      <c r="AC73" s="487" t="s">
        <v>544</v>
      </c>
      <c r="AD73" s="424">
        <v>16</v>
      </c>
      <c r="AE73" s="425">
        <v>458</v>
      </c>
      <c r="AF73" s="427"/>
      <c r="AG73" s="476"/>
      <c r="AH73" s="476"/>
      <c r="AI73" s="476"/>
      <c r="AJ73" s="462">
        <v>2.99</v>
      </c>
      <c r="AK73" s="457">
        <v>5</v>
      </c>
      <c r="AL73" s="458">
        <v>5.99</v>
      </c>
      <c r="AM73" s="462">
        <v>4</v>
      </c>
      <c r="AN73" s="461">
        <v>5.99</v>
      </c>
      <c r="AO73" s="476"/>
      <c r="AP73" s="462">
        <v>3.99</v>
      </c>
      <c r="AQ73" s="459">
        <v>2</v>
      </c>
      <c r="AR73" s="459">
        <v>2.99</v>
      </c>
      <c r="AS73" s="476"/>
      <c r="AT73" s="476"/>
    </row>
    <row r="74" spans="29:46" ht="15.75" x14ac:dyDescent="0.25">
      <c r="AC74" s="487" t="s">
        <v>545</v>
      </c>
      <c r="AD74" s="424">
        <v>15</v>
      </c>
      <c r="AE74" s="425">
        <v>517</v>
      </c>
      <c r="AF74" s="427"/>
      <c r="AG74" s="476"/>
      <c r="AH74" s="476"/>
      <c r="AI74" s="476"/>
      <c r="AJ74" s="462">
        <v>4.99</v>
      </c>
      <c r="AK74" s="476"/>
      <c r="AL74" s="476"/>
      <c r="AM74" s="476"/>
      <c r="AN74" s="462">
        <v>4.99</v>
      </c>
      <c r="AO74" s="462">
        <v>3</v>
      </c>
      <c r="AP74" s="476"/>
      <c r="AQ74" s="476"/>
      <c r="AR74" s="461">
        <v>5.99</v>
      </c>
      <c r="AS74" s="476"/>
      <c r="AT74" s="476"/>
    </row>
    <row r="75" spans="29:46" ht="15.75" x14ac:dyDescent="0.25">
      <c r="AC75" s="487" t="s">
        <v>546</v>
      </c>
      <c r="AD75" s="424">
        <v>17</v>
      </c>
      <c r="AE75" s="425">
        <v>499</v>
      </c>
      <c r="AF75" s="427"/>
      <c r="AG75" s="476"/>
      <c r="AH75" s="476"/>
      <c r="AI75" s="462">
        <v>4</v>
      </c>
      <c r="AJ75" s="461">
        <v>5.99</v>
      </c>
      <c r="AK75" s="459">
        <v>4</v>
      </c>
      <c r="AL75" s="459">
        <v>4.99</v>
      </c>
      <c r="AM75" s="459">
        <v>4</v>
      </c>
      <c r="AN75" s="459">
        <v>4.99</v>
      </c>
      <c r="AO75" s="476"/>
      <c r="AP75" s="463">
        <v>6.99</v>
      </c>
      <c r="AQ75" s="459">
        <v>2</v>
      </c>
      <c r="AR75" s="459">
        <v>2.99</v>
      </c>
      <c r="AS75" s="476"/>
      <c r="AT75" s="476"/>
    </row>
    <row r="76" spans="29:46" ht="15.75" x14ac:dyDescent="0.25">
      <c r="AC76" s="487" t="s">
        <v>547</v>
      </c>
      <c r="AD76" s="424">
        <v>16</v>
      </c>
      <c r="AE76" s="425">
        <v>-1491</v>
      </c>
      <c r="AF76" s="427"/>
      <c r="AG76" s="467"/>
      <c r="AH76" s="467"/>
      <c r="AI76" s="478">
        <v>1</v>
      </c>
      <c r="AJ76" s="459">
        <v>1.99</v>
      </c>
      <c r="AK76" s="479">
        <v>5</v>
      </c>
      <c r="AL76" s="458">
        <v>5.99</v>
      </c>
      <c r="AM76" s="467"/>
      <c r="AN76" s="462">
        <v>2.99</v>
      </c>
      <c r="AO76" s="479" t="s">
        <v>548</v>
      </c>
      <c r="AP76" s="458">
        <v>5.99</v>
      </c>
      <c r="AQ76" s="479">
        <v>4</v>
      </c>
      <c r="AR76" s="458">
        <v>4.99</v>
      </c>
      <c r="AS76" s="467"/>
      <c r="AT76" s="467"/>
    </row>
    <row r="77" spans="29:46" ht="15.75" x14ac:dyDescent="0.25">
      <c r="AC77" s="487" t="s">
        <v>549</v>
      </c>
      <c r="AD77" s="424">
        <v>16</v>
      </c>
      <c r="AE77" s="425">
        <v>336</v>
      </c>
      <c r="AF77" s="427" t="s">
        <v>67</v>
      </c>
      <c r="AG77" s="467"/>
      <c r="AH77" s="462">
        <v>1.99</v>
      </c>
      <c r="AI77" s="479">
        <v>6</v>
      </c>
      <c r="AJ77" s="471">
        <v>6.99</v>
      </c>
      <c r="AK77" s="479">
        <v>5</v>
      </c>
      <c r="AL77" s="458">
        <v>5.99</v>
      </c>
      <c r="AM77" s="479">
        <v>3</v>
      </c>
      <c r="AN77" s="457">
        <v>3.99</v>
      </c>
      <c r="AO77" s="478">
        <v>1</v>
      </c>
      <c r="AP77" s="459">
        <v>1.99</v>
      </c>
      <c r="AQ77" s="478">
        <v>2</v>
      </c>
      <c r="AR77" s="459">
        <v>2.99</v>
      </c>
      <c r="AS77" s="467"/>
      <c r="AT77" s="467"/>
    </row>
    <row r="78" spans="29:46" ht="15.75" x14ac:dyDescent="0.25">
      <c r="AC78" s="487" t="s">
        <v>550</v>
      </c>
      <c r="AD78" s="424">
        <v>16</v>
      </c>
      <c r="AE78" s="425">
        <v>305</v>
      </c>
      <c r="AF78" s="427" t="s">
        <v>67</v>
      </c>
      <c r="AG78" s="467"/>
      <c r="AH78" s="462">
        <v>1.99</v>
      </c>
      <c r="AI78" s="467"/>
      <c r="AJ78" s="462">
        <v>3.99</v>
      </c>
      <c r="AK78" s="467"/>
      <c r="AL78" s="462">
        <v>2.99</v>
      </c>
      <c r="AM78" s="467"/>
      <c r="AN78" s="462">
        <v>2.99</v>
      </c>
      <c r="AO78" s="478">
        <v>3</v>
      </c>
      <c r="AP78" s="459">
        <v>3.99</v>
      </c>
      <c r="AQ78" s="479">
        <v>5</v>
      </c>
      <c r="AR78" s="458">
        <v>5.99</v>
      </c>
      <c r="AS78" s="467"/>
      <c r="AT78" s="467"/>
    </row>
    <row r="79" spans="29:46" ht="15.75" x14ac:dyDescent="0.25">
      <c r="AC79" s="487" t="s">
        <v>551</v>
      </c>
      <c r="AD79" s="424">
        <v>16</v>
      </c>
      <c r="AE79" s="425">
        <v>262</v>
      </c>
      <c r="AF79" s="427"/>
      <c r="AG79" s="467"/>
      <c r="AH79" s="462">
        <v>1.99</v>
      </c>
      <c r="AI79" s="478">
        <v>1</v>
      </c>
      <c r="AJ79" s="459">
        <v>1.99</v>
      </c>
      <c r="AK79" s="479">
        <v>4</v>
      </c>
      <c r="AL79" s="457">
        <v>4.99</v>
      </c>
      <c r="AM79" s="478">
        <v>5</v>
      </c>
      <c r="AN79" s="460">
        <v>5.99</v>
      </c>
      <c r="AO79" s="479">
        <v>6</v>
      </c>
      <c r="AP79" s="471">
        <v>6.99</v>
      </c>
      <c r="AQ79" s="479">
        <v>2</v>
      </c>
      <c r="AR79" s="457">
        <v>2.99</v>
      </c>
      <c r="AS79" s="467"/>
      <c r="AT79" s="467"/>
    </row>
    <row r="80" spans="29:46" ht="15.75" x14ac:dyDescent="0.25">
      <c r="AC80" s="487" t="s">
        <v>552</v>
      </c>
      <c r="AD80" s="424">
        <v>17</v>
      </c>
      <c r="AE80" s="425">
        <v>208</v>
      </c>
      <c r="AF80" s="427"/>
      <c r="AG80" s="467"/>
      <c r="AH80" s="462">
        <v>1.99</v>
      </c>
      <c r="AI80" s="478">
        <v>2</v>
      </c>
      <c r="AJ80" s="459">
        <v>2.99</v>
      </c>
      <c r="AK80" s="480">
        <v>5</v>
      </c>
      <c r="AL80" s="463">
        <v>7</v>
      </c>
      <c r="AM80" s="478">
        <v>3</v>
      </c>
      <c r="AN80" s="459">
        <v>3.99</v>
      </c>
      <c r="AO80" s="480">
        <v>4</v>
      </c>
      <c r="AP80" s="463">
        <v>6.99</v>
      </c>
      <c r="AQ80" s="467"/>
      <c r="AR80" s="462">
        <v>2.99</v>
      </c>
      <c r="AS80" s="467"/>
      <c r="AT80" s="467"/>
    </row>
    <row r="81" spans="29:46" x14ac:dyDescent="0.25">
      <c r="AC81" s="487" t="s">
        <v>553</v>
      </c>
      <c r="AD81" s="424"/>
      <c r="AE81" s="425"/>
      <c r="AF81" s="427"/>
      <c r="AG81" s="481"/>
      <c r="AH81" s="481"/>
      <c r="AI81" s="481"/>
      <c r="AJ81" s="481"/>
      <c r="AK81" s="481"/>
      <c r="AL81" s="481"/>
      <c r="AM81" s="481"/>
      <c r="AN81" s="481"/>
      <c r="AO81" s="481"/>
      <c r="AP81" s="481"/>
      <c r="AQ81" s="481"/>
      <c r="AR81" s="481"/>
      <c r="AS81" s="481"/>
      <c r="AT81" s="481"/>
    </row>
    <row r="82" spans="29:46" x14ac:dyDescent="0.25">
      <c r="AC82" s="487" t="s">
        <v>554</v>
      </c>
      <c r="AD82" s="424"/>
      <c r="AE82" s="425"/>
      <c r="AF82" s="427"/>
      <c r="AG82" s="481"/>
      <c r="AH82" s="481"/>
      <c r="AI82" s="481"/>
      <c r="AJ82" s="481"/>
      <c r="AK82" s="481"/>
      <c r="AL82" s="481"/>
      <c r="AM82" s="481"/>
      <c r="AN82" s="481"/>
      <c r="AO82" s="481"/>
      <c r="AP82" s="481"/>
      <c r="AQ82" s="481"/>
      <c r="AR82" s="481"/>
      <c r="AS82" s="481"/>
      <c r="AT82" s="481"/>
    </row>
    <row r="83" spans="29:46" x14ac:dyDescent="0.25">
      <c r="AC83" s="487" t="s">
        <v>555</v>
      </c>
      <c r="AD83" s="424"/>
      <c r="AE83" s="425"/>
      <c r="AF83" s="427"/>
      <c r="AG83" s="481"/>
      <c r="AH83" s="481"/>
      <c r="AI83" s="481"/>
      <c r="AJ83" s="481"/>
      <c r="AK83" s="481"/>
      <c r="AL83" s="481"/>
      <c r="AM83" s="481"/>
      <c r="AN83" s="481"/>
      <c r="AO83" s="481"/>
      <c r="AP83" s="481"/>
      <c r="AQ83" s="481"/>
      <c r="AR83" s="481"/>
      <c r="AS83" s="481"/>
      <c r="AT83" s="481"/>
    </row>
    <row r="84" spans="29:46" ht="15.75" x14ac:dyDescent="0.25">
      <c r="AC84" s="487" t="s">
        <v>556</v>
      </c>
      <c r="AD84" s="424">
        <v>16</v>
      </c>
      <c r="AE84" s="425">
        <v>146</v>
      </c>
      <c r="AF84" s="427"/>
      <c r="AG84" s="467"/>
      <c r="AH84" s="467"/>
      <c r="AI84" s="478">
        <v>3</v>
      </c>
      <c r="AJ84" s="459">
        <v>3.99</v>
      </c>
      <c r="AK84" s="478">
        <v>5</v>
      </c>
      <c r="AL84" s="460">
        <v>5.99</v>
      </c>
      <c r="AM84" s="478">
        <v>3</v>
      </c>
      <c r="AN84" s="459">
        <v>3.99</v>
      </c>
      <c r="AO84" s="478">
        <v>1</v>
      </c>
      <c r="AP84" s="459">
        <v>1.99</v>
      </c>
      <c r="AQ84" s="467"/>
      <c r="AR84" s="462">
        <v>1.99</v>
      </c>
      <c r="AS84" s="467"/>
      <c r="AT84" s="467"/>
    </row>
    <row r="85" spans="29:46" ht="15.75" x14ac:dyDescent="0.25">
      <c r="AC85" s="487" t="s">
        <v>557</v>
      </c>
      <c r="AD85" s="424">
        <v>16</v>
      </c>
      <c r="AE85" s="425">
        <v>210</v>
      </c>
      <c r="AF85" s="427"/>
      <c r="AG85" s="479">
        <v>6</v>
      </c>
      <c r="AH85" s="471">
        <v>6.99</v>
      </c>
      <c r="AI85" s="478">
        <v>2.6</v>
      </c>
      <c r="AJ85" s="459">
        <v>2.99</v>
      </c>
      <c r="AK85" s="467"/>
      <c r="AL85" s="462">
        <v>3.99</v>
      </c>
      <c r="AM85" s="467"/>
      <c r="AN85" s="462">
        <v>1.99</v>
      </c>
      <c r="AO85" s="467"/>
      <c r="AP85" s="462">
        <v>0.99</v>
      </c>
      <c r="AQ85" s="467"/>
      <c r="AR85" s="462">
        <v>2.99</v>
      </c>
      <c r="AS85" s="467"/>
      <c r="AT85" s="467"/>
    </row>
    <row r="86" spans="29:46" ht="15.75" x14ac:dyDescent="0.25">
      <c r="AC86" s="487" t="s">
        <v>558</v>
      </c>
      <c r="AD86" s="424">
        <v>17</v>
      </c>
      <c r="AE86" s="425">
        <v>384</v>
      </c>
      <c r="AF86" s="427" t="s">
        <v>105</v>
      </c>
      <c r="AG86" s="467"/>
      <c r="AH86" s="462">
        <v>1.99</v>
      </c>
      <c r="AI86" s="478">
        <v>3</v>
      </c>
      <c r="AJ86" s="459">
        <v>3.99</v>
      </c>
      <c r="AK86" s="478">
        <v>5</v>
      </c>
      <c r="AL86" s="460">
        <v>5.99</v>
      </c>
      <c r="AM86" s="478">
        <v>1</v>
      </c>
      <c r="AN86" s="459">
        <v>1.99</v>
      </c>
      <c r="AO86" s="478">
        <v>4</v>
      </c>
      <c r="AP86" s="459">
        <v>4.99</v>
      </c>
      <c r="AQ86" s="479">
        <v>4</v>
      </c>
      <c r="AR86" s="457">
        <v>4.99</v>
      </c>
      <c r="AS86" s="467"/>
      <c r="AT86" s="467"/>
    </row>
    <row r="87" spans="29:46" ht="15.75" x14ac:dyDescent="0.25">
      <c r="AC87" s="487" t="s">
        <v>559</v>
      </c>
      <c r="AD87" s="424">
        <v>17</v>
      </c>
      <c r="AE87" s="425">
        <v>382</v>
      </c>
      <c r="AF87" s="427"/>
      <c r="AG87" s="476"/>
      <c r="AH87" s="462">
        <v>1.99</v>
      </c>
      <c r="AI87" s="479">
        <v>5</v>
      </c>
      <c r="AJ87" s="458">
        <v>5.99</v>
      </c>
      <c r="AK87" s="478">
        <v>4</v>
      </c>
      <c r="AL87" s="459">
        <v>4.99</v>
      </c>
      <c r="AM87" s="480">
        <v>2</v>
      </c>
      <c r="AN87" s="462">
        <v>3.99</v>
      </c>
      <c r="AO87" s="478">
        <v>4</v>
      </c>
      <c r="AP87" s="459">
        <v>4.99</v>
      </c>
      <c r="AQ87" s="476"/>
      <c r="AR87" s="462">
        <v>4.99</v>
      </c>
      <c r="AS87" s="476"/>
      <c r="AT87" s="476"/>
    </row>
    <row r="88" spans="29:46" ht="15.75" x14ac:dyDescent="0.25">
      <c r="AC88" s="487" t="s">
        <v>560</v>
      </c>
      <c r="AD88" s="424">
        <v>18</v>
      </c>
      <c r="AE88" s="425">
        <v>408</v>
      </c>
      <c r="AF88" s="427"/>
      <c r="AG88" s="467"/>
      <c r="AH88" s="462">
        <v>1.99</v>
      </c>
      <c r="AI88" s="478">
        <v>2</v>
      </c>
      <c r="AJ88" s="459">
        <v>2.99</v>
      </c>
      <c r="AK88" s="467"/>
      <c r="AL88" s="462">
        <v>4.99</v>
      </c>
      <c r="AM88" s="467"/>
      <c r="AN88" s="461">
        <v>5.99</v>
      </c>
      <c r="AO88" s="478">
        <v>4</v>
      </c>
      <c r="AP88" s="459">
        <v>4.99</v>
      </c>
      <c r="AQ88" s="478">
        <v>3</v>
      </c>
      <c r="AR88" s="459">
        <v>3.99</v>
      </c>
      <c r="AS88" s="467"/>
      <c r="AT88" s="467"/>
    </row>
    <row r="89" spans="29:46" ht="15.75" x14ac:dyDescent="0.25">
      <c r="AC89" s="487" t="s">
        <v>561</v>
      </c>
      <c r="AD89" s="424">
        <v>18</v>
      </c>
      <c r="AE89" s="425">
        <v>423</v>
      </c>
      <c r="AF89" s="427" t="s">
        <v>94</v>
      </c>
      <c r="AG89" s="476"/>
      <c r="AH89" s="462">
        <v>1.99</v>
      </c>
      <c r="AI89" s="478">
        <v>2</v>
      </c>
      <c r="AJ89" s="459">
        <v>2.99</v>
      </c>
      <c r="AK89" s="479">
        <v>4</v>
      </c>
      <c r="AL89" s="457">
        <v>4.99</v>
      </c>
      <c r="AM89" s="478">
        <v>5</v>
      </c>
      <c r="AN89" s="460">
        <v>5.99</v>
      </c>
      <c r="AO89" s="478">
        <v>3</v>
      </c>
      <c r="AP89" s="459">
        <v>3.99</v>
      </c>
      <c r="AQ89" s="480">
        <v>3</v>
      </c>
      <c r="AR89" s="463">
        <v>7</v>
      </c>
      <c r="AS89" s="476"/>
      <c r="AT89" s="476"/>
    </row>
    <row r="90" spans="29:46" ht="15.75" x14ac:dyDescent="0.25">
      <c r="AC90" s="487" t="s">
        <v>562</v>
      </c>
      <c r="AD90" s="424">
        <v>17</v>
      </c>
      <c r="AE90" s="425">
        <v>408</v>
      </c>
      <c r="AF90" s="427" t="s">
        <v>105</v>
      </c>
      <c r="AG90" s="467"/>
      <c r="AH90" s="462">
        <v>0.99</v>
      </c>
      <c r="AI90" s="478">
        <v>4</v>
      </c>
      <c r="AJ90" s="459">
        <v>4.99</v>
      </c>
      <c r="AK90" s="478">
        <v>2</v>
      </c>
      <c r="AL90" s="459">
        <v>2.99</v>
      </c>
      <c r="AM90" s="480">
        <v>4</v>
      </c>
      <c r="AN90" s="461">
        <v>5.99</v>
      </c>
      <c r="AO90" s="478">
        <v>2</v>
      </c>
      <c r="AP90" s="459">
        <v>2.99</v>
      </c>
      <c r="AQ90" s="478">
        <v>2</v>
      </c>
      <c r="AR90" s="459">
        <v>2.99</v>
      </c>
      <c r="AS90" s="467"/>
      <c r="AT90" s="467"/>
    </row>
    <row r="91" spans="29:46" ht="15.75" x14ac:dyDescent="0.25">
      <c r="AC91" s="487" t="s">
        <v>563</v>
      </c>
      <c r="AD91" s="424">
        <v>17</v>
      </c>
      <c r="AE91" s="425">
        <v>330</v>
      </c>
      <c r="AF91" s="427"/>
      <c r="AG91" s="476"/>
      <c r="AH91" s="476"/>
      <c r="AI91" s="476"/>
      <c r="AJ91" s="462">
        <v>2.99</v>
      </c>
      <c r="AK91" s="478">
        <v>3</v>
      </c>
      <c r="AL91" s="459">
        <v>3.99</v>
      </c>
      <c r="AM91" s="480">
        <v>5</v>
      </c>
      <c r="AN91" s="463">
        <v>6.99</v>
      </c>
      <c r="AO91" s="479">
        <v>4</v>
      </c>
      <c r="AP91" s="457">
        <v>4.99</v>
      </c>
      <c r="AQ91" s="479">
        <v>4</v>
      </c>
      <c r="AR91" s="457">
        <v>4.99</v>
      </c>
      <c r="AS91" s="476"/>
      <c r="AT91" s="476"/>
    </row>
    <row r="92" spans="29:46" ht="15.75" x14ac:dyDescent="0.25">
      <c r="AC92" s="487" t="s">
        <v>564</v>
      </c>
      <c r="AD92" s="424">
        <v>16</v>
      </c>
      <c r="AE92" s="425">
        <v>329</v>
      </c>
      <c r="AF92" s="427"/>
      <c r="AG92" s="476"/>
      <c r="AH92" s="476"/>
      <c r="AI92" s="479">
        <v>3</v>
      </c>
      <c r="AJ92" s="457">
        <v>3.99</v>
      </c>
      <c r="AK92" s="480">
        <v>4</v>
      </c>
      <c r="AL92" s="463">
        <v>6.99</v>
      </c>
      <c r="AM92" s="476"/>
      <c r="AN92" s="462">
        <v>3.99</v>
      </c>
      <c r="AO92" s="479">
        <v>3</v>
      </c>
      <c r="AP92" s="457">
        <v>3.99</v>
      </c>
      <c r="AQ92" s="476"/>
      <c r="AR92" s="462">
        <v>3.99</v>
      </c>
      <c r="AS92" s="476"/>
      <c r="AT92" s="476"/>
    </row>
    <row r="93" spans="29:46" ht="15.75" x14ac:dyDescent="0.25">
      <c r="AC93" s="487" t="s">
        <v>565</v>
      </c>
      <c r="AD93" s="424">
        <v>16</v>
      </c>
      <c r="AE93" s="425">
        <v>331</v>
      </c>
      <c r="AF93" s="427"/>
      <c r="AG93" s="476"/>
      <c r="AH93" s="476"/>
      <c r="AI93" s="478">
        <v>2</v>
      </c>
      <c r="AJ93" s="459">
        <v>2.99</v>
      </c>
      <c r="AK93" s="479">
        <v>4</v>
      </c>
      <c r="AL93" s="457">
        <v>4.99</v>
      </c>
      <c r="AM93" s="478">
        <v>2</v>
      </c>
      <c r="AN93" s="459">
        <v>2.99</v>
      </c>
      <c r="AO93" s="478">
        <v>3</v>
      </c>
      <c r="AP93" s="459">
        <v>3.99</v>
      </c>
      <c r="AQ93" s="480">
        <v>4</v>
      </c>
      <c r="AR93" s="463">
        <v>6.99</v>
      </c>
      <c r="AS93" s="476"/>
      <c r="AT93" s="476"/>
    </row>
    <row r="94" spans="29:46" ht="15.75" x14ac:dyDescent="0.25">
      <c r="AC94" s="487" t="s">
        <v>566</v>
      </c>
      <c r="AD94" s="424">
        <v>16</v>
      </c>
      <c r="AE94" s="425">
        <v>342</v>
      </c>
      <c r="AF94" s="427"/>
      <c r="AG94" s="476"/>
      <c r="AH94" s="476"/>
      <c r="AI94" s="480">
        <v>4</v>
      </c>
      <c r="AJ94" s="463">
        <v>6.99</v>
      </c>
      <c r="AK94" s="478">
        <v>2</v>
      </c>
      <c r="AL94" s="459">
        <v>2.99</v>
      </c>
      <c r="AM94" s="482">
        <v>2</v>
      </c>
      <c r="AN94" s="483">
        <v>2.99</v>
      </c>
      <c r="AO94" s="479">
        <v>5</v>
      </c>
      <c r="AP94" s="458">
        <v>5.99</v>
      </c>
      <c r="AQ94" s="480">
        <v>1</v>
      </c>
      <c r="AR94" s="462">
        <v>2.99</v>
      </c>
      <c r="AS94" s="476"/>
      <c r="AT94" s="462">
        <v>3.99</v>
      </c>
    </row>
    <row r="95" spans="29:46" ht="15.75" x14ac:dyDescent="0.25">
      <c r="AC95" s="487" t="s">
        <v>567</v>
      </c>
      <c r="AD95" s="424">
        <v>16</v>
      </c>
      <c r="AE95" s="425">
        <v>373</v>
      </c>
      <c r="AF95" s="427"/>
      <c r="AG95" s="467"/>
      <c r="AH95" s="467"/>
      <c r="AI95" s="479">
        <v>5</v>
      </c>
      <c r="AJ95" s="458">
        <v>5.99</v>
      </c>
      <c r="AK95" s="478">
        <v>5</v>
      </c>
      <c r="AL95" s="460">
        <v>5.99</v>
      </c>
      <c r="AM95" s="467"/>
      <c r="AN95" s="462">
        <v>4.99</v>
      </c>
      <c r="AO95" s="467"/>
      <c r="AP95" s="462">
        <v>4.99</v>
      </c>
      <c r="AQ95" s="467"/>
      <c r="AR95" s="462">
        <v>4.99</v>
      </c>
      <c r="AS95" s="467"/>
      <c r="AT95" s="467"/>
    </row>
    <row r="96" spans="29:46" ht="15.75" x14ac:dyDescent="0.25">
      <c r="AC96" s="487" t="s">
        <v>568</v>
      </c>
      <c r="AD96" s="424">
        <v>16</v>
      </c>
      <c r="AE96" s="425">
        <v>390</v>
      </c>
      <c r="AF96" s="427" t="s">
        <v>67</v>
      </c>
      <c r="AG96" s="467"/>
      <c r="AH96" s="467"/>
      <c r="AI96" s="478">
        <v>1</v>
      </c>
      <c r="AJ96" s="459">
        <v>1.99</v>
      </c>
      <c r="AK96" s="478">
        <v>6</v>
      </c>
      <c r="AL96" s="464">
        <v>6.99</v>
      </c>
      <c r="AM96" s="479">
        <v>2</v>
      </c>
      <c r="AN96" s="457">
        <v>2.99</v>
      </c>
      <c r="AO96" s="478">
        <v>5</v>
      </c>
      <c r="AP96" s="460">
        <v>5.99</v>
      </c>
      <c r="AQ96" s="479">
        <v>4</v>
      </c>
      <c r="AR96" s="457">
        <v>4.99</v>
      </c>
      <c r="AS96" s="467"/>
      <c r="AT96" s="462">
        <v>3.99</v>
      </c>
    </row>
    <row r="97" spans="29:46" ht="15.75" x14ac:dyDescent="0.25">
      <c r="AC97" s="487" t="s">
        <v>569</v>
      </c>
      <c r="AD97" s="424">
        <v>16</v>
      </c>
      <c r="AE97" s="425">
        <v>262</v>
      </c>
      <c r="AF97" s="427"/>
      <c r="AG97" s="467"/>
      <c r="AH97" s="467"/>
      <c r="AI97" s="479">
        <v>6</v>
      </c>
      <c r="AJ97" s="471">
        <v>6.99</v>
      </c>
      <c r="AK97" s="482">
        <v>3</v>
      </c>
      <c r="AL97" s="457">
        <v>3.99</v>
      </c>
      <c r="AM97" s="479">
        <v>5</v>
      </c>
      <c r="AN97" s="458">
        <v>5.99</v>
      </c>
      <c r="AO97" s="467"/>
      <c r="AP97" s="462">
        <v>2.99</v>
      </c>
      <c r="AQ97" s="480">
        <v>3</v>
      </c>
      <c r="AR97" s="462">
        <v>4.99</v>
      </c>
      <c r="AS97" s="467"/>
      <c r="AT97" s="467"/>
    </row>
    <row r="98" spans="29:46" ht="15.75" x14ac:dyDescent="0.25">
      <c r="AC98" s="487" t="s">
        <v>570</v>
      </c>
      <c r="AD98" s="424">
        <v>16</v>
      </c>
      <c r="AE98" s="425">
        <v>240</v>
      </c>
      <c r="AF98" s="427" t="s">
        <v>67</v>
      </c>
      <c r="AG98" s="467"/>
      <c r="AH98" s="467"/>
      <c r="AI98" s="467"/>
      <c r="AJ98" s="462">
        <v>2.99</v>
      </c>
      <c r="AK98" s="479">
        <v>5</v>
      </c>
      <c r="AL98" s="458">
        <v>5.99</v>
      </c>
      <c r="AM98" s="478">
        <v>2</v>
      </c>
      <c r="AN98" s="459">
        <v>2.99</v>
      </c>
      <c r="AO98" s="478">
        <v>3</v>
      </c>
      <c r="AP98" s="459">
        <v>3.99</v>
      </c>
      <c r="AQ98" s="480">
        <v>3</v>
      </c>
      <c r="AR98" s="462">
        <v>4.99</v>
      </c>
      <c r="AS98" s="467"/>
      <c r="AT98" s="467"/>
    </row>
    <row r="99" spans="29:46" ht="15.75" x14ac:dyDescent="0.25">
      <c r="AC99" s="487" t="s">
        <v>571</v>
      </c>
      <c r="AD99" s="424">
        <v>16</v>
      </c>
      <c r="AE99" s="425">
        <v>255</v>
      </c>
      <c r="AF99" s="427"/>
      <c r="AG99" s="467"/>
      <c r="AH99" s="462">
        <v>0.99</v>
      </c>
      <c r="AI99" s="478">
        <v>2</v>
      </c>
      <c r="AJ99" s="459">
        <v>2.99</v>
      </c>
      <c r="AK99" s="480">
        <v>5</v>
      </c>
      <c r="AL99" s="463">
        <v>6.99</v>
      </c>
      <c r="AM99" s="482">
        <v>2</v>
      </c>
      <c r="AN99" s="483">
        <v>2.99</v>
      </c>
      <c r="AO99" s="478">
        <v>2</v>
      </c>
      <c r="AP99" s="459">
        <v>2.99</v>
      </c>
      <c r="AQ99" s="478">
        <v>2</v>
      </c>
      <c r="AR99" s="459">
        <v>2.99</v>
      </c>
      <c r="AS99" s="467"/>
      <c r="AT99" s="467"/>
    </row>
    <row r="100" spans="29:46" ht="15.75" x14ac:dyDescent="0.25">
      <c r="AC100" s="487" t="s">
        <v>572</v>
      </c>
      <c r="AD100" s="419">
        <v>18</v>
      </c>
      <c r="AE100" s="420">
        <v>238</v>
      </c>
      <c r="AF100" s="421" t="s">
        <v>94</v>
      </c>
      <c r="AG100" s="476"/>
      <c r="AH100" s="462">
        <v>1.99</v>
      </c>
      <c r="AI100" s="479">
        <v>4</v>
      </c>
      <c r="AJ100" s="457">
        <v>4.99</v>
      </c>
      <c r="AK100" s="478">
        <v>2</v>
      </c>
      <c r="AL100" s="459">
        <v>2.99</v>
      </c>
      <c r="AM100" s="478">
        <v>3</v>
      </c>
      <c r="AN100" s="459">
        <v>3.99</v>
      </c>
      <c r="AO100" s="478">
        <v>1</v>
      </c>
      <c r="AP100" s="459">
        <v>1.99</v>
      </c>
      <c r="AQ100" s="480">
        <v>4</v>
      </c>
      <c r="AR100" s="463">
        <v>6.99</v>
      </c>
      <c r="AS100" s="476"/>
      <c r="AT100" s="476"/>
    </row>
    <row r="101" spans="29:46" ht="15.75" x14ac:dyDescent="0.25">
      <c r="AC101" s="487" t="s">
        <v>573</v>
      </c>
      <c r="AD101" s="424">
        <v>17</v>
      </c>
      <c r="AE101" s="425">
        <v>105</v>
      </c>
      <c r="AF101" s="427" t="s">
        <v>94</v>
      </c>
      <c r="AG101" s="467"/>
      <c r="AH101" s="462">
        <v>1.99</v>
      </c>
      <c r="AI101" s="478">
        <v>3</v>
      </c>
      <c r="AJ101" s="459">
        <v>3.99</v>
      </c>
      <c r="AK101" s="479">
        <v>5</v>
      </c>
      <c r="AL101" s="458">
        <v>5.99</v>
      </c>
      <c r="AM101" s="478">
        <v>4</v>
      </c>
      <c r="AN101" s="459">
        <v>4.99</v>
      </c>
      <c r="AO101" s="478">
        <v>4</v>
      </c>
      <c r="AP101" s="459">
        <v>4.99</v>
      </c>
      <c r="AQ101" s="467"/>
      <c r="AR101" s="462">
        <v>2.99</v>
      </c>
      <c r="AS101" s="467"/>
      <c r="AT101" s="467"/>
    </row>
    <row r="102" spans="29:46" ht="15.75" x14ac:dyDescent="0.25">
      <c r="AC102" s="487" t="s">
        <v>574</v>
      </c>
      <c r="AD102" s="424">
        <v>17</v>
      </c>
      <c r="AE102" s="425">
        <v>181</v>
      </c>
      <c r="AF102" s="427" t="s">
        <v>105</v>
      </c>
      <c r="AG102" s="467"/>
      <c r="AH102" s="467"/>
      <c r="AI102" s="479">
        <v>5</v>
      </c>
      <c r="AJ102" s="458">
        <v>5.99</v>
      </c>
      <c r="AK102" s="479">
        <v>4</v>
      </c>
      <c r="AL102" s="457">
        <v>4.99</v>
      </c>
      <c r="AM102" s="467"/>
      <c r="AN102" s="461">
        <v>5.99</v>
      </c>
      <c r="AO102" s="478">
        <v>3</v>
      </c>
      <c r="AP102" s="459">
        <v>3.99</v>
      </c>
      <c r="AQ102" s="467"/>
      <c r="AR102" s="462">
        <v>2.99</v>
      </c>
      <c r="AS102" s="467"/>
      <c r="AT102" s="467"/>
    </row>
    <row r="103" spans="29:46" ht="15.75" x14ac:dyDescent="0.25">
      <c r="AC103" s="487" t="s">
        <v>575</v>
      </c>
      <c r="AD103" s="424">
        <v>17</v>
      </c>
      <c r="AE103" s="425">
        <v>34</v>
      </c>
      <c r="AF103" s="427" t="s">
        <v>220</v>
      </c>
      <c r="AG103" s="476"/>
      <c r="AH103" s="462">
        <v>0.99</v>
      </c>
      <c r="AI103" s="478">
        <v>5</v>
      </c>
      <c r="AJ103" s="460">
        <v>5.99</v>
      </c>
      <c r="AK103" s="480">
        <v>4</v>
      </c>
      <c r="AL103" s="461">
        <v>5.99</v>
      </c>
      <c r="AM103" s="484">
        <v>6</v>
      </c>
      <c r="AN103" s="485">
        <v>6.99</v>
      </c>
      <c r="AO103" s="476"/>
      <c r="AP103" s="462">
        <v>2.99</v>
      </c>
      <c r="AQ103" s="484">
        <v>5</v>
      </c>
      <c r="AR103" s="486">
        <v>5.99</v>
      </c>
      <c r="AS103" s="476"/>
      <c r="AT103" s="476"/>
    </row>
    <row r="104" spans="29:46" ht="15.75" x14ac:dyDescent="0.25">
      <c r="AC104" s="621" t="s">
        <v>463</v>
      </c>
      <c r="AD104" s="426">
        <v>17</v>
      </c>
      <c r="AE104" s="425">
        <v>51</v>
      </c>
      <c r="AF104" s="427" t="s">
        <v>67</v>
      </c>
      <c r="AG104" s="467"/>
      <c r="AH104" s="467"/>
      <c r="AI104" s="478">
        <v>5</v>
      </c>
      <c r="AJ104" s="460">
        <v>5.99</v>
      </c>
      <c r="AK104" s="479">
        <v>4</v>
      </c>
      <c r="AL104" s="457">
        <v>4.99</v>
      </c>
      <c r="AM104" s="467"/>
      <c r="AN104" s="462">
        <v>2.99</v>
      </c>
      <c r="AO104" s="467"/>
      <c r="AP104" s="462">
        <v>3.99</v>
      </c>
      <c r="AQ104" s="482">
        <v>3</v>
      </c>
      <c r="AR104" s="483">
        <v>3.99</v>
      </c>
      <c r="AS104" s="467"/>
      <c r="AT104" s="467"/>
    </row>
    <row r="105" spans="29:46" ht="15.75" x14ac:dyDescent="0.25">
      <c r="AC105" s="621" t="s">
        <v>466</v>
      </c>
      <c r="AD105" s="426">
        <v>18</v>
      </c>
      <c r="AE105" s="425">
        <v>26</v>
      </c>
      <c r="AF105" s="427"/>
      <c r="AG105" s="467"/>
      <c r="AH105" s="462">
        <v>0.99</v>
      </c>
      <c r="AI105" s="484">
        <v>6</v>
      </c>
      <c r="AJ105" s="485">
        <v>6.99</v>
      </c>
      <c r="AK105" s="479">
        <v>4</v>
      </c>
      <c r="AL105" s="457">
        <v>4.99</v>
      </c>
      <c r="AM105" s="467"/>
      <c r="AN105" s="462">
        <v>3.99</v>
      </c>
      <c r="AO105" s="467"/>
      <c r="AP105" s="462">
        <v>2.99</v>
      </c>
      <c r="AQ105" s="467"/>
      <c r="AR105" s="462">
        <v>2.99</v>
      </c>
      <c r="AS105" s="467"/>
      <c r="AT105" s="467"/>
    </row>
    <row r="106" spans="29:46" x14ac:dyDescent="0.25">
      <c r="AC106" s="621" t="s">
        <v>454</v>
      </c>
      <c r="AD106" s="426">
        <v>17</v>
      </c>
      <c r="AE106" s="425">
        <v>43</v>
      </c>
      <c r="AF106" s="427" t="s">
        <v>94</v>
      </c>
      <c r="AG106" s="3"/>
      <c r="AH106" s="3"/>
      <c r="AI106" s="639">
        <v>6</v>
      </c>
      <c r="AJ106" s="640">
        <v>6.99</v>
      </c>
      <c r="AK106" s="641">
        <v>5</v>
      </c>
      <c r="AL106" s="642">
        <v>5.99</v>
      </c>
      <c r="AM106" s="639">
        <v>6</v>
      </c>
      <c r="AN106" s="640">
        <v>6.99</v>
      </c>
      <c r="AO106" s="641">
        <v>2</v>
      </c>
      <c r="AP106" s="643">
        <v>2.99</v>
      </c>
      <c r="AQ106" s="644">
        <v>3</v>
      </c>
      <c r="AR106" s="452">
        <v>3.99</v>
      </c>
      <c r="AS106" s="467"/>
      <c r="AT106" s="467"/>
    </row>
    <row r="107" spans="29:46" ht="15.75" x14ac:dyDescent="0.25">
      <c r="AC107" s="439" t="s">
        <v>479</v>
      </c>
      <c r="AD107" s="426">
        <v>17</v>
      </c>
      <c r="AE107" s="425">
        <v>58</v>
      </c>
      <c r="AF107" s="391"/>
      <c r="AG107" s="467"/>
      <c r="AH107" s="467"/>
      <c r="AI107" s="484">
        <v>6</v>
      </c>
      <c r="AJ107" s="485">
        <v>6.99</v>
      </c>
      <c r="AK107" s="481"/>
      <c r="AL107" s="462">
        <v>2.99</v>
      </c>
      <c r="AM107" s="467"/>
      <c r="AN107" s="462">
        <v>1.99</v>
      </c>
      <c r="AO107" s="480">
        <v>2</v>
      </c>
      <c r="AP107" s="462">
        <v>2.99</v>
      </c>
      <c r="AQ107" s="467"/>
      <c r="AR107" s="463">
        <v>6.99</v>
      </c>
      <c r="AS107" s="467"/>
      <c r="AT107" s="462">
        <v>2.99</v>
      </c>
    </row>
    <row r="108" spans="29:46" ht="15.75" x14ac:dyDescent="0.25">
      <c r="AC108" s="438" t="s">
        <v>464</v>
      </c>
      <c r="AD108" s="426">
        <v>17</v>
      </c>
      <c r="AE108" s="425">
        <v>68</v>
      </c>
      <c r="AF108" s="427"/>
      <c r="AG108" s="467"/>
      <c r="AH108" s="462">
        <v>1.99</v>
      </c>
      <c r="AI108" s="478">
        <v>1</v>
      </c>
      <c r="AJ108" s="459">
        <v>1.99</v>
      </c>
      <c r="AK108" s="478">
        <v>4</v>
      </c>
      <c r="AL108" s="459">
        <v>4.99</v>
      </c>
      <c r="AM108" s="649">
        <v>5</v>
      </c>
      <c r="AN108" s="650">
        <v>5.99</v>
      </c>
      <c r="AO108" s="649">
        <v>3</v>
      </c>
      <c r="AP108" s="651">
        <v>3.99</v>
      </c>
      <c r="AQ108" s="480">
        <v>3</v>
      </c>
      <c r="AR108" s="463">
        <v>6.99</v>
      </c>
      <c r="AS108" s="467"/>
      <c r="AT108" s="467"/>
    </row>
    <row r="109" spans="29:46" ht="15.75" x14ac:dyDescent="0.25">
      <c r="AC109" s="438" t="s">
        <v>462</v>
      </c>
      <c r="AD109" s="424">
        <v>17</v>
      </c>
      <c r="AE109" s="425">
        <f ca="1">37+$A$33-$A$32</f>
        <v>155</v>
      </c>
      <c r="AF109" s="427"/>
      <c r="AG109" s="476"/>
      <c r="AH109" s="476"/>
      <c r="AI109" s="484">
        <v>6</v>
      </c>
      <c r="AJ109" s="485">
        <v>6.99</v>
      </c>
      <c r="AK109" s="480">
        <v>4</v>
      </c>
      <c r="AL109" s="463">
        <v>6.99</v>
      </c>
      <c r="AM109" s="653">
        <v>4</v>
      </c>
      <c r="AN109" s="654">
        <v>4.99</v>
      </c>
      <c r="AO109" s="478">
        <v>2</v>
      </c>
      <c r="AP109" s="459">
        <v>2.99</v>
      </c>
      <c r="AQ109" s="484">
        <v>4</v>
      </c>
      <c r="AR109" s="655">
        <v>4.99</v>
      </c>
      <c r="AS109" s="476"/>
      <c r="AT109" s="476"/>
    </row>
    <row r="110" spans="29:46" ht="15.75" x14ac:dyDescent="0.25">
      <c r="AC110" s="439" t="s">
        <v>458</v>
      </c>
      <c r="AD110" s="424">
        <v>17</v>
      </c>
      <c r="AE110" s="425">
        <v>1</v>
      </c>
      <c r="AF110" s="427"/>
      <c r="AG110" s="476"/>
      <c r="AH110" s="462">
        <v>1.99</v>
      </c>
      <c r="AI110" s="478">
        <v>2</v>
      </c>
      <c r="AJ110" s="459">
        <v>2.99</v>
      </c>
      <c r="AK110" s="484">
        <v>4</v>
      </c>
      <c r="AL110" s="655">
        <v>4.99</v>
      </c>
      <c r="AM110" s="484">
        <v>4</v>
      </c>
      <c r="AN110" s="655">
        <v>4.99</v>
      </c>
      <c r="AO110" s="484">
        <v>5</v>
      </c>
      <c r="AP110" s="486">
        <v>5.99</v>
      </c>
      <c r="AQ110" s="478">
        <v>2</v>
      </c>
      <c r="AR110" s="459">
        <v>2.99</v>
      </c>
      <c r="AS110" s="476"/>
      <c r="AT110" s="476"/>
    </row>
  </sheetData>
  <mergeCells count="7">
    <mergeCell ref="A15:E15"/>
    <mergeCell ref="AC3:AF3"/>
    <mergeCell ref="AG3:AT3"/>
    <mergeCell ref="AC1:AF1"/>
    <mergeCell ref="A1:E1"/>
    <mergeCell ref="A3:E3"/>
    <mergeCell ref="A10:E10"/>
  </mergeCells>
  <conditionalFormatting sqref="E27:E29 E13:E14 E6:E9 E18:E21">
    <cfRule type="cellIs" dxfId="71" priority="42" operator="between">
      <formula>1</formula>
      <formula>50</formula>
    </cfRule>
    <cfRule type="cellIs" dxfId="70" priority="43" operator="greaterThan">
      <formula>50</formula>
    </cfRule>
    <cfRule type="cellIs" dxfId="69" priority="44" operator="lessThan">
      <formula>1</formula>
    </cfRule>
  </conditionalFormatting>
  <conditionalFormatting sqref="E19">
    <cfRule type="cellIs" dxfId="68" priority="38" operator="between">
      <formula>1</formula>
      <formula>50</formula>
    </cfRule>
    <cfRule type="cellIs" dxfId="67" priority="39" operator="greaterThan">
      <formula>50</formula>
    </cfRule>
    <cfRule type="cellIs" dxfId="66" priority="40" operator="lessThan">
      <formula>1</formula>
    </cfRule>
  </conditionalFormatting>
  <conditionalFormatting sqref="W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ellIs" dxfId="65" priority="30" operator="between">
      <formula>1</formula>
      <formula>50</formula>
    </cfRule>
    <cfRule type="cellIs" dxfId="64" priority="31" operator="greaterThan">
      <formula>50</formula>
    </cfRule>
    <cfRule type="cellIs" dxfId="63" priority="32" operator="lessThan">
      <formula>1</formula>
    </cfRule>
  </conditionalFormatting>
  <conditionalFormatting sqref="E22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3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4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5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6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20">
    <cfRule type="cellIs" dxfId="47" priority="7" operator="between">
      <formula>1</formula>
      <formula>50</formula>
    </cfRule>
    <cfRule type="cellIs" dxfId="46" priority="8" operator="greaterThan">
      <formula>50</formula>
    </cfRule>
    <cfRule type="cellIs" dxfId="45" priority="9" operator="lessThan">
      <formula>1</formula>
    </cfRule>
  </conditionalFormatting>
  <conditionalFormatting sqref="E20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conditionalFormatting sqref="W21:W29 W13:W14 W18 W6:W9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AG5" sqref="AG5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13164</v>
      </c>
      <c r="O2" s="51">
        <f>SUM(O4:O17)</f>
        <v>14406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432</v>
      </c>
      <c r="B3" s="94" t="s">
        <v>100</v>
      </c>
      <c r="C3" s="94" t="s">
        <v>433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434</v>
      </c>
      <c r="Q3" s="96" t="s">
        <v>432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434</v>
      </c>
      <c r="AF3" s="328" t="s">
        <v>304</v>
      </c>
      <c r="AG3">
        <v>0</v>
      </c>
      <c r="AI3" s="2" t="s">
        <v>427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32</v>
      </c>
      <c r="AI4" t="s">
        <v>428</v>
      </c>
    </row>
    <row r="5" spans="1:35" x14ac:dyDescent="0.25">
      <c r="A5" s="329" t="s">
        <v>222</v>
      </c>
      <c r="B5" s="330" t="s">
        <v>2</v>
      </c>
      <c r="C5" s="80"/>
      <c r="D5" s="80" t="s">
        <v>435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429</v>
      </c>
    </row>
    <row r="6" spans="1:35" x14ac:dyDescent="0.25">
      <c r="A6" s="329" t="s">
        <v>172</v>
      </c>
      <c r="B6" s="330" t="s">
        <v>2</v>
      </c>
      <c r="C6" s="80"/>
      <c r="D6" s="80" t="s">
        <v>435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430</v>
      </c>
    </row>
    <row r="7" spans="1:35" x14ac:dyDescent="0.25">
      <c r="A7" s="329" t="s">
        <v>174</v>
      </c>
      <c r="B7" s="330" t="s">
        <v>2</v>
      </c>
      <c r="C7" s="80"/>
      <c r="D7" s="80" t="s">
        <v>435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49</v>
      </c>
      <c r="AI7" t="s">
        <v>431</v>
      </c>
    </row>
    <row r="8" spans="1:35" x14ac:dyDescent="0.25">
      <c r="A8" s="329" t="s">
        <v>178</v>
      </c>
      <c r="B8" s="330" t="s">
        <v>2</v>
      </c>
      <c r="C8" s="80"/>
      <c r="D8" s="80" t="s">
        <v>435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3.0625</v>
      </c>
    </row>
    <row r="9" spans="1:35" x14ac:dyDescent="0.25">
      <c r="A9" s="329" t="s">
        <v>173</v>
      </c>
      <c r="B9" s="330" t="s">
        <v>2</v>
      </c>
      <c r="C9" s="80"/>
      <c r="D9" s="80" t="s">
        <v>435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436</v>
      </c>
      <c r="C10" s="294" t="str">
        <f>Plantilla!D13</f>
        <v>I. Vanags</v>
      </c>
      <c r="D10" s="80" t="str">
        <f>Plantilla!G13</f>
        <v>CAB</v>
      </c>
      <c r="E10" s="80">
        <v>18</v>
      </c>
      <c r="F10" s="80">
        <v>64</v>
      </c>
      <c r="G10" s="101">
        <f>Plantilla!X13</f>
        <v>0</v>
      </c>
      <c r="H10" s="101">
        <f>Plantilla!Y13</f>
        <v>4</v>
      </c>
      <c r="I10" s="101">
        <f>Plantilla!Z13</f>
        <v>10.666666666666666</v>
      </c>
      <c r="J10" s="101">
        <f>Plantilla!AA13</f>
        <v>3</v>
      </c>
      <c r="K10" s="101">
        <f>Plantilla!AB13</f>
        <v>4</v>
      </c>
      <c r="L10" s="101">
        <f>Plantilla!AC13</f>
        <v>7</v>
      </c>
      <c r="M10" s="101">
        <f>Plantilla!AD13</f>
        <v>6</v>
      </c>
      <c r="N10" s="115">
        <f>Plantilla!V13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436</v>
      </c>
      <c r="C11" s="294" t="str">
        <f>Plantilla!D14</f>
        <v>I. Stone</v>
      </c>
      <c r="D11" s="80" t="str">
        <f>Plantilla!G14</f>
        <v>RAP</v>
      </c>
      <c r="E11" s="80">
        <v>18</v>
      </c>
      <c r="F11" s="80">
        <v>7</v>
      </c>
      <c r="G11" s="101">
        <f>Plantilla!X14</f>
        <v>0</v>
      </c>
      <c r="H11" s="101">
        <f>Plantilla!Y14</f>
        <v>3</v>
      </c>
      <c r="I11" s="101">
        <f>Plantilla!Z14</f>
        <v>9.5</v>
      </c>
      <c r="J11" s="101">
        <f>Plantilla!AA14</f>
        <v>2</v>
      </c>
      <c r="K11" s="101">
        <f>Plantilla!AB14</f>
        <v>6</v>
      </c>
      <c r="L11" s="101">
        <f>Plantilla!AC14</f>
        <v>9</v>
      </c>
      <c r="M11" s="101">
        <f>Plantilla!AD14</f>
        <v>2</v>
      </c>
      <c r="N11" s="115">
        <f>Plantilla!V14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436</v>
      </c>
      <c r="C12" s="294" t="str">
        <f>Plantilla!D15</f>
        <v>G. Piscaer</v>
      </c>
      <c r="D12" s="80" t="str">
        <f>Plantilla!G15</f>
        <v>IMP</v>
      </c>
      <c r="E12" s="80">
        <v>18</v>
      </c>
      <c r="F12" s="80">
        <v>80</v>
      </c>
      <c r="G12" s="101">
        <f>Plantilla!X15</f>
        <v>0</v>
      </c>
      <c r="H12" s="101">
        <f>Plantilla!Y15</f>
        <v>4</v>
      </c>
      <c r="I12" s="101">
        <f>Plantilla!Z15</f>
        <v>11.214285714285714</v>
      </c>
      <c r="J12" s="101">
        <f>Plantilla!AA15</f>
        <v>3</v>
      </c>
      <c r="K12" s="101">
        <f>Plantilla!AB15</f>
        <v>2</v>
      </c>
      <c r="L12" s="101">
        <f>Plantilla!AC15</f>
        <v>8</v>
      </c>
      <c r="M12" s="101">
        <f>Plantilla!AD15</f>
        <v>0</v>
      </c>
      <c r="N12" s="115">
        <f>Plantilla!V15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436</v>
      </c>
      <c r="C13" s="294" t="str">
        <f>Plantilla!D16</f>
        <v>M. Bondarewski</v>
      </c>
      <c r="D13" s="80" t="str">
        <f>Plantilla!G16</f>
        <v>RAP</v>
      </c>
      <c r="E13" s="80">
        <v>18</v>
      </c>
      <c r="F13" s="80">
        <v>80</v>
      </c>
      <c r="G13" s="101">
        <f>Plantilla!X16</f>
        <v>0</v>
      </c>
      <c r="H13" s="101">
        <f>Plantilla!Y16</f>
        <v>2</v>
      </c>
      <c r="I13" s="101">
        <f>Plantilla!Z16</f>
        <v>11.25</v>
      </c>
      <c r="J13" s="101">
        <f>Plantilla!AA16</f>
        <v>5</v>
      </c>
      <c r="K13" s="101">
        <f>Plantilla!AB16</f>
        <v>4</v>
      </c>
      <c r="L13" s="101">
        <f>Plantilla!AC16</f>
        <v>8</v>
      </c>
      <c r="M13" s="101">
        <f>Plantilla!AD16</f>
        <v>6</v>
      </c>
      <c r="N13" s="115">
        <f>Plantilla!V16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436</v>
      </c>
      <c r="C14" s="294" t="str">
        <f>Plantilla!D17</f>
        <v>P. Tuderek</v>
      </c>
      <c r="D14" s="80">
        <f>Plantilla!G20</f>
        <v>0</v>
      </c>
      <c r="E14" s="80">
        <v>18</v>
      </c>
      <c r="F14" s="80">
        <v>66</v>
      </c>
      <c r="G14" s="101">
        <f>Plantilla!X17</f>
        <v>0</v>
      </c>
      <c r="H14" s="101">
        <f>Plantilla!Y17</f>
        <v>6</v>
      </c>
      <c r="I14" s="101">
        <f>Plantilla!Z17</f>
        <v>9.5</v>
      </c>
      <c r="J14" s="101">
        <f>Plantilla!AA17</f>
        <v>2</v>
      </c>
      <c r="K14" s="101">
        <f>Plantilla!AB17</f>
        <v>3</v>
      </c>
      <c r="L14" s="101">
        <f>Plantilla!AC17</f>
        <v>6</v>
      </c>
      <c r="M14" s="101">
        <f>Plantilla!AD17</f>
        <v>8</v>
      </c>
      <c r="N14" s="115">
        <f>Plantilla!V17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>
        <f t="shared" si="2"/>
        <v>0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436</v>
      </c>
      <c r="C15" s="294" t="str">
        <f>Plantilla!D18</f>
        <v>R. Forsyth</v>
      </c>
      <c r="D15" s="80" t="str">
        <f>Plantilla!G18</f>
        <v>POT</v>
      </c>
      <c r="E15" s="80">
        <v>19</v>
      </c>
      <c r="F15" s="80">
        <v>9</v>
      </c>
      <c r="G15" s="101">
        <f>Plantilla!X18</f>
        <v>0</v>
      </c>
      <c r="H15" s="101">
        <f>Plantilla!Y18</f>
        <v>7</v>
      </c>
      <c r="I15" s="101">
        <f>Plantilla!Z18</f>
        <v>10.714285714285714</v>
      </c>
      <c r="J15" s="101">
        <f>Plantilla!AA18</f>
        <v>2</v>
      </c>
      <c r="K15" s="101">
        <f>Plantilla!AB18</f>
        <v>4</v>
      </c>
      <c r="L15" s="101">
        <f>Plantilla!AC18</f>
        <v>6</v>
      </c>
      <c r="M15" s="101">
        <f>Plantilla!AD18</f>
        <v>2</v>
      </c>
      <c r="N15" s="115">
        <f>Plantilla!V18</f>
        <v>3730</v>
      </c>
      <c r="O15" s="51">
        <f t="shared" si="11"/>
        <v>4476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437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437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432</v>
      </c>
      <c r="B20" s="94" t="s">
        <v>100</v>
      </c>
      <c r="C20" s="94" t="s">
        <v>433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434</v>
      </c>
      <c r="Q20" s="96" t="s">
        <v>432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434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>
        <f t="shared" si="53"/>
        <v>0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>
        <f t="shared" si="22"/>
        <v>0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438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438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zoomScale="110" zoomScaleNormal="110" workbookViewId="0">
      <selection activeCell="AA25" sqref="AA25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8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8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2"/>
      <c r="N2" s="51">
        <f>SUM(N4:N17)</f>
        <v>23062</v>
      </c>
      <c r="O2" s="51">
        <f>SUM(O4:O17)</f>
        <v>0</v>
      </c>
      <c r="R2" s="652"/>
      <c r="AC2" s="51">
        <f>SUM(AC4:AC17)</f>
        <v>84305.239999999991</v>
      </c>
      <c r="AD2" s="51">
        <f>SUM(AD4:AD17)</f>
        <v>101166.28799999999</v>
      </c>
    </row>
    <row r="3" spans="1:33" x14ac:dyDescent="0.25">
      <c r="A3" s="96" t="s">
        <v>432</v>
      </c>
      <c r="B3" s="94" t="s">
        <v>100</v>
      </c>
      <c r="C3" s="94" t="s">
        <v>433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434</v>
      </c>
      <c r="Q3" s="96" t="s">
        <v>432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434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16</v>
      </c>
    </row>
    <row r="5" spans="1:33" x14ac:dyDescent="0.25">
      <c r="A5" s="329" t="s">
        <v>222</v>
      </c>
      <c r="B5" s="330" t="s">
        <v>2</v>
      </c>
      <c r="C5" s="80"/>
      <c r="D5" s="80"/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/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2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/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/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2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/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/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2"/>
        <v>0</v>
      </c>
      <c r="AF7" s="328" t="s">
        <v>246</v>
      </c>
      <c r="AG7">
        <f>AG5+AG4+AG3+AG6</f>
        <v>16</v>
      </c>
    </row>
    <row r="8" spans="1:33" x14ac:dyDescent="0.25">
      <c r="A8" s="329" t="s">
        <v>178</v>
      </c>
      <c r="B8" s="330" t="s">
        <v>2</v>
      </c>
      <c r="C8" s="294" t="str">
        <f>Plantilla!D11</f>
        <v>V. Gardner</v>
      </c>
      <c r="D8" s="80"/>
      <c r="E8" s="80">
        <f>Plantilla!E11</f>
        <v>19</v>
      </c>
      <c r="F8" s="179">
        <f ca="1">Plantilla!F11</f>
        <v>92</v>
      </c>
      <c r="G8" s="101">
        <f>Plantilla!X11</f>
        <v>0</v>
      </c>
      <c r="H8" s="101">
        <f>Plantilla!Y11</f>
        <v>12</v>
      </c>
      <c r="I8" s="101">
        <f>Plantilla!Z11</f>
        <v>2</v>
      </c>
      <c r="J8" s="101">
        <f>Plantilla!AA11</f>
        <v>3</v>
      </c>
      <c r="K8" s="101">
        <f>Plantilla!AB11</f>
        <v>5</v>
      </c>
      <c r="L8" s="101">
        <f>Plantilla!AC11</f>
        <v>6</v>
      </c>
      <c r="M8" s="101">
        <f>Plantilla!AD11</f>
        <v>4</v>
      </c>
      <c r="N8" s="115">
        <f>Plantilla!V11</f>
        <v>4630</v>
      </c>
      <c r="O8" s="51"/>
      <c r="Q8" s="329" t="s">
        <v>178</v>
      </c>
      <c r="R8" s="330" t="str">
        <f t="shared" si="0"/>
        <v>DEF</v>
      </c>
      <c r="S8" s="134"/>
      <c r="T8" s="134">
        <f t="shared" ref="T8" si="3">E8+1</f>
        <v>20</v>
      </c>
      <c r="U8" s="134">
        <f t="shared" ref="U8" ca="1" si="4">F8+$AG$7*7-112</f>
        <v>92</v>
      </c>
      <c r="V8" s="331">
        <f t="shared" si="1"/>
        <v>0</v>
      </c>
      <c r="W8" s="331">
        <f t="shared" si="1"/>
        <v>12</v>
      </c>
      <c r="X8" s="331">
        <f>5+1/7</f>
        <v>5.1428571428571432</v>
      </c>
      <c r="Y8" s="331">
        <f t="shared" si="1"/>
        <v>3</v>
      </c>
      <c r="Z8" s="331">
        <f t="shared" si="1"/>
        <v>5</v>
      </c>
      <c r="AA8" s="331">
        <f t="shared" si="1"/>
        <v>6</v>
      </c>
      <c r="AB8" s="331">
        <f t="shared" si="1"/>
        <v>4</v>
      </c>
      <c r="AC8" s="115">
        <f>N8</f>
        <v>4630</v>
      </c>
      <c r="AD8" s="51">
        <f t="shared" si="2"/>
        <v>5556</v>
      </c>
      <c r="AF8" s="328" t="s">
        <v>60</v>
      </c>
      <c r="AG8" s="83">
        <f>AG7/16</f>
        <v>1</v>
      </c>
    </row>
    <row r="9" spans="1:33" x14ac:dyDescent="0.25">
      <c r="A9" s="329" t="s">
        <v>173</v>
      </c>
      <c r="B9" s="330" t="s">
        <v>2</v>
      </c>
      <c r="C9" s="294" t="str">
        <f>Plantilla!D10</f>
        <v>A. Grimaud</v>
      </c>
      <c r="D9" s="80" t="str">
        <f>Plantilla!G10</f>
        <v>RAP</v>
      </c>
      <c r="E9" s="80">
        <f>Plantilla!E10</f>
        <v>19</v>
      </c>
      <c r="F9" s="179">
        <f ca="1">Plantilla!F10</f>
        <v>103</v>
      </c>
      <c r="G9" s="101">
        <f>Plantilla!X10</f>
        <v>0</v>
      </c>
      <c r="H9" s="101">
        <f>Plantilla!Y10</f>
        <v>12</v>
      </c>
      <c r="I9" s="101">
        <f>Plantilla!Z10</f>
        <v>4.166666666666667</v>
      </c>
      <c r="J9" s="101">
        <f>Plantilla!AA10</f>
        <v>3</v>
      </c>
      <c r="K9" s="101">
        <f>Plantilla!AB10</f>
        <v>3</v>
      </c>
      <c r="L9" s="101">
        <f>Plantilla!AC10</f>
        <v>5</v>
      </c>
      <c r="M9" s="101">
        <f>Plantilla!AD10</f>
        <v>0</v>
      </c>
      <c r="N9" s="115">
        <f>Plantilla!V10</f>
        <v>5268</v>
      </c>
      <c r="O9" s="51"/>
      <c r="Q9" s="329" t="s">
        <v>173</v>
      </c>
      <c r="R9" s="330" t="str">
        <f t="shared" si="0"/>
        <v>DEF</v>
      </c>
      <c r="S9" s="134" t="str">
        <f t="shared" ref="S9:S15" si="5">D9</f>
        <v>RAP</v>
      </c>
      <c r="T9" s="134">
        <f t="shared" ref="T9:T15" si="6">E9+1</f>
        <v>20</v>
      </c>
      <c r="U9" s="134">
        <f t="shared" ref="U9:U15" ca="1" si="7">F9+$AG$7*7-112</f>
        <v>103</v>
      </c>
      <c r="V9" s="331">
        <f t="shared" si="1"/>
        <v>0</v>
      </c>
      <c r="W9" s="331">
        <f t="shared" si="1"/>
        <v>12</v>
      </c>
      <c r="X9" s="331">
        <f>6+1/8</f>
        <v>6.125</v>
      </c>
      <c r="Y9" s="331">
        <f t="shared" si="1"/>
        <v>3</v>
      </c>
      <c r="Z9" s="331">
        <f t="shared" si="1"/>
        <v>3</v>
      </c>
      <c r="AA9" s="331">
        <f t="shared" si="1"/>
        <v>5</v>
      </c>
      <c r="AB9" s="331">
        <f t="shared" si="1"/>
        <v>0</v>
      </c>
      <c r="AC9" s="115">
        <f>N9</f>
        <v>5268</v>
      </c>
      <c r="AD9" s="51">
        <f t="shared" si="2"/>
        <v>6321.5999999999995</v>
      </c>
    </row>
    <row r="10" spans="1:33" x14ac:dyDescent="0.25">
      <c r="A10" s="329" t="s">
        <v>175</v>
      </c>
      <c r="B10" s="330" t="s">
        <v>436</v>
      </c>
      <c r="C10" s="294" t="str">
        <f>Plantilla!D13</f>
        <v>I. Vanags</v>
      </c>
      <c r="D10" s="80" t="str">
        <f>Plantilla!G13</f>
        <v>CAB</v>
      </c>
      <c r="E10" s="80">
        <f>Plantilla!E13</f>
        <v>19</v>
      </c>
      <c r="F10" s="179">
        <f ca="1">Plantilla!F13</f>
        <v>79</v>
      </c>
      <c r="G10" s="101">
        <f>Plantilla!X13</f>
        <v>0</v>
      </c>
      <c r="H10" s="101">
        <f>Plantilla!Y13</f>
        <v>4</v>
      </c>
      <c r="I10" s="101">
        <f>Plantilla!Z13</f>
        <v>10.666666666666666</v>
      </c>
      <c r="J10" s="101">
        <f>Plantilla!AA13</f>
        <v>3</v>
      </c>
      <c r="K10" s="101">
        <f>Plantilla!AB13</f>
        <v>4</v>
      </c>
      <c r="L10" s="101">
        <f>Plantilla!AC13</f>
        <v>7</v>
      </c>
      <c r="M10" s="101">
        <f>Plantilla!AD13</f>
        <v>6</v>
      </c>
      <c r="N10" s="115">
        <f>Plantilla!V13</f>
        <v>1884</v>
      </c>
      <c r="O10" s="51"/>
      <c r="Q10" s="329" t="s">
        <v>175</v>
      </c>
      <c r="R10" s="330" t="str">
        <f t="shared" si="0"/>
        <v>Inners</v>
      </c>
      <c r="S10" s="134" t="str">
        <f t="shared" si="5"/>
        <v>CAB</v>
      </c>
      <c r="T10" s="134">
        <f t="shared" si="6"/>
        <v>20</v>
      </c>
      <c r="U10" s="134">
        <f t="shared" ca="1" si="7"/>
        <v>79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>(13500+245+125+125)*1.02</f>
        <v>14274.9</v>
      </c>
      <c r="AD10" s="51">
        <f t="shared" ref="AD10:AD15" si="8">AC10*1.2</f>
        <v>17129.879999999997</v>
      </c>
    </row>
    <row r="11" spans="1:33" x14ac:dyDescent="0.25">
      <c r="A11" s="329" t="s">
        <v>179</v>
      </c>
      <c r="B11" s="330" t="s">
        <v>436</v>
      </c>
      <c r="C11" s="294" t="str">
        <f>Plantilla!D14</f>
        <v>I. Stone</v>
      </c>
      <c r="D11" s="80" t="str">
        <f>Plantilla!G14</f>
        <v>RAP</v>
      </c>
      <c r="E11" s="80">
        <f>Plantilla!E14</f>
        <v>19</v>
      </c>
      <c r="F11" s="179">
        <f ca="1">Plantilla!F14</f>
        <v>22</v>
      </c>
      <c r="G11" s="101">
        <f>Plantilla!X14</f>
        <v>0</v>
      </c>
      <c r="H11" s="101">
        <f>Plantilla!Y14</f>
        <v>3</v>
      </c>
      <c r="I11" s="101">
        <f>Plantilla!Z14</f>
        <v>9.5</v>
      </c>
      <c r="J11" s="101">
        <f>Plantilla!AA14</f>
        <v>2</v>
      </c>
      <c r="K11" s="101">
        <f>Plantilla!AB14</f>
        <v>6</v>
      </c>
      <c r="L11" s="101">
        <f>Plantilla!AC14</f>
        <v>9</v>
      </c>
      <c r="M11" s="101">
        <f>Plantilla!AD14</f>
        <v>2</v>
      </c>
      <c r="N11" s="115">
        <f>Plantilla!V14</f>
        <v>1490</v>
      </c>
      <c r="O11" s="51"/>
      <c r="Q11" s="329" t="s">
        <v>179</v>
      </c>
      <c r="R11" s="330" t="str">
        <f t="shared" si="0"/>
        <v>Inners</v>
      </c>
      <c r="S11" s="134" t="str">
        <f t="shared" si="5"/>
        <v>RAP</v>
      </c>
      <c r="T11" s="134">
        <f t="shared" si="6"/>
        <v>20</v>
      </c>
      <c r="U11" s="134">
        <f t="shared" ca="1" si="7"/>
        <v>22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>(8670+750+145)*1.008</f>
        <v>9641.52</v>
      </c>
      <c r="AD11" s="51">
        <f t="shared" si="8"/>
        <v>11569.824000000001</v>
      </c>
    </row>
    <row r="12" spans="1:33" x14ac:dyDescent="0.25">
      <c r="A12" s="329" t="s">
        <v>224</v>
      </c>
      <c r="B12" s="330" t="s">
        <v>436</v>
      </c>
      <c r="C12" s="294" t="str">
        <f>Plantilla!D15</f>
        <v>G. Piscaer</v>
      </c>
      <c r="D12" s="80" t="str">
        <f>Plantilla!G15</f>
        <v>IMP</v>
      </c>
      <c r="E12" s="80">
        <f>Plantilla!E15</f>
        <v>19</v>
      </c>
      <c r="F12" s="179">
        <f ca="1">Plantilla!F15</f>
        <v>95</v>
      </c>
      <c r="G12" s="101">
        <f>Plantilla!X15</f>
        <v>0</v>
      </c>
      <c r="H12" s="101">
        <f>Plantilla!Y15</f>
        <v>4</v>
      </c>
      <c r="I12" s="101">
        <f>Plantilla!Z15</f>
        <v>11.214285714285714</v>
      </c>
      <c r="J12" s="101">
        <f>Plantilla!AA15</f>
        <v>3</v>
      </c>
      <c r="K12" s="101">
        <f>Plantilla!AB15</f>
        <v>2</v>
      </c>
      <c r="L12" s="101">
        <f>Plantilla!AC15</f>
        <v>8</v>
      </c>
      <c r="M12" s="101">
        <f>Plantilla!AD15</f>
        <v>0</v>
      </c>
      <c r="N12" s="115">
        <f>Plantilla!V15</f>
        <v>2436</v>
      </c>
      <c r="O12" s="51"/>
      <c r="Q12" s="329" t="s">
        <v>224</v>
      </c>
      <c r="R12" s="330" t="str">
        <f t="shared" si="0"/>
        <v>Inners</v>
      </c>
      <c r="S12" s="134" t="str">
        <f t="shared" si="5"/>
        <v>IMP</v>
      </c>
      <c r="T12" s="134">
        <f t="shared" si="6"/>
        <v>20</v>
      </c>
      <c r="U12" s="134">
        <f t="shared" ca="1" si="7"/>
        <v>95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>(14490+405+125+125)*1</f>
        <v>15145</v>
      </c>
      <c r="AD12" s="51">
        <f t="shared" si="8"/>
        <v>18174</v>
      </c>
    </row>
    <row r="13" spans="1:33" x14ac:dyDescent="0.25">
      <c r="A13" s="329" t="s">
        <v>176</v>
      </c>
      <c r="B13" s="330" t="s">
        <v>436</v>
      </c>
      <c r="C13" s="294" t="str">
        <f>Plantilla!D16</f>
        <v>M. Bondarewski</v>
      </c>
      <c r="D13" s="80" t="str">
        <f>Plantilla!G16</f>
        <v>RAP</v>
      </c>
      <c r="E13" s="80">
        <f>Plantilla!E16</f>
        <v>19</v>
      </c>
      <c r="F13" s="179">
        <f ca="1">Plantilla!F16</f>
        <v>95</v>
      </c>
      <c r="G13" s="101">
        <f>Plantilla!X16</f>
        <v>0</v>
      </c>
      <c r="H13" s="101">
        <f>Plantilla!Y16</f>
        <v>2</v>
      </c>
      <c r="I13" s="101">
        <f>Plantilla!Z16</f>
        <v>11.25</v>
      </c>
      <c r="J13" s="101">
        <f>Plantilla!AA16</f>
        <v>5</v>
      </c>
      <c r="K13" s="101">
        <f>Plantilla!AB16</f>
        <v>4</v>
      </c>
      <c r="L13" s="101">
        <f>Plantilla!AC16</f>
        <v>8</v>
      </c>
      <c r="M13" s="101">
        <f>Plantilla!AD16</f>
        <v>6</v>
      </c>
      <c r="N13" s="115">
        <f>Plantilla!V16</f>
        <v>2604</v>
      </c>
      <c r="O13" s="51"/>
      <c r="Q13" s="329" t="s">
        <v>176</v>
      </c>
      <c r="R13" s="330" t="str">
        <f t="shared" si="0"/>
        <v>Inners</v>
      </c>
      <c r="S13" s="134" t="str">
        <f t="shared" si="5"/>
        <v>RAP</v>
      </c>
      <c r="T13" s="134">
        <f t="shared" si="6"/>
        <v>20</v>
      </c>
      <c r="U13" s="134">
        <f t="shared" ca="1" si="7"/>
        <v>95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>(14550+405+125+155)*1.02</f>
        <v>15539.7</v>
      </c>
      <c r="AD13" s="51">
        <f t="shared" si="8"/>
        <v>18647.64</v>
      </c>
    </row>
    <row r="14" spans="1:33" x14ac:dyDescent="0.25">
      <c r="A14" s="329" t="s">
        <v>177</v>
      </c>
      <c r="B14" s="330" t="s">
        <v>436</v>
      </c>
      <c r="C14" s="294" t="str">
        <f>Plantilla!D17</f>
        <v>P. Tuderek</v>
      </c>
      <c r="D14" s="80" t="str">
        <f>Plantilla!G17</f>
        <v>CAB</v>
      </c>
      <c r="E14" s="80">
        <f>Plantilla!E17</f>
        <v>19</v>
      </c>
      <c r="F14" s="179">
        <f ca="1">Plantilla!F17</f>
        <v>81</v>
      </c>
      <c r="G14" s="101">
        <f>Plantilla!X17</f>
        <v>0</v>
      </c>
      <c r="H14" s="101">
        <f>Plantilla!Y17</f>
        <v>6</v>
      </c>
      <c r="I14" s="101">
        <f>Plantilla!Z17</f>
        <v>9.5</v>
      </c>
      <c r="J14" s="101">
        <f>Plantilla!AA17</f>
        <v>2</v>
      </c>
      <c r="K14" s="101">
        <f>Plantilla!AB17</f>
        <v>3</v>
      </c>
      <c r="L14" s="101">
        <f>Plantilla!AC17</f>
        <v>6</v>
      </c>
      <c r="M14" s="101">
        <f>Plantilla!AD17</f>
        <v>8</v>
      </c>
      <c r="N14" s="115">
        <f>Plantilla!V17</f>
        <v>1020</v>
      </c>
      <c r="O14" s="51"/>
      <c r="Q14" s="329" t="s">
        <v>177</v>
      </c>
      <c r="R14" s="330" t="str">
        <f t="shared" si="0"/>
        <v>Inners</v>
      </c>
      <c r="S14" s="134" t="str">
        <f t="shared" si="5"/>
        <v>CAB</v>
      </c>
      <c r="T14" s="134">
        <f t="shared" si="6"/>
        <v>20</v>
      </c>
      <c r="U14" s="134">
        <f t="shared" ca="1" si="7"/>
        <v>81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>(8670+165+165)*1.023</f>
        <v>9207</v>
      </c>
      <c r="AD14" s="51">
        <f t="shared" si="8"/>
        <v>11048.4</v>
      </c>
    </row>
    <row r="15" spans="1:33" x14ac:dyDescent="0.25">
      <c r="A15" s="329" t="s">
        <v>171</v>
      </c>
      <c r="B15" s="330" t="s">
        <v>436</v>
      </c>
      <c r="C15" s="294" t="str">
        <f>Plantilla!D18</f>
        <v>R. Forsyth</v>
      </c>
      <c r="D15" s="80" t="str">
        <f>Plantilla!G18</f>
        <v>POT</v>
      </c>
      <c r="E15" s="80">
        <f>Plantilla!E18</f>
        <v>20</v>
      </c>
      <c r="F15" s="179">
        <f ca="1">Plantilla!F18</f>
        <v>24</v>
      </c>
      <c r="G15" s="101">
        <f>Plantilla!X18</f>
        <v>0</v>
      </c>
      <c r="H15" s="101">
        <f>Plantilla!Y18</f>
        <v>7</v>
      </c>
      <c r="I15" s="101">
        <f>Plantilla!Z18</f>
        <v>10.714285714285714</v>
      </c>
      <c r="J15" s="101">
        <f>Plantilla!AA18</f>
        <v>2</v>
      </c>
      <c r="K15" s="101">
        <f>Plantilla!AB18</f>
        <v>4</v>
      </c>
      <c r="L15" s="101">
        <f>Plantilla!AC18</f>
        <v>6</v>
      </c>
      <c r="M15" s="101">
        <f>Plantilla!AD18</f>
        <v>2</v>
      </c>
      <c r="N15" s="115">
        <f>Plantilla!V18</f>
        <v>3730</v>
      </c>
      <c r="O15" s="51"/>
      <c r="Q15" s="329" t="s">
        <v>171</v>
      </c>
      <c r="R15" s="330" t="str">
        <f t="shared" si="0"/>
        <v>Inners</v>
      </c>
      <c r="S15" s="134" t="str">
        <f t="shared" si="5"/>
        <v>POT</v>
      </c>
      <c r="T15" s="134">
        <f t="shared" si="6"/>
        <v>21</v>
      </c>
      <c r="U15" s="134">
        <f t="shared" ca="1" si="7"/>
        <v>24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>(10000+225+125+165)*1.008</f>
        <v>10599.12</v>
      </c>
      <c r="AD15" s="51">
        <f t="shared" si="8"/>
        <v>12718.944000000001</v>
      </c>
    </row>
    <row r="16" spans="1:33" x14ac:dyDescent="0.25">
      <c r="A16" s="329" t="s">
        <v>216</v>
      </c>
      <c r="B16" s="330" t="s">
        <v>277</v>
      </c>
      <c r="C16" s="80"/>
      <c r="D16" s="80"/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/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2"/>
        <v>0</v>
      </c>
    </row>
    <row r="17" spans="1:33" x14ac:dyDescent="0.25">
      <c r="A17" s="329" t="s">
        <v>223</v>
      </c>
      <c r="B17" s="330" t="s">
        <v>277</v>
      </c>
      <c r="C17" s="80"/>
      <c r="D17" s="80"/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/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2"/>
        <v>0</v>
      </c>
    </row>
    <row r="19" spans="1:33" x14ac:dyDescent="0.25">
      <c r="B19" s="652"/>
      <c r="N19" s="51">
        <f>SUM(N21:N34)</f>
        <v>131504.92000000001</v>
      </c>
      <c r="O19" s="51">
        <f>SUM(O21:O34)</f>
        <v>157805.90399999998</v>
      </c>
      <c r="R19" s="652"/>
      <c r="AC19" s="51">
        <f>SUM(AC21:AC34)</f>
        <v>317525.375</v>
      </c>
      <c r="AD19" s="51">
        <f>SUM(AD21:AD34)</f>
        <v>381030.44999999995</v>
      </c>
    </row>
    <row r="20" spans="1:33" x14ac:dyDescent="0.25">
      <c r="A20" s="96" t="s">
        <v>432</v>
      </c>
      <c r="B20" s="94" t="s">
        <v>100</v>
      </c>
      <c r="C20" s="94" t="s">
        <v>433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434</v>
      </c>
      <c r="Q20" s="96" t="s">
        <v>432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434</v>
      </c>
      <c r="AF20" s="328" t="s">
        <v>304</v>
      </c>
      <c r="AG20">
        <v>24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/>
      <c r="E21" s="134">
        <v>20</v>
      </c>
      <c r="F21" s="134">
        <v>50</v>
      </c>
      <c r="G21" s="331">
        <v>15</v>
      </c>
      <c r="H21" s="331">
        <v>4</v>
      </c>
      <c r="I21" s="331">
        <v>0</v>
      </c>
      <c r="J21" s="331">
        <f t="shared" ref="J21:N34" si="9">Y4</f>
        <v>0</v>
      </c>
      <c r="K21" s="331">
        <f t="shared" si="9"/>
        <v>0</v>
      </c>
      <c r="L21" s="331">
        <f t="shared" si="9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2" si="10">B21</f>
        <v>POR</v>
      </c>
      <c r="S21" s="134"/>
      <c r="T21" s="134">
        <f>E21+3</f>
        <v>23</v>
      </c>
      <c r="U21" s="134">
        <f>F21+$AG$24*7-112-112-112</f>
        <v>106</v>
      </c>
      <c r="V21" s="331">
        <f>G21</f>
        <v>15</v>
      </c>
      <c r="W21" s="331">
        <v>9</v>
      </c>
      <c r="X21" s="331">
        <f t="shared" ref="W21:AA34" si="11">I21</f>
        <v>0</v>
      </c>
      <c r="Y21" s="331">
        <f t="shared" si="11"/>
        <v>0</v>
      </c>
      <c r="Z21" s="331">
        <f t="shared" si="11"/>
        <v>0</v>
      </c>
      <c r="AA21" s="331">
        <f t="shared" si="11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12">A5</f>
        <v>#2</v>
      </c>
      <c r="B22" s="330" t="str">
        <f t="shared" si="12"/>
        <v>DEF</v>
      </c>
      <c r="C22" s="134" t="s">
        <v>66</v>
      </c>
      <c r="D22" s="134" t="s">
        <v>666</v>
      </c>
      <c r="E22" s="134">
        <v>20</v>
      </c>
      <c r="F22" s="134">
        <v>50</v>
      </c>
      <c r="G22" s="331">
        <f t="shared" ref="G22:I32" si="13">V5</f>
        <v>0</v>
      </c>
      <c r="H22" s="331">
        <v>12</v>
      </c>
      <c r="I22" s="331">
        <v>7</v>
      </c>
      <c r="J22" s="331">
        <f t="shared" si="9"/>
        <v>2</v>
      </c>
      <c r="K22" s="331">
        <f t="shared" si="9"/>
        <v>2</v>
      </c>
      <c r="L22" s="331">
        <v>7</v>
      </c>
      <c r="M22" s="331">
        <v>3</v>
      </c>
      <c r="N22" s="115">
        <f>(7010+255+150)*1.012</f>
        <v>7503.9800000000005</v>
      </c>
      <c r="O22" s="115">
        <f t="shared" ref="O22:O24" si="14">N22*1.2</f>
        <v>9004.7759999999998</v>
      </c>
      <c r="Q22" s="329" t="s">
        <v>222</v>
      </c>
      <c r="R22" s="330" t="str">
        <f t="shared" si="10"/>
        <v>DEF</v>
      </c>
      <c r="S22" s="134" t="str">
        <f t="shared" ref="S22:S32" si="15">D22</f>
        <v>CAB/IMP</v>
      </c>
      <c r="T22" s="134">
        <f>E22+3</f>
        <v>23</v>
      </c>
      <c r="U22" s="134">
        <f>F22+$AG$24*7-112-112-112</f>
        <v>106</v>
      </c>
      <c r="V22" s="331">
        <f t="shared" ref="V22:V34" si="16">G22</f>
        <v>0</v>
      </c>
      <c r="W22" s="331">
        <f>14+1/16</f>
        <v>14.0625</v>
      </c>
      <c r="X22" s="331">
        <f t="shared" si="11"/>
        <v>7</v>
      </c>
      <c r="Y22" s="331">
        <f t="shared" si="11"/>
        <v>2</v>
      </c>
      <c r="Z22" s="331">
        <f t="shared" si="11"/>
        <v>2</v>
      </c>
      <c r="AA22" s="331">
        <f t="shared" si="11"/>
        <v>7</v>
      </c>
      <c r="AB22" s="331">
        <v>15</v>
      </c>
      <c r="AC22" s="115">
        <f>(18370+135+245)*1.04</f>
        <v>19500</v>
      </c>
      <c r="AD22" s="51">
        <f t="shared" ref="AD22:AD34" si="17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12"/>
        <v>#3</v>
      </c>
      <c r="B23" s="330" t="str">
        <f t="shared" si="12"/>
        <v>DEF</v>
      </c>
      <c r="C23" s="134" t="s">
        <v>66</v>
      </c>
      <c r="D23" s="134" t="s">
        <v>666</v>
      </c>
      <c r="E23" s="134">
        <v>20</v>
      </c>
      <c r="F23" s="134">
        <v>50</v>
      </c>
      <c r="G23" s="331">
        <f t="shared" si="13"/>
        <v>0</v>
      </c>
      <c r="H23" s="331">
        <v>12</v>
      </c>
      <c r="I23" s="331">
        <v>7</v>
      </c>
      <c r="J23" s="331">
        <f t="shared" si="9"/>
        <v>2</v>
      </c>
      <c r="K23" s="331">
        <f t="shared" si="9"/>
        <v>2</v>
      </c>
      <c r="L23" s="331">
        <v>7</v>
      </c>
      <c r="M23" s="331">
        <v>3</v>
      </c>
      <c r="N23" s="115">
        <f t="shared" ref="N23:N24" si="18">(7010+255+150)*1.012</f>
        <v>7503.9800000000005</v>
      </c>
      <c r="O23" s="115">
        <f t="shared" si="14"/>
        <v>9004.7759999999998</v>
      </c>
      <c r="Q23" s="329" t="s">
        <v>172</v>
      </c>
      <c r="R23" s="330" t="str">
        <f t="shared" si="10"/>
        <v>DEF</v>
      </c>
      <c r="S23" s="134" t="str">
        <f t="shared" si="15"/>
        <v>CAB/IMP</v>
      </c>
      <c r="T23" s="134">
        <f t="shared" ref="T23:T24" si="19">E23+3</f>
        <v>23</v>
      </c>
      <c r="U23" s="134">
        <f t="shared" ref="U23:U24" si="20">F23+$AG$24*7-112-112-112</f>
        <v>106</v>
      </c>
      <c r="V23" s="331">
        <f t="shared" si="16"/>
        <v>0</v>
      </c>
      <c r="W23" s="331">
        <f>14+1/16</f>
        <v>14.0625</v>
      </c>
      <c r="X23" s="331">
        <f t="shared" si="11"/>
        <v>7</v>
      </c>
      <c r="Y23" s="331">
        <f t="shared" si="11"/>
        <v>2</v>
      </c>
      <c r="Z23" s="331">
        <f t="shared" si="11"/>
        <v>2</v>
      </c>
      <c r="AA23" s="331">
        <f t="shared" si="11"/>
        <v>7</v>
      </c>
      <c r="AB23" s="331">
        <v>15</v>
      </c>
      <c r="AC23" s="115">
        <f t="shared" ref="AC23:AC25" si="21">(18370+135+245)*1.04</f>
        <v>19500</v>
      </c>
      <c r="AD23" s="51">
        <f t="shared" si="17"/>
        <v>23400</v>
      </c>
      <c r="AF23" s="328" t="s">
        <v>322</v>
      </c>
      <c r="AG23">
        <v>9</v>
      </c>
    </row>
    <row r="24" spans="1:33" x14ac:dyDescent="0.25">
      <c r="A24" s="329" t="str">
        <f t="shared" si="12"/>
        <v>#4</v>
      </c>
      <c r="B24" s="330" t="str">
        <f t="shared" si="12"/>
        <v>DEF</v>
      </c>
      <c r="C24" s="134" t="s">
        <v>66</v>
      </c>
      <c r="D24" s="134" t="s">
        <v>666</v>
      </c>
      <c r="E24" s="134">
        <v>20</v>
      </c>
      <c r="F24" s="134">
        <v>50</v>
      </c>
      <c r="G24" s="331">
        <f t="shared" si="13"/>
        <v>0</v>
      </c>
      <c r="H24" s="331">
        <v>12</v>
      </c>
      <c r="I24" s="331">
        <v>7</v>
      </c>
      <c r="J24" s="331">
        <f t="shared" si="9"/>
        <v>2</v>
      </c>
      <c r="K24" s="331">
        <f t="shared" si="9"/>
        <v>2</v>
      </c>
      <c r="L24" s="331">
        <v>7</v>
      </c>
      <c r="M24" s="331">
        <v>3</v>
      </c>
      <c r="N24" s="115">
        <f t="shared" si="18"/>
        <v>7503.9800000000005</v>
      </c>
      <c r="O24" s="115">
        <f t="shared" si="14"/>
        <v>9004.7759999999998</v>
      </c>
      <c r="Q24" s="329" t="s">
        <v>174</v>
      </c>
      <c r="R24" s="330" t="str">
        <f t="shared" si="10"/>
        <v>DEF</v>
      </c>
      <c r="S24" s="134" t="str">
        <f t="shared" si="15"/>
        <v>CAB/IMP</v>
      </c>
      <c r="T24" s="134">
        <f t="shared" si="19"/>
        <v>23</v>
      </c>
      <c r="U24" s="134">
        <f t="shared" si="20"/>
        <v>106</v>
      </c>
      <c r="V24" s="331">
        <f t="shared" si="16"/>
        <v>0</v>
      </c>
      <c r="W24" s="331">
        <f>14+1/16</f>
        <v>14.0625</v>
      </c>
      <c r="X24" s="331">
        <f t="shared" si="11"/>
        <v>7</v>
      </c>
      <c r="Y24" s="331">
        <f t="shared" si="11"/>
        <v>2</v>
      </c>
      <c r="Z24" s="331">
        <f t="shared" si="11"/>
        <v>2</v>
      </c>
      <c r="AA24" s="331">
        <f t="shared" si="11"/>
        <v>7</v>
      </c>
      <c r="AB24" s="331">
        <v>15</v>
      </c>
      <c r="AC24" s="115">
        <f t="shared" si="21"/>
        <v>19500</v>
      </c>
      <c r="AD24" s="51">
        <f t="shared" si="17"/>
        <v>23400</v>
      </c>
      <c r="AF24" s="328" t="s">
        <v>246</v>
      </c>
      <c r="AG24">
        <f>AG22+AG21+AG20+AG23</f>
        <v>56</v>
      </c>
    </row>
    <row r="25" spans="1:33" x14ac:dyDescent="0.25">
      <c r="A25" s="329" t="str">
        <f t="shared" si="12"/>
        <v>#5</v>
      </c>
      <c r="B25" s="330" t="str">
        <f t="shared" si="12"/>
        <v>DEF</v>
      </c>
      <c r="C25" s="134" t="str">
        <f t="shared" si="12"/>
        <v>V. Gardner</v>
      </c>
      <c r="D25" s="134"/>
      <c r="E25" s="134">
        <f t="shared" ref="E25:F27" si="22">T8</f>
        <v>20</v>
      </c>
      <c r="F25" s="134">
        <f t="shared" ca="1" si="22"/>
        <v>92</v>
      </c>
      <c r="G25" s="331">
        <f t="shared" si="13"/>
        <v>0</v>
      </c>
      <c r="H25" s="331">
        <f t="shared" ref="H25" si="23">W8</f>
        <v>12</v>
      </c>
      <c r="I25" s="331">
        <f t="shared" ref="I25" si="24">X8</f>
        <v>5.1428571428571432</v>
      </c>
      <c r="J25" s="331">
        <f t="shared" si="9"/>
        <v>3</v>
      </c>
      <c r="K25" s="331">
        <f t="shared" si="9"/>
        <v>5</v>
      </c>
      <c r="L25" s="331">
        <f t="shared" ref="L25" si="25">AA8</f>
        <v>6</v>
      </c>
      <c r="M25" s="331">
        <f t="shared" ref="M25" si="26">AB8</f>
        <v>4</v>
      </c>
      <c r="N25" s="115">
        <f t="shared" ref="N25" si="27">AC8</f>
        <v>4630</v>
      </c>
      <c r="O25" s="115">
        <f>N25*1.2</f>
        <v>5556</v>
      </c>
      <c r="Q25" s="329" t="s">
        <v>178</v>
      </c>
      <c r="R25" s="330" t="str">
        <f t="shared" si="10"/>
        <v>DEF</v>
      </c>
      <c r="S25" s="134"/>
      <c r="T25" s="134">
        <f>E25+4</f>
        <v>24</v>
      </c>
      <c r="U25" s="134">
        <f ca="1">F25+$AG$24*7-112-112-112-112</f>
        <v>36</v>
      </c>
      <c r="V25" s="331">
        <f t="shared" si="16"/>
        <v>0</v>
      </c>
      <c r="W25" s="331">
        <f>14+3/13</f>
        <v>14.23076923076923</v>
      </c>
      <c r="X25" s="331">
        <f t="shared" si="11"/>
        <v>5.1428571428571432</v>
      </c>
      <c r="Y25" s="331">
        <f t="shared" si="11"/>
        <v>3</v>
      </c>
      <c r="Z25" s="331">
        <f t="shared" si="11"/>
        <v>5</v>
      </c>
      <c r="AA25" s="331">
        <f>L25+0.4</f>
        <v>6.4</v>
      </c>
      <c r="AB25" s="331">
        <f>17+1/4</f>
        <v>17.25</v>
      </c>
      <c r="AC25" s="115">
        <f t="shared" si="21"/>
        <v>19500</v>
      </c>
      <c r="AD25" s="51">
        <f t="shared" si="17"/>
        <v>23400</v>
      </c>
      <c r="AF25" s="328" t="s">
        <v>60</v>
      </c>
      <c r="AG25" s="83">
        <f>AG24/16</f>
        <v>3.5</v>
      </c>
    </row>
    <row r="26" spans="1:33" x14ac:dyDescent="0.25">
      <c r="A26" s="329" t="str">
        <f t="shared" si="12"/>
        <v>#6</v>
      </c>
      <c r="B26" s="330" t="str">
        <f t="shared" si="12"/>
        <v>DEF</v>
      </c>
      <c r="C26" s="134" t="str">
        <f t="shared" si="12"/>
        <v>A. Grimaud</v>
      </c>
      <c r="D26" s="134" t="str">
        <f t="shared" si="12"/>
        <v>RAP</v>
      </c>
      <c r="E26" s="134">
        <f t="shared" si="22"/>
        <v>20</v>
      </c>
      <c r="F26" s="134">
        <f t="shared" ca="1" si="22"/>
        <v>103</v>
      </c>
      <c r="G26" s="331">
        <f t="shared" ref="G26" si="28">V9</f>
        <v>0</v>
      </c>
      <c r="H26" s="331">
        <f t="shared" ref="H26" si="29">W9</f>
        <v>12</v>
      </c>
      <c r="I26" s="331">
        <f t="shared" ref="I26" si="30">X9</f>
        <v>6.125</v>
      </c>
      <c r="J26" s="331">
        <f t="shared" ref="J26" si="31">Y9</f>
        <v>3</v>
      </c>
      <c r="K26" s="331">
        <f t="shared" ref="K26" si="32">Z9</f>
        <v>3</v>
      </c>
      <c r="L26" s="331">
        <f t="shared" ref="L26" si="33">AA9</f>
        <v>5</v>
      </c>
      <c r="M26" s="331">
        <f t="shared" ref="M26" si="34">AB9</f>
        <v>0</v>
      </c>
      <c r="N26" s="115">
        <f t="shared" ref="N26" si="35">AC9</f>
        <v>5268</v>
      </c>
      <c r="O26" s="115">
        <f>N26*1.2</f>
        <v>6321.5999999999995</v>
      </c>
      <c r="Q26" s="329" t="s">
        <v>173</v>
      </c>
      <c r="R26" s="330" t="str">
        <f t="shared" ref="R26" si="36">B26</f>
        <v>DEF</v>
      </c>
      <c r="S26" s="134" t="str">
        <f t="shared" ref="S26" si="37">D26</f>
        <v>RAP</v>
      </c>
      <c r="T26" s="134">
        <f>E26+4</f>
        <v>24</v>
      </c>
      <c r="U26" s="134">
        <f ca="1">F26+$AG$24*7-112-112-112-112</f>
        <v>47</v>
      </c>
      <c r="V26" s="331">
        <f t="shared" ref="V26" si="38">G26</f>
        <v>0</v>
      </c>
      <c r="W26" s="331">
        <f>14+3/13</f>
        <v>14.23076923076923</v>
      </c>
      <c r="X26" s="331">
        <f t="shared" ref="X26" si="39">I26</f>
        <v>6.125</v>
      </c>
      <c r="Y26" s="331">
        <f t="shared" ref="Y26" si="40">J26</f>
        <v>3</v>
      </c>
      <c r="Z26" s="331">
        <f t="shared" ref="Z26" si="41">K26</f>
        <v>3</v>
      </c>
      <c r="AA26" s="331">
        <f>L26+9/21</f>
        <v>5.4285714285714288</v>
      </c>
      <c r="AB26" s="331">
        <v>16</v>
      </c>
      <c r="AC26" s="115">
        <f>(20000+1500+125+125)*1.043</f>
        <v>22685.25</v>
      </c>
      <c r="AD26" s="51">
        <f t="shared" ref="AD26" si="42">AC26*1.2</f>
        <v>27222.3</v>
      </c>
    </row>
    <row r="27" spans="1:33" x14ac:dyDescent="0.25">
      <c r="A27" s="329" t="str">
        <f t="shared" si="12"/>
        <v>#7</v>
      </c>
      <c r="B27" s="330" t="str">
        <f t="shared" si="12"/>
        <v>Inners</v>
      </c>
      <c r="C27" s="134" t="str">
        <f t="shared" si="12"/>
        <v>I. Vanags</v>
      </c>
      <c r="D27" s="134" t="str">
        <f t="shared" si="12"/>
        <v>CAB</v>
      </c>
      <c r="E27" s="134">
        <f t="shared" si="22"/>
        <v>20</v>
      </c>
      <c r="F27" s="134">
        <f t="shared" ca="1" si="22"/>
        <v>79</v>
      </c>
      <c r="G27" s="331">
        <f t="shared" si="13"/>
        <v>0</v>
      </c>
      <c r="H27" s="331">
        <f t="shared" si="13"/>
        <v>4</v>
      </c>
      <c r="I27" s="331">
        <f t="shared" si="13"/>
        <v>12.75</v>
      </c>
      <c r="J27" s="331">
        <f t="shared" si="9"/>
        <v>3</v>
      </c>
      <c r="K27" s="331">
        <f t="shared" si="9"/>
        <v>4</v>
      </c>
      <c r="L27" s="331">
        <f t="shared" si="9"/>
        <v>7</v>
      </c>
      <c r="M27" s="331">
        <f t="shared" si="9"/>
        <v>6</v>
      </c>
      <c r="N27" s="115">
        <f t="shared" si="9"/>
        <v>14274.9</v>
      </c>
      <c r="O27" s="115">
        <f>N27*1.2</f>
        <v>17129.879999999997</v>
      </c>
      <c r="Q27" s="329" t="s">
        <v>175</v>
      </c>
      <c r="R27" s="330" t="str">
        <f t="shared" si="10"/>
        <v>Inners</v>
      </c>
      <c r="S27" s="134" t="str">
        <f t="shared" si="15"/>
        <v>CAB</v>
      </c>
      <c r="T27" s="134">
        <f>E27+4</f>
        <v>24</v>
      </c>
      <c r="U27" s="134">
        <f ca="1">F27+$AG$24*7-112-112-112-112</f>
        <v>23</v>
      </c>
      <c r="V27" s="331">
        <f t="shared" si="16"/>
        <v>0</v>
      </c>
      <c r="W27" s="331">
        <v>9</v>
      </c>
      <c r="X27" s="331">
        <f t="shared" si="11"/>
        <v>12.75</v>
      </c>
      <c r="Y27" s="331">
        <f t="shared" si="11"/>
        <v>3</v>
      </c>
      <c r="Z27" s="331">
        <f t="shared" si="11"/>
        <v>4</v>
      </c>
      <c r="AA27" s="331">
        <f>8+3/6</f>
        <v>8.5</v>
      </c>
      <c r="AB27" s="331">
        <v>16</v>
      </c>
      <c r="AC27" s="115">
        <f>(20000+1500+125+125)*1.043</f>
        <v>22685.25</v>
      </c>
      <c r="AD27" s="51">
        <f t="shared" si="17"/>
        <v>27222.3</v>
      </c>
    </row>
    <row r="28" spans="1:33" x14ac:dyDescent="0.25">
      <c r="A28" s="329" t="str">
        <f t="shared" si="12"/>
        <v>#8</v>
      </c>
      <c r="B28" s="330" t="str">
        <f t="shared" si="12"/>
        <v>Inners</v>
      </c>
      <c r="C28" s="134" t="str">
        <f t="shared" si="12"/>
        <v>I. Stone</v>
      </c>
      <c r="D28" s="134" t="str">
        <f t="shared" si="12"/>
        <v>RAP</v>
      </c>
      <c r="E28" s="134">
        <f t="shared" ref="E28:F32" si="43">T11</f>
        <v>20</v>
      </c>
      <c r="F28" s="134">
        <f t="shared" ca="1" si="43"/>
        <v>22</v>
      </c>
      <c r="G28" s="331">
        <f t="shared" si="13"/>
        <v>0</v>
      </c>
      <c r="H28" s="331">
        <f t="shared" si="13"/>
        <v>3</v>
      </c>
      <c r="I28" s="331">
        <f t="shared" si="13"/>
        <v>12</v>
      </c>
      <c r="J28" s="331">
        <f t="shared" si="9"/>
        <v>2</v>
      </c>
      <c r="K28" s="331">
        <f t="shared" si="9"/>
        <v>6</v>
      </c>
      <c r="L28" s="331">
        <f t="shared" si="9"/>
        <v>9</v>
      </c>
      <c r="M28" s="331">
        <f t="shared" si="9"/>
        <v>2</v>
      </c>
      <c r="N28" s="115">
        <f t="shared" si="9"/>
        <v>9641.52</v>
      </c>
      <c r="O28" s="115">
        <f t="shared" ref="O28:O32" si="44">N28*1.2</f>
        <v>11569.824000000001</v>
      </c>
      <c r="Q28" s="329" t="s">
        <v>179</v>
      </c>
      <c r="R28" s="330" t="str">
        <f t="shared" si="10"/>
        <v>Inners</v>
      </c>
      <c r="S28" s="134" t="str">
        <f t="shared" si="15"/>
        <v>RAP</v>
      </c>
      <c r="T28" s="134">
        <f t="shared" ref="T28:T32" si="45">E28+3</f>
        <v>23</v>
      </c>
      <c r="U28" s="134">
        <f t="shared" ref="U28:U32" ca="1" si="46">F28+$AG$24*7-112-112-112</f>
        <v>78</v>
      </c>
      <c r="V28" s="331">
        <f t="shared" si="16"/>
        <v>0</v>
      </c>
      <c r="W28" s="331">
        <f>8+3/6</f>
        <v>8.5</v>
      </c>
      <c r="X28" s="331">
        <f t="shared" si="11"/>
        <v>12</v>
      </c>
      <c r="Y28" s="331">
        <f t="shared" si="11"/>
        <v>2</v>
      </c>
      <c r="Z28" s="331">
        <f t="shared" si="11"/>
        <v>6</v>
      </c>
      <c r="AA28" s="331">
        <f>10+2/9</f>
        <v>10.222222222222221</v>
      </c>
      <c r="AB28" s="331">
        <v>15</v>
      </c>
      <c r="AC28" s="115">
        <f>(14490+3125+145)*1.038</f>
        <v>18434.88</v>
      </c>
      <c r="AD28" s="51">
        <f t="shared" si="17"/>
        <v>22121.856</v>
      </c>
    </row>
    <row r="29" spans="1:33" x14ac:dyDescent="0.25">
      <c r="A29" s="329" t="str">
        <f t="shared" si="12"/>
        <v>#9</v>
      </c>
      <c r="B29" s="330" t="str">
        <f t="shared" si="12"/>
        <v>Inners</v>
      </c>
      <c r="C29" s="134" t="str">
        <f t="shared" si="12"/>
        <v>G. Piscaer</v>
      </c>
      <c r="D29" s="134" t="str">
        <f t="shared" si="12"/>
        <v>IMP</v>
      </c>
      <c r="E29" s="134">
        <f t="shared" si="43"/>
        <v>20</v>
      </c>
      <c r="F29" s="134">
        <f t="shared" ca="1" si="43"/>
        <v>95</v>
      </c>
      <c r="G29" s="331">
        <f t="shared" si="13"/>
        <v>0</v>
      </c>
      <c r="H29" s="331">
        <f t="shared" si="13"/>
        <v>4</v>
      </c>
      <c r="I29" s="331">
        <f t="shared" si="13"/>
        <v>13.111111111111111</v>
      </c>
      <c r="J29" s="331">
        <f t="shared" si="9"/>
        <v>3</v>
      </c>
      <c r="K29" s="331">
        <f t="shared" si="9"/>
        <v>2</v>
      </c>
      <c r="L29" s="331">
        <f t="shared" si="9"/>
        <v>8</v>
      </c>
      <c r="M29" s="331">
        <f t="shared" si="9"/>
        <v>0</v>
      </c>
      <c r="N29" s="115">
        <f t="shared" si="9"/>
        <v>15145</v>
      </c>
      <c r="O29" s="115">
        <f t="shared" si="44"/>
        <v>18174</v>
      </c>
      <c r="Q29" s="329" t="s">
        <v>224</v>
      </c>
      <c r="R29" s="330" t="str">
        <f t="shared" si="10"/>
        <v>Inners</v>
      </c>
      <c r="S29" s="134" t="str">
        <f t="shared" si="15"/>
        <v>IMP</v>
      </c>
      <c r="T29" s="134">
        <f>E29+4</f>
        <v>24</v>
      </c>
      <c r="U29" s="134">
        <f ca="1">F29+$AG$24*7-112-112-112-112</f>
        <v>39</v>
      </c>
      <c r="V29" s="331">
        <f t="shared" si="16"/>
        <v>0</v>
      </c>
      <c r="W29" s="331">
        <v>9</v>
      </c>
      <c r="X29" s="331">
        <f t="shared" si="11"/>
        <v>13.111111111111111</v>
      </c>
      <c r="Y29" s="331">
        <f t="shared" si="11"/>
        <v>3</v>
      </c>
      <c r="Z29" s="331">
        <f t="shared" si="11"/>
        <v>2</v>
      </c>
      <c r="AA29" s="331">
        <f>9+3/6</f>
        <v>9.5</v>
      </c>
      <c r="AB29" s="331">
        <v>14</v>
      </c>
      <c r="AC29" s="115">
        <f>(23500+2295+125)*1.035</f>
        <v>26827.199999999997</v>
      </c>
      <c r="AD29" s="51">
        <f t="shared" si="17"/>
        <v>32192.639999999996</v>
      </c>
    </row>
    <row r="30" spans="1:33" x14ac:dyDescent="0.25">
      <c r="A30" s="329" t="str">
        <f t="shared" si="12"/>
        <v>#10</v>
      </c>
      <c r="B30" s="330" t="str">
        <f t="shared" si="12"/>
        <v>Inners</v>
      </c>
      <c r="C30" s="134" t="str">
        <f t="shared" si="12"/>
        <v>M. Bondarewski</v>
      </c>
      <c r="D30" s="134" t="str">
        <f t="shared" si="12"/>
        <v>RAP</v>
      </c>
      <c r="E30" s="134">
        <f t="shared" si="43"/>
        <v>20</v>
      </c>
      <c r="F30" s="134">
        <f t="shared" ca="1" si="43"/>
        <v>95</v>
      </c>
      <c r="G30" s="331">
        <f t="shared" si="13"/>
        <v>0</v>
      </c>
      <c r="H30" s="331">
        <f t="shared" si="13"/>
        <v>2</v>
      </c>
      <c r="I30" s="331">
        <f t="shared" si="13"/>
        <v>13.2</v>
      </c>
      <c r="J30" s="331">
        <f t="shared" si="9"/>
        <v>5</v>
      </c>
      <c r="K30" s="331">
        <f t="shared" si="9"/>
        <v>4</v>
      </c>
      <c r="L30" s="331">
        <f t="shared" si="9"/>
        <v>8</v>
      </c>
      <c r="M30" s="331">
        <f t="shared" si="9"/>
        <v>6</v>
      </c>
      <c r="N30" s="115">
        <f t="shared" si="9"/>
        <v>15539.7</v>
      </c>
      <c r="O30" s="115">
        <f t="shared" si="44"/>
        <v>18647.64</v>
      </c>
      <c r="Q30" s="329" t="s">
        <v>176</v>
      </c>
      <c r="R30" s="330" t="str">
        <f t="shared" si="10"/>
        <v>Inners</v>
      </c>
      <c r="S30" s="134" t="str">
        <f t="shared" si="15"/>
        <v>RAP</v>
      </c>
      <c r="T30" s="134">
        <f>E30+4</f>
        <v>24</v>
      </c>
      <c r="U30" s="134">
        <f ca="1">F30+$AG$24*7-112-112-112-112</f>
        <v>39</v>
      </c>
      <c r="V30" s="331">
        <f t="shared" si="16"/>
        <v>0</v>
      </c>
      <c r="W30" s="331">
        <v>8</v>
      </c>
      <c r="X30" s="331">
        <f t="shared" si="11"/>
        <v>13.2</v>
      </c>
      <c r="Y30" s="331">
        <f t="shared" si="11"/>
        <v>5</v>
      </c>
      <c r="Z30" s="331">
        <f t="shared" si="11"/>
        <v>4</v>
      </c>
      <c r="AA30" s="331">
        <f>9+3/6</f>
        <v>9.5</v>
      </c>
      <c r="AB30" s="331">
        <v>16</v>
      </c>
      <c r="AC30" s="115">
        <f>(23500+2295+125+125)*1.043</f>
        <v>27164.934999999998</v>
      </c>
      <c r="AD30" s="51">
        <f t="shared" si="17"/>
        <v>32597.921999999995</v>
      </c>
    </row>
    <row r="31" spans="1:33" x14ac:dyDescent="0.25">
      <c r="A31" s="329" t="str">
        <f t="shared" si="12"/>
        <v>#11</v>
      </c>
      <c r="B31" s="330" t="str">
        <f t="shared" si="12"/>
        <v>Inners</v>
      </c>
      <c r="C31" s="134" t="str">
        <f t="shared" si="12"/>
        <v>P. Tuderek</v>
      </c>
      <c r="D31" s="134" t="str">
        <f t="shared" si="12"/>
        <v>CAB</v>
      </c>
      <c r="E31" s="134">
        <f t="shared" si="43"/>
        <v>20</v>
      </c>
      <c r="F31" s="134">
        <f t="shared" ca="1" si="43"/>
        <v>81</v>
      </c>
      <c r="G31" s="331">
        <f t="shared" si="13"/>
        <v>0</v>
      </c>
      <c r="H31" s="331">
        <f t="shared" si="13"/>
        <v>6</v>
      </c>
      <c r="I31" s="331">
        <f t="shared" si="13"/>
        <v>12</v>
      </c>
      <c r="J31" s="331">
        <f t="shared" si="9"/>
        <v>2</v>
      </c>
      <c r="K31" s="331">
        <f t="shared" si="9"/>
        <v>3</v>
      </c>
      <c r="L31" s="331">
        <f t="shared" si="9"/>
        <v>6</v>
      </c>
      <c r="M31" s="331">
        <f t="shared" si="9"/>
        <v>8</v>
      </c>
      <c r="N31" s="115">
        <f t="shared" si="9"/>
        <v>9207</v>
      </c>
      <c r="O31" s="115">
        <f t="shared" si="44"/>
        <v>11048.4</v>
      </c>
      <c r="Q31" s="329" t="s">
        <v>177</v>
      </c>
      <c r="R31" s="330" t="str">
        <f t="shared" si="10"/>
        <v>Inners</v>
      </c>
      <c r="S31" s="134" t="str">
        <f t="shared" si="15"/>
        <v>CAB</v>
      </c>
      <c r="T31" s="134">
        <f>E31+4</f>
        <v>24</v>
      </c>
      <c r="U31" s="134">
        <f ca="1">F31+$AG$24*7-112-112-112-112</f>
        <v>25</v>
      </c>
      <c r="V31" s="331">
        <f t="shared" si="16"/>
        <v>0</v>
      </c>
      <c r="W31" s="331">
        <f>10+1/9</f>
        <v>10.111111111111111</v>
      </c>
      <c r="X31" s="331">
        <f t="shared" si="11"/>
        <v>12</v>
      </c>
      <c r="Y31" s="331">
        <f t="shared" si="11"/>
        <v>2</v>
      </c>
      <c r="Z31" s="331">
        <f t="shared" si="11"/>
        <v>3</v>
      </c>
      <c r="AA31" s="331">
        <v>8</v>
      </c>
      <c r="AB31" s="331">
        <v>16.5</v>
      </c>
      <c r="AC31" s="115">
        <f>(20000+1020+225)*1.047</f>
        <v>22243.514999999999</v>
      </c>
      <c r="AD31" s="51">
        <f t="shared" si="17"/>
        <v>26692.217999999997</v>
      </c>
    </row>
    <row r="32" spans="1:33" x14ac:dyDescent="0.25">
      <c r="A32" s="329" t="str">
        <f t="shared" si="12"/>
        <v>#12</v>
      </c>
      <c r="B32" s="330" t="str">
        <f t="shared" si="12"/>
        <v>Inners</v>
      </c>
      <c r="C32" s="134" t="str">
        <f t="shared" si="12"/>
        <v>R. Forsyth</v>
      </c>
      <c r="D32" s="134" t="str">
        <f t="shared" si="12"/>
        <v>POT</v>
      </c>
      <c r="E32" s="134">
        <f t="shared" si="43"/>
        <v>21</v>
      </c>
      <c r="F32" s="134">
        <f t="shared" ca="1" si="43"/>
        <v>24</v>
      </c>
      <c r="G32" s="331">
        <f t="shared" si="13"/>
        <v>0</v>
      </c>
      <c r="H32" s="331">
        <f t="shared" si="13"/>
        <v>7</v>
      </c>
      <c r="I32" s="331">
        <f t="shared" si="13"/>
        <v>12.222222222222221</v>
      </c>
      <c r="J32" s="331">
        <f t="shared" si="9"/>
        <v>2</v>
      </c>
      <c r="K32" s="331">
        <f t="shared" si="9"/>
        <v>4</v>
      </c>
      <c r="L32" s="331">
        <f t="shared" si="9"/>
        <v>6</v>
      </c>
      <c r="M32" s="331">
        <f t="shared" si="9"/>
        <v>2</v>
      </c>
      <c r="N32" s="115">
        <f t="shared" si="9"/>
        <v>10599.12</v>
      </c>
      <c r="O32" s="115">
        <f t="shared" si="44"/>
        <v>12718.944000000001</v>
      </c>
      <c r="Q32" s="329" t="s">
        <v>171</v>
      </c>
      <c r="R32" s="330" t="str">
        <f t="shared" si="10"/>
        <v>Inners</v>
      </c>
      <c r="S32" s="134" t="str">
        <f t="shared" si="15"/>
        <v>POT</v>
      </c>
      <c r="T32" s="134">
        <f t="shared" si="45"/>
        <v>24</v>
      </c>
      <c r="U32" s="134">
        <f t="shared" ca="1" si="46"/>
        <v>80</v>
      </c>
      <c r="V32" s="331">
        <f t="shared" si="16"/>
        <v>0</v>
      </c>
      <c r="W32" s="331">
        <f>10+4/9</f>
        <v>10.444444444444445</v>
      </c>
      <c r="X32" s="331">
        <f t="shared" si="11"/>
        <v>12.222222222222221</v>
      </c>
      <c r="Y32" s="331">
        <f t="shared" si="11"/>
        <v>2</v>
      </c>
      <c r="Z32" s="331">
        <f t="shared" si="11"/>
        <v>4</v>
      </c>
      <c r="AA32" s="331">
        <v>8</v>
      </c>
      <c r="AB32" s="331">
        <v>15</v>
      </c>
      <c r="AC32" s="115">
        <f>(20000+1020+225+125)*1.038</f>
        <v>22182.06</v>
      </c>
      <c r="AD32" s="51">
        <f t="shared" si="17"/>
        <v>26618.472000000002</v>
      </c>
    </row>
    <row r="33" spans="1:30" x14ac:dyDescent="0.25">
      <c r="A33" s="329" t="str">
        <f t="shared" si="12"/>
        <v>#13</v>
      </c>
      <c r="B33" s="330"/>
      <c r="C33" s="134"/>
      <c r="D33" s="134"/>
      <c r="E33" s="134"/>
      <c r="F33" s="134"/>
      <c r="G33" s="331">
        <f t="shared" ref="G33:G34" si="47">V16</f>
        <v>0</v>
      </c>
      <c r="H33" s="331">
        <v>2</v>
      </c>
      <c r="I33" s="331">
        <v>2</v>
      </c>
      <c r="J33" s="331">
        <v>2</v>
      </c>
      <c r="K33" s="331">
        <f t="shared" ref="K33:K34" si="48">Z16</f>
        <v>2</v>
      </c>
      <c r="L33" s="331">
        <f t="shared" si="9"/>
        <v>2</v>
      </c>
      <c r="M33" s="331">
        <f t="shared" si="9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6"/>
        <v>0</v>
      </c>
      <c r="W33" s="331">
        <f t="shared" si="11"/>
        <v>2</v>
      </c>
      <c r="X33" s="331">
        <f t="shared" si="11"/>
        <v>2</v>
      </c>
      <c r="Y33" s="331">
        <f t="shared" si="11"/>
        <v>2</v>
      </c>
      <c r="Z33" s="331">
        <f t="shared" si="11"/>
        <v>2</v>
      </c>
      <c r="AA33" s="331">
        <f t="shared" si="11"/>
        <v>2</v>
      </c>
      <c r="AB33" s="331">
        <v>2</v>
      </c>
      <c r="AC33" s="115">
        <f>(22400+2295)*1.048</f>
        <v>25880.36</v>
      </c>
      <c r="AD33" s="51">
        <f t="shared" si="17"/>
        <v>31056.432000000001</v>
      </c>
    </row>
    <row r="34" spans="1:30" x14ac:dyDescent="0.25">
      <c r="A34" s="329" t="str">
        <f t="shared" si="12"/>
        <v>#14</v>
      </c>
      <c r="B34" s="330"/>
      <c r="C34" s="134"/>
      <c r="D34" s="134"/>
      <c r="E34" s="134"/>
      <c r="F34" s="134"/>
      <c r="G34" s="331">
        <f t="shared" si="47"/>
        <v>0</v>
      </c>
      <c r="H34" s="331">
        <v>2</v>
      </c>
      <c r="I34" s="331">
        <v>2</v>
      </c>
      <c r="J34" s="331">
        <v>2</v>
      </c>
      <c r="K34" s="331">
        <f t="shared" si="48"/>
        <v>2</v>
      </c>
      <c r="L34" s="331">
        <f t="shared" si="9"/>
        <v>2</v>
      </c>
      <c r="M34" s="331">
        <f t="shared" si="9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6"/>
        <v>0</v>
      </c>
      <c r="W34" s="331">
        <f t="shared" si="11"/>
        <v>2</v>
      </c>
      <c r="X34" s="331">
        <f t="shared" si="11"/>
        <v>2</v>
      </c>
      <c r="Y34" s="331">
        <f t="shared" si="11"/>
        <v>2</v>
      </c>
      <c r="Z34" s="331">
        <f t="shared" si="11"/>
        <v>2</v>
      </c>
      <c r="AA34" s="331">
        <f t="shared" si="11"/>
        <v>2</v>
      </c>
      <c r="AB34" s="331">
        <v>2</v>
      </c>
      <c r="AC34" s="115">
        <f>(22400+2295)*1.048</f>
        <v>25880.36</v>
      </c>
      <c r="AD34" s="51">
        <f t="shared" si="17"/>
        <v>31056.432000000001</v>
      </c>
    </row>
  </sheetData>
  <conditionalFormatting sqref="V4:AB17">
    <cfRule type="colorScale" priority="7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6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5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11" sqref="M11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1"/>
      <c r="B1" s="491"/>
      <c r="C1" s="491"/>
      <c r="D1" s="681" t="s">
        <v>641</v>
      </c>
      <c r="E1" s="682"/>
      <c r="F1" s="682"/>
      <c r="G1" s="682"/>
      <c r="H1" s="682"/>
      <c r="I1" s="683"/>
      <c r="K1" s="491"/>
      <c r="L1" s="492"/>
      <c r="M1" s="492"/>
      <c r="N1" s="493">
        <v>43637</v>
      </c>
      <c r="O1" s="493">
        <f t="shared" ref="O1:AD1" si="0">N1+7</f>
        <v>43644</v>
      </c>
      <c r="P1" s="493">
        <f t="shared" si="0"/>
        <v>43651</v>
      </c>
      <c r="Q1" s="493">
        <f t="shared" si="0"/>
        <v>43658</v>
      </c>
      <c r="R1" s="493">
        <f t="shared" si="0"/>
        <v>43665</v>
      </c>
      <c r="S1" s="493">
        <f t="shared" si="0"/>
        <v>43672</v>
      </c>
      <c r="T1" s="493">
        <f t="shared" si="0"/>
        <v>43679</v>
      </c>
      <c r="U1" s="493">
        <f t="shared" si="0"/>
        <v>43686</v>
      </c>
      <c r="V1" s="493">
        <f t="shared" si="0"/>
        <v>43693</v>
      </c>
      <c r="W1" s="493">
        <f t="shared" si="0"/>
        <v>43700</v>
      </c>
      <c r="X1" s="493">
        <f t="shared" si="0"/>
        <v>43707</v>
      </c>
      <c r="Y1" s="493">
        <f t="shared" si="0"/>
        <v>43714</v>
      </c>
      <c r="Z1" s="493">
        <f t="shared" si="0"/>
        <v>43721</v>
      </c>
      <c r="AA1" s="493">
        <f t="shared" si="0"/>
        <v>43728</v>
      </c>
      <c r="AB1" s="493">
        <f t="shared" si="0"/>
        <v>43735</v>
      </c>
      <c r="AC1" s="493">
        <f t="shared" si="0"/>
        <v>43742</v>
      </c>
      <c r="AD1" s="566">
        <f t="shared" si="0"/>
        <v>43749</v>
      </c>
    </row>
    <row r="2" spans="1:33" x14ac:dyDescent="0.25">
      <c r="A2" s="496"/>
      <c r="B2" s="496"/>
      <c r="C2" s="496"/>
      <c r="D2" s="684" t="s">
        <v>579</v>
      </c>
      <c r="E2" s="685"/>
      <c r="F2" s="686"/>
      <c r="G2" s="686"/>
      <c r="H2" s="686"/>
      <c r="I2" s="687"/>
      <c r="K2" s="494"/>
      <c r="L2" s="494"/>
      <c r="M2" s="494" t="s">
        <v>578</v>
      </c>
      <c r="N2" s="495" t="s">
        <v>43</v>
      </c>
      <c r="O2" s="495" t="s">
        <v>28</v>
      </c>
      <c r="P2" s="495" t="s">
        <v>29</v>
      </c>
      <c r="Q2" s="495" t="s">
        <v>30</v>
      </c>
      <c r="R2" s="495" t="s">
        <v>31</v>
      </c>
      <c r="S2" s="495" t="s">
        <v>32</v>
      </c>
      <c r="T2" s="495" t="s">
        <v>33</v>
      </c>
      <c r="U2" s="495" t="s">
        <v>34</v>
      </c>
      <c r="V2" s="495" t="s">
        <v>35</v>
      </c>
      <c r="W2" s="495" t="s">
        <v>36</v>
      </c>
      <c r="X2" s="495" t="s">
        <v>37</v>
      </c>
      <c r="Y2" s="495" t="s">
        <v>38</v>
      </c>
      <c r="Z2" s="495" t="s">
        <v>39</v>
      </c>
      <c r="AA2" s="495" t="s">
        <v>40</v>
      </c>
      <c r="AB2" s="495" t="s">
        <v>41</v>
      </c>
      <c r="AC2" s="495" t="s">
        <v>42</v>
      </c>
      <c r="AD2" s="582" t="s">
        <v>43</v>
      </c>
    </row>
    <row r="3" spans="1:33" ht="18.75" x14ac:dyDescent="0.3">
      <c r="A3" s="499"/>
      <c r="B3" s="499"/>
      <c r="C3" s="499"/>
      <c r="D3" s="688" t="s">
        <v>581</v>
      </c>
      <c r="E3" s="689"/>
      <c r="F3" s="615"/>
      <c r="G3" s="690" t="s">
        <v>582</v>
      </c>
      <c r="H3" s="691"/>
      <c r="I3" s="500"/>
      <c r="K3" s="488"/>
      <c r="L3" s="497"/>
      <c r="M3" s="497" t="s">
        <v>580</v>
      </c>
      <c r="N3" s="498">
        <f>3345+6</f>
        <v>3351</v>
      </c>
      <c r="O3" s="498">
        <v>3345</v>
      </c>
      <c r="P3" s="498">
        <f>O3+O11</f>
        <v>3345</v>
      </c>
      <c r="Q3" s="498">
        <f t="shared" ref="Q3:AD3" si="1">P3+P11</f>
        <v>3435</v>
      </c>
      <c r="R3" s="498">
        <f>Q3+Q11-2</f>
        <v>3433</v>
      </c>
      <c r="S3" s="498">
        <f t="shared" si="1"/>
        <v>3433</v>
      </c>
      <c r="T3" s="498">
        <f>U3+10+11</f>
        <v>3288</v>
      </c>
      <c r="U3" s="498">
        <f>V3+11+11</f>
        <v>3267</v>
      </c>
      <c r="V3" s="498">
        <f>W3+13</f>
        <v>3245</v>
      </c>
      <c r="W3" s="498">
        <f>X3+10+10</f>
        <v>3232</v>
      </c>
      <c r="X3" s="498">
        <f>Y3+16</f>
        <v>3212</v>
      </c>
      <c r="Y3" s="498">
        <f>3196</f>
        <v>3196</v>
      </c>
      <c r="Z3" s="498">
        <f t="shared" si="1"/>
        <v>3196</v>
      </c>
      <c r="AA3" s="498">
        <f t="shared" si="1"/>
        <v>3196</v>
      </c>
      <c r="AB3" s="498">
        <f t="shared" si="1"/>
        <v>3196</v>
      </c>
      <c r="AC3" s="498">
        <f t="shared" si="1"/>
        <v>3196</v>
      </c>
      <c r="AD3" s="567">
        <f t="shared" si="1"/>
        <v>3196</v>
      </c>
    </row>
    <row r="4" spans="1:33" ht="18.75" x14ac:dyDescent="0.3">
      <c r="A4" s="499"/>
      <c r="B4" s="499"/>
      <c r="C4" s="499"/>
      <c r="D4" s="509"/>
      <c r="E4" s="519"/>
      <c r="F4" s="551"/>
      <c r="G4" s="505"/>
      <c r="H4" s="551"/>
      <c r="I4" s="506"/>
      <c r="K4" s="583" t="s">
        <v>636</v>
      </c>
      <c r="L4" s="583"/>
      <c r="M4" s="584">
        <f>10164100+500000</f>
        <v>10664100</v>
      </c>
      <c r="N4" s="585">
        <f>M4</f>
        <v>10664100</v>
      </c>
      <c r="O4" s="585">
        <f>N4-N13+N23</f>
        <v>10164100</v>
      </c>
      <c r="P4" s="585">
        <f t="shared" ref="P4:AD4" si="2">O4-O13+O23</f>
        <v>9664100</v>
      </c>
      <c r="Q4" s="585">
        <f t="shared" si="2"/>
        <v>9164100</v>
      </c>
      <c r="R4" s="585">
        <f t="shared" si="2"/>
        <v>8664100</v>
      </c>
      <c r="S4" s="585">
        <f t="shared" si="2"/>
        <v>8164100</v>
      </c>
      <c r="T4" s="585">
        <f t="shared" si="2"/>
        <v>7664100</v>
      </c>
      <c r="U4" s="585">
        <f t="shared" si="2"/>
        <v>7164100</v>
      </c>
      <c r="V4" s="585">
        <f t="shared" si="2"/>
        <v>6664100</v>
      </c>
      <c r="W4" s="585">
        <f t="shared" si="2"/>
        <v>6164100</v>
      </c>
      <c r="X4" s="585">
        <f t="shared" si="2"/>
        <v>5664100</v>
      </c>
      <c r="Y4" s="585">
        <f t="shared" si="2"/>
        <v>5164100</v>
      </c>
      <c r="Z4" s="585">
        <f t="shared" si="2"/>
        <v>4664100</v>
      </c>
      <c r="AA4" s="585">
        <f t="shared" si="2"/>
        <v>4164100</v>
      </c>
      <c r="AB4" s="585">
        <f t="shared" si="2"/>
        <v>3664100</v>
      </c>
      <c r="AC4" s="585">
        <f t="shared" si="2"/>
        <v>4177693</v>
      </c>
      <c r="AD4" s="585">
        <f t="shared" si="2"/>
        <v>3677693</v>
      </c>
    </row>
    <row r="5" spans="1:33" ht="18.75" x14ac:dyDescent="0.3">
      <c r="A5" s="504"/>
      <c r="B5" s="504"/>
      <c r="C5" s="504"/>
      <c r="D5" s="509" t="s">
        <v>585</v>
      </c>
      <c r="E5" s="510">
        <f>SUM(E6:E8)</f>
        <v>8627340</v>
      </c>
      <c r="F5" s="589">
        <f>E5/E35</f>
        <v>9.1679633380931824E-2</v>
      </c>
      <c r="G5" s="509" t="s">
        <v>586</v>
      </c>
      <c r="H5" s="599">
        <f>H6+H7</f>
        <v>63454367</v>
      </c>
      <c r="I5" s="511">
        <f>H5/$H$35</f>
        <v>0.67430669279048916</v>
      </c>
      <c r="K5" s="501" t="s">
        <v>583</v>
      </c>
      <c r="L5" s="501"/>
      <c r="M5" s="502">
        <f>16859431-5919847+1711665-500000</f>
        <v>12151249</v>
      </c>
      <c r="N5" s="503">
        <f>M5</f>
        <v>12151249</v>
      </c>
      <c r="O5" s="503">
        <f t="shared" ref="O5:AD5" si="3">N26</f>
        <v>16853431</v>
      </c>
      <c r="P5" s="503">
        <f t="shared" si="3"/>
        <v>11755916</v>
      </c>
      <c r="Q5" s="503">
        <f t="shared" si="3"/>
        <v>12415332</v>
      </c>
      <c r="R5" s="503">
        <f t="shared" si="3"/>
        <v>13710711</v>
      </c>
      <c r="S5" s="503">
        <f t="shared" si="3"/>
        <v>14306291</v>
      </c>
      <c r="T5" s="503">
        <f t="shared" si="3"/>
        <v>16625519</v>
      </c>
      <c r="U5" s="503">
        <f t="shared" si="3"/>
        <v>17494225</v>
      </c>
      <c r="V5" s="503">
        <f t="shared" si="3"/>
        <v>18095097</v>
      </c>
      <c r="W5" s="503">
        <f t="shared" si="3"/>
        <v>19111395</v>
      </c>
      <c r="X5" s="503">
        <f t="shared" si="3"/>
        <v>19795165</v>
      </c>
      <c r="Y5" s="503">
        <f t="shared" si="3"/>
        <v>22086424</v>
      </c>
      <c r="Z5" s="503">
        <f t="shared" si="3"/>
        <v>19890687</v>
      </c>
      <c r="AA5" s="503">
        <f t="shared" si="3"/>
        <v>24708589</v>
      </c>
      <c r="AB5" s="503">
        <f t="shared" si="3"/>
        <v>25679641</v>
      </c>
      <c r="AC5" s="503">
        <f t="shared" si="3"/>
        <v>21403306</v>
      </c>
      <c r="AD5" s="503">
        <f t="shared" si="3"/>
        <v>20568388</v>
      </c>
    </row>
    <row r="6" spans="1:33" x14ac:dyDescent="0.25">
      <c r="A6" s="507" t="str">
        <f t="shared" ref="A6:A13" si="4">L6</f>
        <v>Taquillas</v>
      </c>
      <c r="B6" s="508">
        <f t="shared" ref="B6:B13" si="5">M6/$M$14</f>
        <v>0.11339620267026504</v>
      </c>
      <c r="D6" s="512" t="s">
        <v>588</v>
      </c>
      <c r="E6" s="513">
        <v>4158040</v>
      </c>
      <c r="F6" s="590">
        <f>E6/E35</f>
        <v>4.4185992760601735E-2</v>
      </c>
      <c r="G6" s="514" t="s">
        <v>589</v>
      </c>
      <c r="H6" s="600">
        <v>300000</v>
      </c>
      <c r="I6" s="515">
        <f>H6/$H$35</f>
        <v>3.1879918971872614E-3</v>
      </c>
      <c r="K6" s="563" t="s">
        <v>584</v>
      </c>
      <c r="L6" s="563" t="s">
        <v>584</v>
      </c>
      <c r="M6" s="580">
        <f t="shared" ref="M6:M25" si="6">SUM(N6:AD6)</f>
        <v>3664610</v>
      </c>
      <c r="N6" s="645">
        <v>27384</v>
      </c>
      <c r="O6" s="645">
        <f>2819+34650</f>
        <v>37469</v>
      </c>
      <c r="P6" s="645">
        <v>34650</v>
      </c>
      <c r="Q6" s="645">
        <f>734316+34267</f>
        <v>768583</v>
      </c>
      <c r="R6" s="645">
        <f>60291</f>
        <v>60291</v>
      </c>
      <c r="S6" s="645">
        <v>664612</v>
      </c>
      <c r="T6" s="645">
        <f>38789+287090</f>
        <v>325879</v>
      </c>
      <c r="U6" s="645">
        <v>57945</v>
      </c>
      <c r="V6" s="645">
        <f>72861+289034</f>
        <v>361895</v>
      </c>
      <c r="W6" s="645">
        <v>99719</v>
      </c>
      <c r="X6" s="645">
        <v>430656</v>
      </c>
      <c r="Y6" s="645">
        <v>8684</v>
      </c>
      <c r="Z6" s="645">
        <v>9434</v>
      </c>
      <c r="AA6" s="645">
        <v>360602</v>
      </c>
      <c r="AB6" s="645">
        <v>23483</v>
      </c>
      <c r="AC6" s="645">
        <v>369426</v>
      </c>
      <c r="AD6" s="564">
        <v>23898</v>
      </c>
    </row>
    <row r="7" spans="1:33" x14ac:dyDescent="0.25">
      <c r="A7" s="507" t="str">
        <f t="shared" si="4"/>
        <v>Patrocinadores</v>
      </c>
      <c r="B7" s="508">
        <f t="shared" si="5"/>
        <v>0.13302585922082114</v>
      </c>
      <c r="D7" s="512" t="s">
        <v>592</v>
      </c>
      <c r="E7" s="513">
        <f>1916000+300+2553000</f>
        <v>4469300</v>
      </c>
      <c r="F7" s="590">
        <f>E7/E35</f>
        <v>4.749364062033009E-2</v>
      </c>
      <c r="G7" s="514" t="s">
        <v>593</v>
      </c>
      <c r="H7" s="600">
        <f>63609618-455251</f>
        <v>63154367</v>
      </c>
      <c r="I7" s="515">
        <f>H7/$H$35</f>
        <v>0.67111870089330194</v>
      </c>
      <c r="K7" s="563" t="s">
        <v>587</v>
      </c>
      <c r="L7" s="563" t="s">
        <v>587</v>
      </c>
      <c r="M7" s="580">
        <f t="shared" si="6"/>
        <v>4298979</v>
      </c>
      <c r="N7" s="646">
        <v>270844</v>
      </c>
      <c r="O7" s="646">
        <v>187040</v>
      </c>
      <c r="P7" s="646">
        <v>224225</v>
      </c>
      <c r="Q7" s="646">
        <v>246055</v>
      </c>
      <c r="R7" s="646">
        <v>257710</v>
      </c>
      <c r="S7" s="646">
        <v>263630</v>
      </c>
      <c r="T7" s="646">
        <f t="shared" ref="T7:W7" si="7">S7-1000</f>
        <v>262630</v>
      </c>
      <c r="U7" s="646">
        <f t="shared" si="7"/>
        <v>261630</v>
      </c>
      <c r="V7" s="646">
        <f t="shared" si="7"/>
        <v>260630</v>
      </c>
      <c r="W7" s="646">
        <f t="shared" si="7"/>
        <v>259630</v>
      </c>
      <c r="X7" s="646">
        <v>261780</v>
      </c>
      <c r="Y7" s="646">
        <v>260670</v>
      </c>
      <c r="Z7" s="646">
        <v>257000</v>
      </c>
      <c r="AA7" s="646">
        <v>257000</v>
      </c>
      <c r="AB7" s="646">
        <v>257155</v>
      </c>
      <c r="AC7" s="646">
        <v>256230</v>
      </c>
      <c r="AD7" s="565">
        <v>255120</v>
      </c>
    </row>
    <row r="8" spans="1:33" x14ac:dyDescent="0.25">
      <c r="A8" s="507" t="str">
        <f t="shared" si="4"/>
        <v>Ventas</v>
      </c>
      <c r="B8" s="508">
        <f t="shared" si="5"/>
        <v>0.39328079049246945</v>
      </c>
      <c r="D8" s="516" t="s">
        <v>595</v>
      </c>
      <c r="E8" s="517">
        <v>0</v>
      </c>
      <c r="F8" s="590">
        <f>E8/E35</f>
        <v>0</v>
      </c>
      <c r="G8" s="520"/>
      <c r="H8" s="598"/>
      <c r="I8" s="511"/>
      <c r="K8" s="563" t="s">
        <v>590</v>
      </c>
      <c r="L8" s="563" t="s">
        <v>591</v>
      </c>
      <c r="M8" s="580">
        <f t="shared" si="6"/>
        <v>12709603</v>
      </c>
      <c r="N8" s="645">
        <f>959086+1751596+1184557</f>
        <v>3895239</v>
      </c>
      <c r="O8" s="645">
        <v>0</v>
      </c>
      <c r="P8" s="645">
        <v>0</v>
      </c>
      <c r="Q8" s="645">
        <v>0</v>
      </c>
      <c r="R8" s="645">
        <v>0</v>
      </c>
      <c r="S8" s="645">
        <v>0</v>
      </c>
      <c r="T8" s="645">
        <v>0</v>
      </c>
      <c r="U8" s="645">
        <v>0</v>
      </c>
      <c r="V8" s="645">
        <v>0</v>
      </c>
      <c r="W8" s="645">
        <v>0</v>
      </c>
      <c r="X8" s="645">
        <v>1192436</v>
      </c>
      <c r="Y8" s="645">
        <v>0</v>
      </c>
      <c r="Z8" s="645">
        <f>3201800+1057885</f>
        <v>4259685</v>
      </c>
      <c r="AA8" s="645">
        <v>0</v>
      </c>
      <c r="AB8" s="645">
        <v>0</v>
      </c>
      <c r="AC8" s="645">
        <v>3362243</v>
      </c>
      <c r="AD8" s="564">
        <v>0</v>
      </c>
      <c r="AF8" s="490"/>
      <c r="AG8" s="490"/>
    </row>
    <row r="9" spans="1:33" x14ac:dyDescent="0.25">
      <c r="A9" s="507" t="str">
        <f t="shared" si="4"/>
        <v>VentasCantera</v>
      </c>
      <c r="B9" s="508">
        <f t="shared" si="5"/>
        <v>4.9915141835995429E-2</v>
      </c>
      <c r="D9" s="518"/>
      <c r="E9" s="519"/>
      <c r="F9" s="589"/>
      <c r="G9" s="520"/>
      <c r="H9" s="598"/>
      <c r="I9" s="511"/>
      <c r="K9" s="563"/>
      <c r="L9" s="563" t="s">
        <v>594</v>
      </c>
      <c r="M9" s="580">
        <f t="shared" si="6"/>
        <v>1613101</v>
      </c>
      <c r="N9" s="645">
        <f>515850</f>
        <v>515850</v>
      </c>
      <c r="O9" s="645">
        <v>0</v>
      </c>
      <c r="P9" s="645">
        <v>0</v>
      </c>
      <c r="Q9" s="645">
        <v>0</v>
      </c>
      <c r="R9" s="645">
        <v>950</v>
      </c>
      <c r="S9" s="645">
        <v>970900</v>
      </c>
      <c r="T9" s="645">
        <v>0</v>
      </c>
      <c r="U9" s="645">
        <v>0</v>
      </c>
      <c r="V9" s="645">
        <f>950+13300+52250</f>
        <v>66500</v>
      </c>
      <c r="W9" s="645">
        <v>36100</v>
      </c>
      <c r="X9" s="645">
        <v>950</v>
      </c>
      <c r="Y9" s="645">
        <v>0</v>
      </c>
      <c r="Z9" s="645">
        <v>0</v>
      </c>
      <c r="AA9" s="645">
        <v>0</v>
      </c>
      <c r="AB9" s="645">
        <v>0</v>
      </c>
      <c r="AC9" s="645">
        <v>0</v>
      </c>
      <c r="AD9" s="564">
        <v>21851</v>
      </c>
    </row>
    <row r="10" spans="1:33" x14ac:dyDescent="0.25">
      <c r="A10" s="507" t="str">
        <f t="shared" si="4"/>
        <v>Comisiones</v>
      </c>
      <c r="B10" s="508">
        <f t="shared" si="5"/>
        <v>1.921207275445358E-2</v>
      </c>
      <c r="D10" s="509" t="s">
        <v>638</v>
      </c>
      <c r="E10" s="510">
        <f>E11+E12+E13</f>
        <v>3177693</v>
      </c>
      <c r="F10" s="589">
        <f>E10/E35</f>
        <v>3.3768198452495603E-2</v>
      </c>
      <c r="G10" s="509" t="s">
        <v>600</v>
      </c>
      <c r="H10" s="599">
        <f>SUM(H11:H16)</f>
        <v>8084727</v>
      </c>
      <c r="I10" s="511">
        <f t="shared" ref="I10:I16" si="8">H10/$H$35</f>
        <v>8.5913480556570249E-2</v>
      </c>
      <c r="K10" s="563" t="s">
        <v>596</v>
      </c>
      <c r="L10" s="563" t="s">
        <v>596</v>
      </c>
      <c r="M10" s="580">
        <f t="shared" si="6"/>
        <v>620874</v>
      </c>
      <c r="N10" s="646">
        <v>60000</v>
      </c>
      <c r="O10" s="646">
        <f>15320+1915</f>
        <v>17235</v>
      </c>
      <c r="P10" s="646">
        <v>120000</v>
      </c>
      <c r="Q10" s="646">
        <v>0</v>
      </c>
      <c r="R10" s="646">
        <v>0</v>
      </c>
      <c r="S10" s="646">
        <v>3889</v>
      </c>
      <c r="T10" s="646">
        <v>0</v>
      </c>
      <c r="U10" s="646">
        <v>100</v>
      </c>
      <c r="V10" s="646">
        <f>20400+3250+26000</f>
        <v>49650</v>
      </c>
      <c r="W10" s="646">
        <v>0</v>
      </c>
      <c r="X10" s="646">
        <v>93040</v>
      </c>
      <c r="Y10" s="646">
        <v>0</v>
      </c>
      <c r="Z10" s="646">
        <v>0</v>
      </c>
      <c r="AA10" s="646">
        <v>59960</v>
      </c>
      <c r="AB10" s="646">
        <v>70000</v>
      </c>
      <c r="AC10" s="646">
        <v>0</v>
      </c>
      <c r="AD10" s="565">
        <v>147000</v>
      </c>
    </row>
    <row r="11" spans="1:33" x14ac:dyDescent="0.25">
      <c r="A11" s="507" t="str">
        <f t="shared" si="4"/>
        <v>Nuevos Socios</v>
      </c>
      <c r="B11" s="508">
        <f t="shared" si="5"/>
        <v>6.0247176807083436E-3</v>
      </c>
      <c r="D11" s="521" t="s">
        <v>643</v>
      </c>
      <c r="E11" s="522">
        <f>N4</f>
        <v>10664100</v>
      </c>
      <c r="F11" s="590">
        <f>E11/E35</f>
        <v>0.11332354796931558</v>
      </c>
      <c r="G11" s="544" t="s">
        <v>603</v>
      </c>
      <c r="H11" s="612">
        <v>0</v>
      </c>
      <c r="I11" s="515">
        <f t="shared" si="8"/>
        <v>0</v>
      </c>
      <c r="K11" s="694" t="s">
        <v>597</v>
      </c>
      <c r="L11" s="563" t="s">
        <v>598</v>
      </c>
      <c r="M11" s="580">
        <f t="shared" si="6"/>
        <v>194700</v>
      </c>
      <c r="N11" s="646">
        <v>100530</v>
      </c>
      <c r="O11" s="646">
        <v>0</v>
      </c>
      <c r="P11" s="646">
        <f>30+60</f>
        <v>90</v>
      </c>
      <c r="Q11" s="646">
        <v>0</v>
      </c>
      <c r="R11" s="646">
        <f t="shared" ref="R11:AC11" si="9">Q11</f>
        <v>0</v>
      </c>
      <c r="S11" s="646">
        <f t="shared" si="9"/>
        <v>0</v>
      </c>
      <c r="T11" s="646">
        <f t="shared" si="9"/>
        <v>0</v>
      </c>
      <c r="U11" s="646">
        <f t="shared" si="9"/>
        <v>0</v>
      </c>
      <c r="V11" s="646">
        <f t="shared" si="9"/>
        <v>0</v>
      </c>
      <c r="W11" s="646">
        <f t="shared" si="9"/>
        <v>0</v>
      </c>
      <c r="X11" s="646">
        <f t="shared" si="9"/>
        <v>0</v>
      </c>
      <c r="Y11" s="646">
        <f t="shared" si="9"/>
        <v>0</v>
      </c>
      <c r="Z11" s="646">
        <f t="shared" si="9"/>
        <v>0</v>
      </c>
      <c r="AA11" s="646">
        <f t="shared" si="9"/>
        <v>0</v>
      </c>
      <c r="AB11" s="646">
        <f t="shared" si="9"/>
        <v>0</v>
      </c>
      <c r="AC11" s="646">
        <f t="shared" si="9"/>
        <v>0</v>
      </c>
      <c r="AD11" s="565">
        <v>94080</v>
      </c>
    </row>
    <row r="12" spans="1:33" x14ac:dyDescent="0.25">
      <c r="A12" s="507" t="str">
        <f t="shared" si="4"/>
        <v>Premios</v>
      </c>
      <c r="B12" s="508">
        <f t="shared" si="5"/>
        <v>3.7596466266361775E-2</v>
      </c>
      <c r="D12" s="521" t="str">
        <f>L13</f>
        <v>Ing Reservas</v>
      </c>
      <c r="E12" s="522">
        <f>M13*-1</f>
        <v>-8000000</v>
      </c>
      <c r="F12" s="590">
        <f>E12/E35</f>
        <v>-8.501311725832697E-2</v>
      </c>
      <c r="G12" s="613" t="s">
        <v>605</v>
      </c>
      <c r="H12" s="614">
        <v>0</v>
      </c>
      <c r="I12" s="588">
        <f t="shared" si="8"/>
        <v>0</v>
      </c>
      <c r="K12" s="695"/>
      <c r="L12" s="563" t="s">
        <v>601</v>
      </c>
      <c r="M12" s="580">
        <f t="shared" si="6"/>
        <v>1215000</v>
      </c>
      <c r="N12" s="646">
        <v>1050000</v>
      </c>
      <c r="O12" s="646">
        <v>0</v>
      </c>
      <c r="P12" s="646">
        <v>0</v>
      </c>
      <c r="Q12" s="646">
        <v>0</v>
      </c>
      <c r="R12" s="646">
        <v>0</v>
      </c>
      <c r="S12" s="646">
        <v>140000</v>
      </c>
      <c r="T12" s="646">
        <v>0</v>
      </c>
      <c r="U12" s="646">
        <v>0</v>
      </c>
      <c r="V12" s="646">
        <v>0</v>
      </c>
      <c r="W12" s="646">
        <v>0</v>
      </c>
      <c r="X12" s="646">
        <v>25000</v>
      </c>
      <c r="Y12" s="646">
        <v>0</v>
      </c>
      <c r="Z12" s="646">
        <v>0</v>
      </c>
      <c r="AA12" s="646">
        <v>0</v>
      </c>
      <c r="AB12" s="646">
        <v>0</v>
      </c>
      <c r="AC12" s="646">
        <v>0</v>
      </c>
      <c r="AD12" s="565">
        <v>0</v>
      </c>
    </row>
    <row r="13" spans="1:33" s="579" customFormat="1" ht="18.75" x14ac:dyDescent="0.3">
      <c r="A13" s="507" t="str">
        <f t="shared" si="4"/>
        <v>Ing Reservas</v>
      </c>
      <c r="B13" s="508">
        <f t="shared" si="5"/>
        <v>0.24754874907892527</v>
      </c>
      <c r="C13" s="577"/>
      <c r="D13" s="521" t="str">
        <f>L23</f>
        <v>Pago Reservas</v>
      </c>
      <c r="E13" s="522">
        <f>M23</f>
        <v>513593</v>
      </c>
      <c r="F13" s="590">
        <f>E13/E35</f>
        <v>5.45776774150699E-3</v>
      </c>
      <c r="G13" s="544" t="s">
        <v>608</v>
      </c>
      <c r="H13" s="612">
        <f>515850+950+970900+950+36100+950+13300+52250+21851</f>
        <v>1613101</v>
      </c>
      <c r="I13" s="515">
        <f t="shared" si="8"/>
        <v>1.7141843057815562E-2</v>
      </c>
      <c r="K13" s="696"/>
      <c r="L13" s="563" t="s">
        <v>639</v>
      </c>
      <c r="M13" s="580">
        <f t="shared" si="6"/>
        <v>8000000</v>
      </c>
      <c r="N13" s="646">
        <v>500000</v>
      </c>
      <c r="O13" s="646">
        <f>N13</f>
        <v>500000</v>
      </c>
      <c r="P13" s="646">
        <f t="shared" ref="P13:AD13" si="10">O13</f>
        <v>500000</v>
      </c>
      <c r="Q13" s="646">
        <f t="shared" si="10"/>
        <v>500000</v>
      </c>
      <c r="R13" s="646">
        <f t="shared" si="10"/>
        <v>500000</v>
      </c>
      <c r="S13" s="646">
        <f t="shared" si="10"/>
        <v>500000</v>
      </c>
      <c r="T13" s="646">
        <f t="shared" si="10"/>
        <v>500000</v>
      </c>
      <c r="U13" s="646">
        <f t="shared" si="10"/>
        <v>500000</v>
      </c>
      <c r="V13" s="646">
        <f t="shared" si="10"/>
        <v>500000</v>
      </c>
      <c r="W13" s="646">
        <f t="shared" si="10"/>
        <v>500000</v>
      </c>
      <c r="X13" s="646">
        <f t="shared" si="10"/>
        <v>500000</v>
      </c>
      <c r="Y13" s="646">
        <f t="shared" si="10"/>
        <v>500000</v>
      </c>
      <c r="Z13" s="646">
        <f t="shared" si="10"/>
        <v>500000</v>
      </c>
      <c r="AA13" s="646">
        <f t="shared" si="10"/>
        <v>500000</v>
      </c>
      <c r="AB13" s="646">
        <v>0</v>
      </c>
      <c r="AC13" s="646">
        <v>500000</v>
      </c>
      <c r="AD13" s="565">
        <f t="shared" si="10"/>
        <v>500000</v>
      </c>
    </row>
    <row r="14" spans="1:33" ht="18.75" x14ac:dyDescent="0.3">
      <c r="A14" s="577"/>
      <c r="B14" s="578">
        <f>SUM(B6:B13)</f>
        <v>1</v>
      </c>
      <c r="D14" s="518"/>
      <c r="E14" s="592"/>
      <c r="G14" s="544" t="s">
        <v>611</v>
      </c>
      <c r="H14" s="612">
        <f>959086-941000-910+1751596-1140-1841100+1184557-1900-1169788+451488+3362243-2752436</f>
        <v>1000696</v>
      </c>
      <c r="I14" s="515">
        <f t="shared" si="8"/>
        <v>1.0634035798492345E-2</v>
      </c>
      <c r="K14" s="574" t="s">
        <v>604</v>
      </c>
      <c r="L14" s="575"/>
      <c r="M14" s="581">
        <f t="shared" si="6"/>
        <v>32316867</v>
      </c>
      <c r="N14" s="576">
        <f>SUM(N6:N13)</f>
        <v>6419847</v>
      </c>
      <c r="O14" s="576">
        <f t="shared" ref="O14:AD14" si="11">SUM(O6:O13)</f>
        <v>741744</v>
      </c>
      <c r="P14" s="576">
        <f t="shared" si="11"/>
        <v>878965</v>
      </c>
      <c r="Q14" s="576">
        <f t="shared" si="11"/>
        <v>1514638</v>
      </c>
      <c r="R14" s="576">
        <f t="shared" si="11"/>
        <v>818951</v>
      </c>
      <c r="S14" s="576">
        <f t="shared" si="11"/>
        <v>2543031</v>
      </c>
      <c r="T14" s="576">
        <f t="shared" si="11"/>
        <v>1088509</v>
      </c>
      <c r="U14" s="576">
        <f t="shared" si="11"/>
        <v>819675</v>
      </c>
      <c r="V14" s="576">
        <f t="shared" si="11"/>
        <v>1238675</v>
      </c>
      <c r="W14" s="576">
        <f t="shared" si="11"/>
        <v>895449</v>
      </c>
      <c r="X14" s="576">
        <f t="shared" si="11"/>
        <v>2503862</v>
      </c>
      <c r="Y14" s="576">
        <f t="shared" si="11"/>
        <v>769354</v>
      </c>
      <c r="Z14" s="576">
        <f t="shared" si="11"/>
        <v>5026119</v>
      </c>
      <c r="AA14" s="576">
        <f t="shared" si="11"/>
        <v>1177562</v>
      </c>
      <c r="AB14" s="576">
        <f t="shared" si="11"/>
        <v>350638</v>
      </c>
      <c r="AC14" s="576">
        <f t="shared" si="11"/>
        <v>4487899</v>
      </c>
      <c r="AD14" s="576">
        <f t="shared" si="11"/>
        <v>1041949</v>
      </c>
    </row>
    <row r="15" spans="1:33" ht="18.75" x14ac:dyDescent="0.3">
      <c r="A15" s="692">
        <f>M14</f>
        <v>32316867</v>
      </c>
      <c r="B15" s="692"/>
      <c r="D15" s="509" t="s">
        <v>599</v>
      </c>
      <c r="E15" s="510">
        <f>SUM(E16:E19)</f>
        <v>38343569</v>
      </c>
      <c r="F15" s="589">
        <f>E15/E35</f>
        <v>0.40746329093746886</v>
      </c>
      <c r="G15" s="544" t="s">
        <v>613</v>
      </c>
      <c r="H15" s="612">
        <f>-832071</f>
        <v>-832071</v>
      </c>
      <c r="I15" s="515">
        <f t="shared" si="8"/>
        <v>-8.8421186862816716E-3</v>
      </c>
      <c r="K15" s="570" t="s">
        <v>606</v>
      </c>
      <c r="L15" s="571" t="str">
        <f>K15</f>
        <v>Sueldos</v>
      </c>
      <c r="M15" s="523">
        <f t="shared" si="6"/>
        <v>1317753</v>
      </c>
      <c r="N15" s="647">
        <v>82664</v>
      </c>
      <c r="O15" s="647">
        <v>79866</v>
      </c>
      <c r="P15" s="647">
        <v>85172</v>
      </c>
      <c r="Q15" s="647">
        <v>84882</v>
      </c>
      <c r="R15" s="647">
        <v>85994</v>
      </c>
      <c r="S15" s="647">
        <v>86426</v>
      </c>
      <c r="T15" s="647">
        <f t="shared" ref="T15:U15" si="12">S15-1000</f>
        <v>85426</v>
      </c>
      <c r="U15" s="647">
        <f t="shared" si="12"/>
        <v>84426</v>
      </c>
      <c r="V15" s="647">
        <v>82000</v>
      </c>
      <c r="W15" s="647">
        <v>73302</v>
      </c>
      <c r="X15" s="647">
        <v>71226</v>
      </c>
      <c r="Y15" s="647">
        <v>70278</v>
      </c>
      <c r="Z15" s="647">
        <f>66000+1840</f>
        <v>67840</v>
      </c>
      <c r="AA15" s="647">
        <f>64518+615</f>
        <v>65133</v>
      </c>
      <c r="AB15" s="647">
        <v>64238</v>
      </c>
      <c r="AC15" s="647">
        <v>74412</v>
      </c>
      <c r="AD15" s="568">
        <v>74468</v>
      </c>
    </row>
    <row r="16" spans="1:33" x14ac:dyDescent="0.25">
      <c r="D16" s="521" t="s">
        <v>602</v>
      </c>
      <c r="E16" s="522">
        <v>0</v>
      </c>
      <c r="F16" s="590">
        <f>E16/E35</f>
        <v>0</v>
      </c>
      <c r="G16" s="607" t="s">
        <v>615</v>
      </c>
      <c r="H16" s="601">
        <f>E29-H26</f>
        <v>6303001</v>
      </c>
      <c r="I16" s="515">
        <f t="shared" si="8"/>
        <v>6.6979720386544012E-2</v>
      </c>
      <c r="K16" s="570" t="s">
        <v>609</v>
      </c>
      <c r="L16" s="571" t="str">
        <f>K16</f>
        <v xml:space="preserve">Mantenimiento </v>
      </c>
      <c r="M16" s="523">
        <f t="shared" si="6"/>
        <v>834649</v>
      </c>
      <c r="N16" s="647">
        <v>49097</v>
      </c>
      <c r="O16" s="647">
        <f>N16</f>
        <v>49097</v>
      </c>
      <c r="P16" s="647">
        <f t="shared" ref="P16:AD16" si="13">O16</f>
        <v>49097</v>
      </c>
      <c r="Q16" s="647">
        <f t="shared" si="13"/>
        <v>49097</v>
      </c>
      <c r="R16" s="647">
        <f t="shared" si="13"/>
        <v>49097</v>
      </c>
      <c r="S16" s="647">
        <f t="shared" si="13"/>
        <v>49097</v>
      </c>
      <c r="T16" s="647">
        <f t="shared" si="13"/>
        <v>49097</v>
      </c>
      <c r="U16" s="647">
        <f t="shared" si="13"/>
        <v>49097</v>
      </c>
      <c r="V16" s="647">
        <f t="shared" si="13"/>
        <v>49097</v>
      </c>
      <c r="W16" s="647">
        <f t="shared" si="13"/>
        <v>49097</v>
      </c>
      <c r="X16" s="647">
        <f t="shared" si="13"/>
        <v>49097</v>
      </c>
      <c r="Y16" s="647">
        <f t="shared" si="13"/>
        <v>49097</v>
      </c>
      <c r="Z16" s="647">
        <f t="shared" si="13"/>
        <v>49097</v>
      </c>
      <c r="AA16" s="647">
        <f t="shared" si="13"/>
        <v>49097</v>
      </c>
      <c r="AB16" s="647">
        <f t="shared" si="13"/>
        <v>49097</v>
      </c>
      <c r="AC16" s="647">
        <f t="shared" si="13"/>
        <v>49097</v>
      </c>
      <c r="AD16" s="568">
        <f t="shared" si="13"/>
        <v>49097</v>
      </c>
    </row>
    <row r="17" spans="1:30" ht="15.75" customHeight="1" x14ac:dyDescent="0.25">
      <c r="D17" s="586" t="s">
        <v>599</v>
      </c>
      <c r="E17" s="587">
        <f>11662680+35000</f>
        <v>11697680</v>
      </c>
      <c r="F17" s="591">
        <f>E17/E35</f>
        <v>0.12430703018629828</v>
      </c>
      <c r="G17" s="518"/>
      <c r="H17" s="598"/>
      <c r="I17" s="527"/>
      <c r="K17" s="570" t="s">
        <v>612</v>
      </c>
      <c r="L17" s="571" t="s">
        <v>588</v>
      </c>
      <c r="M17" s="523">
        <f t="shared" si="6"/>
        <v>0</v>
      </c>
      <c r="N17" s="647">
        <v>0</v>
      </c>
      <c r="O17" s="647">
        <v>0</v>
      </c>
      <c r="P17" s="647">
        <v>0</v>
      </c>
      <c r="Q17" s="647">
        <v>0</v>
      </c>
      <c r="R17" s="647">
        <v>0</v>
      </c>
      <c r="S17" s="647">
        <v>0</v>
      </c>
      <c r="T17" s="647">
        <v>0</v>
      </c>
      <c r="U17" s="647">
        <v>0</v>
      </c>
      <c r="V17" s="647">
        <v>0</v>
      </c>
      <c r="W17" s="647">
        <v>0</v>
      </c>
      <c r="X17" s="647">
        <v>0</v>
      </c>
      <c r="Y17" s="647">
        <v>0</v>
      </c>
      <c r="Z17" s="647">
        <v>0</v>
      </c>
      <c r="AA17" s="647">
        <v>0</v>
      </c>
      <c r="AB17" s="647">
        <v>0</v>
      </c>
      <c r="AC17" s="647">
        <v>0</v>
      </c>
      <c r="AD17" s="568">
        <v>0</v>
      </c>
    </row>
    <row r="18" spans="1:30" x14ac:dyDescent="0.25">
      <c r="D18" s="521" t="s">
        <v>607</v>
      </c>
      <c r="E18" s="522">
        <f>3852540+924+1308000+870+4689000+1490+1887000+1044+2327000+684+2040000+5268+1859461+3036+5093880+8148</f>
        <v>23078345</v>
      </c>
      <c r="F18" s="590">
        <f>E18/E35</f>
        <v>0.24524525620164048</v>
      </c>
      <c r="G18" s="509" t="s">
        <v>619</v>
      </c>
      <c r="H18" s="602">
        <f>H19</f>
        <v>18872869</v>
      </c>
      <c r="I18" s="511">
        <f>H18/$H$35</f>
        <v>0.20055517816225552</v>
      </c>
      <c r="K18" s="570" t="s">
        <v>614</v>
      </c>
      <c r="L18" s="571" t="str">
        <f>K18</f>
        <v>Empleados</v>
      </c>
      <c r="M18" s="523">
        <f t="shared" si="6"/>
        <v>1109760</v>
      </c>
      <c r="N18" s="647">
        <v>65280</v>
      </c>
      <c r="O18" s="647">
        <f>N18</f>
        <v>65280</v>
      </c>
      <c r="P18" s="647">
        <f t="shared" ref="P18:AD18" si="14">O18</f>
        <v>65280</v>
      </c>
      <c r="Q18" s="647">
        <f t="shared" si="14"/>
        <v>65280</v>
      </c>
      <c r="R18" s="647">
        <f t="shared" si="14"/>
        <v>65280</v>
      </c>
      <c r="S18" s="647">
        <f t="shared" si="14"/>
        <v>65280</v>
      </c>
      <c r="T18" s="647">
        <f t="shared" si="14"/>
        <v>65280</v>
      </c>
      <c r="U18" s="647">
        <f t="shared" si="14"/>
        <v>65280</v>
      </c>
      <c r="V18" s="647">
        <f t="shared" si="14"/>
        <v>65280</v>
      </c>
      <c r="W18" s="647">
        <f t="shared" si="14"/>
        <v>65280</v>
      </c>
      <c r="X18" s="647">
        <f t="shared" si="14"/>
        <v>65280</v>
      </c>
      <c r="Y18" s="647">
        <f t="shared" si="14"/>
        <v>65280</v>
      </c>
      <c r="Z18" s="647">
        <f t="shared" si="14"/>
        <v>65280</v>
      </c>
      <c r="AA18" s="647">
        <f t="shared" si="14"/>
        <v>65280</v>
      </c>
      <c r="AB18" s="647">
        <f t="shared" si="14"/>
        <v>65280</v>
      </c>
      <c r="AC18" s="647">
        <f t="shared" si="14"/>
        <v>65280</v>
      </c>
      <c r="AD18" s="568">
        <f t="shared" si="14"/>
        <v>65280</v>
      </c>
    </row>
    <row r="19" spans="1:30" x14ac:dyDescent="0.25">
      <c r="D19" s="521" t="s">
        <v>610</v>
      </c>
      <c r="E19" s="522">
        <f>1548000+660+2017000+1884</f>
        <v>3567544</v>
      </c>
      <c r="F19" s="590">
        <f>E19/E35</f>
        <v>3.79110045495301E-2</v>
      </c>
      <c r="G19" s="528" t="s">
        <v>618</v>
      </c>
      <c r="H19" s="603">
        <f>M20</f>
        <v>18872869</v>
      </c>
      <c r="I19" s="515">
        <f>H19/$H$35</f>
        <v>0.20055517816225552</v>
      </c>
      <c r="K19" s="570" t="s">
        <v>616</v>
      </c>
      <c r="L19" s="571" t="str">
        <f>K19</f>
        <v>Juveniles</v>
      </c>
      <c r="M19" s="523">
        <f t="shared" si="6"/>
        <v>340000</v>
      </c>
      <c r="N19" s="647">
        <v>20000</v>
      </c>
      <c r="O19" s="647">
        <f>N19</f>
        <v>20000</v>
      </c>
      <c r="P19" s="647">
        <f t="shared" ref="P19:AD19" si="15">O19</f>
        <v>20000</v>
      </c>
      <c r="Q19" s="647">
        <f t="shared" si="15"/>
        <v>20000</v>
      </c>
      <c r="R19" s="647">
        <f t="shared" si="15"/>
        <v>20000</v>
      </c>
      <c r="S19" s="647">
        <f t="shared" si="15"/>
        <v>20000</v>
      </c>
      <c r="T19" s="647">
        <f t="shared" si="15"/>
        <v>20000</v>
      </c>
      <c r="U19" s="647">
        <f t="shared" si="15"/>
        <v>20000</v>
      </c>
      <c r="V19" s="647">
        <f t="shared" si="15"/>
        <v>20000</v>
      </c>
      <c r="W19" s="647">
        <f t="shared" si="15"/>
        <v>20000</v>
      </c>
      <c r="X19" s="647">
        <f t="shared" si="15"/>
        <v>20000</v>
      </c>
      <c r="Y19" s="647">
        <f t="shared" si="15"/>
        <v>20000</v>
      </c>
      <c r="Z19" s="647">
        <f t="shared" si="15"/>
        <v>20000</v>
      </c>
      <c r="AA19" s="647">
        <f t="shared" si="15"/>
        <v>20000</v>
      </c>
      <c r="AB19" s="647">
        <f t="shared" si="15"/>
        <v>20000</v>
      </c>
      <c r="AC19" s="647">
        <f t="shared" si="15"/>
        <v>20000</v>
      </c>
      <c r="AD19" s="568">
        <f t="shared" si="15"/>
        <v>20000</v>
      </c>
    </row>
    <row r="20" spans="1:30" x14ac:dyDescent="0.25">
      <c r="D20" s="518"/>
      <c r="E20" s="592"/>
      <c r="F20" s="595"/>
      <c r="G20" s="524"/>
      <c r="H20" s="604"/>
      <c r="I20" s="529"/>
      <c r="K20" s="570" t="s">
        <v>617</v>
      </c>
      <c r="L20" s="571" t="s">
        <v>618</v>
      </c>
      <c r="M20" s="523">
        <f t="shared" si="6"/>
        <v>18872869</v>
      </c>
      <c r="N20" s="647">
        <f>1486140+2484</f>
        <v>1488624</v>
      </c>
      <c r="O20" s="647">
        <f>3600000+3132+2017000+1884</f>
        <v>5622016</v>
      </c>
      <c r="P20" s="647">
        <v>0</v>
      </c>
      <c r="Q20" s="647">
        <f t="shared" ref="Q20:AA20" si="16">P20</f>
        <v>0</v>
      </c>
      <c r="R20" s="647">
        <f t="shared" si="16"/>
        <v>0</v>
      </c>
      <c r="S20" s="647">
        <f t="shared" si="16"/>
        <v>0</v>
      </c>
      <c r="T20" s="647">
        <f t="shared" si="16"/>
        <v>0</v>
      </c>
      <c r="U20" s="647">
        <f t="shared" si="16"/>
        <v>0</v>
      </c>
      <c r="V20" s="647">
        <f t="shared" si="16"/>
        <v>0</v>
      </c>
      <c r="W20" s="647">
        <f t="shared" si="16"/>
        <v>0</v>
      </c>
      <c r="X20" s="647">
        <f t="shared" si="16"/>
        <v>0</v>
      </c>
      <c r="Y20" s="647">
        <f>2750000+2436</f>
        <v>2752436</v>
      </c>
      <c r="Z20" s="647">
        <v>0</v>
      </c>
      <c r="AA20" s="647">
        <f t="shared" si="16"/>
        <v>0</v>
      </c>
      <c r="AB20" s="647">
        <v>3907765</v>
      </c>
      <c r="AC20" s="647">
        <v>5102028</v>
      </c>
      <c r="AD20" s="568">
        <v>0</v>
      </c>
    </row>
    <row r="21" spans="1:30" x14ac:dyDescent="0.25">
      <c r="D21" s="509" t="s">
        <v>591</v>
      </c>
      <c r="E21" s="526">
        <f>E22</f>
        <v>14322704</v>
      </c>
      <c r="F21" s="589">
        <f>E21/E35</f>
        <v>0.15220221432603859</v>
      </c>
      <c r="G21" s="524"/>
      <c r="H21" s="604"/>
      <c r="I21" s="529"/>
      <c r="K21" s="697" t="s">
        <v>597</v>
      </c>
      <c r="L21" s="571" t="s">
        <v>592</v>
      </c>
      <c r="M21" s="523">
        <f t="shared" si="6"/>
        <v>0</v>
      </c>
      <c r="N21" s="647">
        <v>0</v>
      </c>
      <c r="O21" s="647">
        <f>N21</f>
        <v>0</v>
      </c>
      <c r="P21" s="647">
        <f t="shared" ref="P21:AD21" si="17">O21</f>
        <v>0</v>
      </c>
      <c r="Q21" s="647">
        <f t="shared" si="17"/>
        <v>0</v>
      </c>
      <c r="R21" s="647">
        <f t="shared" si="17"/>
        <v>0</v>
      </c>
      <c r="S21" s="647">
        <f t="shared" si="17"/>
        <v>0</v>
      </c>
      <c r="T21" s="647">
        <f t="shared" si="17"/>
        <v>0</v>
      </c>
      <c r="U21" s="647">
        <f t="shared" si="17"/>
        <v>0</v>
      </c>
      <c r="V21" s="647">
        <f t="shared" si="17"/>
        <v>0</v>
      </c>
      <c r="W21" s="647">
        <f t="shared" si="17"/>
        <v>0</v>
      </c>
      <c r="X21" s="647">
        <f t="shared" si="17"/>
        <v>0</v>
      </c>
      <c r="Y21" s="647">
        <f t="shared" si="17"/>
        <v>0</v>
      </c>
      <c r="Z21" s="647">
        <f t="shared" si="17"/>
        <v>0</v>
      </c>
      <c r="AA21" s="647">
        <f t="shared" si="17"/>
        <v>0</v>
      </c>
      <c r="AB21" s="647">
        <f t="shared" si="17"/>
        <v>0</v>
      </c>
      <c r="AC21" s="647">
        <f t="shared" si="17"/>
        <v>0</v>
      </c>
      <c r="AD21" s="568">
        <f t="shared" si="17"/>
        <v>0</v>
      </c>
    </row>
    <row r="22" spans="1:30" x14ac:dyDescent="0.25">
      <c r="D22" s="521" t="s">
        <v>591</v>
      </c>
      <c r="E22" s="522">
        <f>M8+M9</f>
        <v>14322704</v>
      </c>
      <c r="F22" s="590">
        <f>E22/E35</f>
        <v>0.15220221432603859</v>
      </c>
      <c r="G22" s="509" t="s">
        <v>623</v>
      </c>
      <c r="H22" s="599">
        <f>SUM(H23:H24)</f>
        <v>0</v>
      </c>
      <c r="I22" s="511">
        <f>H22/$H$35</f>
        <v>0</v>
      </c>
      <c r="K22" s="698"/>
      <c r="L22" s="571" t="s">
        <v>620</v>
      </c>
      <c r="M22" s="523">
        <f t="shared" si="6"/>
        <v>89000</v>
      </c>
      <c r="N22" s="647">
        <v>12000</v>
      </c>
      <c r="O22" s="647">
        <v>3000</v>
      </c>
      <c r="P22" s="647">
        <v>0</v>
      </c>
      <c r="Q22" s="647">
        <v>0</v>
      </c>
      <c r="R22" s="647">
        <v>3000</v>
      </c>
      <c r="S22" s="647">
        <f t="shared" ref="S22" si="18">R22</f>
        <v>3000</v>
      </c>
      <c r="T22" s="647">
        <v>0</v>
      </c>
      <c r="U22" s="647">
        <v>0</v>
      </c>
      <c r="V22" s="647">
        <v>6000</v>
      </c>
      <c r="W22" s="647">
        <v>4000</v>
      </c>
      <c r="X22" s="647">
        <v>7000</v>
      </c>
      <c r="Y22" s="647">
        <v>8000</v>
      </c>
      <c r="Z22" s="647">
        <v>6000</v>
      </c>
      <c r="AA22" s="647">
        <v>7000</v>
      </c>
      <c r="AB22" s="647">
        <v>7000</v>
      </c>
      <c r="AC22" s="647">
        <v>12000</v>
      </c>
      <c r="AD22" s="568">
        <v>11000</v>
      </c>
    </row>
    <row r="23" spans="1:30" ht="18.75" x14ac:dyDescent="0.3">
      <c r="C23" s="531"/>
      <c r="D23" s="518"/>
      <c r="E23" s="592"/>
      <c r="F23" s="595"/>
      <c r="G23" s="528" t="s">
        <v>588</v>
      </c>
      <c r="H23" s="605">
        <f>M17</f>
        <v>0</v>
      </c>
      <c r="I23" s="515">
        <f>H23/$H$35</f>
        <v>0</v>
      </c>
      <c r="K23" s="699"/>
      <c r="L23" s="571" t="s">
        <v>637</v>
      </c>
      <c r="M23" s="523">
        <f t="shared" si="6"/>
        <v>513593</v>
      </c>
      <c r="N23" s="647">
        <v>0</v>
      </c>
      <c r="O23" s="647">
        <f>N23</f>
        <v>0</v>
      </c>
      <c r="P23" s="647">
        <f t="shared" ref="P23:AD24" si="19">O23</f>
        <v>0</v>
      </c>
      <c r="Q23" s="647">
        <f t="shared" si="19"/>
        <v>0</v>
      </c>
      <c r="R23" s="647">
        <f t="shared" si="19"/>
        <v>0</v>
      </c>
      <c r="S23" s="647">
        <f t="shared" si="19"/>
        <v>0</v>
      </c>
      <c r="T23" s="647">
        <f t="shared" si="19"/>
        <v>0</v>
      </c>
      <c r="U23" s="647">
        <f t="shared" si="19"/>
        <v>0</v>
      </c>
      <c r="V23" s="647">
        <f t="shared" si="19"/>
        <v>0</v>
      </c>
      <c r="W23" s="647">
        <f t="shared" si="19"/>
        <v>0</v>
      </c>
      <c r="X23" s="647">
        <f t="shared" si="19"/>
        <v>0</v>
      </c>
      <c r="Y23" s="647">
        <f t="shared" si="19"/>
        <v>0</v>
      </c>
      <c r="Z23" s="647">
        <f t="shared" si="19"/>
        <v>0</v>
      </c>
      <c r="AA23" s="647">
        <f t="shared" si="19"/>
        <v>0</v>
      </c>
      <c r="AB23" s="647">
        <v>513593</v>
      </c>
      <c r="AC23" s="647">
        <v>0</v>
      </c>
      <c r="AD23" s="568">
        <v>0</v>
      </c>
    </row>
    <row r="24" spans="1:30" ht="18.75" x14ac:dyDescent="0.3">
      <c r="A24" s="532" t="str">
        <f t="shared" ref="A24:A31" si="20">L15</f>
        <v>Sueldos</v>
      </c>
      <c r="B24" s="533">
        <f t="shared" ref="B24:B31" si="21">M15/$M$25</f>
        <v>5.7100895655462627E-2</v>
      </c>
      <c r="C24" s="504"/>
      <c r="D24" s="509" t="s">
        <v>642</v>
      </c>
      <c r="E24" s="510">
        <f>E25+E26+E27</f>
        <v>19637656</v>
      </c>
      <c r="F24" s="589">
        <f>E24/E35</f>
        <v>0.20868229402583602</v>
      </c>
      <c r="G24" s="528" t="s">
        <v>592</v>
      </c>
      <c r="H24" s="605">
        <f>M21</f>
        <v>0</v>
      </c>
      <c r="I24" s="515">
        <f>H24/$H$35</f>
        <v>0</v>
      </c>
      <c r="K24" s="570" t="s">
        <v>621</v>
      </c>
      <c r="L24" s="571" t="str">
        <f>K24</f>
        <v>Intereses</v>
      </c>
      <c r="M24" s="523">
        <f t="shared" si="6"/>
        <v>0</v>
      </c>
      <c r="N24" s="647">
        <v>0</v>
      </c>
      <c r="O24" s="647">
        <f t="shared" ref="O24" si="22">N24</f>
        <v>0</v>
      </c>
      <c r="P24" s="647">
        <f t="shared" si="19"/>
        <v>0</v>
      </c>
      <c r="Q24" s="647">
        <f t="shared" si="19"/>
        <v>0</v>
      </c>
      <c r="R24" s="647">
        <f t="shared" si="19"/>
        <v>0</v>
      </c>
      <c r="S24" s="647">
        <f t="shared" si="19"/>
        <v>0</v>
      </c>
      <c r="T24" s="568">
        <f t="shared" si="19"/>
        <v>0</v>
      </c>
      <c r="U24" s="568">
        <f t="shared" si="19"/>
        <v>0</v>
      </c>
      <c r="V24" s="568">
        <f t="shared" si="19"/>
        <v>0</v>
      </c>
      <c r="W24" s="568">
        <f t="shared" si="19"/>
        <v>0</v>
      </c>
      <c r="X24" s="647">
        <f t="shared" si="19"/>
        <v>0</v>
      </c>
      <c r="Y24" s="647">
        <f t="shared" si="19"/>
        <v>0</v>
      </c>
      <c r="Z24" s="647">
        <f t="shared" si="19"/>
        <v>0</v>
      </c>
      <c r="AA24" s="647">
        <f t="shared" si="19"/>
        <v>0</v>
      </c>
      <c r="AB24" s="647">
        <f t="shared" si="19"/>
        <v>0</v>
      </c>
      <c r="AC24" s="647">
        <f t="shared" si="19"/>
        <v>0</v>
      </c>
      <c r="AD24" s="568">
        <f t="shared" si="19"/>
        <v>0</v>
      </c>
    </row>
    <row r="25" spans="1:30" ht="18.75" x14ac:dyDescent="0.3">
      <c r="A25" s="532" t="str">
        <f t="shared" si="20"/>
        <v xml:space="preserve">Mantenimiento </v>
      </c>
      <c r="B25" s="533">
        <f t="shared" si="21"/>
        <v>3.616702482023279E-2</v>
      </c>
      <c r="C25" s="491"/>
      <c r="D25" s="544" t="s">
        <v>644</v>
      </c>
      <c r="E25" s="545">
        <f>N5</f>
        <v>12151249</v>
      </c>
      <c r="F25" s="590">
        <f>E25/E35</f>
        <v>0.12912694450901605</v>
      </c>
      <c r="G25" s="538"/>
      <c r="H25" s="606"/>
      <c r="I25" s="539"/>
      <c r="K25" s="572" t="s">
        <v>622</v>
      </c>
      <c r="L25" s="573"/>
      <c r="M25" s="530">
        <f t="shared" si="6"/>
        <v>23077624</v>
      </c>
      <c r="N25" s="569">
        <f>SUM(N15:N24)</f>
        <v>1717665</v>
      </c>
      <c r="O25" s="569">
        <f t="shared" ref="O25:AD25" si="23">SUM(O15:O24)</f>
        <v>5839259</v>
      </c>
      <c r="P25" s="569">
        <f t="shared" si="23"/>
        <v>219549</v>
      </c>
      <c r="Q25" s="569">
        <f t="shared" si="23"/>
        <v>219259</v>
      </c>
      <c r="R25" s="569">
        <f t="shared" si="23"/>
        <v>223371</v>
      </c>
      <c r="S25" s="569">
        <f t="shared" si="23"/>
        <v>223803</v>
      </c>
      <c r="T25" s="569">
        <f t="shared" si="23"/>
        <v>219803</v>
      </c>
      <c r="U25" s="569">
        <f t="shared" si="23"/>
        <v>218803</v>
      </c>
      <c r="V25" s="569">
        <f t="shared" si="23"/>
        <v>222377</v>
      </c>
      <c r="W25" s="569">
        <f t="shared" si="23"/>
        <v>211679</v>
      </c>
      <c r="X25" s="569">
        <f t="shared" si="23"/>
        <v>212603</v>
      </c>
      <c r="Y25" s="569">
        <f t="shared" si="23"/>
        <v>2965091</v>
      </c>
      <c r="Z25" s="657">
        <f t="shared" si="23"/>
        <v>208217</v>
      </c>
      <c r="AA25" s="657">
        <f t="shared" si="23"/>
        <v>206510</v>
      </c>
      <c r="AB25" s="657">
        <f t="shared" si="23"/>
        <v>4626973</v>
      </c>
      <c r="AC25" s="657">
        <f t="shared" si="23"/>
        <v>5322817</v>
      </c>
      <c r="AD25" s="569">
        <f t="shared" si="23"/>
        <v>219845</v>
      </c>
    </row>
    <row r="26" spans="1:30" ht="18.75" x14ac:dyDescent="0.3">
      <c r="A26" s="532" t="str">
        <f t="shared" si="20"/>
        <v>Estadio</v>
      </c>
      <c r="B26" s="533">
        <f t="shared" si="21"/>
        <v>0</v>
      </c>
      <c r="C26" s="499"/>
      <c r="D26" s="544" t="str">
        <f>D12</f>
        <v>Ing Reservas</v>
      </c>
      <c r="E26" s="545">
        <f>M13</f>
        <v>8000000</v>
      </c>
      <c r="F26" s="590">
        <f>E26/E35</f>
        <v>8.501311725832697E-2</v>
      </c>
      <c r="G26" s="509" t="s">
        <v>626</v>
      </c>
      <c r="H26" s="599">
        <f>SUM(H27:H32)</f>
        <v>3691162</v>
      </c>
      <c r="I26" s="511">
        <f t="shared" ref="I26:I32" si="24">H26/$H$35</f>
        <v>3.9224648490685084E-2</v>
      </c>
      <c r="K26" s="534" t="s">
        <v>624</v>
      </c>
      <c r="L26" s="534"/>
      <c r="M26" s="503">
        <f t="shared" ref="M26:AD26" si="25">M5+M14-M25</f>
        <v>21390492</v>
      </c>
      <c r="N26" s="503">
        <f t="shared" si="25"/>
        <v>16853431</v>
      </c>
      <c r="O26" s="503">
        <f t="shared" si="25"/>
        <v>11755916</v>
      </c>
      <c r="P26" s="503">
        <f t="shared" si="25"/>
        <v>12415332</v>
      </c>
      <c r="Q26" s="503">
        <f t="shared" si="25"/>
        <v>13710711</v>
      </c>
      <c r="R26" s="503">
        <f t="shared" si="25"/>
        <v>14306291</v>
      </c>
      <c r="S26" s="503">
        <f t="shared" si="25"/>
        <v>16625519</v>
      </c>
      <c r="T26" s="503">
        <f t="shared" si="25"/>
        <v>17494225</v>
      </c>
      <c r="U26" s="503">
        <f t="shared" si="25"/>
        <v>18095097</v>
      </c>
      <c r="V26" s="503">
        <f t="shared" si="25"/>
        <v>19111395</v>
      </c>
      <c r="W26" s="503">
        <f t="shared" si="25"/>
        <v>19795165</v>
      </c>
      <c r="X26" s="503">
        <f t="shared" si="25"/>
        <v>22086424</v>
      </c>
      <c r="Y26" s="503">
        <f t="shared" si="25"/>
        <v>19890687</v>
      </c>
      <c r="Z26" s="658">
        <f t="shared" si="25"/>
        <v>24708589</v>
      </c>
      <c r="AA26" s="658">
        <f t="shared" si="25"/>
        <v>25679641</v>
      </c>
      <c r="AB26" s="658">
        <f t="shared" si="25"/>
        <v>21403306</v>
      </c>
      <c r="AC26" s="658">
        <f t="shared" si="25"/>
        <v>20568388</v>
      </c>
      <c r="AD26" s="503">
        <f t="shared" si="25"/>
        <v>21390492</v>
      </c>
    </row>
    <row r="27" spans="1:30" x14ac:dyDescent="0.25">
      <c r="A27" s="532" t="str">
        <f t="shared" si="20"/>
        <v>Empleados</v>
      </c>
      <c r="B27" s="533">
        <f t="shared" si="21"/>
        <v>4.8088139402912539E-2</v>
      </c>
      <c r="C27" s="496"/>
      <c r="D27" s="544" t="str">
        <f>D13</f>
        <v>Pago Reservas</v>
      </c>
      <c r="E27" s="545">
        <f>M23*-1</f>
        <v>-513593</v>
      </c>
      <c r="F27" s="590">
        <f>E27/E35</f>
        <v>-5.45776774150699E-3</v>
      </c>
      <c r="G27" s="528" t="s">
        <v>628</v>
      </c>
      <c r="H27" s="605">
        <f>M15</f>
        <v>1317753</v>
      </c>
      <c r="I27" s="515">
        <f t="shared" si="24"/>
        <v>1.4003286288314017E-2</v>
      </c>
      <c r="K27" s="535"/>
      <c r="L27" s="535"/>
      <c r="M27" s="535"/>
      <c r="N27" s="536">
        <f>N1+7</f>
        <v>43644</v>
      </c>
      <c r="O27" s="536">
        <f t="shared" ref="O27:AD27" si="26">N27+7</f>
        <v>43651</v>
      </c>
      <c r="P27" s="536">
        <f t="shared" si="26"/>
        <v>43658</v>
      </c>
      <c r="Q27" s="536">
        <f t="shared" si="26"/>
        <v>43665</v>
      </c>
      <c r="R27" s="536">
        <f t="shared" si="26"/>
        <v>43672</v>
      </c>
      <c r="S27" s="536">
        <f t="shared" si="26"/>
        <v>43679</v>
      </c>
      <c r="T27" s="536">
        <f t="shared" si="26"/>
        <v>43686</v>
      </c>
      <c r="U27" s="536">
        <f t="shared" si="26"/>
        <v>43693</v>
      </c>
      <c r="V27" s="536">
        <f t="shared" si="26"/>
        <v>43700</v>
      </c>
      <c r="W27" s="536">
        <f t="shared" si="26"/>
        <v>43707</v>
      </c>
      <c r="X27" s="536">
        <f t="shared" si="26"/>
        <v>43714</v>
      </c>
      <c r="Y27" s="536">
        <f t="shared" si="26"/>
        <v>43721</v>
      </c>
      <c r="Z27" s="659">
        <f t="shared" si="26"/>
        <v>43728</v>
      </c>
      <c r="AA27" s="659">
        <f t="shared" si="26"/>
        <v>43735</v>
      </c>
      <c r="AB27" s="659">
        <f t="shared" si="26"/>
        <v>43742</v>
      </c>
      <c r="AC27" s="659">
        <f t="shared" si="26"/>
        <v>43749</v>
      </c>
      <c r="AD27" s="536">
        <f t="shared" si="26"/>
        <v>43756</v>
      </c>
    </row>
    <row r="28" spans="1:30" x14ac:dyDescent="0.25">
      <c r="A28" s="532" t="str">
        <f t="shared" si="20"/>
        <v>Juveniles</v>
      </c>
      <c r="B28" s="533">
        <f t="shared" si="21"/>
        <v>1.4732885846480557E-2</v>
      </c>
      <c r="C28" s="499"/>
      <c r="D28" s="524"/>
      <c r="E28" s="525"/>
      <c r="F28" s="590"/>
      <c r="G28" s="528" t="s">
        <v>609</v>
      </c>
      <c r="H28" s="605">
        <f>M16</f>
        <v>834649</v>
      </c>
      <c r="I28" s="515">
        <f t="shared" si="24"/>
        <v>8.8695141633181682E-3</v>
      </c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660"/>
      <c r="AA28" s="660"/>
      <c r="AB28" s="537"/>
      <c r="AC28" s="537"/>
      <c r="AD28" s="537"/>
    </row>
    <row r="29" spans="1:30" x14ac:dyDescent="0.25">
      <c r="A29" s="532" t="str">
        <f t="shared" si="20"/>
        <v>Compra</v>
      </c>
      <c r="B29" s="533">
        <f t="shared" si="21"/>
        <v>0.81779948403700486</v>
      </c>
      <c r="D29" s="509" t="s">
        <v>625</v>
      </c>
      <c r="E29" s="510">
        <f>SUM(E30:E34)</f>
        <v>9994163</v>
      </c>
      <c r="F29" s="589">
        <f>E29/E35</f>
        <v>0.1062043688772291</v>
      </c>
      <c r="G29" s="528" t="s">
        <v>614</v>
      </c>
      <c r="H29" s="605">
        <f>M18</f>
        <v>1109760</v>
      </c>
      <c r="I29" s="515">
        <f t="shared" si="24"/>
        <v>1.1793019626075117E-2</v>
      </c>
      <c r="K29" s="540"/>
      <c r="L29" s="540"/>
      <c r="M29" s="541" t="s">
        <v>599</v>
      </c>
      <c r="N29" s="542"/>
      <c r="O29" s="542">
        <v>22</v>
      </c>
      <c r="P29" s="542">
        <v>25</v>
      </c>
      <c r="Q29" s="542">
        <v>24</v>
      </c>
      <c r="R29" s="542">
        <v>25</v>
      </c>
      <c r="S29" s="542">
        <v>24</v>
      </c>
      <c r="T29" s="542"/>
      <c r="U29" s="542"/>
      <c r="V29" s="542"/>
      <c r="W29" s="542"/>
      <c r="X29" s="542"/>
      <c r="Y29" s="542">
        <v>22</v>
      </c>
      <c r="Z29" s="661"/>
      <c r="AA29" s="661"/>
      <c r="AB29" s="542"/>
      <c r="AC29" s="542"/>
      <c r="AD29" s="542">
        <v>21</v>
      </c>
    </row>
    <row r="30" spans="1:30" x14ac:dyDescent="0.25">
      <c r="A30" s="532" t="str">
        <f t="shared" si="20"/>
        <v>Entrenador</v>
      </c>
      <c r="B30" s="533">
        <f t="shared" si="21"/>
        <v>0</v>
      </c>
      <c r="D30" s="544" t="s">
        <v>580</v>
      </c>
      <c r="E30" s="545">
        <f>M11</f>
        <v>194700</v>
      </c>
      <c r="F30" s="590">
        <f>E30/E35</f>
        <v>2.0690067412745326E-3</v>
      </c>
      <c r="G30" s="528" t="s">
        <v>616</v>
      </c>
      <c r="H30" s="605">
        <f>M19</f>
        <v>340000</v>
      </c>
      <c r="I30" s="515">
        <f t="shared" si="24"/>
        <v>3.6130574834788961E-3</v>
      </c>
      <c r="K30" s="488"/>
      <c r="L30" s="700" t="s">
        <v>627</v>
      </c>
      <c r="M30" s="543" t="s">
        <v>73</v>
      </c>
      <c r="N30" s="542"/>
      <c r="O30" s="542">
        <v>345970</v>
      </c>
      <c r="P30" s="542">
        <v>414040</v>
      </c>
      <c r="Q30" s="542">
        <v>409350</v>
      </c>
      <c r="R30" s="542">
        <v>405290</v>
      </c>
      <c r="S30" s="542">
        <v>401840</v>
      </c>
      <c r="T30" s="542"/>
      <c r="U30" s="542"/>
      <c r="V30" s="542"/>
      <c r="W30" s="542"/>
      <c r="X30" s="542"/>
      <c r="Y30" s="542">
        <v>384850</v>
      </c>
      <c r="Z30" s="661"/>
      <c r="AA30" s="661"/>
      <c r="AB30" s="542"/>
      <c r="AC30" s="542"/>
      <c r="AD30" s="542">
        <v>430160</v>
      </c>
    </row>
    <row r="31" spans="1:30" x14ac:dyDescent="0.25">
      <c r="A31" s="532" t="str">
        <f t="shared" si="20"/>
        <v>Viajes+Venta</v>
      </c>
      <c r="B31" s="533">
        <f t="shared" si="21"/>
        <v>3.8565495304022633E-3</v>
      </c>
      <c r="D31" s="544" t="s">
        <v>601</v>
      </c>
      <c r="E31" s="545">
        <f>M12</f>
        <v>1215000</v>
      </c>
      <c r="F31" s="590">
        <f>E31/E35</f>
        <v>1.2911367183608408E-2</v>
      </c>
      <c r="G31" s="528" t="s">
        <v>620</v>
      </c>
      <c r="H31" s="605">
        <f>M22</f>
        <v>89000</v>
      </c>
      <c r="I31" s="515">
        <f t="shared" si="24"/>
        <v>9.4577092949888755E-4</v>
      </c>
      <c r="K31" s="488"/>
      <c r="L31" s="700"/>
      <c r="M31" s="543" t="s">
        <v>65</v>
      </c>
      <c r="N31" s="542"/>
      <c r="O31" s="542">
        <v>79566</v>
      </c>
      <c r="P31" s="542">
        <v>84872</v>
      </c>
      <c r="Q31" s="542">
        <v>85038</v>
      </c>
      <c r="R31" s="542">
        <v>86476</v>
      </c>
      <c r="S31" s="542">
        <v>86476</v>
      </c>
      <c r="T31" s="542"/>
      <c r="U31" s="542"/>
      <c r="V31" s="542"/>
      <c r="W31" s="542"/>
      <c r="X31" s="542"/>
      <c r="Y31" s="542">
        <v>70794</v>
      </c>
      <c r="Z31" s="661"/>
      <c r="AA31" s="661"/>
      <c r="AB31" s="542"/>
      <c r="AC31" s="542"/>
      <c r="AD31" s="542">
        <v>73878</v>
      </c>
    </row>
    <row r="32" spans="1:30" x14ac:dyDescent="0.25">
      <c r="A32" s="532" t="str">
        <f>L24</f>
        <v>Intereses</v>
      </c>
      <c r="B32" s="533">
        <f>M24/$M$25</f>
        <v>0</v>
      </c>
      <c r="D32" s="544" t="s">
        <v>584</v>
      </c>
      <c r="E32" s="545">
        <f>M6</f>
        <v>3664610</v>
      </c>
      <c r="F32" s="590">
        <f>E32/E35</f>
        <v>3.8942489954504701E-2</v>
      </c>
      <c r="G32" s="528" t="s">
        <v>621</v>
      </c>
      <c r="H32" s="605">
        <f>M24</f>
        <v>0</v>
      </c>
      <c r="I32" s="515">
        <f t="shared" si="24"/>
        <v>0</v>
      </c>
      <c r="K32" s="488"/>
      <c r="L32" s="700"/>
      <c r="M32" s="543" t="s">
        <v>629</v>
      </c>
      <c r="N32" s="542"/>
      <c r="O32" s="542">
        <v>280250</v>
      </c>
      <c r="P32" s="542">
        <v>325260</v>
      </c>
      <c r="Q32" s="542">
        <v>321450</v>
      </c>
      <c r="R32" s="542">
        <v>315120</v>
      </c>
      <c r="S32" s="542">
        <v>307290</v>
      </c>
      <c r="T32" s="542"/>
      <c r="U32" s="542"/>
      <c r="V32" s="542"/>
      <c r="W32" s="542"/>
      <c r="X32" s="542"/>
      <c r="Y32" s="542">
        <v>304820</v>
      </c>
      <c r="Z32" s="661"/>
      <c r="AA32" s="661"/>
      <c r="AB32" s="542"/>
      <c r="AC32" s="542"/>
      <c r="AD32" s="542">
        <v>348580</v>
      </c>
    </row>
    <row r="33" spans="1:30" ht="18.75" x14ac:dyDescent="0.3">
      <c r="A33" s="499"/>
      <c r="B33" s="547">
        <f>SUM(B24:B32)</f>
        <v>0.9777449792924956</v>
      </c>
      <c r="D33" s="544" t="s">
        <v>587</v>
      </c>
      <c r="E33" s="545">
        <f>M7</f>
        <v>4298979</v>
      </c>
      <c r="F33" s="590">
        <f>E33/E35</f>
        <v>4.5683700727260648E-2</v>
      </c>
      <c r="G33" s="524"/>
      <c r="H33" s="604"/>
      <c r="I33" s="529"/>
      <c r="K33" s="488"/>
      <c r="L33" s="700"/>
      <c r="M33" s="543" t="s">
        <v>630</v>
      </c>
      <c r="N33" s="542"/>
      <c r="O33" s="542">
        <v>65410</v>
      </c>
      <c r="P33" s="542">
        <v>60046</v>
      </c>
      <c r="Q33" s="542">
        <v>58040</v>
      </c>
      <c r="R33" s="542">
        <v>59634</v>
      </c>
      <c r="S33" s="542">
        <v>58794</v>
      </c>
      <c r="T33" s="542"/>
      <c r="U33" s="542"/>
      <c r="V33" s="542"/>
      <c r="W33" s="542"/>
      <c r="X33" s="542"/>
      <c r="Y33" s="542">
        <v>52440</v>
      </c>
      <c r="Z33" s="661"/>
      <c r="AA33" s="661"/>
      <c r="AB33" s="542"/>
      <c r="AC33" s="542"/>
      <c r="AD33" s="542">
        <v>50018</v>
      </c>
    </row>
    <row r="34" spans="1:30" ht="18.75" x14ac:dyDescent="0.3">
      <c r="A34" s="496"/>
      <c r="B34" s="549"/>
      <c r="D34" s="593" t="s">
        <v>596</v>
      </c>
      <c r="E34" s="594">
        <f>M10</f>
        <v>620874</v>
      </c>
      <c r="F34" s="590">
        <f>E34/E35</f>
        <v>6.5978042705808126E-3</v>
      </c>
      <c r="G34" s="610"/>
      <c r="H34" s="611"/>
      <c r="I34" s="609"/>
      <c r="K34" s="488"/>
      <c r="L34" s="700"/>
      <c r="M34" s="543" t="s">
        <v>631</v>
      </c>
      <c r="N34" s="546"/>
      <c r="O34" s="546" t="s">
        <v>640</v>
      </c>
      <c r="P34" s="546" t="s">
        <v>646</v>
      </c>
      <c r="Q34" s="546" t="s">
        <v>650</v>
      </c>
      <c r="R34" s="546" t="s">
        <v>653</v>
      </c>
      <c r="S34" s="546" t="s">
        <v>663</v>
      </c>
      <c r="T34" s="546"/>
      <c r="U34" s="546"/>
      <c r="V34" s="546"/>
      <c r="W34" s="546"/>
      <c r="X34" s="546"/>
      <c r="Y34" s="546" t="s">
        <v>668</v>
      </c>
      <c r="Z34" s="662"/>
      <c r="AA34" s="662"/>
      <c r="AB34" s="546"/>
      <c r="AC34" s="546"/>
      <c r="AD34" s="546" t="s">
        <v>678</v>
      </c>
    </row>
    <row r="35" spans="1:30" ht="18.75" x14ac:dyDescent="0.3">
      <c r="A35" s="701">
        <f>M25</f>
        <v>23077624</v>
      </c>
      <c r="B35" s="701"/>
      <c r="D35" s="596" t="s">
        <v>27</v>
      </c>
      <c r="E35" s="597">
        <f>E29+E21+E15+E5+E10+E24</f>
        <v>94103125</v>
      </c>
      <c r="F35" s="550">
        <f>F29+F21+F15+F5+F10+F24</f>
        <v>0.99999999999999989</v>
      </c>
      <c r="G35" s="596" t="s">
        <v>27</v>
      </c>
      <c r="H35" s="597">
        <f>H26+H18+H10+H5+H22</f>
        <v>94103125</v>
      </c>
      <c r="I35" s="608">
        <f>H35/$H$35</f>
        <v>1</v>
      </c>
      <c r="K35" s="488"/>
      <c r="L35" s="700"/>
      <c r="M35" s="543" t="s">
        <v>632</v>
      </c>
      <c r="N35" s="548"/>
      <c r="O35" s="548">
        <v>5.5</v>
      </c>
      <c r="P35" s="548">
        <v>5.75</v>
      </c>
      <c r="Q35" s="548">
        <v>5.5</v>
      </c>
      <c r="R35" s="548">
        <v>5.5</v>
      </c>
      <c r="S35" s="548">
        <v>5.25</v>
      </c>
      <c r="T35" s="548"/>
      <c r="U35" s="548"/>
      <c r="V35" s="548"/>
      <c r="W35" s="548"/>
      <c r="X35" s="548"/>
      <c r="Y35" s="548">
        <v>5</v>
      </c>
      <c r="Z35" s="663"/>
      <c r="AA35" s="663"/>
      <c r="AB35" s="548"/>
      <c r="AC35" s="548"/>
      <c r="AD35" s="548">
        <v>5.5</v>
      </c>
    </row>
    <row r="36" spans="1:30" x14ac:dyDescent="0.25">
      <c r="E36" s="490"/>
      <c r="F36" s="551"/>
      <c r="G36" s="552"/>
      <c r="H36" s="553">
        <f>E35-H35</f>
        <v>0</v>
      </c>
      <c r="I36" s="490"/>
      <c r="K36" s="499"/>
      <c r="L36" s="700"/>
      <c r="M36" s="543" t="s">
        <v>633</v>
      </c>
      <c r="N36" s="548"/>
      <c r="O36" s="548">
        <v>5.5</v>
      </c>
      <c r="P36" s="548">
        <v>6</v>
      </c>
      <c r="Q36" s="548">
        <v>6.25</v>
      </c>
      <c r="R36" s="548">
        <v>6</v>
      </c>
      <c r="S36" s="548">
        <v>5.75</v>
      </c>
      <c r="T36" s="548"/>
      <c r="U36" s="548"/>
      <c r="V36" s="548"/>
      <c r="W36" s="548"/>
      <c r="X36" s="548"/>
      <c r="Y36" s="548">
        <v>5.5</v>
      </c>
      <c r="Z36" s="663"/>
      <c r="AA36" s="663"/>
      <c r="AB36" s="548"/>
      <c r="AC36" s="548"/>
      <c r="AD36" s="548">
        <v>6</v>
      </c>
    </row>
    <row r="37" spans="1:30" x14ac:dyDescent="0.25">
      <c r="E37" s="490"/>
      <c r="F37" s="490"/>
      <c r="H37" s="490"/>
      <c r="I37" s="490"/>
      <c r="K37" s="499"/>
      <c r="L37" s="700"/>
      <c r="M37" s="543" t="s">
        <v>634</v>
      </c>
      <c r="N37" s="548"/>
      <c r="O37" s="548">
        <v>11.75</v>
      </c>
      <c r="P37" s="548">
        <v>10.75</v>
      </c>
      <c r="Q37" s="548">
        <v>9.5</v>
      </c>
      <c r="R37" s="548">
        <v>9.75</v>
      </c>
      <c r="S37" s="548">
        <v>9.25</v>
      </c>
      <c r="T37" s="548"/>
      <c r="U37" s="548"/>
      <c r="V37" s="548"/>
      <c r="W37" s="548"/>
      <c r="X37" s="548"/>
      <c r="Y37" s="548">
        <v>8.25</v>
      </c>
      <c r="Z37" s="663"/>
      <c r="AA37" s="663"/>
      <c r="AB37" s="548"/>
      <c r="AC37" s="548"/>
      <c r="AD37" s="548">
        <v>5.25</v>
      </c>
    </row>
    <row r="38" spans="1:30" ht="15.75" x14ac:dyDescent="0.25">
      <c r="D38" s="556"/>
      <c r="E38" s="557"/>
      <c r="F38" s="490"/>
      <c r="G38" s="2"/>
      <c r="H38" s="558"/>
      <c r="I38" s="558"/>
      <c r="K38" s="499"/>
      <c r="L38" s="499"/>
      <c r="M38" s="554" t="s">
        <v>635</v>
      </c>
      <c r="N38" s="555"/>
      <c r="O38" s="555">
        <f t="shared" ref="O38:AD38" si="27">O30/O31</f>
        <v>4.3482140612824569</v>
      </c>
      <c r="P38" s="555">
        <f t="shared" si="27"/>
        <v>4.8784051277217459</v>
      </c>
      <c r="Q38" s="555">
        <f t="shared" si="27"/>
        <v>4.8137303323220211</v>
      </c>
      <c r="R38" s="555">
        <f t="shared" si="27"/>
        <v>4.6867338914843426</v>
      </c>
      <c r="S38" s="555">
        <f t="shared" si="27"/>
        <v>4.6468384291595353</v>
      </c>
      <c r="T38" s="555" t="e">
        <f t="shared" si="27"/>
        <v>#DIV/0!</v>
      </c>
      <c r="U38" s="555" t="e">
        <f t="shared" si="27"/>
        <v>#DIV/0!</v>
      </c>
      <c r="V38" s="555" t="e">
        <f t="shared" si="27"/>
        <v>#DIV/0!</v>
      </c>
      <c r="W38" s="555" t="e">
        <f t="shared" si="27"/>
        <v>#DIV/0!</v>
      </c>
      <c r="X38" s="555" t="e">
        <f t="shared" si="27"/>
        <v>#DIV/0!</v>
      </c>
      <c r="Y38" s="555">
        <f t="shared" si="27"/>
        <v>5.4361951577817331</v>
      </c>
      <c r="Z38" s="664" t="e">
        <f t="shared" si="27"/>
        <v>#DIV/0!</v>
      </c>
      <c r="AA38" s="664" t="e">
        <f t="shared" si="27"/>
        <v>#DIV/0!</v>
      </c>
      <c r="AB38" s="555" t="e">
        <f t="shared" si="27"/>
        <v>#DIV/0!</v>
      </c>
      <c r="AC38" s="555" t="e">
        <f t="shared" si="27"/>
        <v>#DIV/0!</v>
      </c>
      <c r="AD38" s="555">
        <f t="shared" si="27"/>
        <v>5.8225723490078236</v>
      </c>
    </row>
    <row r="39" spans="1:30" x14ac:dyDescent="0.25">
      <c r="E39" s="558"/>
      <c r="F39" s="490"/>
      <c r="H39" s="490"/>
      <c r="I39" s="490"/>
      <c r="K39" s="499"/>
      <c r="L39" s="499"/>
      <c r="M39" s="499"/>
      <c r="N39" s="343"/>
      <c r="O39" s="489"/>
      <c r="P39" s="702"/>
      <c r="Q39" s="702"/>
      <c r="R39" s="702"/>
      <c r="S39" s="702"/>
    </row>
    <row r="40" spans="1:30" x14ac:dyDescent="0.25">
      <c r="E40" s="490"/>
      <c r="F40" s="490"/>
      <c r="H40" s="490"/>
      <c r="I40" s="490"/>
      <c r="K40" s="499"/>
      <c r="L40" s="499"/>
      <c r="M40" s="49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AB40" s="560"/>
    </row>
    <row r="41" spans="1:30" x14ac:dyDescent="0.25">
      <c r="K41" s="499"/>
      <c r="L41" s="499"/>
      <c r="M41" s="499"/>
      <c r="O41" s="489"/>
      <c r="P41" s="489"/>
      <c r="Q41" s="489"/>
      <c r="R41" s="489"/>
      <c r="S41" s="489"/>
      <c r="T41" s="489"/>
      <c r="U41" s="489"/>
      <c r="V41" s="489"/>
      <c r="W41" s="489"/>
      <c r="X41" s="489"/>
      <c r="Y41" s="656"/>
      <c r="Z41" s="489"/>
      <c r="AA41" s="489"/>
      <c r="AB41" s="656"/>
      <c r="AC41" s="656"/>
      <c r="AD41" s="489"/>
    </row>
    <row r="42" spans="1:30" x14ac:dyDescent="0.25">
      <c r="K42" s="499"/>
      <c r="L42" s="499"/>
      <c r="M42" s="499"/>
      <c r="O42" s="489"/>
      <c r="P42" s="693"/>
      <c r="Q42" s="693"/>
      <c r="R42" s="693"/>
      <c r="S42" s="693"/>
      <c r="V42" s="560"/>
    </row>
    <row r="43" spans="1:30" x14ac:dyDescent="0.25">
      <c r="K43" s="499"/>
      <c r="L43" s="499"/>
      <c r="M43" s="499"/>
      <c r="N43" s="560"/>
      <c r="O43" s="489"/>
      <c r="P43" s="561"/>
      <c r="Q43" s="561"/>
      <c r="R43" s="561"/>
      <c r="S43" s="561"/>
    </row>
    <row r="44" spans="1:30" x14ac:dyDescent="0.25">
      <c r="K44" s="499"/>
      <c r="L44" s="499"/>
      <c r="M44" s="499"/>
      <c r="O44" s="489"/>
      <c r="P44" s="693"/>
      <c r="Q44" s="693"/>
      <c r="R44" s="693"/>
      <c r="S44" s="693"/>
      <c r="Y44" s="560"/>
    </row>
    <row r="45" spans="1:30" x14ac:dyDescent="0.25">
      <c r="K45" s="499"/>
      <c r="L45" s="499"/>
      <c r="M45" s="499"/>
      <c r="O45" s="489"/>
      <c r="P45" s="693"/>
      <c r="Q45" s="693"/>
      <c r="R45" s="693"/>
      <c r="S45" s="562"/>
    </row>
    <row r="46" spans="1:30" x14ac:dyDescent="0.25">
      <c r="K46" s="499"/>
      <c r="L46" s="499"/>
      <c r="M46" s="499"/>
      <c r="O46" s="489"/>
    </row>
    <row r="47" spans="1:30" x14ac:dyDescent="0.25">
      <c r="K47" s="499"/>
      <c r="L47" s="499"/>
      <c r="M47" s="499"/>
      <c r="O47" s="489"/>
    </row>
    <row r="48" spans="1:30" x14ac:dyDescent="0.25">
      <c r="K48" s="499"/>
      <c r="L48" s="499"/>
      <c r="M48" s="499"/>
      <c r="O48" s="489"/>
    </row>
    <row r="49" spans="11:15" x14ac:dyDescent="0.25">
      <c r="K49" s="499"/>
      <c r="L49" s="499"/>
      <c r="M49" s="499"/>
      <c r="O49" s="489"/>
    </row>
    <row r="50" spans="11:15" x14ac:dyDescent="0.25">
      <c r="K50" s="499"/>
      <c r="L50" s="499"/>
      <c r="M50" s="499"/>
      <c r="O50" s="489"/>
    </row>
    <row r="51" spans="11:15" x14ac:dyDescent="0.25">
      <c r="K51" s="499"/>
      <c r="L51" s="499"/>
      <c r="M51" s="499"/>
      <c r="O51" s="489"/>
    </row>
    <row r="52" spans="11:15" x14ac:dyDescent="0.25">
      <c r="K52" s="499"/>
      <c r="L52" s="499"/>
      <c r="M52" s="499"/>
      <c r="O52" s="489"/>
    </row>
    <row r="53" spans="11:15" x14ac:dyDescent="0.25">
      <c r="K53" s="499"/>
      <c r="L53" s="499"/>
      <c r="M53" s="499"/>
      <c r="O53" s="489"/>
    </row>
    <row r="54" spans="11:15" x14ac:dyDescent="0.25">
      <c r="K54" s="499"/>
      <c r="L54" s="499"/>
      <c r="M54" s="499"/>
      <c r="O54" s="489"/>
    </row>
    <row r="55" spans="11:15" x14ac:dyDescent="0.25">
      <c r="K55" s="499"/>
      <c r="L55" s="499"/>
      <c r="M55" s="499"/>
      <c r="O55" s="489"/>
    </row>
    <row r="56" spans="11:15" x14ac:dyDescent="0.25">
      <c r="K56" s="499"/>
      <c r="L56" s="499"/>
      <c r="M56" s="499"/>
      <c r="O56" s="489"/>
    </row>
    <row r="57" spans="11:15" x14ac:dyDescent="0.25">
      <c r="K57" s="499"/>
      <c r="L57" s="499"/>
      <c r="M57" s="499"/>
      <c r="O57" s="489"/>
    </row>
    <row r="58" spans="11:15" x14ac:dyDescent="0.25">
      <c r="K58" s="499"/>
      <c r="L58" s="499"/>
      <c r="M58" s="499"/>
      <c r="O58" s="489"/>
    </row>
    <row r="59" spans="11:15" x14ac:dyDescent="0.25">
      <c r="K59" s="499"/>
      <c r="L59" s="499"/>
      <c r="M59" s="499"/>
      <c r="O59" s="489"/>
    </row>
    <row r="60" spans="11:15" x14ac:dyDescent="0.25">
      <c r="K60" s="499"/>
      <c r="L60" s="499"/>
      <c r="M60" s="499"/>
      <c r="O60" s="489"/>
    </row>
    <row r="61" spans="11:15" x14ac:dyDescent="0.25">
      <c r="K61" s="499"/>
      <c r="L61" s="499"/>
      <c r="M61" s="499"/>
      <c r="O61" s="489"/>
    </row>
    <row r="62" spans="11:15" x14ac:dyDescent="0.25">
      <c r="K62" s="499"/>
      <c r="L62" s="499"/>
      <c r="M62" s="499"/>
      <c r="O62" s="489"/>
    </row>
    <row r="63" spans="11:15" x14ac:dyDescent="0.25">
      <c r="K63" s="499"/>
      <c r="L63" s="499"/>
      <c r="M63" s="499"/>
      <c r="O63" s="489"/>
    </row>
    <row r="64" spans="11:15" x14ac:dyDescent="0.25">
      <c r="K64" s="499"/>
      <c r="L64" s="499"/>
      <c r="M64" s="499"/>
      <c r="O64" s="489"/>
    </row>
    <row r="65" spans="11:15" x14ac:dyDescent="0.25">
      <c r="K65" s="499"/>
      <c r="L65" s="499"/>
      <c r="M65" s="499"/>
      <c r="O65" s="489"/>
    </row>
    <row r="66" spans="11:15" x14ac:dyDescent="0.25">
      <c r="K66" s="499"/>
      <c r="L66" s="499"/>
      <c r="M66" s="499"/>
      <c r="O66" s="489"/>
    </row>
    <row r="67" spans="11:15" x14ac:dyDescent="0.25">
      <c r="K67" s="499"/>
      <c r="L67" s="499"/>
      <c r="M67" s="499"/>
      <c r="O67" s="489"/>
    </row>
    <row r="68" spans="11:15" x14ac:dyDescent="0.25">
      <c r="K68" s="499"/>
      <c r="L68" s="499"/>
      <c r="M68" s="499"/>
      <c r="O68" s="489"/>
    </row>
    <row r="69" spans="11:15" x14ac:dyDescent="0.25">
      <c r="K69" s="499"/>
      <c r="L69" s="499"/>
      <c r="M69" s="499"/>
      <c r="O69" s="489"/>
    </row>
    <row r="70" spans="11:15" x14ac:dyDescent="0.25">
      <c r="K70" s="499"/>
      <c r="L70" s="499"/>
      <c r="M70" s="499"/>
      <c r="O70" s="489"/>
    </row>
    <row r="71" spans="11:15" x14ac:dyDescent="0.25">
      <c r="K71" s="499"/>
      <c r="L71" s="499"/>
      <c r="M71" s="499"/>
      <c r="O71" s="489"/>
    </row>
    <row r="72" spans="11:15" x14ac:dyDescent="0.25">
      <c r="K72" s="499"/>
      <c r="L72" s="499"/>
      <c r="M72" s="499"/>
      <c r="O72" s="489"/>
    </row>
    <row r="73" spans="11:15" x14ac:dyDescent="0.25">
      <c r="K73" s="499"/>
      <c r="L73" s="499"/>
      <c r="M73" s="499"/>
      <c r="O73" s="489"/>
    </row>
    <row r="74" spans="11:15" x14ac:dyDescent="0.25">
      <c r="K74" s="499"/>
      <c r="L74" s="499"/>
      <c r="M74" s="499"/>
      <c r="O74" s="489"/>
    </row>
    <row r="75" spans="11:15" x14ac:dyDescent="0.25">
      <c r="K75" s="499"/>
      <c r="L75" s="499"/>
      <c r="M75" s="499"/>
      <c r="O75" s="489"/>
    </row>
    <row r="76" spans="11:15" x14ac:dyDescent="0.25">
      <c r="K76" s="499"/>
      <c r="L76" s="499"/>
      <c r="M76" s="499"/>
      <c r="O76" s="489"/>
    </row>
    <row r="77" spans="11:15" x14ac:dyDescent="0.25">
      <c r="K77" s="499"/>
      <c r="L77" s="499"/>
      <c r="M77" s="499"/>
      <c r="O77" s="489"/>
    </row>
    <row r="78" spans="11:15" x14ac:dyDescent="0.25">
      <c r="K78" s="499"/>
      <c r="L78" s="499"/>
      <c r="M78" s="499"/>
      <c r="O78" s="489"/>
    </row>
    <row r="79" spans="11:15" x14ac:dyDescent="0.25">
      <c r="K79" s="499"/>
      <c r="L79" s="499"/>
      <c r="M79" s="499"/>
      <c r="O79" s="489"/>
    </row>
    <row r="80" spans="11:15" x14ac:dyDescent="0.25">
      <c r="K80" s="499"/>
      <c r="L80" s="499"/>
      <c r="M80" s="499"/>
      <c r="O80" s="489"/>
    </row>
    <row r="81" spans="11:15" x14ac:dyDescent="0.25">
      <c r="K81" s="499"/>
      <c r="L81" s="499"/>
      <c r="M81" s="499"/>
      <c r="O81" s="489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703" t="s">
        <v>441</v>
      </c>
      <c r="B1" s="703"/>
      <c r="C1" s="703"/>
      <c r="D1" s="703"/>
      <c r="E1" s="70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36</v>
      </c>
      <c r="C3" s="115">
        <f ca="1">Plantilla!F4</f>
        <v>12</v>
      </c>
      <c r="D3" s="186">
        <f>Plantilla!G4</f>
        <v>0</v>
      </c>
      <c r="E3" s="265">
        <f>Plantilla!O4</f>
        <v>42468</v>
      </c>
      <c r="F3" s="115">
        <f>Plantilla!Q4</f>
        <v>6</v>
      </c>
      <c r="G3" s="142">
        <f>(F3/7)^0.5</f>
        <v>0.92582009977255142</v>
      </c>
      <c r="H3" s="142">
        <f>IF(F3=7,1,((F3+0.99)/7)^0.5)</f>
        <v>0.99928545900129484</v>
      </c>
      <c r="I3" s="195">
        <f ca="1">Plantilla!P4</f>
        <v>1</v>
      </c>
      <c r="J3" s="196">
        <f>Plantilla!I4</f>
        <v>24.6</v>
      </c>
      <c r="K3" s="49">
        <f>Plantilla!X4</f>
        <v>15.95</v>
      </c>
      <c r="L3" s="49">
        <f>Plantilla!Y4</f>
        <v>11.95</v>
      </c>
      <c r="M3" s="49">
        <f>Plantilla!Z4</f>
        <v>2.0699999999999985</v>
      </c>
      <c r="N3" s="49">
        <f>Plantilla!AA4</f>
        <v>0.95</v>
      </c>
      <c r="O3" s="49">
        <f>Plantilla!AB4</f>
        <v>0</v>
      </c>
      <c r="P3" s="49">
        <f>Plantilla!AC4</f>
        <v>0</v>
      </c>
      <c r="Q3" s="49">
        <f>Plantilla!AD4</f>
        <v>18.2</v>
      </c>
      <c r="R3" s="196">
        <f>((2*(O3+1))+(L3+1))/8</f>
        <v>1.8687499999999999</v>
      </c>
      <c r="S3" s="196">
        <f ca="1">1.66*(P3+(LOG(J3)*4/3)+I3)+0.55*(Q3+(LOG(J3)*4/3)+I3)-7.6</f>
        <v>8.7186221155979577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19.492753488480446</v>
      </c>
      <c r="W3" s="196">
        <f ca="1">IF(F3=7,V3,IF(TODAY()-E3&gt;335,(Q3+1+(LOG(J3)*4/3))*((F3+0.99)/7)^0.5,(Q3+((TODAY()-E3)^0.5)/(336^0.5)+(LOG(J3)*4/3))*((F3+0.99)/7)^0.5))</f>
        <v>21.039535782081945</v>
      </c>
      <c r="X3" s="83">
        <f ca="1">((K3+I3+(LOG(J3)*4/3))*0.597)+((L3+I3+(LOG(J3)*4/3))*0.276)</f>
        <v>15.312398464668332</v>
      </c>
      <c r="Y3" s="83">
        <f ca="1">((K3+I3+(LOG(J3)*4/3))*0.866)+((L3+I3+(LOG(J3)*4/3))*0.425)</f>
        <v>22.576712964360617</v>
      </c>
      <c r="Z3" s="83">
        <f ca="1">X3</f>
        <v>15.312398464668332</v>
      </c>
      <c r="AA3" s="83">
        <f ca="1">((L3+I3+(LOG(J3)*4/3))*0.516)</f>
        <v>7.639163353687124</v>
      </c>
      <c r="AB3" s="83">
        <f ca="1">(L3+I3+(LOG(J3)*4/3))*1</f>
        <v>14.804580142804504</v>
      </c>
      <c r="AC3" s="83">
        <f ca="1">AA3/2</f>
        <v>3.819581676843562</v>
      </c>
      <c r="AD3" s="83">
        <f ca="1">(M3+I3+(LOG(J3)*4/3))*0.238</f>
        <v>1.172050073987472</v>
      </c>
      <c r="AE3" s="83">
        <f ca="1">((L3+I3+(LOG(J3)*4/3))*0.378)</f>
        <v>5.5961312939801022</v>
      </c>
      <c r="AF3" s="83">
        <f ca="1">(L3+I3+(LOG(J3)*4/3))*0.723</f>
        <v>10.703711443247656</v>
      </c>
      <c r="AG3" s="83">
        <f ca="1">AE3/2</f>
        <v>2.7980656469900511</v>
      </c>
      <c r="AH3" s="83">
        <f ca="1">(M3+I3+(LOG(J3)*4/3))*0.385</f>
        <v>1.8959633549797341</v>
      </c>
      <c r="AI3" s="83">
        <f ca="1">((L3+I3+(LOG(J3)*4/3))*0.92)</f>
        <v>13.620213731380144</v>
      </c>
      <c r="AJ3" s="83">
        <f ca="1">(L3+I3+(LOG(J3)*4/3))*0.414</f>
        <v>6.1290961791210643</v>
      </c>
      <c r="AK3" s="83">
        <f ca="1">((M3+I3+(LOG(J3)*4/3))*0.167)</f>
        <v>0.8224048838483522</v>
      </c>
      <c r="AL3" s="83">
        <f ca="1">(N3+I3+(LOG(J3)*4/3))*0.588</f>
        <v>2.237093123969049</v>
      </c>
      <c r="AM3" s="83">
        <f ca="1">((L3+I3+(LOG(J3)*4/3))*0.754)</f>
        <v>11.162653427674597</v>
      </c>
      <c r="AN3" s="83">
        <f ca="1">((L3+I3+(LOG(J3)*4/3))*0.708)</f>
        <v>10.481642741105588</v>
      </c>
      <c r="AO3" s="83">
        <f ca="1">((Q3+I3+(LOG(J3)*4/3))*0.167)</f>
        <v>3.5161148838483522</v>
      </c>
      <c r="AP3" s="83">
        <f ca="1">((R3+I3+(LOG(J3)*4/3))*0.288)</f>
        <v>1.3603190811276973</v>
      </c>
      <c r="AQ3" s="83">
        <f ca="1">((L3+I3+(LOG(J3)*4/3))*0.27)</f>
        <v>3.9972366385572164</v>
      </c>
      <c r="AR3" s="83">
        <f ca="1">((L3+I3+(LOG(J3)*4/3))*0.594)</f>
        <v>8.7939206048258747</v>
      </c>
      <c r="AS3" s="83">
        <f ca="1">AQ3/2</f>
        <v>1.9986183192786082</v>
      </c>
      <c r="AT3" s="83">
        <f ca="1">((M3+I3+(LOG(J3)*4/3))*0.944)</f>
        <v>4.6488036548074518</v>
      </c>
      <c r="AU3" s="83">
        <f ca="1">((O3+I3+(LOG(J3)*4/3))*0.13)</f>
        <v>0.37109541856458572</v>
      </c>
      <c r="AV3" s="83">
        <f ca="1">((P3+I3+(LOG(J3)*4/3))*0.173)+((O3+I3+(LOG(J3)*4/3))*0.12)</f>
        <v>0.83639198184172003</v>
      </c>
      <c r="AW3" s="83">
        <f ca="1">AU3/2</f>
        <v>0.18554770928229286</v>
      </c>
      <c r="AX3" s="83">
        <f ca="1">((L3+I3+(LOG(J3)*4/3))*0.189)</f>
        <v>2.7980656469900511</v>
      </c>
      <c r="AY3" s="83">
        <f ca="1">((L3+I3+(LOG(J3)*4/3))*0.4)</f>
        <v>5.9218320571218017</v>
      </c>
      <c r="AZ3" s="83">
        <f ca="1">AX3/2</f>
        <v>1.3990328234950256</v>
      </c>
      <c r="BA3" s="83">
        <f ca="1">((M3+I3+(LOG(J3)*4/3))*1)</f>
        <v>4.924580142804504</v>
      </c>
      <c r="BB3" s="83">
        <f ca="1">((O3+I3+(LOG(J3)*4/3))*0.253)</f>
        <v>0.72220877612953993</v>
      </c>
      <c r="BC3" s="83">
        <f ca="1">((P3+I3+(LOG(J3)*4/3))*0.21)+((O3+I3+(LOG(J3)*4/3))*0.341)</f>
        <v>1.5728736586852827</v>
      </c>
      <c r="BD3" s="83">
        <f ca="1">BB3/2</f>
        <v>0.36110438806476997</v>
      </c>
      <c r="BE3" s="83">
        <f ca="1">((L3+I3+(LOG(J3)*4/3))*0.291)</f>
        <v>4.3081328215561108</v>
      </c>
      <c r="BF3" s="83">
        <f ca="1">((L3+I3+(LOG(J3)*4/3))*0.348)</f>
        <v>5.1519938896959667</v>
      </c>
      <c r="BG3" s="83">
        <f ca="1">((M3+I3+(LOG(J3)*4/3))*0.881)</f>
        <v>4.3385551058107676</v>
      </c>
      <c r="BH3" s="83">
        <f ca="1">((N3+I3+(LOG(J3)*4/3))*0.574)+((O3+I3+(LOG(J3)*4/3))*0.315)</f>
        <v>3.0830217469532051</v>
      </c>
      <c r="BI3" s="83">
        <f ca="1">((O3+I3+(LOG(J3)*4/3))*0.241)</f>
        <v>0.68795381441588577</v>
      </c>
      <c r="BJ3" s="83">
        <f ca="1">((L3+I3+(LOG(J3)*4/3))*0.485)</f>
        <v>7.1802213692601837</v>
      </c>
      <c r="BK3" s="83">
        <f ca="1">((L3+I3+(LOG(J3)*4/3))*0.264)</f>
        <v>3.908409157700389</v>
      </c>
      <c r="BL3" s="83">
        <f ca="1">((M3+I3+(LOG(J3)*4/3))*0.381)</f>
        <v>1.8762650344085161</v>
      </c>
      <c r="BM3" s="83">
        <f ca="1">((N3+I3+(LOG(J3)*4/3))*0.673)+((O3+I3+(LOG(J3)*4/3))*0.201)</f>
        <v>3.1342530448111381</v>
      </c>
      <c r="BN3" s="83">
        <f ca="1">((O3+I3+(LOG(J3)*4/3))*0.052)</f>
        <v>0.14843816742583427</v>
      </c>
      <c r="BO3" s="83">
        <f ca="1">((L3+I3+(LOG(J3)*4/3))*0.18)</f>
        <v>2.6648244257048104</v>
      </c>
      <c r="BP3" s="83">
        <f ca="1">(L3+I3+(LOG(J3)*4/3))*0.068</f>
        <v>1.0067114497107064</v>
      </c>
      <c r="BQ3" s="83">
        <f ca="1">((M3+I3+(LOG(J3)*4/3))*0.305)</f>
        <v>1.5019969435553737</v>
      </c>
      <c r="BR3" s="83">
        <f ca="1">((N3+I3+(LOG(J3)*4/3))*1)+((O3+I3+(LOG(J3)*4/3))*0.286)</f>
        <v>4.6209900636465946</v>
      </c>
      <c r="BS3" s="83">
        <f ca="1">((O3+I3+(LOG(J3)*4/3))*0.135)</f>
        <v>0.38536831927860826</v>
      </c>
      <c r="BT3" s="83">
        <f ca="1">((L3+I3+(LOG(J3)*4/3))*0.284)</f>
        <v>4.2045007605564786</v>
      </c>
      <c r="BU3" s="83">
        <f ca="1">(L3+I3+(LOG(J3)*4/3))*0.244</f>
        <v>3.612317554844299</v>
      </c>
      <c r="BV3" s="83">
        <f ca="1">((M3+I3+(LOG(J3)*4/3))*0.455)</f>
        <v>2.2406839649760495</v>
      </c>
      <c r="BW3" s="83">
        <f ca="1">((N3+I3+(LOG(J3)*4/3))*0.864)+((O3+I3+(LOG(J3)*4/3))*0.244)</f>
        <v>3.9836747982273923</v>
      </c>
      <c r="BX3" s="83">
        <f ca="1">((O3+I3+(LOG(J3)*4/3))*0.121)</f>
        <v>0.34540419727934513</v>
      </c>
      <c r="BY3" s="83">
        <f ca="1">((L3+I3+(LOG(J3)*4/3))*0.284)</f>
        <v>4.2045007605564786</v>
      </c>
      <c r="BZ3" s="83">
        <f ca="1">((L3+I3+(LOG(J3)*4/3))*0.244)</f>
        <v>3.612317554844299</v>
      </c>
      <c r="CA3" s="83">
        <f ca="1">((M3+I3+(LOG(J3)*4/3))*0.631)</f>
        <v>3.1074100701096419</v>
      </c>
      <c r="CB3" s="83">
        <f ca="1">((N3+I3+(LOG(J3)*4/3))*0.702)+((O3+I3+(LOG(J3)*4/3))*0.193)</f>
        <v>3.2217492278100321</v>
      </c>
      <c r="CC3" s="83">
        <f ca="1">((O3+I3+(LOG(J3)*4/3))*0.148)</f>
        <v>0.4224778611350668</v>
      </c>
      <c r="CD3" s="83">
        <f ca="1">((M3+I3+(LOG(J3)*4/3))*0.406)</f>
        <v>1.9993795379786288</v>
      </c>
      <c r="CE3" s="83">
        <f ca="1">IF(D3="TEC",((N3+I3+(LOG(J3)*4/3))*0.15)+((O3+I3+(LOG(J3)*4/3))*0.324)+((P3+I3+(LOG(J3)*4/3))*0.127),(((N3+I3+(LOG(J3)*4/3))*0.144)+((O3+I3+(LOG(J3)*4/3))*0.25)+((P3+I3+(LOG(J3)*4/3))*0.127)))</f>
        <v>1.6240362544011475</v>
      </c>
      <c r="CF3" s="83">
        <f ca="1">((O3+I3+(LOG(J3)*4/3))*0.543)+((P3+I3+(LOG(J3)*4/3))*0.583)</f>
        <v>3.2142572407978731</v>
      </c>
      <c r="CG3" s="83">
        <f ca="1">CE3</f>
        <v>1.6240362544011475</v>
      </c>
      <c r="CH3" s="83">
        <f ca="1">((P3+1+(LOG(J3)*4/3))*0.26)+((N3+I3+(LOG(J3)*4/3))*0.221)+((O3+I3+(LOG(J3)*4/3))*0.142)</f>
        <v>1.9883534289672069</v>
      </c>
      <c r="CI3" s="83">
        <f ca="1">((P3+I3+(LOG(J3)*4/3))*1)+((O3+I3+(LOG(J3)*4/3))*0.369)</f>
        <v>3.907920215499368</v>
      </c>
      <c r="CJ3" s="83">
        <f ca="1">CH3</f>
        <v>1.9883534289672069</v>
      </c>
      <c r="CK3" s="83">
        <f ca="1">((M3+I3+(LOG(J3)*4/3))*0.25)</f>
        <v>1.231145035701126</v>
      </c>
    </row>
    <row r="4" spans="1:89" x14ac:dyDescent="0.25">
      <c r="A4" t="str">
        <f>Plantilla!D5</f>
        <v>T. Hammond</v>
      </c>
      <c r="B4" s="319">
        <f>Plantilla!E5</f>
        <v>40</v>
      </c>
      <c r="C4" s="115">
        <f ca="1">Plantilla!F5</f>
        <v>21</v>
      </c>
      <c r="D4" s="319" t="str">
        <f>Plantilla!G5</f>
        <v>CAB</v>
      </c>
      <c r="E4" s="265">
        <v>36526</v>
      </c>
      <c r="F4" s="115">
        <f>Plantilla!Q5</f>
        <v>5</v>
      </c>
      <c r="G4" s="142">
        <f t="shared" ref="G4:G26" si="0">(F4/7)^0.5</f>
        <v>0.84515425472851657</v>
      </c>
      <c r="H4" s="142">
        <f t="shared" ref="H4:H26" si="1">IF(F4=7,1,((F4+0.99)/7)^0.5)</f>
        <v>0.92504826128926143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5.95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1.35625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0.65649999999999997</v>
      </c>
      <c r="V4" s="196">
        <f t="shared" ref="V4:V26" ca="1" si="6">IF(TODAY()-E4&gt;335,(Q4+1+(LOG(J4)*4/3))*(F4/7)^0.5,(Q4+((TODAY()-E4)^0.5)/(336^0.5)+(LOG(J4)*4/3))*(F4/7)^0.5)</f>
        <v>13.676600869754836</v>
      </c>
      <c r="W4" s="196">
        <f t="shared" ref="W4:W26" ca="1" si="7">IF(F4=7,V4,IF(TODAY()-E4&gt;335,(Q4+1+(LOG(J4)*4/3))*((F4+0.99)/7)^0.5,(Q4+((TODAY()-E4)^0.5)/(336^0.5)+(LOG(J4)*4/3))*((F4+0.99)/7)^0.5))</f>
        <v>14.969475434964089</v>
      </c>
      <c r="X4" s="83">
        <f t="shared" ref="X4:X26" si="8">((K4+I4+(LOG(J4)*4/3))*0.597)+((L4+I4+(LOG(J4)*4/3))*0.276)</f>
        <v>8.176711088976031</v>
      </c>
      <c r="Y4" s="83">
        <f t="shared" ref="Y4:Y26" si="9">((K4+I4+(LOG(J4)*4/3))*0.866)+((L4+I4+(LOG(J4)*4/3))*0.425)</f>
        <v>12.074942744407853</v>
      </c>
      <c r="Z4" s="83">
        <f t="shared" ref="Z4:Z26" si="10">X4</f>
        <v>8.176711088976031</v>
      </c>
      <c r="AA4" s="83">
        <f t="shared" ref="AA4:AA26" si="11">((L4+I4+(LOG(J4)*4/3))*0.516)</f>
        <v>4.4801041488105744</v>
      </c>
      <c r="AB4" s="83">
        <f t="shared" ref="AB4:AB26" si="12">(L4+I4+(LOG(J4)*4/3))*1</f>
        <v>8.682372381415842</v>
      </c>
      <c r="AC4" s="83">
        <f t="shared" ref="AC4:AC26" si="13">AA4/2</f>
        <v>2.2400520744052872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3.2819367601751881</v>
      </c>
      <c r="AF4" s="83">
        <f t="shared" ref="AF4:AF26" si="16">(L4+I4+(LOG(J4)*4/3))*0.723</f>
        <v>6.2773552317636536</v>
      </c>
      <c r="AG4" s="83">
        <f t="shared" ref="AG4:AG26" si="17">AE4/2</f>
        <v>1.640968380087594</v>
      </c>
      <c r="AH4" s="83">
        <f t="shared" ref="AH4:AH26" si="18">(M4+I4+(LOG(J4)*4/3))*0.385</f>
        <v>1.0519633668450994</v>
      </c>
      <c r="AI4" s="83">
        <f t="shared" ref="AI4:AI26" si="19">((L4+I4+(LOG(J4)*4/3))*0.92)</f>
        <v>7.987782590902575</v>
      </c>
      <c r="AJ4" s="83">
        <f t="shared" ref="AJ4:AJ26" si="20">(L4+I4+(LOG(J4)*4/3))*0.414</f>
        <v>3.5945021659061585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6.5465087755875446</v>
      </c>
      <c r="AN4" s="83">
        <f t="shared" ref="AN4:AN26" si="24">((L4+I4+(LOG(J4)*4/3))*0.708)</f>
        <v>6.147119646042416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1.1775232458477625</v>
      </c>
      <c r="AQ4" s="83">
        <f t="shared" ref="AQ4:AQ26" si="27">((L4+I4+(LOG(J4)*4/3))*0.27)</f>
        <v>2.3442405429822775</v>
      </c>
      <c r="AR4" s="83">
        <f t="shared" ref="AR4:AR26" si="28">((L4+I4+(LOG(J4)*4/3))*0.594)</f>
        <v>5.1573291945610098</v>
      </c>
      <c r="AS4" s="83">
        <f t="shared" ref="AS4:AS26" si="29">AQ4/2</f>
        <v>1.1721202714911387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1.640968380087594</v>
      </c>
      <c r="AY4" s="83">
        <f t="shared" ref="AY4:AY26" si="35">((L4+I4+(LOG(J4)*4/3))*0.4)</f>
        <v>3.4729489525663371</v>
      </c>
      <c r="AZ4" s="83">
        <f t="shared" ref="AZ4:AZ26" si="36">AX4/2</f>
        <v>0.82048419004379702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2.5265703629920098</v>
      </c>
      <c r="BF4" s="83">
        <f t="shared" ref="BF4:BF26" si="42">((L4+I4+(LOG(J4)*4/3))*0.348)</f>
        <v>3.0214655887327129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4.2109506049866834</v>
      </c>
      <c r="BK4" s="83">
        <f t="shared" ref="BK4:BK26" si="47">((L4+I4+(LOG(J4)*4/3))*0.264)</f>
        <v>2.2921463086937823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1.5628270286548516</v>
      </c>
      <c r="BP4" s="83">
        <f t="shared" ref="BP4:BP26" si="52">(L4+I4+(LOG(J4)*4/3))*0.068</f>
        <v>0.59040132193627726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2.4657937563220989</v>
      </c>
      <c r="BU4" s="83">
        <f t="shared" ref="BU4:BU26" si="57">(L4+I4+(LOG(J4)*4/3))*0.244</f>
        <v>2.1184988610654654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2.4657937563220989</v>
      </c>
      <c r="BZ4" s="83">
        <f t="shared" ref="BZ4:BZ26" si="62">((L4+I4+(LOG(J4)*4/3))*0.244)</f>
        <v>2.1184988610654654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37</v>
      </c>
      <c r="C5" s="115">
        <f ca="1">Plantilla!F6</f>
        <v>23</v>
      </c>
      <c r="D5" s="319">
        <f>Plantilla!G6</f>
        <v>0</v>
      </c>
      <c r="E5" s="265">
        <v>36526</v>
      </c>
      <c r="F5" s="115">
        <f>Plantilla!Q6</f>
        <v>4</v>
      </c>
      <c r="G5" s="142">
        <f t="shared" si="0"/>
        <v>0.7559289460184544</v>
      </c>
      <c r="H5" s="142">
        <f t="shared" si="1"/>
        <v>0.84430867747355465</v>
      </c>
      <c r="I5" s="195">
        <f>Plantilla!P6</f>
        <v>1.5</v>
      </c>
      <c r="J5" s="196">
        <f>Plantilla!I6</f>
        <v>18.7</v>
      </c>
      <c r="K5" s="49">
        <f>Plantilla!X6</f>
        <v>0</v>
      </c>
      <c r="L5" s="49">
        <f>Plantilla!Y6</f>
        <v>10.95</v>
      </c>
      <c r="M5" s="49">
        <f>Plantilla!Z6</f>
        <v>11.75</v>
      </c>
      <c r="N5" s="49">
        <f>Plantilla!AA6</f>
        <v>7.95</v>
      </c>
      <c r="O5" s="49">
        <f>Plantilla!AB6</f>
        <v>7.95</v>
      </c>
      <c r="P5" s="49">
        <f>Plantilla!AC6</f>
        <v>0.95</v>
      </c>
      <c r="Q5" s="49">
        <f>Plantilla!AD6</f>
        <v>16.95</v>
      </c>
      <c r="R5" s="196">
        <f t="shared" si="2"/>
        <v>3.7312499999999997</v>
      </c>
      <c r="S5" s="196">
        <f t="shared" si="3"/>
        <v>10.362193267260887</v>
      </c>
      <c r="T5" s="49">
        <f t="shared" si="4"/>
        <v>0.55599999999999994</v>
      </c>
      <c r="U5" s="49">
        <f t="shared" si="5"/>
        <v>0.94650000000000001</v>
      </c>
      <c r="V5" s="196">
        <f t="shared" ca="1" si="6"/>
        <v>14.850820427873327</v>
      </c>
      <c r="W5" s="196">
        <f t="shared" ca="1" si="7"/>
        <v>16.587109967011202</v>
      </c>
      <c r="X5" s="83">
        <f t="shared" si="8"/>
        <v>5.8121236300084851</v>
      </c>
      <c r="Y5" s="83">
        <f t="shared" si="9"/>
        <v>8.7795133520514934</v>
      </c>
      <c r="Z5" s="83">
        <f t="shared" si="10"/>
        <v>5.8121236300084851</v>
      </c>
      <c r="AA5" s="83">
        <f t="shared" si="11"/>
        <v>7.2992270252971112</v>
      </c>
      <c r="AB5" s="83">
        <f t="shared" si="12"/>
        <v>14.145788808715331</v>
      </c>
      <c r="AC5" s="83">
        <f t="shared" si="13"/>
        <v>3.6496135126485556</v>
      </c>
      <c r="AD5" s="83">
        <f t="shared" si="14"/>
        <v>3.5570977364742489</v>
      </c>
      <c r="AE5" s="83">
        <f t="shared" si="15"/>
        <v>5.347108169694395</v>
      </c>
      <c r="AF5" s="83">
        <f t="shared" si="16"/>
        <v>10.227405308701183</v>
      </c>
      <c r="AG5" s="83">
        <f t="shared" si="17"/>
        <v>2.6735540848471975</v>
      </c>
      <c r="AH5" s="83">
        <f t="shared" si="18"/>
        <v>5.7541286913554028</v>
      </c>
      <c r="AI5" s="83">
        <f t="shared" si="19"/>
        <v>13.014125704018104</v>
      </c>
      <c r="AJ5" s="83">
        <f t="shared" si="20"/>
        <v>5.856356566808147</v>
      </c>
      <c r="AK5" s="83">
        <f t="shared" si="21"/>
        <v>2.4959467310554606</v>
      </c>
      <c r="AL5" s="83">
        <f t="shared" si="22"/>
        <v>6.5537238195246141</v>
      </c>
      <c r="AM5" s="83">
        <f t="shared" si="23"/>
        <v>10.665924761771359</v>
      </c>
      <c r="AN5" s="83">
        <f t="shared" si="24"/>
        <v>10.015218476570453</v>
      </c>
      <c r="AO5" s="83">
        <f t="shared" si="25"/>
        <v>3.3643467310554604</v>
      </c>
      <c r="AP5" s="83">
        <f t="shared" si="26"/>
        <v>1.9949871769100154</v>
      </c>
      <c r="AQ5" s="83">
        <f t="shared" si="27"/>
        <v>3.8193629783531398</v>
      </c>
      <c r="AR5" s="83">
        <f t="shared" si="28"/>
        <v>8.4025985523769062</v>
      </c>
      <c r="AS5" s="83">
        <f t="shared" si="29"/>
        <v>1.9096814891765699</v>
      </c>
      <c r="AT5" s="83">
        <f t="shared" si="30"/>
        <v>14.108824635427272</v>
      </c>
      <c r="AU5" s="83">
        <f t="shared" si="31"/>
        <v>1.448952545132993</v>
      </c>
      <c r="AV5" s="83">
        <f t="shared" si="32"/>
        <v>2.054716120953592</v>
      </c>
      <c r="AW5" s="83">
        <f t="shared" si="33"/>
        <v>0.72447627256649649</v>
      </c>
      <c r="AX5" s="83">
        <f t="shared" si="34"/>
        <v>2.6735540848471975</v>
      </c>
      <c r="AY5" s="83">
        <f t="shared" si="35"/>
        <v>5.6583155234861326</v>
      </c>
      <c r="AZ5" s="83">
        <f t="shared" si="36"/>
        <v>1.3367770424235987</v>
      </c>
      <c r="BA5" s="83">
        <f t="shared" si="37"/>
        <v>14.945788808715331</v>
      </c>
      <c r="BB5" s="83">
        <f t="shared" si="38"/>
        <v>2.8198845686049787</v>
      </c>
      <c r="BC5" s="83">
        <f t="shared" si="39"/>
        <v>4.6713296336021477</v>
      </c>
      <c r="BD5" s="83">
        <f t="shared" si="40"/>
        <v>1.4099422843024894</v>
      </c>
      <c r="BE5" s="83">
        <f t="shared" si="41"/>
        <v>4.1164245433361613</v>
      </c>
      <c r="BF5" s="83">
        <f t="shared" si="42"/>
        <v>4.9227345054329348</v>
      </c>
      <c r="BG5" s="83">
        <f t="shared" si="43"/>
        <v>13.167239940478208</v>
      </c>
      <c r="BH5" s="83">
        <f t="shared" si="44"/>
        <v>9.9086062509479298</v>
      </c>
      <c r="BI5" s="83">
        <f t="shared" si="45"/>
        <v>2.6861351029003946</v>
      </c>
      <c r="BJ5" s="83">
        <f t="shared" si="46"/>
        <v>6.8607075722269348</v>
      </c>
      <c r="BK5" s="83">
        <f t="shared" si="47"/>
        <v>3.7344882455008475</v>
      </c>
      <c r="BL5" s="83">
        <f t="shared" si="48"/>
        <v>5.6943455361205411</v>
      </c>
      <c r="BM5" s="83">
        <f t="shared" si="49"/>
        <v>9.7414194188172001</v>
      </c>
      <c r="BN5" s="83">
        <f t="shared" si="50"/>
        <v>0.57958101805319717</v>
      </c>
      <c r="BO5" s="83">
        <f t="shared" si="51"/>
        <v>2.5462419855687592</v>
      </c>
      <c r="BP5" s="83">
        <f t="shared" si="52"/>
        <v>0.96191363899264259</v>
      </c>
      <c r="BQ5" s="83">
        <f t="shared" si="53"/>
        <v>4.5584655866581762</v>
      </c>
      <c r="BR5" s="83">
        <f t="shared" si="54"/>
        <v>14.333484408007916</v>
      </c>
      <c r="BS5" s="83">
        <f t="shared" si="55"/>
        <v>1.5046814891765699</v>
      </c>
      <c r="BT5" s="83">
        <f t="shared" si="56"/>
        <v>4.0174040216751532</v>
      </c>
      <c r="BU5" s="83">
        <f t="shared" si="57"/>
        <v>3.4515724693265408</v>
      </c>
      <c r="BV5" s="83">
        <f t="shared" si="58"/>
        <v>6.8003339079654763</v>
      </c>
      <c r="BW5" s="83">
        <f t="shared" si="59"/>
        <v>12.349534000056586</v>
      </c>
      <c r="BX5" s="83">
        <f t="shared" si="60"/>
        <v>1.3486404458545549</v>
      </c>
      <c r="BY5" s="83">
        <f t="shared" si="61"/>
        <v>4.0174040216751532</v>
      </c>
      <c r="BZ5" s="83">
        <f t="shared" si="62"/>
        <v>3.4515724693265408</v>
      </c>
      <c r="CA5" s="83">
        <f t="shared" si="63"/>
        <v>9.4307927382993739</v>
      </c>
      <c r="CB5" s="83">
        <f t="shared" si="64"/>
        <v>9.975480983800221</v>
      </c>
      <c r="CC5" s="83">
        <f t="shared" si="65"/>
        <v>1.649576743689869</v>
      </c>
      <c r="CD5" s="83">
        <f t="shared" si="66"/>
        <v>6.0679902563384251</v>
      </c>
      <c r="CE5" s="83">
        <f t="shared" si="67"/>
        <v>4.9179559693406878</v>
      </c>
      <c r="CF5" s="83">
        <f t="shared" si="68"/>
        <v>8.4691581986134636</v>
      </c>
      <c r="CG5" s="83">
        <f t="shared" si="69"/>
        <v>4.9179559693406878</v>
      </c>
      <c r="CH5" s="83">
        <f t="shared" si="70"/>
        <v>4.9938264278296511</v>
      </c>
      <c r="CI5" s="83">
        <f t="shared" si="71"/>
        <v>8.2585848791312895</v>
      </c>
      <c r="CJ5" s="83">
        <f t="shared" si="72"/>
        <v>4.9938264278296511</v>
      </c>
      <c r="CK5" s="83">
        <f t="shared" si="73"/>
        <v>3.7364472021788329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33</v>
      </c>
      <c r="C7" s="115">
        <f ca="1">Plantilla!F7</f>
        <v>31</v>
      </c>
      <c r="D7" s="319">
        <f>Plantilla!G7</f>
        <v>0</v>
      </c>
      <c r="E7" s="265">
        <v>36526</v>
      </c>
      <c r="F7" s="115">
        <f>Plantilla!Q7</f>
        <v>6</v>
      </c>
      <c r="G7" s="142">
        <f t="shared" si="0"/>
        <v>0.92582009977255142</v>
      </c>
      <c r="H7" s="142">
        <f t="shared" si="1"/>
        <v>0.99928545900129484</v>
      </c>
      <c r="I7" s="195">
        <f>Plantilla!P7</f>
        <v>1.5</v>
      </c>
      <c r="J7" s="196">
        <f>Plantilla!I7</f>
        <v>6.8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5.95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10.399987373885489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14.300331132070239</v>
      </c>
      <c r="W7" s="196">
        <f t="shared" ca="1" si="7"/>
        <v>15.435086106568656</v>
      </c>
      <c r="X7" s="83">
        <f t="shared" si="8"/>
        <v>4.9294283743900591</v>
      </c>
      <c r="Y7" s="83">
        <f t="shared" si="9"/>
        <v>7.4515086750716684</v>
      </c>
      <c r="Z7" s="83">
        <f t="shared" si="10"/>
        <v>4.9294283743900591</v>
      </c>
      <c r="AA7" s="83">
        <f t="shared" si="11"/>
        <v>6.3027741319418906</v>
      </c>
      <c r="AB7" s="83">
        <f t="shared" si="12"/>
        <v>12.214678550274982</v>
      </c>
      <c r="AC7" s="83">
        <f t="shared" si="13"/>
        <v>3.1513870659709453</v>
      </c>
      <c r="AD7" s="83">
        <f t="shared" si="14"/>
        <v>2.5251828282987789</v>
      </c>
      <c r="AE7" s="83">
        <f t="shared" si="15"/>
        <v>4.6171484920039436</v>
      </c>
      <c r="AF7" s="83">
        <f t="shared" si="16"/>
        <v>8.8312125918488125</v>
      </c>
      <c r="AG7" s="83">
        <f t="shared" si="17"/>
        <v>2.3085742460019718</v>
      </c>
      <c r="AH7" s="83">
        <f t="shared" si="18"/>
        <v>4.0848545751892011</v>
      </c>
      <c r="AI7" s="83">
        <f t="shared" si="19"/>
        <v>11.237504266252984</v>
      </c>
      <c r="AJ7" s="83">
        <f t="shared" si="20"/>
        <v>5.0568769198138428</v>
      </c>
      <c r="AK7" s="83">
        <f t="shared" si="21"/>
        <v>1.7718719845625888</v>
      </c>
      <c r="AL7" s="83">
        <f t="shared" si="22"/>
        <v>5.0332869875616888</v>
      </c>
      <c r="AM7" s="83">
        <f t="shared" si="23"/>
        <v>9.2098676269073358</v>
      </c>
      <c r="AN7" s="83">
        <f t="shared" si="24"/>
        <v>8.6479924135946877</v>
      </c>
      <c r="AO7" s="83">
        <f t="shared" si="25"/>
        <v>2.6630025401181441</v>
      </c>
      <c r="AP7" s="83">
        <f t="shared" si="26"/>
        <v>1.8436114224791946</v>
      </c>
      <c r="AQ7" s="83">
        <f t="shared" si="27"/>
        <v>3.2979632085742452</v>
      </c>
      <c r="AR7" s="83">
        <f t="shared" si="28"/>
        <v>7.2555190588633387</v>
      </c>
      <c r="AS7" s="83">
        <f t="shared" si="29"/>
        <v>1.6489816042871226</v>
      </c>
      <c r="AT7" s="83">
        <f t="shared" si="30"/>
        <v>10.015851218126249</v>
      </c>
      <c r="AU7" s="83">
        <f t="shared" si="31"/>
        <v>1.4915348782024143</v>
      </c>
      <c r="AV7" s="83">
        <f t="shared" si="32"/>
        <v>2.338683481897236</v>
      </c>
      <c r="AW7" s="83">
        <f t="shared" si="33"/>
        <v>0.74576743910120713</v>
      </c>
      <c r="AX7" s="83">
        <f t="shared" si="34"/>
        <v>2.3085742460019718</v>
      </c>
      <c r="AY7" s="83">
        <f t="shared" si="35"/>
        <v>4.8858714201099929</v>
      </c>
      <c r="AZ7" s="83">
        <f t="shared" si="36"/>
        <v>1.1542871230009859</v>
      </c>
      <c r="BA7" s="83">
        <f t="shared" si="37"/>
        <v>10.610011883608315</v>
      </c>
      <c r="BB7" s="83">
        <f t="shared" si="38"/>
        <v>2.9027563398862366</v>
      </c>
      <c r="BC7" s="83">
        <f t="shared" si="39"/>
        <v>5.0800132145348478</v>
      </c>
      <c r="BD7" s="83">
        <f t="shared" si="40"/>
        <v>1.4513781699431183</v>
      </c>
      <c r="BE7" s="83">
        <f t="shared" si="41"/>
        <v>3.5544714581300196</v>
      </c>
      <c r="BF7" s="83">
        <f t="shared" si="42"/>
        <v>4.2507081354956933</v>
      </c>
      <c r="BG7" s="83">
        <f t="shared" si="43"/>
        <v>9.3474204694589265</v>
      </c>
      <c r="BH7" s="83">
        <f t="shared" si="44"/>
        <v>8.5275505645277914</v>
      </c>
      <c r="BI7" s="83">
        <f t="shared" si="45"/>
        <v>2.7650761972829367</v>
      </c>
      <c r="BJ7" s="83">
        <f t="shared" si="46"/>
        <v>5.9241190968833664</v>
      </c>
      <c r="BK7" s="83">
        <f t="shared" si="47"/>
        <v>3.2246751372725955</v>
      </c>
      <c r="BL7" s="83">
        <f t="shared" si="48"/>
        <v>4.0424145276547678</v>
      </c>
      <c r="BM7" s="83">
        <f t="shared" si="49"/>
        <v>8.0670303862736681</v>
      </c>
      <c r="BN7" s="83">
        <f t="shared" si="50"/>
        <v>0.59661395128096562</v>
      </c>
      <c r="BO7" s="83">
        <f t="shared" si="51"/>
        <v>2.1986421390494968</v>
      </c>
      <c r="BP7" s="83">
        <f t="shared" si="52"/>
        <v>0.83059814141869881</v>
      </c>
      <c r="BQ7" s="83">
        <f t="shared" si="53"/>
        <v>3.2360536245005362</v>
      </c>
      <c r="BR7" s="83">
        <f t="shared" si="54"/>
        <v>11.841388615653626</v>
      </c>
      <c r="BS7" s="83">
        <f t="shared" si="55"/>
        <v>1.5489016042871224</v>
      </c>
      <c r="BT7" s="83">
        <f t="shared" si="56"/>
        <v>3.4689687082780947</v>
      </c>
      <c r="BU7" s="83">
        <f t="shared" si="57"/>
        <v>2.9803815662670954</v>
      </c>
      <c r="BV7" s="83">
        <f t="shared" si="58"/>
        <v>4.8275554070417837</v>
      </c>
      <c r="BW7" s="83">
        <f t="shared" si="59"/>
        <v>10.195346500371345</v>
      </c>
      <c r="BX7" s="83">
        <f t="shared" si="60"/>
        <v>1.3882747712499393</v>
      </c>
      <c r="BY7" s="83">
        <f t="shared" si="61"/>
        <v>3.4689687082780947</v>
      </c>
      <c r="BZ7" s="83">
        <f t="shared" si="62"/>
        <v>2.9803815662670954</v>
      </c>
      <c r="CA7" s="83">
        <f t="shared" si="63"/>
        <v>6.6949174985568467</v>
      </c>
      <c r="CB7" s="83">
        <f t="shared" si="64"/>
        <v>8.2234839691627748</v>
      </c>
      <c r="CC7" s="83">
        <f t="shared" si="65"/>
        <v>1.6980550921073636</v>
      </c>
      <c r="CD7" s="83">
        <f t="shared" si="66"/>
        <v>4.3076648247449763</v>
      </c>
      <c r="CE7" s="83">
        <f t="shared" si="67"/>
        <v>4.8070995246932657</v>
      </c>
      <c r="CF7" s="83">
        <f t="shared" si="68"/>
        <v>9.4715133809429624</v>
      </c>
      <c r="CG7" s="83">
        <f t="shared" si="69"/>
        <v>4.8070995246932657</v>
      </c>
      <c r="CH7" s="83">
        <f t="shared" si="70"/>
        <v>4.836580736821313</v>
      </c>
      <c r="CI7" s="83">
        <f t="shared" si="71"/>
        <v>9.793676268659782</v>
      </c>
      <c r="CJ7" s="83">
        <f t="shared" si="72"/>
        <v>4.836580736821313</v>
      </c>
      <c r="CK7" s="83">
        <f t="shared" si="73"/>
        <v>2.6525029709020789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97</v>
      </c>
      <c r="D8" s="319" t="str">
        <f>Plantilla!G8</f>
        <v>IMP</v>
      </c>
      <c r="E8" s="265">
        <v>36526</v>
      </c>
      <c r="F8" s="115">
        <f>Plantilla!Q8</f>
        <v>7</v>
      </c>
      <c r="G8" s="142">
        <f t="shared" si="0"/>
        <v>1</v>
      </c>
      <c r="H8" s="142">
        <f t="shared" si="1"/>
        <v>1</v>
      </c>
      <c r="I8" s="195">
        <f>Plantilla!P8</f>
        <v>1.5</v>
      </c>
      <c r="J8" s="196">
        <f>Plantilla!I8</f>
        <v>17.899999999999999</v>
      </c>
      <c r="K8" s="49">
        <f>Plantilla!X8</f>
        <v>0</v>
      </c>
      <c r="L8" s="49">
        <f>Plantilla!Y8</f>
        <v>10.95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4.2312499999999993</v>
      </c>
      <c r="S8" s="196">
        <f t="shared" si="3"/>
        <v>17.265240264620751</v>
      </c>
      <c r="T8" s="49">
        <f t="shared" si="4"/>
        <v>0.77339999999999998</v>
      </c>
      <c r="U8" s="49">
        <f t="shared" si="5"/>
        <v>0.96389999999999998</v>
      </c>
      <c r="V8" s="196">
        <f t="shared" ca="1" si="6"/>
        <v>20.200470707973189</v>
      </c>
      <c r="W8" s="196">
        <f t="shared" ca="1" si="7"/>
        <v>20.200470707973189</v>
      </c>
      <c r="X8" s="83">
        <f t="shared" si="8"/>
        <v>5.7900209280605957</v>
      </c>
      <c r="Y8" s="83">
        <f t="shared" si="9"/>
        <v>8.7468276839933896</v>
      </c>
      <c r="Z8" s="83">
        <f t="shared" si="10"/>
        <v>5.7900209280605957</v>
      </c>
      <c r="AA8" s="83">
        <f t="shared" si="11"/>
        <v>7.286162885314166</v>
      </c>
      <c r="AB8" s="83">
        <f t="shared" si="12"/>
        <v>14.12047070797319</v>
      </c>
      <c r="AC8" s="83">
        <f t="shared" si="13"/>
        <v>3.643081442657083</v>
      </c>
      <c r="AD8" s="83">
        <f t="shared" si="14"/>
        <v>3.598672028497619</v>
      </c>
      <c r="AE8" s="83">
        <f t="shared" si="15"/>
        <v>5.3375379276138659</v>
      </c>
      <c r="AF8" s="83">
        <f t="shared" si="16"/>
        <v>10.209100321864616</v>
      </c>
      <c r="AG8" s="83">
        <f t="shared" si="17"/>
        <v>2.668768963806933</v>
      </c>
      <c r="AH8" s="83">
        <f t="shared" si="18"/>
        <v>5.8213812225696788</v>
      </c>
      <c r="AI8" s="83">
        <f t="shared" si="19"/>
        <v>12.990833051335336</v>
      </c>
      <c r="AJ8" s="83">
        <f t="shared" si="20"/>
        <v>5.8458748731009003</v>
      </c>
      <c r="AK8" s="83">
        <f t="shared" si="21"/>
        <v>2.5251186082315229</v>
      </c>
      <c r="AL8" s="83">
        <f t="shared" si="22"/>
        <v>8.8908367762882357</v>
      </c>
      <c r="AM8" s="83">
        <f t="shared" si="23"/>
        <v>10.646834913811785</v>
      </c>
      <c r="AN8" s="83">
        <f t="shared" si="24"/>
        <v>9.9972932612450176</v>
      </c>
      <c r="AO8" s="83">
        <f t="shared" si="25"/>
        <v>3.4569786082315228</v>
      </c>
      <c r="AP8" s="83">
        <f t="shared" si="26"/>
        <v>2.1316955638962787</v>
      </c>
      <c r="AQ8" s="83">
        <f t="shared" si="27"/>
        <v>3.8125270911527616</v>
      </c>
      <c r="AR8" s="83">
        <f t="shared" si="28"/>
        <v>8.3875596005360755</v>
      </c>
      <c r="AS8" s="83">
        <f t="shared" si="29"/>
        <v>1.9062635455763808</v>
      </c>
      <c r="AT8" s="83">
        <f t="shared" si="30"/>
        <v>14.273724348326692</v>
      </c>
      <c r="AU8" s="83">
        <f t="shared" si="31"/>
        <v>1.7056611920365148</v>
      </c>
      <c r="AV8" s="83">
        <f t="shared" si="32"/>
        <v>2.9792979174361447</v>
      </c>
      <c r="AW8" s="83">
        <f t="shared" si="33"/>
        <v>0.85283059601825739</v>
      </c>
      <c r="AX8" s="83">
        <f t="shared" si="34"/>
        <v>2.668768963806933</v>
      </c>
      <c r="AY8" s="83">
        <f t="shared" si="35"/>
        <v>5.6481882831892767</v>
      </c>
      <c r="AZ8" s="83">
        <f t="shared" si="36"/>
        <v>1.3343844819034665</v>
      </c>
      <c r="BA8" s="83">
        <f t="shared" si="37"/>
        <v>15.12047070797319</v>
      </c>
      <c r="BB8" s="83">
        <f t="shared" si="38"/>
        <v>3.319479089117217</v>
      </c>
      <c r="BC8" s="83">
        <f t="shared" si="39"/>
        <v>6.1793793600932281</v>
      </c>
      <c r="BD8" s="83">
        <f t="shared" si="40"/>
        <v>1.6597395445586085</v>
      </c>
      <c r="BE8" s="83">
        <f t="shared" si="41"/>
        <v>4.1090569760201978</v>
      </c>
      <c r="BF8" s="83">
        <f t="shared" si="42"/>
        <v>4.9139238063746697</v>
      </c>
      <c r="BG8" s="83">
        <f t="shared" si="43"/>
        <v>13.32113469372438</v>
      </c>
      <c r="BH8" s="83">
        <f t="shared" si="44"/>
        <v>12.812098459388165</v>
      </c>
      <c r="BI8" s="83">
        <f t="shared" si="45"/>
        <v>3.1620334406215389</v>
      </c>
      <c r="BJ8" s="83">
        <f t="shared" si="46"/>
        <v>6.8484282933669975</v>
      </c>
      <c r="BK8" s="83">
        <f t="shared" si="47"/>
        <v>3.7278042669049225</v>
      </c>
      <c r="BL8" s="83">
        <f t="shared" si="48"/>
        <v>5.7608993397377857</v>
      </c>
      <c r="BM8" s="83">
        <f t="shared" si="49"/>
        <v>12.81329139876857</v>
      </c>
      <c r="BN8" s="83">
        <f t="shared" si="50"/>
        <v>0.68226447681460589</v>
      </c>
      <c r="BO8" s="83">
        <f t="shared" si="51"/>
        <v>2.5416847274351744</v>
      </c>
      <c r="BP8" s="83">
        <f t="shared" si="52"/>
        <v>0.96019200814217698</v>
      </c>
      <c r="BQ8" s="83">
        <f t="shared" si="53"/>
        <v>4.6117435659318229</v>
      </c>
      <c r="BR8" s="83">
        <f t="shared" si="54"/>
        <v>18.872925330453523</v>
      </c>
      <c r="BS8" s="83">
        <f t="shared" si="55"/>
        <v>1.7712635455763808</v>
      </c>
      <c r="BT8" s="83">
        <f t="shared" si="56"/>
        <v>4.0102136810643856</v>
      </c>
      <c r="BU8" s="83">
        <f t="shared" si="57"/>
        <v>3.4453948527454585</v>
      </c>
      <c r="BV8" s="83">
        <f t="shared" si="58"/>
        <v>6.8798141721278014</v>
      </c>
      <c r="BW8" s="83">
        <f t="shared" si="59"/>
        <v>16.265481544434294</v>
      </c>
      <c r="BX8" s="83">
        <f t="shared" si="60"/>
        <v>1.5875769556647561</v>
      </c>
      <c r="BY8" s="83">
        <f t="shared" si="61"/>
        <v>4.0102136810643856</v>
      </c>
      <c r="BZ8" s="83">
        <f t="shared" si="62"/>
        <v>3.4453948527454585</v>
      </c>
      <c r="CA8" s="83">
        <f t="shared" si="63"/>
        <v>9.5410170167310824</v>
      </c>
      <c r="CB8" s="83">
        <f t="shared" si="64"/>
        <v>13.146821283636005</v>
      </c>
      <c r="CC8" s="83">
        <f t="shared" si="65"/>
        <v>1.9418296647800322</v>
      </c>
      <c r="CD8" s="83">
        <f t="shared" si="66"/>
        <v>6.1389111074371154</v>
      </c>
      <c r="CE8" s="83">
        <f t="shared" si="67"/>
        <v>6.4887652388540324</v>
      </c>
      <c r="CF8" s="83">
        <f t="shared" si="68"/>
        <v>11.858650017177812</v>
      </c>
      <c r="CG8" s="83">
        <f t="shared" si="69"/>
        <v>6.4887652388540324</v>
      </c>
      <c r="CH8" s="83">
        <f t="shared" si="70"/>
        <v>7.1860532510672979</v>
      </c>
      <c r="CI8" s="83">
        <f t="shared" si="71"/>
        <v>12.961924399215299</v>
      </c>
      <c r="CJ8" s="83">
        <f t="shared" si="72"/>
        <v>7.1860532510672979</v>
      </c>
      <c r="CK8" s="83">
        <f t="shared" si="73"/>
        <v>3.7801176769932976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56</v>
      </c>
      <c r="D9" s="319" t="str">
        <f>Plantilla!G9</f>
        <v>TEC</v>
      </c>
      <c r="E9" s="265">
        <v>36526</v>
      </c>
      <c r="F9" s="115">
        <f>Plantilla!Q9</f>
        <v>4</v>
      </c>
      <c r="G9" s="142">
        <f t="shared" si="0"/>
        <v>0.7559289460184544</v>
      </c>
      <c r="H9" s="142">
        <f t="shared" si="1"/>
        <v>0.84430867747355465</v>
      </c>
      <c r="I9" s="195">
        <f>Plantilla!P9</f>
        <v>1.5</v>
      </c>
      <c r="J9" s="196">
        <f>Plantilla!I9</f>
        <v>15.3</v>
      </c>
      <c r="K9" s="49">
        <f>Plantilla!X9</f>
        <v>0</v>
      </c>
      <c r="L9" s="49">
        <f>Plantilla!Y9</f>
        <v>9.3036666666666648</v>
      </c>
      <c r="M9" s="49">
        <f>Plantilla!Z9</f>
        <v>13.95</v>
      </c>
      <c r="N9" s="49">
        <f>Plantilla!AA9</f>
        <v>11.95</v>
      </c>
      <c r="O9" s="49">
        <f>Plantilla!AB9</f>
        <v>9.9499999999999993</v>
      </c>
      <c r="P9" s="49">
        <f>Plantilla!AC9</f>
        <v>2.95</v>
      </c>
      <c r="Q9" s="49">
        <f>Plantilla!AD9</f>
        <v>16</v>
      </c>
      <c r="R9" s="196">
        <f t="shared" si="2"/>
        <v>4.0254583333333329</v>
      </c>
      <c r="S9" s="196">
        <f t="shared" si="3"/>
        <v>12.90289074947586</v>
      </c>
      <c r="T9" s="49">
        <f t="shared" si="4"/>
        <v>0.62750000000000006</v>
      </c>
      <c r="U9" s="49">
        <f t="shared" si="5"/>
        <v>0.8521466666666665</v>
      </c>
      <c r="V9" s="196">
        <f t="shared" ca="1" si="6"/>
        <v>14.044848808520447</v>
      </c>
      <c r="W9" s="196">
        <f t="shared" ca="1" si="7"/>
        <v>15.686907857274242</v>
      </c>
      <c r="X9" s="83">
        <f t="shared" si="8"/>
        <v>5.256292825471685</v>
      </c>
      <c r="Y9" s="83">
        <f t="shared" si="9"/>
        <v>7.9298071829140255</v>
      </c>
      <c r="Z9" s="83">
        <f t="shared" si="10"/>
        <v>5.256292825471685</v>
      </c>
      <c r="AA9" s="83">
        <f t="shared" si="11"/>
        <v>6.3897597044025067</v>
      </c>
      <c r="AB9" s="83">
        <f t="shared" si="12"/>
        <v>12.383255241090129</v>
      </c>
      <c r="AC9" s="83">
        <f t="shared" si="13"/>
        <v>3.1948798522012534</v>
      </c>
      <c r="AD9" s="83">
        <f t="shared" si="14"/>
        <v>4.0530420807127845</v>
      </c>
      <c r="AE9" s="83">
        <f t="shared" si="15"/>
        <v>4.6808704811320689</v>
      </c>
      <c r="AF9" s="83">
        <f t="shared" si="16"/>
        <v>8.9530935393081634</v>
      </c>
      <c r="AG9" s="83">
        <f t="shared" si="17"/>
        <v>2.3404352405660345</v>
      </c>
      <c r="AH9" s="83">
        <f t="shared" si="18"/>
        <v>6.5563916011530337</v>
      </c>
      <c r="AI9" s="83">
        <f t="shared" si="19"/>
        <v>11.39259482180292</v>
      </c>
      <c r="AJ9" s="83">
        <f t="shared" si="20"/>
        <v>5.1266676698113134</v>
      </c>
      <c r="AK9" s="83">
        <f t="shared" si="21"/>
        <v>2.8439412919287186</v>
      </c>
      <c r="AL9" s="83">
        <f t="shared" si="22"/>
        <v>8.8373980817609965</v>
      </c>
      <c r="AM9" s="83">
        <f t="shared" si="23"/>
        <v>9.3369744517819573</v>
      </c>
      <c r="AN9" s="83">
        <f t="shared" si="24"/>
        <v>8.7673447106918108</v>
      </c>
      <c r="AO9" s="83">
        <f t="shared" si="25"/>
        <v>3.1862912919287187</v>
      </c>
      <c r="AP9" s="83">
        <f t="shared" si="26"/>
        <v>2.0462535094339578</v>
      </c>
      <c r="AQ9" s="83">
        <f t="shared" si="27"/>
        <v>3.3434789150943351</v>
      </c>
      <c r="AR9" s="83">
        <f t="shared" si="28"/>
        <v>7.3556536132075365</v>
      </c>
      <c r="AS9" s="83">
        <f t="shared" si="29"/>
        <v>1.6717394575471676</v>
      </c>
      <c r="AT9" s="83">
        <f t="shared" si="30"/>
        <v>16.075931614255747</v>
      </c>
      <c r="AU9" s="83">
        <f t="shared" si="31"/>
        <v>1.6938465146750503</v>
      </c>
      <c r="AV9" s="83">
        <f t="shared" si="32"/>
        <v>2.6066694523060754</v>
      </c>
      <c r="AW9" s="83">
        <f t="shared" si="33"/>
        <v>0.84692325733752516</v>
      </c>
      <c r="AX9" s="83">
        <f t="shared" si="34"/>
        <v>2.3404352405660345</v>
      </c>
      <c r="AY9" s="83">
        <f t="shared" si="35"/>
        <v>4.9533020964360519</v>
      </c>
      <c r="AZ9" s="83">
        <f t="shared" si="36"/>
        <v>1.1702176202830172</v>
      </c>
      <c r="BA9" s="83">
        <f t="shared" si="37"/>
        <v>17.029588574423464</v>
      </c>
      <c r="BB9" s="83">
        <f t="shared" si="38"/>
        <v>3.2964859093291365</v>
      </c>
      <c r="BC9" s="83">
        <f t="shared" si="39"/>
        <v>5.7093033045073289</v>
      </c>
      <c r="BD9" s="83">
        <f t="shared" si="40"/>
        <v>1.6482429546645683</v>
      </c>
      <c r="BE9" s="83">
        <f t="shared" si="41"/>
        <v>3.6035272751572274</v>
      </c>
      <c r="BF9" s="83">
        <f t="shared" si="42"/>
        <v>4.3093728238993645</v>
      </c>
      <c r="BG9" s="83">
        <f t="shared" si="43"/>
        <v>15.003067534067071</v>
      </c>
      <c r="BH9" s="83">
        <f t="shared" si="44"/>
        <v>12.731304242662457</v>
      </c>
      <c r="BI9" s="83">
        <f t="shared" si="45"/>
        <v>3.1401308464360547</v>
      </c>
      <c r="BJ9" s="83">
        <f t="shared" si="46"/>
        <v>6.0058787919287129</v>
      </c>
      <c r="BK9" s="83">
        <f t="shared" si="47"/>
        <v>3.2691793836477943</v>
      </c>
      <c r="BL9" s="83">
        <f t="shared" si="48"/>
        <v>6.4882732468553401</v>
      </c>
      <c r="BM9" s="83">
        <f t="shared" si="49"/>
        <v>12.733860414046108</v>
      </c>
      <c r="BN9" s="83">
        <f t="shared" si="50"/>
        <v>0.67753860587002013</v>
      </c>
      <c r="BO9" s="83">
        <f t="shared" si="51"/>
        <v>2.2289859433962231</v>
      </c>
      <c r="BP9" s="83">
        <f t="shared" si="52"/>
        <v>0.84206135639412882</v>
      </c>
      <c r="BQ9" s="83">
        <f t="shared" si="53"/>
        <v>5.194024515199156</v>
      </c>
      <c r="BR9" s="83">
        <f t="shared" si="54"/>
        <v>18.756050906708573</v>
      </c>
      <c r="BS9" s="83">
        <f t="shared" si="55"/>
        <v>1.7589944575471677</v>
      </c>
      <c r="BT9" s="83">
        <f t="shared" si="56"/>
        <v>3.5168444884695966</v>
      </c>
      <c r="BU9" s="83">
        <f t="shared" si="57"/>
        <v>3.0215142788259914</v>
      </c>
      <c r="BV9" s="83">
        <f t="shared" si="58"/>
        <v>7.7484628013626766</v>
      </c>
      <c r="BW9" s="83">
        <f t="shared" si="59"/>
        <v>16.164784140461197</v>
      </c>
      <c r="BX9" s="83">
        <f t="shared" si="60"/>
        <v>1.576580217505239</v>
      </c>
      <c r="BY9" s="83">
        <f t="shared" si="61"/>
        <v>3.5168444884695966</v>
      </c>
      <c r="BZ9" s="83">
        <f t="shared" si="62"/>
        <v>3.0215142788259914</v>
      </c>
      <c r="CA9" s="83">
        <f t="shared" si="63"/>
        <v>10.745670390461205</v>
      </c>
      <c r="CB9" s="83">
        <f t="shared" si="64"/>
        <v>13.065481774108999</v>
      </c>
      <c r="CC9" s="83">
        <f t="shared" si="65"/>
        <v>1.9283791090146725</v>
      </c>
      <c r="CD9" s="83">
        <f t="shared" si="66"/>
        <v>6.9140129612159269</v>
      </c>
      <c r="CE9" s="83">
        <f t="shared" si="67"/>
        <v>7.2417827332285016</v>
      </c>
      <c r="CF9" s="83">
        <f t="shared" si="68"/>
        <v>10.590316734800822</v>
      </c>
      <c r="CG9" s="83">
        <f t="shared" si="69"/>
        <v>7.2417827332285016</v>
      </c>
      <c r="CH9" s="83">
        <f t="shared" si="70"/>
        <v>6.6094336818658181</v>
      </c>
      <c r="CI9" s="83">
        <f t="shared" si="71"/>
        <v>10.837506758385723</v>
      </c>
      <c r="CJ9" s="83">
        <f t="shared" si="72"/>
        <v>6.6094336818658181</v>
      </c>
      <c r="CK9" s="83">
        <f t="shared" si="73"/>
        <v>4.257397143605866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e">
        <f>Plantilla!#REF!</f>
        <v>#REF!</v>
      </c>
      <c r="B11" s="319" t="e">
        <f>Plantilla!#REF!</f>
        <v>#REF!</v>
      </c>
      <c r="C11" s="115" t="e">
        <f>Plantilla!#REF!</f>
        <v>#REF!</v>
      </c>
      <c r="D11" s="319" t="e">
        <f>Plantilla!#REF!</f>
        <v>#REF!</v>
      </c>
      <c r="E11" s="265">
        <v>36526</v>
      </c>
      <c r="F11" s="115" t="e">
        <f>Plantilla!#REF!</f>
        <v>#REF!</v>
      </c>
      <c r="G11" s="142" t="e">
        <f t="shared" si="0"/>
        <v>#REF!</v>
      </c>
      <c r="H11" s="142" t="e">
        <f t="shared" si="1"/>
        <v>#REF!</v>
      </c>
      <c r="I11" s="195" t="e">
        <f>Plantilla!#REF!</f>
        <v>#REF!</v>
      </c>
      <c r="J11" s="196" t="e">
        <f>Plantilla!#REF!</f>
        <v>#REF!</v>
      </c>
      <c r="K11" s="49" t="e">
        <f>Plantilla!#REF!</f>
        <v>#REF!</v>
      </c>
      <c r="L11" s="49" t="e">
        <f>Plantilla!#REF!</f>
        <v>#REF!</v>
      </c>
      <c r="M11" s="49" t="e">
        <f>Plantilla!#REF!</f>
        <v>#REF!</v>
      </c>
      <c r="N11" s="49" t="e">
        <f>Plantilla!#REF!</f>
        <v>#REF!</v>
      </c>
      <c r="O11" s="49" t="e">
        <f>Plantilla!#REF!</f>
        <v>#REF!</v>
      </c>
      <c r="P11" s="49" t="e">
        <f>Plantilla!#REF!</f>
        <v>#REF!</v>
      </c>
      <c r="Q11" s="49" t="e">
        <f>Plantilla!#REF!</f>
        <v>#REF!</v>
      </c>
      <c r="R11" s="196" t="e">
        <f t="shared" si="2"/>
        <v>#REF!</v>
      </c>
      <c r="S11" s="196" t="e">
        <f t="shared" si="3"/>
        <v>#REF!</v>
      </c>
      <c r="T11" s="49" t="e">
        <f t="shared" si="4"/>
        <v>#REF!</v>
      </c>
      <c r="U11" s="49" t="e">
        <f t="shared" si="5"/>
        <v>#REF!</v>
      </c>
      <c r="V11" s="196" t="e">
        <f t="shared" ca="1" si="6"/>
        <v>#REF!</v>
      </c>
      <c r="W11" s="196" t="e">
        <f t="shared" ca="1" si="7"/>
        <v>#REF!</v>
      </c>
      <c r="X11" s="83" t="e">
        <f t="shared" si="8"/>
        <v>#REF!</v>
      </c>
      <c r="Y11" s="83" t="e">
        <f t="shared" si="9"/>
        <v>#REF!</v>
      </c>
      <c r="Z11" s="83" t="e">
        <f t="shared" si="10"/>
        <v>#REF!</v>
      </c>
      <c r="AA11" s="83" t="e">
        <f t="shared" si="11"/>
        <v>#REF!</v>
      </c>
      <c r="AB11" s="83" t="e">
        <f t="shared" si="12"/>
        <v>#REF!</v>
      </c>
      <c r="AC11" s="83" t="e">
        <f t="shared" si="13"/>
        <v>#REF!</v>
      </c>
      <c r="AD11" s="83" t="e">
        <f t="shared" si="14"/>
        <v>#REF!</v>
      </c>
      <c r="AE11" s="83" t="e">
        <f t="shared" si="15"/>
        <v>#REF!</v>
      </c>
      <c r="AF11" s="83" t="e">
        <f t="shared" si="16"/>
        <v>#REF!</v>
      </c>
      <c r="AG11" s="83" t="e">
        <f t="shared" si="17"/>
        <v>#REF!</v>
      </c>
      <c r="AH11" s="83" t="e">
        <f t="shared" si="18"/>
        <v>#REF!</v>
      </c>
      <c r="AI11" s="83" t="e">
        <f t="shared" si="19"/>
        <v>#REF!</v>
      </c>
      <c r="AJ11" s="83" t="e">
        <f t="shared" si="20"/>
        <v>#REF!</v>
      </c>
      <c r="AK11" s="83" t="e">
        <f t="shared" si="21"/>
        <v>#REF!</v>
      </c>
      <c r="AL11" s="83" t="e">
        <f t="shared" si="22"/>
        <v>#REF!</v>
      </c>
      <c r="AM11" s="83" t="e">
        <f t="shared" si="23"/>
        <v>#REF!</v>
      </c>
      <c r="AN11" s="83" t="e">
        <f t="shared" si="24"/>
        <v>#REF!</v>
      </c>
      <c r="AO11" s="83" t="e">
        <f t="shared" si="25"/>
        <v>#REF!</v>
      </c>
      <c r="AP11" s="83" t="e">
        <f t="shared" si="26"/>
        <v>#REF!</v>
      </c>
      <c r="AQ11" s="83" t="e">
        <f t="shared" si="27"/>
        <v>#REF!</v>
      </c>
      <c r="AR11" s="83" t="e">
        <f t="shared" si="28"/>
        <v>#REF!</v>
      </c>
      <c r="AS11" s="83" t="e">
        <f t="shared" si="29"/>
        <v>#REF!</v>
      </c>
      <c r="AT11" s="83" t="e">
        <f t="shared" si="30"/>
        <v>#REF!</v>
      </c>
      <c r="AU11" s="83" t="e">
        <f t="shared" si="31"/>
        <v>#REF!</v>
      </c>
      <c r="AV11" s="83" t="e">
        <f t="shared" si="32"/>
        <v>#REF!</v>
      </c>
      <c r="AW11" s="83" t="e">
        <f t="shared" si="33"/>
        <v>#REF!</v>
      </c>
      <c r="AX11" s="83" t="e">
        <f t="shared" si="34"/>
        <v>#REF!</v>
      </c>
      <c r="AY11" s="83" t="e">
        <f t="shared" si="35"/>
        <v>#REF!</v>
      </c>
      <c r="AZ11" s="83" t="e">
        <f t="shared" si="36"/>
        <v>#REF!</v>
      </c>
      <c r="BA11" s="83" t="e">
        <f t="shared" si="37"/>
        <v>#REF!</v>
      </c>
      <c r="BB11" s="83" t="e">
        <f t="shared" si="38"/>
        <v>#REF!</v>
      </c>
      <c r="BC11" s="83" t="e">
        <f t="shared" si="39"/>
        <v>#REF!</v>
      </c>
      <c r="BD11" s="83" t="e">
        <f t="shared" si="40"/>
        <v>#REF!</v>
      </c>
      <c r="BE11" s="83" t="e">
        <f t="shared" si="41"/>
        <v>#REF!</v>
      </c>
      <c r="BF11" s="83" t="e">
        <f t="shared" si="42"/>
        <v>#REF!</v>
      </c>
      <c r="BG11" s="83" t="e">
        <f t="shared" si="43"/>
        <v>#REF!</v>
      </c>
      <c r="BH11" s="83" t="e">
        <f t="shared" si="44"/>
        <v>#REF!</v>
      </c>
      <c r="BI11" s="83" t="e">
        <f t="shared" si="45"/>
        <v>#REF!</v>
      </c>
      <c r="BJ11" s="83" t="e">
        <f t="shared" si="46"/>
        <v>#REF!</v>
      </c>
      <c r="BK11" s="83" t="e">
        <f t="shared" si="47"/>
        <v>#REF!</v>
      </c>
      <c r="BL11" s="83" t="e">
        <f t="shared" si="48"/>
        <v>#REF!</v>
      </c>
      <c r="BM11" s="83" t="e">
        <f t="shared" si="49"/>
        <v>#REF!</v>
      </c>
      <c r="BN11" s="83" t="e">
        <f t="shared" si="50"/>
        <v>#REF!</v>
      </c>
      <c r="BO11" s="83" t="e">
        <f t="shared" si="51"/>
        <v>#REF!</v>
      </c>
      <c r="BP11" s="83" t="e">
        <f t="shared" si="52"/>
        <v>#REF!</v>
      </c>
      <c r="BQ11" s="83" t="e">
        <f t="shared" si="53"/>
        <v>#REF!</v>
      </c>
      <c r="BR11" s="83" t="e">
        <f t="shared" si="54"/>
        <v>#REF!</v>
      </c>
      <c r="BS11" s="83" t="e">
        <f t="shared" si="55"/>
        <v>#REF!</v>
      </c>
      <c r="BT11" s="83" t="e">
        <f t="shared" si="56"/>
        <v>#REF!</v>
      </c>
      <c r="BU11" s="83" t="e">
        <f t="shared" si="57"/>
        <v>#REF!</v>
      </c>
      <c r="BV11" s="83" t="e">
        <f t="shared" si="58"/>
        <v>#REF!</v>
      </c>
      <c r="BW11" s="83" t="e">
        <f t="shared" si="59"/>
        <v>#REF!</v>
      </c>
      <c r="BX11" s="83" t="e">
        <f t="shared" si="60"/>
        <v>#REF!</v>
      </c>
      <c r="BY11" s="83" t="e">
        <f t="shared" si="61"/>
        <v>#REF!</v>
      </c>
      <c r="BZ11" s="83" t="e">
        <f t="shared" si="62"/>
        <v>#REF!</v>
      </c>
      <c r="CA11" s="83" t="e">
        <f t="shared" si="63"/>
        <v>#REF!</v>
      </c>
      <c r="CB11" s="83" t="e">
        <f t="shared" si="64"/>
        <v>#REF!</v>
      </c>
      <c r="CC11" s="83" t="e">
        <f t="shared" si="65"/>
        <v>#REF!</v>
      </c>
      <c r="CD11" s="83" t="e">
        <f t="shared" si="66"/>
        <v>#REF!</v>
      </c>
      <c r="CE11" s="83" t="e">
        <f t="shared" si="67"/>
        <v>#REF!</v>
      </c>
      <c r="CF11" s="83" t="e">
        <f t="shared" si="68"/>
        <v>#REF!</v>
      </c>
      <c r="CG11" s="83" t="e">
        <f t="shared" si="69"/>
        <v>#REF!</v>
      </c>
      <c r="CH11" s="83" t="e">
        <f t="shared" si="70"/>
        <v>#REF!</v>
      </c>
      <c r="CI11" s="83" t="e">
        <f t="shared" si="71"/>
        <v>#REF!</v>
      </c>
      <c r="CJ11" s="83" t="e">
        <f t="shared" si="72"/>
        <v>#REF!</v>
      </c>
      <c r="CK11" s="83" t="e">
        <f t="shared" si="73"/>
        <v>#REF!</v>
      </c>
    </row>
    <row r="12" spans="1:89" x14ac:dyDescent="0.25">
      <c r="A12" t="str">
        <f>Plantilla!D13</f>
        <v>I. Vanags</v>
      </c>
      <c r="B12" s="319">
        <f>Plantilla!E13</f>
        <v>19</v>
      </c>
      <c r="C12" s="115">
        <f ca="1">Plantilla!F13</f>
        <v>79</v>
      </c>
      <c r="D12" s="319" t="str">
        <f>Plantilla!G13</f>
        <v>CAB</v>
      </c>
      <c r="E12" s="265">
        <f>Plantilla!O13</f>
        <v>43626</v>
      </c>
      <c r="F12" s="115">
        <f>Plantilla!Q13</f>
        <v>5</v>
      </c>
      <c r="G12" s="142">
        <f t="shared" si="0"/>
        <v>0.84515425472851657</v>
      </c>
      <c r="H12" s="142">
        <f t="shared" si="1"/>
        <v>0.92504826128926143</v>
      </c>
      <c r="I12" s="195">
        <f ca="1">Plantilla!P13</f>
        <v>0.56054149028618405</v>
      </c>
      <c r="J12" s="196">
        <f>Plantilla!I13</f>
        <v>0.8</v>
      </c>
      <c r="K12" s="49">
        <f>Plantilla!X13</f>
        <v>0</v>
      </c>
      <c r="L12" s="49">
        <f>Plantilla!Y13</f>
        <v>4</v>
      </c>
      <c r="M12" s="49">
        <f>Plantilla!Z13</f>
        <v>10.666666666666666</v>
      </c>
      <c r="N12" s="49">
        <f>Plantilla!AA13</f>
        <v>3</v>
      </c>
      <c r="O12" s="49">
        <f>Plantilla!AB13</f>
        <v>4</v>
      </c>
      <c r="P12" s="49">
        <f>Plantilla!AC13</f>
        <v>7</v>
      </c>
      <c r="Q12" s="49">
        <f>Plantilla!AD13</f>
        <v>6</v>
      </c>
      <c r="R12" s="196">
        <f t="shared" si="2"/>
        <v>1.875</v>
      </c>
      <c r="S12" s="196">
        <f t="shared" ca="1" si="3"/>
        <v>8.2732351885353914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5.499415067213417</v>
      </c>
      <c r="W12" s="196">
        <f t="shared" ca="1" si="7"/>
        <v>6.0192850211324727</v>
      </c>
      <c r="X12" s="83">
        <f t="shared" ca="1" si="8"/>
        <v>1.480549465878461</v>
      </c>
      <c r="Y12" s="83">
        <f t="shared" ca="1" si="9"/>
        <v>2.256844628234929</v>
      </c>
      <c r="Z12" s="83">
        <f t="shared" ca="1" si="10"/>
        <v>1.480549465878461</v>
      </c>
      <c r="AA12" s="83">
        <f t="shared" ca="1" si="11"/>
        <v>2.286565320038128</v>
      </c>
      <c r="AB12" s="83">
        <f t="shared" ca="1" si="12"/>
        <v>4.4313281396087749</v>
      </c>
      <c r="AC12" s="83">
        <f t="shared" ca="1" si="13"/>
        <v>1.143282660019064</v>
      </c>
      <c r="AD12" s="83">
        <f t="shared" ca="1" si="14"/>
        <v>2.6413227638935548</v>
      </c>
      <c r="AE12" s="83">
        <f t="shared" ca="1" si="15"/>
        <v>1.6750420367721168</v>
      </c>
      <c r="AF12" s="83">
        <f t="shared" ca="1" si="16"/>
        <v>3.203850244937144</v>
      </c>
      <c r="AG12" s="83">
        <f t="shared" ca="1" si="17"/>
        <v>0.83752101838605841</v>
      </c>
      <c r="AH12" s="83">
        <f t="shared" ca="1" si="18"/>
        <v>4.2727280004160448</v>
      </c>
      <c r="AI12" s="83">
        <f t="shared" ca="1" si="19"/>
        <v>4.0768218884400733</v>
      </c>
      <c r="AJ12" s="83">
        <f t="shared" ca="1" si="20"/>
        <v>1.8345698497980327</v>
      </c>
      <c r="AK12" s="83">
        <f t="shared" ca="1" si="21"/>
        <v>1.8533651326479987</v>
      </c>
      <c r="AL12" s="83">
        <f t="shared" ca="1" si="22"/>
        <v>2.0176209460899597</v>
      </c>
      <c r="AM12" s="83">
        <f t="shared" ca="1" si="23"/>
        <v>3.3412214172650163</v>
      </c>
      <c r="AN12" s="83">
        <f t="shared" ca="1" si="24"/>
        <v>3.1373803228430126</v>
      </c>
      <c r="AO12" s="83">
        <f t="shared" ca="1" si="25"/>
        <v>1.0740317993146655</v>
      </c>
      <c r="AP12" s="83">
        <f t="shared" ca="1" si="26"/>
        <v>0.6642225042073272</v>
      </c>
      <c r="AQ12" s="83">
        <f t="shared" ca="1" si="27"/>
        <v>1.1964585976943694</v>
      </c>
      <c r="AR12" s="83">
        <f t="shared" ca="1" si="28"/>
        <v>2.6322089149276122</v>
      </c>
      <c r="AS12" s="83">
        <f t="shared" ca="1" si="29"/>
        <v>0.59822929884718468</v>
      </c>
      <c r="AT12" s="83">
        <f t="shared" ca="1" si="30"/>
        <v>10.476507097124015</v>
      </c>
      <c r="AU12" s="83">
        <f t="shared" ca="1" si="31"/>
        <v>0.57607265814914077</v>
      </c>
      <c r="AV12" s="83">
        <f t="shared" ca="1" si="32"/>
        <v>1.8173791449053711</v>
      </c>
      <c r="AW12" s="83">
        <f t="shared" ca="1" si="33"/>
        <v>0.28803632907457039</v>
      </c>
      <c r="AX12" s="83">
        <f t="shared" ca="1" si="34"/>
        <v>0.83752101838605841</v>
      </c>
      <c r="AY12" s="83">
        <f t="shared" ca="1" si="35"/>
        <v>1.77253125584351</v>
      </c>
      <c r="AZ12" s="83">
        <f t="shared" ca="1" si="36"/>
        <v>0.41876050919302921</v>
      </c>
      <c r="BA12" s="83">
        <f t="shared" ca="1" si="37"/>
        <v>11.097994806275441</v>
      </c>
      <c r="BB12" s="83">
        <f t="shared" ca="1" si="38"/>
        <v>1.12112601932102</v>
      </c>
      <c r="BC12" s="83">
        <f t="shared" ca="1" si="39"/>
        <v>3.0716618049244349</v>
      </c>
      <c r="BD12" s="83">
        <f t="shared" ca="1" si="40"/>
        <v>0.56056300966050998</v>
      </c>
      <c r="BE12" s="83">
        <f t="shared" ca="1" si="41"/>
        <v>1.2895164886261534</v>
      </c>
      <c r="BF12" s="83">
        <f t="shared" ca="1" si="42"/>
        <v>1.5421021925838536</v>
      </c>
      <c r="BG12" s="83">
        <f t="shared" ca="1" si="43"/>
        <v>9.7773334243286634</v>
      </c>
      <c r="BH12" s="83">
        <f t="shared" ca="1" si="44"/>
        <v>3.3654507161122011</v>
      </c>
      <c r="BI12" s="83">
        <f t="shared" ca="1" si="45"/>
        <v>1.0679500816457148</v>
      </c>
      <c r="BJ12" s="83">
        <f t="shared" ca="1" si="46"/>
        <v>2.1491941477102556</v>
      </c>
      <c r="BK12" s="83">
        <f t="shared" ca="1" si="47"/>
        <v>1.1698706288567167</v>
      </c>
      <c r="BL12" s="83">
        <f t="shared" ca="1" si="48"/>
        <v>4.2283360211909429</v>
      </c>
      <c r="BM12" s="83">
        <f t="shared" ca="1" si="49"/>
        <v>3.19998079401807</v>
      </c>
      <c r="BN12" s="83">
        <f t="shared" ca="1" si="50"/>
        <v>0.23042906325965629</v>
      </c>
      <c r="BO12" s="83">
        <f t="shared" ca="1" si="51"/>
        <v>0.79763906512957949</v>
      </c>
      <c r="BP12" s="83">
        <f t="shared" ca="1" si="52"/>
        <v>0.30133031349339673</v>
      </c>
      <c r="BQ12" s="83">
        <f t="shared" ca="1" si="53"/>
        <v>3.3848884159140096</v>
      </c>
      <c r="BR12" s="83">
        <f t="shared" ca="1" si="54"/>
        <v>4.6986879875368848</v>
      </c>
      <c r="BS12" s="83">
        <f t="shared" ca="1" si="55"/>
        <v>0.59822929884718468</v>
      </c>
      <c r="BT12" s="83">
        <f t="shared" ca="1" si="56"/>
        <v>1.2584971916488921</v>
      </c>
      <c r="BU12" s="83">
        <f t="shared" ca="1" si="57"/>
        <v>1.081244066064541</v>
      </c>
      <c r="BV12" s="83">
        <f t="shared" ca="1" si="58"/>
        <v>5.0495876368553256</v>
      </c>
      <c r="BW12" s="83">
        <f t="shared" ca="1" si="59"/>
        <v>4.045911578686523</v>
      </c>
      <c r="BX12" s="83">
        <f t="shared" ca="1" si="60"/>
        <v>0.53619070489266174</v>
      </c>
      <c r="BY12" s="83">
        <f t="shared" ca="1" si="61"/>
        <v>1.2584971916488921</v>
      </c>
      <c r="BZ12" s="83">
        <f t="shared" ca="1" si="62"/>
        <v>1.081244066064541</v>
      </c>
      <c r="CA12" s="83">
        <f t="shared" ca="1" si="63"/>
        <v>7.0028347227598031</v>
      </c>
      <c r="CB12" s="83">
        <f t="shared" ca="1" si="64"/>
        <v>3.2640386849498535</v>
      </c>
      <c r="CC12" s="83">
        <f t="shared" ca="1" si="65"/>
        <v>0.65583656466209861</v>
      </c>
      <c r="CD12" s="83">
        <f t="shared" ca="1" si="66"/>
        <v>4.5057858913478297</v>
      </c>
      <c r="CE12" s="83">
        <f t="shared" ca="1" si="67"/>
        <v>2.5457219607361719</v>
      </c>
      <c r="CF12" s="83">
        <f t="shared" ca="1" si="68"/>
        <v>6.7386754851994803</v>
      </c>
      <c r="CG12" s="83">
        <f t="shared" ca="1" si="69"/>
        <v>2.5457219607361719</v>
      </c>
      <c r="CH12" s="83">
        <f t="shared" ca="1" si="70"/>
        <v>3.4339766435018593</v>
      </c>
      <c r="CI12" s="83">
        <f t="shared" ca="1" si="71"/>
        <v>9.0664882231244128</v>
      </c>
      <c r="CJ12" s="83">
        <f t="shared" ca="1" si="72"/>
        <v>3.4339766435018593</v>
      </c>
      <c r="CK12" s="83">
        <f t="shared" ca="1" si="73"/>
        <v>2.7744987015688602</v>
      </c>
    </row>
    <row r="13" spans="1:89" x14ac:dyDescent="0.25">
      <c r="A13" t="str">
        <f>Plantilla!D14</f>
        <v>I. Stone</v>
      </c>
      <c r="B13" s="319">
        <f>Plantilla!E14</f>
        <v>19</v>
      </c>
      <c r="C13" s="115">
        <f ca="1">Plantilla!F14</f>
        <v>22</v>
      </c>
      <c r="D13" s="319" t="str">
        <f>Plantilla!G14</f>
        <v>RAP</v>
      </c>
      <c r="E13" s="265">
        <f>Plantilla!O14</f>
        <v>43633</v>
      </c>
      <c r="F13" s="115">
        <f>Plantilla!Q14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Plantilla!P14</f>
        <v>0.54190140505373663</v>
      </c>
      <c r="J13" s="196">
        <f>Plantilla!I14</f>
        <v>2</v>
      </c>
      <c r="K13" s="49">
        <f>Plantilla!X14</f>
        <v>0</v>
      </c>
      <c r="L13" s="49">
        <f>Plantilla!Y14</f>
        <v>3</v>
      </c>
      <c r="M13" s="49">
        <f>Plantilla!Z14</f>
        <v>9.5</v>
      </c>
      <c r="N13" s="49">
        <f>Plantilla!AA14</f>
        <v>2</v>
      </c>
      <c r="O13" s="49">
        <f>Plantilla!AB14</f>
        <v>6</v>
      </c>
      <c r="P13" s="49">
        <f>Plantilla!AC14</f>
        <v>9</v>
      </c>
      <c r="Q13" s="49">
        <f>Plantilla!AD14</f>
        <v>2</v>
      </c>
      <c r="R13" s="196">
        <f t="shared" si="2"/>
        <v>2.25</v>
      </c>
      <c r="S13" s="196">
        <f t="shared" ca="1" si="3"/>
        <v>10.524637159058623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2.7968960652842068</v>
      </c>
      <c r="W13" s="196">
        <f t="shared" ca="1" si="7"/>
        <v>3.018834403209731</v>
      </c>
      <c r="X13" s="83">
        <f t="shared" ca="1" si="8"/>
        <v>1.6514788415647863</v>
      </c>
      <c r="Y13" s="83">
        <f t="shared" ca="1" si="9"/>
        <v>2.4927676797939737</v>
      </c>
      <c r="Z13" s="83">
        <f t="shared" ca="1" si="10"/>
        <v>1.6514788415647863</v>
      </c>
      <c r="AA13" s="83">
        <f t="shared" ca="1" si="11"/>
        <v>2.034729762024547</v>
      </c>
      <c r="AB13" s="83">
        <f t="shared" ca="1" si="12"/>
        <v>3.9432747326057114</v>
      </c>
      <c r="AC13" s="83">
        <f t="shared" ca="1" si="13"/>
        <v>1.0173648810122735</v>
      </c>
      <c r="AD13" s="83">
        <f t="shared" ca="1" si="14"/>
        <v>2.4854993863601593</v>
      </c>
      <c r="AE13" s="83">
        <f t="shared" ca="1" si="15"/>
        <v>1.4905578489249589</v>
      </c>
      <c r="AF13" s="83">
        <f t="shared" ca="1" si="16"/>
        <v>2.8509876316739291</v>
      </c>
      <c r="AG13" s="83">
        <f t="shared" ca="1" si="17"/>
        <v>0.74527892446247945</v>
      </c>
      <c r="AH13" s="83">
        <f t="shared" ca="1" si="18"/>
        <v>4.0206607720531995</v>
      </c>
      <c r="AI13" s="83">
        <f t="shared" ca="1" si="19"/>
        <v>3.6278127539972544</v>
      </c>
      <c r="AJ13" s="83">
        <f t="shared" ca="1" si="20"/>
        <v>1.6325157392987644</v>
      </c>
      <c r="AK13" s="83">
        <f t="shared" ca="1" si="21"/>
        <v>1.744026880345154</v>
      </c>
      <c r="AL13" s="83">
        <f t="shared" ca="1" si="22"/>
        <v>1.7306455427721581</v>
      </c>
      <c r="AM13" s="83">
        <f t="shared" ca="1" si="23"/>
        <v>2.9732291483847062</v>
      </c>
      <c r="AN13" s="83">
        <f t="shared" ca="1" si="24"/>
        <v>2.7918385106848436</v>
      </c>
      <c r="AO13" s="83">
        <f t="shared" ca="1" si="25"/>
        <v>0.49152688034515385</v>
      </c>
      <c r="AP13" s="83">
        <f t="shared" ca="1" si="26"/>
        <v>0.91966312299044484</v>
      </c>
      <c r="AQ13" s="83">
        <f t="shared" ca="1" si="27"/>
        <v>1.0646841778035421</v>
      </c>
      <c r="AR13" s="83">
        <f t="shared" ca="1" si="28"/>
        <v>2.3423051911677923</v>
      </c>
      <c r="AS13" s="83">
        <f t="shared" ca="1" si="29"/>
        <v>0.53234208890177104</v>
      </c>
      <c r="AT13" s="83">
        <f t="shared" ca="1" si="30"/>
        <v>9.8584513475797912</v>
      </c>
      <c r="AU13" s="83">
        <f t="shared" ca="1" si="31"/>
        <v>0.90262571523874258</v>
      </c>
      <c r="AV13" s="83">
        <f t="shared" ca="1" si="32"/>
        <v>2.5533794966534735</v>
      </c>
      <c r="AW13" s="83">
        <f t="shared" ca="1" si="33"/>
        <v>0.45131285761937129</v>
      </c>
      <c r="AX13" s="83">
        <f t="shared" ca="1" si="34"/>
        <v>0.74527892446247945</v>
      </c>
      <c r="AY13" s="83">
        <f t="shared" ca="1" si="35"/>
        <v>1.5773098930422846</v>
      </c>
      <c r="AZ13" s="83">
        <f t="shared" ca="1" si="36"/>
        <v>0.37263946223123973</v>
      </c>
      <c r="BA13" s="83">
        <f t="shared" ca="1" si="37"/>
        <v>10.443274732605712</v>
      </c>
      <c r="BB13" s="83">
        <f t="shared" ca="1" si="38"/>
        <v>1.756648507349245</v>
      </c>
      <c r="BC13" s="83">
        <f t="shared" ca="1" si="39"/>
        <v>4.4557443776657468</v>
      </c>
      <c r="BD13" s="83">
        <f t="shared" ca="1" si="40"/>
        <v>0.87832425367462252</v>
      </c>
      <c r="BE13" s="83">
        <f t="shared" ca="1" si="41"/>
        <v>1.147492947188262</v>
      </c>
      <c r="BF13" s="83">
        <f t="shared" ca="1" si="42"/>
        <v>1.3722596069467874</v>
      </c>
      <c r="BG13" s="83">
        <f t="shared" ca="1" si="43"/>
        <v>9.2005250394256315</v>
      </c>
      <c r="BH13" s="83">
        <f t="shared" ca="1" si="44"/>
        <v>3.8765712372864773</v>
      </c>
      <c r="BI13" s="83">
        <f t="shared" ca="1" si="45"/>
        <v>1.6733292105579765</v>
      </c>
      <c r="BJ13" s="83">
        <f t="shared" ca="1" si="46"/>
        <v>1.9124882453137699</v>
      </c>
      <c r="BK13" s="83">
        <f t="shared" ca="1" si="47"/>
        <v>1.0410245294079079</v>
      </c>
      <c r="BL13" s="83">
        <f t="shared" ca="1" si="48"/>
        <v>3.9788876731227765</v>
      </c>
      <c r="BM13" s="83">
        <f t="shared" ca="1" si="49"/>
        <v>3.376422116297392</v>
      </c>
      <c r="BN13" s="83">
        <f t="shared" ca="1" si="50"/>
        <v>0.361050286095497</v>
      </c>
      <c r="BO13" s="83">
        <f t="shared" ca="1" si="51"/>
        <v>0.70978945186902798</v>
      </c>
      <c r="BP13" s="83">
        <f t="shared" ca="1" si="52"/>
        <v>0.26814268181718837</v>
      </c>
      <c r="BQ13" s="83">
        <f t="shared" ca="1" si="53"/>
        <v>3.1851987934447421</v>
      </c>
      <c r="BR13" s="83">
        <f t="shared" ca="1" si="54"/>
        <v>4.9290513061309449</v>
      </c>
      <c r="BS13" s="83">
        <f t="shared" ca="1" si="55"/>
        <v>0.93734208890177118</v>
      </c>
      <c r="BT13" s="83">
        <f t="shared" ca="1" si="56"/>
        <v>1.119890024060022</v>
      </c>
      <c r="BU13" s="83">
        <f t="shared" ca="1" si="57"/>
        <v>0.96215903475579356</v>
      </c>
      <c r="BV13" s="83">
        <f t="shared" ca="1" si="58"/>
        <v>4.7516900033355993</v>
      </c>
      <c r="BW13" s="83">
        <f t="shared" ca="1" si="59"/>
        <v>4.2371484037271285</v>
      </c>
      <c r="BX13" s="83">
        <f t="shared" ca="1" si="60"/>
        <v>0.84013624264529108</v>
      </c>
      <c r="BY13" s="83">
        <f t="shared" ca="1" si="61"/>
        <v>1.119890024060022</v>
      </c>
      <c r="BZ13" s="83">
        <f t="shared" ca="1" si="62"/>
        <v>0.96215903475579356</v>
      </c>
      <c r="CA13" s="83">
        <f t="shared" ca="1" si="63"/>
        <v>6.5897063562742044</v>
      </c>
      <c r="CB13" s="83">
        <f t="shared" ca="1" si="64"/>
        <v>3.4062308856821115</v>
      </c>
      <c r="CC13" s="83">
        <f t="shared" ca="1" si="65"/>
        <v>1.0276046604256452</v>
      </c>
      <c r="CD13" s="83">
        <f t="shared" ca="1" si="66"/>
        <v>4.2399695414379197</v>
      </c>
      <c r="CE13" s="83">
        <f t="shared" ca="1" si="67"/>
        <v>3.4224461356875757</v>
      </c>
      <c r="CF13" s="83">
        <f t="shared" ca="1" si="68"/>
        <v>9.5671273489140312</v>
      </c>
      <c r="CG13" s="83">
        <f t="shared" ca="1" si="69"/>
        <v>3.4224461356875757</v>
      </c>
      <c r="CH13" s="83">
        <f t="shared" ca="1" si="70"/>
        <v>4.3407657930993873</v>
      </c>
      <c r="CI13" s="83">
        <f t="shared" ca="1" si="71"/>
        <v>12.50534310893722</v>
      </c>
      <c r="CJ13" s="83">
        <f t="shared" ca="1" si="72"/>
        <v>4.3407657930993873</v>
      </c>
      <c r="CK13" s="83">
        <f t="shared" ca="1" si="73"/>
        <v>2.610818683151428</v>
      </c>
    </row>
    <row r="14" spans="1:89" x14ac:dyDescent="0.25">
      <c r="A14" t="str">
        <f>Plantilla!D15</f>
        <v>G. Piscaer</v>
      </c>
      <c r="B14" s="319">
        <f>Plantilla!E15</f>
        <v>19</v>
      </c>
      <c r="C14" s="115">
        <f ca="1">Plantilla!F15</f>
        <v>95</v>
      </c>
      <c r="D14" s="319" t="str">
        <f>Plantilla!G15</f>
        <v>IMP</v>
      </c>
      <c r="E14" s="265">
        <f>Plantilla!O15</f>
        <v>43630</v>
      </c>
      <c r="F14" s="115">
        <f>Plantilla!Q15</f>
        <v>5</v>
      </c>
      <c r="G14" s="142">
        <f t="shared" si="0"/>
        <v>0.84515425472851657</v>
      </c>
      <c r="H14" s="142">
        <f t="shared" si="1"/>
        <v>0.92504826128926143</v>
      </c>
      <c r="I14" s="195">
        <f ca="1">Plantilla!P15</f>
        <v>0.54993350287914911</v>
      </c>
      <c r="J14" s="196">
        <f>Plantilla!I15</f>
        <v>2.2999999999999998</v>
      </c>
      <c r="K14" s="49">
        <f>Plantilla!X15</f>
        <v>0</v>
      </c>
      <c r="L14" s="49">
        <f>Plantilla!Y15</f>
        <v>4</v>
      </c>
      <c r="M14" s="49">
        <f>Plantilla!Z15</f>
        <v>11.214285714285714</v>
      </c>
      <c r="N14" s="49">
        <f>Plantilla!AA15</f>
        <v>3</v>
      </c>
      <c r="O14" s="49">
        <f>Plantilla!AB15</f>
        <v>2</v>
      </c>
      <c r="P14" s="49">
        <f>Plantilla!AC15</f>
        <v>8</v>
      </c>
      <c r="Q14" s="49">
        <f>Plantilla!AD15</f>
        <v>0</v>
      </c>
      <c r="R14" s="196">
        <f t="shared" si="2"/>
        <v>1.375</v>
      </c>
      <c r="S14" s="196">
        <f t="shared" ca="1" si="3"/>
        <v>7.9612443981614263</v>
      </c>
      <c r="T14" s="49">
        <f t="shared" si="4"/>
        <v>0.4</v>
      </c>
      <c r="U14" s="49">
        <f t="shared" si="5"/>
        <v>0.16</v>
      </c>
      <c r="V14" s="196">
        <f t="shared" ca="1" si="6"/>
        <v>0.93734955624931959</v>
      </c>
      <c r="W14" s="196">
        <f t="shared" ca="1" si="7"/>
        <v>1.0259589564596403</v>
      </c>
      <c r="X14" s="83">
        <f t="shared" ca="1" si="8"/>
        <v>2.0051431491379752</v>
      </c>
      <c r="Y14" s="83">
        <f t="shared" ca="1" si="9"/>
        <v>3.0326183339485979</v>
      </c>
      <c r="Z14" s="83">
        <f t="shared" ca="1" si="10"/>
        <v>2.0051431491379752</v>
      </c>
      <c r="AA14" s="83">
        <f t="shared" ca="1" si="11"/>
        <v>2.5966344386657449</v>
      </c>
      <c r="AB14" s="83">
        <f t="shared" ca="1" si="12"/>
        <v>5.03223728423594</v>
      </c>
      <c r="AC14" s="83">
        <f t="shared" ca="1" si="13"/>
        <v>1.2983172193328725</v>
      </c>
      <c r="AD14" s="83">
        <f t="shared" ca="1" si="14"/>
        <v>2.9146724736481535</v>
      </c>
      <c r="AE14" s="83">
        <f t="shared" ca="1" si="15"/>
        <v>1.9021856934411854</v>
      </c>
      <c r="AF14" s="83">
        <f t="shared" ca="1" si="16"/>
        <v>3.6383075565025846</v>
      </c>
      <c r="AG14" s="83">
        <f t="shared" ca="1" si="17"/>
        <v>0.95109284672059269</v>
      </c>
      <c r="AH14" s="83">
        <f t="shared" ca="1" si="18"/>
        <v>4.7149113544308365</v>
      </c>
      <c r="AI14" s="83">
        <f t="shared" ca="1" si="19"/>
        <v>4.6296583014970647</v>
      </c>
      <c r="AJ14" s="83">
        <f t="shared" ca="1" si="20"/>
        <v>2.0833462356736789</v>
      </c>
      <c r="AK14" s="83">
        <f t="shared" ca="1" si="21"/>
        <v>2.0451693407531164</v>
      </c>
      <c r="AL14" s="83">
        <f t="shared" ca="1" si="22"/>
        <v>2.3709555231307324</v>
      </c>
      <c r="AM14" s="83">
        <f t="shared" ca="1" si="23"/>
        <v>3.7943069123138988</v>
      </c>
      <c r="AN14" s="83">
        <f t="shared" ca="1" si="24"/>
        <v>3.5628239972390454</v>
      </c>
      <c r="AO14" s="83">
        <f t="shared" ca="1" si="25"/>
        <v>0.17238362646740191</v>
      </c>
      <c r="AP14" s="83">
        <f t="shared" ca="1" si="26"/>
        <v>0.69328433785995058</v>
      </c>
      <c r="AQ14" s="83">
        <f t="shared" ca="1" si="27"/>
        <v>1.3587040667437038</v>
      </c>
      <c r="AR14" s="83">
        <f t="shared" ca="1" si="28"/>
        <v>2.9891489468361483</v>
      </c>
      <c r="AS14" s="83">
        <f t="shared" ca="1" si="29"/>
        <v>0.6793520333718519</v>
      </c>
      <c r="AT14" s="83">
        <f t="shared" ca="1" si="30"/>
        <v>11.56071771060444</v>
      </c>
      <c r="AU14" s="83">
        <f t="shared" ca="1" si="31"/>
        <v>0.39419084695067214</v>
      </c>
      <c r="AV14" s="83">
        <f t="shared" ca="1" si="32"/>
        <v>1.9264455242811303</v>
      </c>
      <c r="AW14" s="83">
        <f t="shared" ca="1" si="33"/>
        <v>0.19709542347533607</v>
      </c>
      <c r="AX14" s="83">
        <f t="shared" ca="1" si="34"/>
        <v>0.95109284672059269</v>
      </c>
      <c r="AY14" s="83">
        <f t="shared" ca="1" si="35"/>
        <v>2.0128949136943759</v>
      </c>
      <c r="AZ14" s="83">
        <f t="shared" ca="1" si="36"/>
        <v>0.47554642336029634</v>
      </c>
      <c r="BA14" s="83">
        <f t="shared" ca="1" si="37"/>
        <v>12.246522998521653</v>
      </c>
      <c r="BB14" s="83">
        <f t="shared" ca="1" si="38"/>
        <v>0.76715603291169265</v>
      </c>
      <c r="BC14" s="83">
        <f t="shared" ca="1" si="39"/>
        <v>2.9307627436140029</v>
      </c>
      <c r="BD14" s="83">
        <f t="shared" ca="1" si="40"/>
        <v>0.38357801645584633</v>
      </c>
      <c r="BE14" s="83">
        <f t="shared" ca="1" si="41"/>
        <v>1.4643810497126584</v>
      </c>
      <c r="BF14" s="83">
        <f t="shared" ca="1" si="42"/>
        <v>1.7512185749141069</v>
      </c>
      <c r="BG14" s="83">
        <f t="shared" ca="1" si="43"/>
        <v>10.789186761697577</v>
      </c>
      <c r="BH14" s="83">
        <f t="shared" ca="1" si="44"/>
        <v>3.2696589456857499</v>
      </c>
      <c r="BI14" s="83">
        <f t="shared" ca="1" si="45"/>
        <v>0.73076918550086145</v>
      </c>
      <c r="BJ14" s="83">
        <f t="shared" ca="1" si="46"/>
        <v>2.4406350828544308</v>
      </c>
      <c r="BK14" s="83">
        <f t="shared" ca="1" si="47"/>
        <v>1.3285106430382883</v>
      </c>
      <c r="BL14" s="83">
        <f t="shared" ca="1" si="48"/>
        <v>4.6659252624367502</v>
      </c>
      <c r="BM14" s="83">
        <f t="shared" ca="1" si="49"/>
        <v>3.3231753864222116</v>
      </c>
      <c r="BN14" s="83">
        <f t="shared" ca="1" si="50"/>
        <v>0.15767633878026885</v>
      </c>
      <c r="BO14" s="83">
        <f t="shared" ca="1" si="51"/>
        <v>0.90580271116246913</v>
      </c>
      <c r="BP14" s="83">
        <f t="shared" ca="1" si="52"/>
        <v>0.34219213532804393</v>
      </c>
      <c r="BQ14" s="83">
        <f t="shared" ca="1" si="53"/>
        <v>3.7351895145491043</v>
      </c>
      <c r="BR14" s="83">
        <f t="shared" ca="1" si="54"/>
        <v>4.8994571475274187</v>
      </c>
      <c r="BS14" s="83">
        <f t="shared" ca="1" si="55"/>
        <v>0.40935203337185189</v>
      </c>
      <c r="BT14" s="83">
        <f t="shared" ca="1" si="56"/>
        <v>1.4291553887230068</v>
      </c>
      <c r="BU14" s="83">
        <f t="shared" ca="1" si="57"/>
        <v>1.2278658973535694</v>
      </c>
      <c r="BV14" s="83">
        <f t="shared" ca="1" si="58"/>
        <v>5.5721679643273525</v>
      </c>
      <c r="BW14" s="83">
        <f t="shared" ca="1" si="59"/>
        <v>4.223718910933421</v>
      </c>
      <c r="BX14" s="83">
        <f t="shared" ca="1" si="60"/>
        <v>0.36690071139254865</v>
      </c>
      <c r="BY14" s="83">
        <f t="shared" ca="1" si="61"/>
        <v>1.4291553887230068</v>
      </c>
      <c r="BZ14" s="83">
        <f t="shared" ca="1" si="62"/>
        <v>1.2278658973535694</v>
      </c>
      <c r="CA14" s="83">
        <f t="shared" ca="1" si="63"/>
        <v>7.7275560120671631</v>
      </c>
      <c r="CB14" s="83">
        <f t="shared" ca="1" si="64"/>
        <v>3.4158523693911658</v>
      </c>
      <c r="CC14" s="83">
        <f t="shared" ca="1" si="65"/>
        <v>0.44877111806691905</v>
      </c>
      <c r="CD14" s="83">
        <f t="shared" ca="1" si="66"/>
        <v>4.9720883373997919</v>
      </c>
      <c r="CE14" s="83">
        <f t="shared" ca="1" si="67"/>
        <v>2.4857956250869249</v>
      </c>
      <c r="CF14" s="83">
        <f t="shared" ca="1" si="68"/>
        <v>6.9122991820496678</v>
      </c>
      <c r="CG14" s="83">
        <f t="shared" ca="1" si="69"/>
        <v>2.4857956250869249</v>
      </c>
      <c r="CH14" s="83">
        <f t="shared" ca="1" si="70"/>
        <v>3.7871011173304119</v>
      </c>
      <c r="CI14" s="83">
        <f t="shared" ca="1" si="71"/>
        <v>10.151132842119001</v>
      </c>
      <c r="CJ14" s="83">
        <f t="shared" ca="1" si="72"/>
        <v>3.7871011173304119</v>
      </c>
      <c r="CK14" s="83">
        <f t="shared" ca="1" si="73"/>
        <v>3.0616307496304134</v>
      </c>
    </row>
    <row r="15" spans="1:89" x14ac:dyDescent="0.25">
      <c r="A15" t="str">
        <f>Plantilla!D16</f>
        <v>M. Bondarewski</v>
      </c>
      <c r="B15" s="319">
        <f>Plantilla!E16</f>
        <v>19</v>
      </c>
      <c r="C15" s="115">
        <f ca="1">Plantilla!F16</f>
        <v>95</v>
      </c>
      <c r="D15" s="319" t="str">
        <f>Plantilla!G16</f>
        <v>RAP</v>
      </c>
      <c r="E15" s="265">
        <f>Plantilla!O16</f>
        <v>43627</v>
      </c>
      <c r="F15" s="115">
        <f>Plantilla!Q16</f>
        <v>6</v>
      </c>
      <c r="G15" s="142">
        <f t="shared" si="0"/>
        <v>0.92582009977255142</v>
      </c>
      <c r="H15" s="142">
        <f t="shared" si="1"/>
        <v>0.99928545900129484</v>
      </c>
      <c r="I15" s="195">
        <f ca="1">Plantilla!P16</f>
        <v>0.55790014502880092</v>
      </c>
      <c r="J15" s="196">
        <f>Plantilla!I16</f>
        <v>2.2999999999999998</v>
      </c>
      <c r="K15" s="49">
        <f>Plantilla!X16</f>
        <v>0</v>
      </c>
      <c r="L15" s="49">
        <f>Plantilla!Y16</f>
        <v>2</v>
      </c>
      <c r="M15" s="49">
        <f>Plantilla!Z16</f>
        <v>11.25</v>
      </c>
      <c r="N15" s="49">
        <f>Plantilla!AA16</f>
        <v>5</v>
      </c>
      <c r="O15" s="49">
        <f>Plantilla!AB16</f>
        <v>4</v>
      </c>
      <c r="P15" s="49">
        <f>Plantilla!AC16</f>
        <v>8</v>
      </c>
      <c r="Q15" s="49">
        <f>Plantilla!AD16</f>
        <v>6</v>
      </c>
      <c r="R15" s="196">
        <f t="shared" si="2"/>
        <v>1.625</v>
      </c>
      <c r="S15" s="196">
        <f t="shared" ca="1" si="3"/>
        <v>11.278850677312159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6.5882927309386945</v>
      </c>
      <c r="W15" s="196">
        <f t="shared" ca="1" si="7"/>
        <v>7.1110846775614123</v>
      </c>
      <c r="X15" s="83">
        <f t="shared" ca="1" si="8"/>
        <v>1.4600980277346212</v>
      </c>
      <c r="Y15" s="83">
        <f t="shared" ca="1" si="9"/>
        <v>2.1929032689637982</v>
      </c>
      <c r="Z15" s="83">
        <f t="shared" ca="1" si="10"/>
        <v>1.4600980277346212</v>
      </c>
      <c r="AA15" s="83">
        <f t="shared" ca="1" si="11"/>
        <v>1.5687452260149652</v>
      </c>
      <c r="AB15" s="83">
        <f t="shared" ca="1" si="12"/>
        <v>3.0402039263855913</v>
      </c>
      <c r="AC15" s="83">
        <f t="shared" ca="1" si="13"/>
        <v>0.78437261300748262</v>
      </c>
      <c r="AD15" s="83">
        <f t="shared" ca="1" si="14"/>
        <v>2.9250685344797707</v>
      </c>
      <c r="AE15" s="83">
        <f t="shared" ca="1" si="15"/>
        <v>1.1491970841737535</v>
      </c>
      <c r="AF15" s="83">
        <f t="shared" ca="1" si="16"/>
        <v>2.1980674387767825</v>
      </c>
      <c r="AG15" s="83">
        <f t="shared" ca="1" si="17"/>
        <v>0.57459854208687677</v>
      </c>
      <c r="AH15" s="83">
        <f t="shared" ca="1" si="18"/>
        <v>4.7317285116584529</v>
      </c>
      <c r="AI15" s="83">
        <f t="shared" ca="1" si="19"/>
        <v>2.7969876122747444</v>
      </c>
      <c r="AJ15" s="83">
        <f t="shared" ca="1" si="20"/>
        <v>1.2586444255236346</v>
      </c>
      <c r="AK15" s="83">
        <f t="shared" ca="1" si="21"/>
        <v>2.0524640557063942</v>
      </c>
      <c r="AL15" s="83">
        <f t="shared" ca="1" si="22"/>
        <v>3.5516399087147277</v>
      </c>
      <c r="AM15" s="83">
        <f t="shared" ca="1" si="23"/>
        <v>2.2923137604947357</v>
      </c>
      <c r="AN15" s="83">
        <f t="shared" ca="1" si="24"/>
        <v>2.1524643798809984</v>
      </c>
      <c r="AO15" s="83">
        <f t="shared" ca="1" si="25"/>
        <v>1.1757140557063939</v>
      </c>
      <c r="AP15" s="83">
        <f t="shared" ca="1" si="26"/>
        <v>0.76757873079905026</v>
      </c>
      <c r="AQ15" s="83">
        <f t="shared" ca="1" si="27"/>
        <v>0.82085506012410969</v>
      </c>
      <c r="AR15" s="83">
        <f t="shared" ca="1" si="28"/>
        <v>1.8058811322730413</v>
      </c>
      <c r="AS15" s="83">
        <f t="shared" ca="1" si="29"/>
        <v>0.41042753006205485</v>
      </c>
      <c r="AT15" s="83">
        <f t="shared" ca="1" si="30"/>
        <v>11.601952506507999</v>
      </c>
      <c r="AU15" s="83">
        <f t="shared" ca="1" si="31"/>
        <v>0.65522651043012692</v>
      </c>
      <c r="AV15" s="83">
        <f t="shared" ca="1" si="32"/>
        <v>2.1687797504309785</v>
      </c>
      <c r="AW15" s="83">
        <f t="shared" ca="1" si="33"/>
        <v>0.32761325521506346</v>
      </c>
      <c r="AX15" s="83">
        <f t="shared" ca="1" si="34"/>
        <v>0.57459854208687677</v>
      </c>
      <c r="AY15" s="83">
        <f t="shared" ca="1" si="35"/>
        <v>1.2160815705542367</v>
      </c>
      <c r="AZ15" s="83">
        <f t="shared" ca="1" si="36"/>
        <v>0.28729927104343839</v>
      </c>
      <c r="BA15" s="83">
        <f t="shared" ca="1" si="37"/>
        <v>12.290203926385592</v>
      </c>
      <c r="BB15" s="83">
        <f t="shared" ca="1" si="38"/>
        <v>1.2751715933755545</v>
      </c>
      <c r="BC15" s="83">
        <f t="shared" ca="1" si="39"/>
        <v>3.617152363438461</v>
      </c>
      <c r="BD15" s="83">
        <f t="shared" ca="1" si="40"/>
        <v>0.63758579668777726</v>
      </c>
      <c r="BE15" s="83">
        <f t="shared" ca="1" si="41"/>
        <v>0.88469934257820704</v>
      </c>
      <c r="BF15" s="83">
        <f t="shared" ca="1" si="42"/>
        <v>1.0579909663821858</v>
      </c>
      <c r="BG15" s="83">
        <f t="shared" ca="1" si="43"/>
        <v>10.827669659145707</v>
      </c>
      <c r="BH15" s="83">
        <f t="shared" ca="1" si="44"/>
        <v>5.054741290556791</v>
      </c>
      <c r="BI15" s="83">
        <f t="shared" ca="1" si="45"/>
        <v>1.2146891462589275</v>
      </c>
      <c r="BJ15" s="83">
        <f t="shared" ca="1" si="46"/>
        <v>1.4744989042970118</v>
      </c>
      <c r="BK15" s="83">
        <f t="shared" ca="1" si="47"/>
        <v>0.8026138365657961</v>
      </c>
      <c r="BL15" s="83">
        <f t="shared" ca="1" si="48"/>
        <v>4.682567695952911</v>
      </c>
      <c r="BM15" s="83">
        <f t="shared" ca="1" si="49"/>
        <v>5.0781382316610078</v>
      </c>
      <c r="BN15" s="83">
        <f t="shared" ca="1" si="50"/>
        <v>0.26209060417205071</v>
      </c>
      <c r="BO15" s="83">
        <f t="shared" ca="1" si="51"/>
        <v>0.54723670674940639</v>
      </c>
      <c r="BP15" s="83">
        <f t="shared" ca="1" si="52"/>
        <v>0.20673386699422022</v>
      </c>
      <c r="BQ15" s="83">
        <f t="shared" ca="1" si="53"/>
        <v>3.7485121975476057</v>
      </c>
      <c r="BR15" s="83">
        <f t="shared" ca="1" si="54"/>
        <v>7.4817022493318701</v>
      </c>
      <c r="BS15" s="83">
        <f t="shared" ca="1" si="55"/>
        <v>0.68042753006205492</v>
      </c>
      <c r="BT15" s="83">
        <f t="shared" ca="1" si="56"/>
        <v>0.86341791509350785</v>
      </c>
      <c r="BU15" s="83">
        <f t="shared" ca="1" si="57"/>
        <v>0.74180975803808424</v>
      </c>
      <c r="BV15" s="83">
        <f t="shared" ca="1" si="58"/>
        <v>5.592042786505445</v>
      </c>
      <c r="BW15" s="83">
        <f t="shared" ca="1" si="59"/>
        <v>6.4485459504352347</v>
      </c>
      <c r="BX15" s="83">
        <f t="shared" ca="1" si="60"/>
        <v>0.60986467509265652</v>
      </c>
      <c r="BY15" s="83">
        <f t="shared" ca="1" si="61"/>
        <v>0.86341791509350785</v>
      </c>
      <c r="BZ15" s="83">
        <f t="shared" ca="1" si="62"/>
        <v>0.74180975803808424</v>
      </c>
      <c r="CA15" s="83">
        <f t="shared" ca="1" si="63"/>
        <v>7.7551186775493086</v>
      </c>
      <c r="CB15" s="83">
        <f t="shared" ca="1" si="64"/>
        <v>5.2129825141151045</v>
      </c>
      <c r="CC15" s="83">
        <f t="shared" ca="1" si="65"/>
        <v>0.7459501811050675</v>
      </c>
      <c r="CD15" s="83">
        <f t="shared" ca="1" si="66"/>
        <v>4.989822794112551</v>
      </c>
      <c r="CE15" s="83">
        <f t="shared" ca="1" si="67"/>
        <v>3.2779462456468931</v>
      </c>
      <c r="CF15" s="83">
        <f t="shared" ca="1" si="68"/>
        <v>8.0072696211101757</v>
      </c>
      <c r="CG15" s="83">
        <f t="shared" ca="1" si="69"/>
        <v>3.2779462456468931</v>
      </c>
      <c r="CH15" s="83">
        <f t="shared" ca="1" si="70"/>
        <v>4.5159930084307351</v>
      </c>
      <c r="CI15" s="83">
        <f t="shared" ca="1" si="71"/>
        <v>10.900039175221876</v>
      </c>
      <c r="CJ15" s="83">
        <f t="shared" ca="1" si="72"/>
        <v>4.5159930084307351</v>
      </c>
      <c r="CK15" s="83">
        <f t="shared" ca="1" si="73"/>
        <v>3.0725509815963981</v>
      </c>
    </row>
    <row r="16" spans="1:89" x14ac:dyDescent="0.25">
      <c r="A16" t="str">
        <f>Plantilla!D20</f>
        <v>R. Binst</v>
      </c>
      <c r="B16" s="319">
        <f>Plantilla!E20</f>
        <v>22</v>
      </c>
      <c r="C16" s="115">
        <f ca="1">Plantilla!F20</f>
        <v>73</v>
      </c>
      <c r="D16" s="319">
        <f>Plantilla!G20</f>
        <v>0</v>
      </c>
      <c r="E16" s="265">
        <f>Plantilla!O20</f>
        <v>43745</v>
      </c>
      <c r="F16" s="115">
        <f>Plantilla!Q20</f>
        <v>5</v>
      </c>
      <c r="G16" s="142">
        <f t="shared" si="0"/>
        <v>0.84515425472851657</v>
      </c>
      <c r="H16" s="142">
        <f t="shared" si="1"/>
        <v>0.92504826128926143</v>
      </c>
      <c r="I16" s="195">
        <f ca="1">Plantilla!P20</f>
        <v>0.14812561692891457</v>
      </c>
      <c r="J16" s="196">
        <f>Plantilla!I20</f>
        <v>4.2</v>
      </c>
      <c r="K16" s="49">
        <f>Plantilla!X20</f>
        <v>0</v>
      </c>
      <c r="L16" s="49">
        <f>Plantilla!Y20</f>
        <v>2</v>
      </c>
      <c r="M16" s="49">
        <f>Plantilla!Z20</f>
        <v>10.142857142857142</v>
      </c>
      <c r="N16" s="49">
        <f>Plantilla!AA20</f>
        <v>12</v>
      </c>
      <c r="O16" s="49">
        <f>Plantilla!AB20</f>
        <v>5</v>
      </c>
      <c r="P16" s="49">
        <f>Plantilla!AC20</f>
        <v>5</v>
      </c>
      <c r="Q16" s="49">
        <f>Plantilla!AD20</f>
        <v>4</v>
      </c>
      <c r="R16" s="196">
        <f t="shared" si="2"/>
        <v>1.875</v>
      </c>
      <c r="S16" s="196">
        <f t="shared" ca="1" si="3"/>
        <v>5.0638655224520477</v>
      </c>
      <c r="T16" s="49">
        <f t="shared" si="4"/>
        <v>0.37</v>
      </c>
      <c r="U16" s="49">
        <f t="shared" si="5"/>
        <v>0.2</v>
      </c>
      <c r="V16" s="196">
        <f t="shared" ca="1" si="6"/>
        <v>4.2730432076133349</v>
      </c>
      <c r="W16" s="196">
        <f t="shared" ca="1" si="7"/>
        <v>4.6769819444218816</v>
      </c>
      <c r="X16" s="83">
        <f t="shared" ca="1" si="8"/>
        <v>1.4067758376020985</v>
      </c>
      <c r="Y16" s="83">
        <f t="shared" ca="1" si="9"/>
        <v>2.1140499499934813</v>
      </c>
      <c r="Z16" s="83">
        <f t="shared" ca="1" si="10"/>
        <v>1.4067758376020985</v>
      </c>
      <c r="AA16" s="83">
        <f t="shared" ca="1" si="11"/>
        <v>1.5372283301290754</v>
      </c>
      <c r="AB16" s="83">
        <f t="shared" ca="1" si="12"/>
        <v>2.9791246707927819</v>
      </c>
      <c r="AC16" s="83">
        <f t="shared" ca="1" si="13"/>
        <v>0.76861416506453772</v>
      </c>
      <c r="AD16" s="83">
        <f t="shared" ca="1" si="14"/>
        <v>2.6470316716486817</v>
      </c>
      <c r="AE16" s="83">
        <f t="shared" ca="1" si="15"/>
        <v>1.1261091255596716</v>
      </c>
      <c r="AF16" s="83">
        <f t="shared" ca="1" si="16"/>
        <v>2.153907136983181</v>
      </c>
      <c r="AG16" s="83">
        <f t="shared" ca="1" si="17"/>
        <v>0.56305456277983579</v>
      </c>
      <c r="AH16" s="83">
        <f t="shared" ca="1" si="18"/>
        <v>4.2819629982552208</v>
      </c>
      <c r="AI16" s="83">
        <f t="shared" ca="1" si="19"/>
        <v>2.7407946971293593</v>
      </c>
      <c r="AJ16" s="83">
        <f t="shared" ca="1" si="20"/>
        <v>1.2333576137082116</v>
      </c>
      <c r="AK16" s="83">
        <f t="shared" ca="1" si="21"/>
        <v>1.8573709628795374</v>
      </c>
      <c r="AL16" s="83">
        <f t="shared" ca="1" si="22"/>
        <v>7.631725306426155</v>
      </c>
      <c r="AM16" s="83">
        <f t="shared" ca="1" si="23"/>
        <v>2.2462600017777574</v>
      </c>
      <c r="AN16" s="83">
        <f t="shared" ca="1" si="24"/>
        <v>2.1092202669212896</v>
      </c>
      <c r="AO16" s="83">
        <f t="shared" ca="1" si="25"/>
        <v>0.8315138200223946</v>
      </c>
      <c r="AP16" s="83">
        <f t="shared" ca="1" si="26"/>
        <v>0.8219879051883211</v>
      </c>
      <c r="AQ16" s="83">
        <f t="shared" ca="1" si="27"/>
        <v>0.80436366111405111</v>
      </c>
      <c r="AR16" s="83">
        <f t="shared" ca="1" si="28"/>
        <v>1.7696000544509123</v>
      </c>
      <c r="AS16" s="83">
        <f t="shared" ca="1" si="29"/>
        <v>0.40218183055702555</v>
      </c>
      <c r="AT16" s="83">
        <f t="shared" ca="1" si="30"/>
        <v>10.499150832085528</v>
      </c>
      <c r="AU16" s="83">
        <f t="shared" ca="1" si="31"/>
        <v>0.77728620720306163</v>
      </c>
      <c r="AV16" s="83">
        <f t="shared" ca="1" si="32"/>
        <v>1.7518835285422849</v>
      </c>
      <c r="AW16" s="83">
        <f t="shared" ca="1" si="33"/>
        <v>0.38864310360153081</v>
      </c>
      <c r="AX16" s="83">
        <f t="shared" ca="1" si="34"/>
        <v>0.56305456277983579</v>
      </c>
      <c r="AY16" s="83">
        <f t="shared" ca="1" si="35"/>
        <v>1.1916498683171128</v>
      </c>
      <c r="AZ16" s="83">
        <f t="shared" ca="1" si="36"/>
        <v>0.28152728138991789</v>
      </c>
      <c r="BA16" s="83">
        <f t="shared" ca="1" si="37"/>
        <v>11.121981813649924</v>
      </c>
      <c r="BB16" s="83">
        <f t="shared" ca="1" si="38"/>
        <v>1.5127185417105737</v>
      </c>
      <c r="BC16" s="83">
        <f t="shared" ca="1" si="39"/>
        <v>3.2944976936068224</v>
      </c>
      <c r="BD16" s="83">
        <f t="shared" ca="1" si="40"/>
        <v>0.75635927085528687</v>
      </c>
      <c r="BE16" s="83">
        <f t="shared" ca="1" si="41"/>
        <v>0.86692527920069951</v>
      </c>
      <c r="BF16" s="83">
        <f t="shared" ca="1" si="42"/>
        <v>1.0367353854358881</v>
      </c>
      <c r="BG16" s="83">
        <f t="shared" ca="1" si="43"/>
        <v>9.7984659778255825</v>
      </c>
      <c r="BH16" s="83">
        <f t="shared" ca="1" si="44"/>
        <v>9.333441832334783</v>
      </c>
      <c r="BI16" s="83">
        <f t="shared" ca="1" si="45"/>
        <v>1.4409690456610604</v>
      </c>
      <c r="BJ16" s="83">
        <f t="shared" ca="1" si="46"/>
        <v>1.4448754653344991</v>
      </c>
      <c r="BK16" s="83">
        <f t="shared" ca="1" si="47"/>
        <v>0.78648891308929447</v>
      </c>
      <c r="BL16" s="83">
        <f t="shared" ca="1" si="48"/>
        <v>4.2374750710006213</v>
      </c>
      <c r="BM16" s="83">
        <f t="shared" ca="1" si="49"/>
        <v>9.936754962272893</v>
      </c>
      <c r="BN16" s="83">
        <f t="shared" ca="1" si="50"/>
        <v>0.31091448288122464</v>
      </c>
      <c r="BO16" s="83">
        <f t="shared" ca="1" si="51"/>
        <v>0.53624244074270067</v>
      </c>
      <c r="BP16" s="83">
        <f t="shared" ca="1" si="52"/>
        <v>0.20258047761390918</v>
      </c>
      <c r="BQ16" s="83">
        <f t="shared" ca="1" si="53"/>
        <v>3.3922044531632269</v>
      </c>
      <c r="BR16" s="83">
        <f t="shared" ca="1" si="54"/>
        <v>14.689154326639517</v>
      </c>
      <c r="BS16" s="83">
        <f t="shared" ca="1" si="55"/>
        <v>0.80718183055702564</v>
      </c>
      <c r="BT16" s="83">
        <f t="shared" ca="1" si="56"/>
        <v>0.84607140650515</v>
      </c>
      <c r="BU16" s="83">
        <f t="shared" ca="1" si="57"/>
        <v>0.72690641967343872</v>
      </c>
      <c r="BV16" s="83">
        <f t="shared" ca="1" si="58"/>
        <v>5.0605017252107158</v>
      </c>
      <c r="BW16" s="83">
        <f t="shared" ca="1" si="59"/>
        <v>12.672870135238401</v>
      </c>
      <c r="BX16" s="83">
        <f t="shared" ca="1" si="60"/>
        <v>0.72347408516592659</v>
      </c>
      <c r="BY16" s="83">
        <f t="shared" ca="1" si="61"/>
        <v>0.84607140650515</v>
      </c>
      <c r="BZ16" s="83">
        <f t="shared" ca="1" si="62"/>
        <v>0.72690641967343872</v>
      </c>
      <c r="CA16" s="83">
        <f t="shared" ca="1" si="63"/>
        <v>7.0179705244131023</v>
      </c>
      <c r="CB16" s="83">
        <f t="shared" ca="1" si="64"/>
        <v>10.26531658035954</v>
      </c>
      <c r="CC16" s="83">
        <f t="shared" ca="1" si="65"/>
        <v>0.8849104512773317</v>
      </c>
      <c r="CD16" s="83">
        <f t="shared" ca="1" si="66"/>
        <v>4.5155246163418692</v>
      </c>
      <c r="CE16" s="83">
        <f t="shared" ca="1" si="67"/>
        <v>4.1231239534830397</v>
      </c>
      <c r="CF16" s="83">
        <f t="shared" ca="1" si="68"/>
        <v>6.7324943793126728</v>
      </c>
      <c r="CG16" s="83">
        <f t="shared" ca="1" si="69"/>
        <v>4.1231239534830397</v>
      </c>
      <c r="CH16" s="83">
        <f t="shared" ca="1" si="70"/>
        <v>5.4934820095023857</v>
      </c>
      <c r="CI16" s="83">
        <f t="shared" ca="1" si="71"/>
        <v>8.1854216743153181</v>
      </c>
      <c r="CJ16" s="83">
        <f t="shared" ca="1" si="72"/>
        <v>5.4934820095023857</v>
      </c>
      <c r="CK16" s="83">
        <f t="shared" ca="1" si="73"/>
        <v>2.7804954534124811</v>
      </c>
    </row>
    <row r="17" spans="1:89" x14ac:dyDescent="0.25">
      <c r="A17" t="str">
        <f>Plantilla!D18</f>
        <v>R. Forsyth</v>
      </c>
      <c r="B17" s="319">
        <f>Plantilla!E18</f>
        <v>20</v>
      </c>
      <c r="C17" s="115">
        <f ca="1">Plantilla!F18</f>
        <v>24</v>
      </c>
      <c r="D17" s="319" t="str">
        <f>Plantilla!G18</f>
        <v>POT</v>
      </c>
      <c r="E17" s="265">
        <f>Plantilla!O18</f>
        <v>43626</v>
      </c>
      <c r="F17" s="115">
        <f>Plantilla!Q18</f>
        <v>6</v>
      </c>
      <c r="G17" s="142">
        <f t="shared" si="0"/>
        <v>0.92582009977255142</v>
      </c>
      <c r="H17" s="142">
        <f t="shared" si="1"/>
        <v>0.99928545900129484</v>
      </c>
      <c r="I17" s="195">
        <f ca="1">Plantilla!P18</f>
        <v>0.56054149028618405</v>
      </c>
      <c r="J17" s="196">
        <f>Plantilla!I18</f>
        <v>2.4</v>
      </c>
      <c r="K17" s="49">
        <f>Plantilla!X18</f>
        <v>0</v>
      </c>
      <c r="L17" s="49">
        <f>Plantilla!Y18</f>
        <v>7</v>
      </c>
      <c r="M17" s="49">
        <f>Plantilla!Z18</f>
        <v>10.714285714285714</v>
      </c>
      <c r="N17" s="49">
        <f>Plantilla!AA18</f>
        <v>2</v>
      </c>
      <c r="O17" s="49">
        <f>Plantilla!AB18</f>
        <v>4</v>
      </c>
      <c r="P17" s="49">
        <f>Plantilla!AC18</f>
        <v>6</v>
      </c>
      <c r="Q17" s="49">
        <f>Plantilla!AD18</f>
        <v>2</v>
      </c>
      <c r="R17" s="196">
        <f t="shared" si="2"/>
        <v>2.25</v>
      </c>
      <c r="S17" s="196">
        <f t="shared" ca="1" si="3"/>
        <v>5.8191524857759998</v>
      </c>
      <c r="T17" s="49">
        <f t="shared" si="4"/>
        <v>0.36</v>
      </c>
      <c r="U17" s="49">
        <f t="shared" si="5"/>
        <v>0.34</v>
      </c>
      <c r="V17" s="196">
        <f t="shared" ca="1" si="6"/>
        <v>2.9099982352338341</v>
      </c>
      <c r="W17" s="196">
        <f t="shared" ca="1" si="7"/>
        <v>3.1409114177829962</v>
      </c>
      <c r="X17" s="83">
        <f t="shared" ca="1" si="8"/>
        <v>2.863918606372148</v>
      </c>
      <c r="Y17" s="83">
        <f t="shared" ca="1" si="9"/>
        <v>4.3531293480257078</v>
      </c>
      <c r="Z17" s="83">
        <f t="shared" ca="1" si="10"/>
        <v>2.863918606372148</v>
      </c>
      <c r="AA17" s="83">
        <f t="shared" ca="1" si="11"/>
        <v>4.1628247432852561</v>
      </c>
      <c r="AB17" s="83">
        <f t="shared" ca="1" si="12"/>
        <v>8.0674898125683256</v>
      </c>
      <c r="AC17" s="83">
        <f t="shared" ca="1" si="13"/>
        <v>2.081412371642628</v>
      </c>
      <c r="AD17" s="83">
        <f t="shared" ca="1" si="14"/>
        <v>2.8040625753912614</v>
      </c>
      <c r="AE17" s="83">
        <f t="shared" ca="1" si="15"/>
        <v>3.0495111491508271</v>
      </c>
      <c r="AF17" s="83">
        <f t="shared" ca="1" si="16"/>
        <v>5.8327951344868989</v>
      </c>
      <c r="AG17" s="83">
        <f t="shared" ca="1" si="17"/>
        <v>1.5247555745754136</v>
      </c>
      <c r="AH17" s="83">
        <f t="shared" ca="1" si="18"/>
        <v>4.5359835778388051</v>
      </c>
      <c r="AI17" s="83">
        <f t="shared" ca="1" si="19"/>
        <v>7.4220906275628602</v>
      </c>
      <c r="AJ17" s="83">
        <f t="shared" ca="1" si="20"/>
        <v>3.3399407824032865</v>
      </c>
      <c r="AK17" s="83">
        <f t="shared" ca="1" si="21"/>
        <v>1.9675565129846246</v>
      </c>
      <c r="AL17" s="83">
        <f t="shared" ca="1" si="22"/>
        <v>1.8036840097901752</v>
      </c>
      <c r="AM17" s="83">
        <f t="shared" ca="1" si="23"/>
        <v>6.0828873186765176</v>
      </c>
      <c r="AN17" s="83">
        <f t="shared" ca="1" si="24"/>
        <v>5.7117827872983744</v>
      </c>
      <c r="AO17" s="83">
        <f t="shared" ca="1" si="25"/>
        <v>0.51227079869891035</v>
      </c>
      <c r="AP17" s="83">
        <f t="shared" ca="1" si="26"/>
        <v>0.95543706601967759</v>
      </c>
      <c r="AQ17" s="83">
        <f t="shared" ca="1" si="27"/>
        <v>2.178222249393448</v>
      </c>
      <c r="AR17" s="83">
        <f t="shared" ca="1" si="28"/>
        <v>4.7920889486655849</v>
      </c>
      <c r="AS17" s="83">
        <f t="shared" ca="1" si="29"/>
        <v>1.089111124696724</v>
      </c>
      <c r="AT17" s="83">
        <f t="shared" ca="1" si="30"/>
        <v>11.121996097350213</v>
      </c>
      <c r="AU17" s="83">
        <f t="shared" ca="1" si="31"/>
        <v>0.65877367563388234</v>
      </c>
      <c r="AV17" s="83">
        <f t="shared" ca="1" si="32"/>
        <v>1.8307745150825192</v>
      </c>
      <c r="AW17" s="83">
        <f t="shared" ca="1" si="33"/>
        <v>0.32938683781694117</v>
      </c>
      <c r="AX17" s="83">
        <f t="shared" ca="1" si="34"/>
        <v>1.5247555745754136</v>
      </c>
      <c r="AY17" s="83">
        <f t="shared" ca="1" si="35"/>
        <v>3.2269959250273303</v>
      </c>
      <c r="AZ17" s="83">
        <f t="shared" ca="1" si="36"/>
        <v>0.76237778728770678</v>
      </c>
      <c r="BA17" s="83">
        <f t="shared" ca="1" si="37"/>
        <v>11.781775526854039</v>
      </c>
      <c r="BB17" s="83">
        <f t="shared" ca="1" si="38"/>
        <v>1.2820749225797865</v>
      </c>
      <c r="BC17" s="83">
        <f t="shared" ca="1" si="39"/>
        <v>3.2121868867251475</v>
      </c>
      <c r="BD17" s="83">
        <f t="shared" ca="1" si="40"/>
        <v>0.64103746128989325</v>
      </c>
      <c r="BE17" s="83">
        <f t="shared" ca="1" si="41"/>
        <v>2.3476395354573825</v>
      </c>
      <c r="BF17" s="83">
        <f t="shared" ca="1" si="42"/>
        <v>2.8074864547737772</v>
      </c>
      <c r="BG17" s="83">
        <f t="shared" ca="1" si="43"/>
        <v>10.379744239158409</v>
      </c>
      <c r="BH17" s="83">
        <f t="shared" ca="1" si="44"/>
        <v>3.3569984433732412</v>
      </c>
      <c r="BI17" s="83">
        <f t="shared" ca="1" si="45"/>
        <v>1.2212650448289664</v>
      </c>
      <c r="BJ17" s="83">
        <f t="shared" ca="1" si="46"/>
        <v>3.9127325590956379</v>
      </c>
      <c r="BK17" s="83">
        <f t="shared" ca="1" si="47"/>
        <v>2.129817310518038</v>
      </c>
      <c r="BL17" s="83">
        <f t="shared" ca="1" si="48"/>
        <v>4.4888564757313887</v>
      </c>
      <c r="BM17" s="83">
        <f t="shared" ca="1" si="49"/>
        <v>3.0829860961847166</v>
      </c>
      <c r="BN17" s="83">
        <f t="shared" ca="1" si="50"/>
        <v>0.26350947025355292</v>
      </c>
      <c r="BO17" s="83">
        <f t="shared" ca="1" si="51"/>
        <v>1.4521481662622986</v>
      </c>
      <c r="BP17" s="83">
        <f t="shared" ca="1" si="52"/>
        <v>0.54858930725464616</v>
      </c>
      <c r="BQ17" s="83">
        <f t="shared" ca="1" si="53"/>
        <v>3.5934415356904821</v>
      </c>
      <c r="BR17" s="83">
        <f t="shared" ca="1" si="54"/>
        <v>4.5167918989628664</v>
      </c>
      <c r="BS17" s="83">
        <f t="shared" ca="1" si="55"/>
        <v>0.68411112469672397</v>
      </c>
      <c r="BT17" s="83">
        <f t="shared" ca="1" si="56"/>
        <v>2.2911671067694042</v>
      </c>
      <c r="BU17" s="83">
        <f t="shared" ca="1" si="57"/>
        <v>1.9684675142666714</v>
      </c>
      <c r="BV17" s="83">
        <f t="shared" ca="1" si="58"/>
        <v>5.360707864718588</v>
      </c>
      <c r="BW17" s="83">
        <f t="shared" ca="1" si="59"/>
        <v>3.8867787123257047</v>
      </c>
      <c r="BX17" s="83">
        <f t="shared" ca="1" si="60"/>
        <v>0.6131662673207674</v>
      </c>
      <c r="BY17" s="83">
        <f t="shared" ca="1" si="61"/>
        <v>2.2911671067694042</v>
      </c>
      <c r="BZ17" s="83">
        <f t="shared" ca="1" si="62"/>
        <v>1.9684675142666714</v>
      </c>
      <c r="CA17" s="83">
        <f t="shared" ca="1" si="63"/>
        <v>7.4343003574448989</v>
      </c>
      <c r="CB17" s="83">
        <f t="shared" ca="1" si="64"/>
        <v>3.1314033822486511</v>
      </c>
      <c r="CC17" s="83">
        <f t="shared" ca="1" si="65"/>
        <v>0.74998849226011211</v>
      </c>
      <c r="CD17" s="83">
        <f t="shared" ca="1" si="66"/>
        <v>4.7834008639027399</v>
      </c>
      <c r="CE17" s="83">
        <f t="shared" ca="1" si="67"/>
        <v>2.6061621923480978</v>
      </c>
      <c r="CF17" s="83">
        <f t="shared" ca="1" si="68"/>
        <v>6.8719935289519345</v>
      </c>
      <c r="CG17" s="83">
        <f t="shared" ca="1" si="69"/>
        <v>2.6061621923480978</v>
      </c>
      <c r="CH17" s="83">
        <f t="shared" ca="1" si="70"/>
        <v>3.3493053657556593</v>
      </c>
      <c r="CI17" s="83">
        <f t="shared" ca="1" si="71"/>
        <v>8.9373935534060376</v>
      </c>
      <c r="CJ17" s="83">
        <f t="shared" ca="1" si="72"/>
        <v>3.3493053657556593</v>
      </c>
      <c r="CK17" s="83">
        <f t="shared" ca="1" si="73"/>
        <v>2.9454438817135098</v>
      </c>
    </row>
    <row r="18" spans="1:89" x14ac:dyDescent="0.25">
      <c r="A18" t="str">
        <f>Plantilla!D19</f>
        <v>M. Grupinski</v>
      </c>
      <c r="B18" s="319">
        <f>Plantilla!E19</f>
        <v>23</v>
      </c>
      <c r="C18" s="115">
        <f ca="1">Plantilla!F19</f>
        <v>94</v>
      </c>
      <c r="D18" s="319" t="str">
        <f>Plantilla!G19</f>
        <v>CAB</v>
      </c>
      <c r="E18" s="265">
        <f>Plantilla!O19</f>
        <v>43650</v>
      </c>
      <c r="F18" s="115">
        <f>Plantilla!Q19</f>
        <v>6</v>
      </c>
      <c r="G18" s="142">
        <f t="shared" si="0"/>
        <v>0.92582009977255142</v>
      </c>
      <c r="H18" s="142">
        <f t="shared" si="1"/>
        <v>0.99928545900129484</v>
      </c>
      <c r="I18" s="195">
        <f ca="1">Plantilla!P19</f>
        <v>0.49504239939036226</v>
      </c>
      <c r="J18" s="196">
        <f>Plantilla!I19</f>
        <v>2.2000000000000002</v>
      </c>
      <c r="K18" s="49">
        <f>Plantilla!X19</f>
        <v>0</v>
      </c>
      <c r="L18" s="49">
        <f>Plantilla!Y19</f>
        <v>3</v>
      </c>
      <c r="M18" s="49">
        <f>Plantilla!Z19</f>
        <v>10</v>
      </c>
      <c r="N18" s="49">
        <f>Plantilla!AA19</f>
        <v>9</v>
      </c>
      <c r="O18" s="49">
        <f>Plantilla!AB19</f>
        <v>6</v>
      </c>
      <c r="P18" s="49">
        <f>Plantilla!AC19</f>
        <v>3</v>
      </c>
      <c r="Q18" s="49">
        <f>Plantilla!AD19</f>
        <v>3</v>
      </c>
      <c r="R18" s="196">
        <f t="shared" si="2"/>
        <v>2.25</v>
      </c>
      <c r="S18" s="196">
        <f t="shared" ca="1" si="3"/>
        <v>1.1330492021421357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3.7346785171734358</v>
      </c>
      <c r="W18" s="196">
        <f t="shared" ca="1" si="7"/>
        <v>4.0310314467927242</v>
      </c>
      <c r="X18" s="83">
        <f t="shared" ca="1" si="8"/>
        <v>1.6587520151448345</v>
      </c>
      <c r="Y18" s="83">
        <f t="shared" ca="1" si="9"/>
        <v>2.5035233122015823</v>
      </c>
      <c r="Z18" s="83">
        <f t="shared" ca="1" si="10"/>
        <v>1.6587520151448345</v>
      </c>
      <c r="AA18" s="83">
        <f t="shared" ca="1" si="11"/>
        <v>2.039028682491105</v>
      </c>
      <c r="AB18" s="83">
        <f t="shared" ca="1" si="12"/>
        <v>3.9516059738199707</v>
      </c>
      <c r="AC18" s="83">
        <f t="shared" ca="1" si="13"/>
        <v>1.0195143412455525</v>
      </c>
      <c r="AD18" s="83">
        <f t="shared" ca="1" si="14"/>
        <v>2.606482221769153</v>
      </c>
      <c r="AE18" s="83">
        <f t="shared" ca="1" si="15"/>
        <v>1.4937070581039489</v>
      </c>
      <c r="AF18" s="83">
        <f t="shared" ca="1" si="16"/>
        <v>2.8570111190718386</v>
      </c>
      <c r="AG18" s="83">
        <f t="shared" ca="1" si="17"/>
        <v>0.74685352905197444</v>
      </c>
      <c r="AH18" s="83">
        <f t="shared" ca="1" si="18"/>
        <v>4.2163682999206893</v>
      </c>
      <c r="AI18" s="83">
        <f t="shared" ca="1" si="19"/>
        <v>3.6354774959143734</v>
      </c>
      <c r="AJ18" s="83">
        <f t="shared" ca="1" si="20"/>
        <v>1.6359648731614678</v>
      </c>
      <c r="AK18" s="83">
        <f t="shared" ca="1" si="21"/>
        <v>1.8289181976279354</v>
      </c>
      <c r="AL18" s="83">
        <f t="shared" ca="1" si="22"/>
        <v>5.8515443126061424</v>
      </c>
      <c r="AM18" s="83">
        <f t="shared" ca="1" si="23"/>
        <v>2.9795109042602581</v>
      </c>
      <c r="AN18" s="83">
        <f t="shared" ca="1" si="24"/>
        <v>2.7977370294645389</v>
      </c>
      <c r="AO18" s="83">
        <f t="shared" ca="1" si="25"/>
        <v>0.65991819762793513</v>
      </c>
      <c r="AP18" s="83">
        <f t="shared" ca="1" si="26"/>
        <v>0.92206252046015147</v>
      </c>
      <c r="AQ18" s="83">
        <f t="shared" ca="1" si="27"/>
        <v>1.0669336129313922</v>
      </c>
      <c r="AR18" s="83">
        <f t="shared" ca="1" si="28"/>
        <v>2.3472539484490627</v>
      </c>
      <c r="AS18" s="83">
        <f t="shared" ca="1" si="29"/>
        <v>0.53346680646569611</v>
      </c>
      <c r="AT18" s="83">
        <f t="shared" ca="1" si="30"/>
        <v>10.338316039286052</v>
      </c>
      <c r="AU18" s="83">
        <f t="shared" ca="1" si="31"/>
        <v>0.90370877659659632</v>
      </c>
      <c r="AV18" s="83">
        <f t="shared" ca="1" si="32"/>
        <v>1.5178205503292514</v>
      </c>
      <c r="AW18" s="83">
        <f t="shared" ca="1" si="33"/>
        <v>0.45185438829829816</v>
      </c>
      <c r="AX18" s="83">
        <f t="shared" ca="1" si="34"/>
        <v>0.74685352905197444</v>
      </c>
      <c r="AY18" s="83">
        <f t="shared" ca="1" si="35"/>
        <v>1.5806423895279884</v>
      </c>
      <c r="AZ18" s="83">
        <f t="shared" ca="1" si="36"/>
        <v>0.37342676452598722</v>
      </c>
      <c r="BA18" s="83">
        <f t="shared" ca="1" si="37"/>
        <v>10.951605973819971</v>
      </c>
      <c r="BB18" s="83">
        <f t="shared" ca="1" si="38"/>
        <v>1.7587563113764526</v>
      </c>
      <c r="BC18" s="83">
        <f t="shared" ca="1" si="39"/>
        <v>3.2003348915748044</v>
      </c>
      <c r="BD18" s="83">
        <f t="shared" ca="1" si="40"/>
        <v>0.8793781556882263</v>
      </c>
      <c r="BE18" s="83">
        <f t="shared" ca="1" si="41"/>
        <v>1.1499173383816115</v>
      </c>
      <c r="BF18" s="83">
        <f t="shared" ca="1" si="42"/>
        <v>1.3751588788893496</v>
      </c>
      <c r="BG18" s="83">
        <f t="shared" ca="1" si="43"/>
        <v>9.6483648629353951</v>
      </c>
      <c r="BH18" s="83">
        <f t="shared" ca="1" si="44"/>
        <v>7.9019777107259541</v>
      </c>
      <c r="BI18" s="83">
        <f t="shared" ca="1" si="45"/>
        <v>1.6753370396906131</v>
      </c>
      <c r="BJ18" s="83">
        <f t="shared" ca="1" si="46"/>
        <v>1.9165288973026857</v>
      </c>
      <c r="BK18" s="83">
        <f t="shared" ca="1" si="47"/>
        <v>1.0432239770884724</v>
      </c>
      <c r="BL18" s="83">
        <f t="shared" ca="1" si="48"/>
        <v>4.1725618760254086</v>
      </c>
      <c r="BM18" s="83">
        <f t="shared" ca="1" si="49"/>
        <v>8.094703621118656</v>
      </c>
      <c r="BN18" s="83">
        <f t="shared" ca="1" si="50"/>
        <v>0.36148351063863848</v>
      </c>
      <c r="BO18" s="83">
        <f t="shared" ca="1" si="51"/>
        <v>0.71128907528759466</v>
      </c>
      <c r="BP18" s="83">
        <f t="shared" ca="1" si="52"/>
        <v>0.26870920621975802</v>
      </c>
      <c r="BQ18" s="83">
        <f t="shared" ca="1" si="53"/>
        <v>3.3402398220150911</v>
      </c>
      <c r="BR18" s="83">
        <f t="shared" ca="1" si="54"/>
        <v>11.939765282332482</v>
      </c>
      <c r="BS18" s="83">
        <f t="shared" ca="1" si="55"/>
        <v>0.93846680646569614</v>
      </c>
      <c r="BT18" s="83">
        <f t="shared" ca="1" si="56"/>
        <v>1.1222560965648716</v>
      </c>
      <c r="BU18" s="83">
        <f t="shared" ca="1" si="57"/>
        <v>0.96419185761207282</v>
      </c>
      <c r="BV18" s="83">
        <f t="shared" ca="1" si="58"/>
        <v>4.9829807180880872</v>
      </c>
      <c r="BW18" s="83">
        <f t="shared" ca="1" si="59"/>
        <v>10.294379418992527</v>
      </c>
      <c r="BX18" s="83">
        <f t="shared" ca="1" si="60"/>
        <v>0.84114432283221652</v>
      </c>
      <c r="BY18" s="83">
        <f t="shared" ca="1" si="61"/>
        <v>1.1222560965648716</v>
      </c>
      <c r="BZ18" s="83">
        <f t="shared" ca="1" si="62"/>
        <v>0.96419185761207282</v>
      </c>
      <c r="CA18" s="83">
        <f t="shared" ca="1" si="63"/>
        <v>6.9104633694804019</v>
      </c>
      <c r="CB18" s="83">
        <f t="shared" ca="1" si="64"/>
        <v>8.3276873465688741</v>
      </c>
      <c r="CC18" s="83">
        <f t="shared" ca="1" si="65"/>
        <v>1.0288376841253557</v>
      </c>
      <c r="CD18" s="83">
        <f t="shared" ca="1" si="66"/>
        <v>4.446352025370909</v>
      </c>
      <c r="CE18" s="83">
        <f t="shared" ca="1" si="67"/>
        <v>3.6727867123602049</v>
      </c>
      <c r="CF18" s="83">
        <f t="shared" ca="1" si="68"/>
        <v>6.0785083265212876</v>
      </c>
      <c r="CG18" s="83">
        <f t="shared" ca="1" si="69"/>
        <v>3.6727867123602049</v>
      </c>
      <c r="CH18" s="83">
        <f t="shared" ca="1" si="70"/>
        <v>4.345139497848348</v>
      </c>
      <c r="CI18" s="83">
        <f t="shared" ca="1" si="71"/>
        <v>6.5167485781595396</v>
      </c>
      <c r="CJ18" s="83">
        <f t="shared" ca="1" si="72"/>
        <v>4.345139497848348</v>
      </c>
      <c r="CK18" s="83">
        <f t="shared" ca="1" si="73"/>
        <v>2.7379014934549928</v>
      </c>
    </row>
    <row r="19" spans="1:89" x14ac:dyDescent="0.25">
      <c r="A19" t="str">
        <f>Plantilla!D10</f>
        <v>A. Grimaud</v>
      </c>
      <c r="B19" s="319">
        <f>Plantilla!E10</f>
        <v>19</v>
      </c>
      <c r="C19" s="115">
        <f ca="1">Plantilla!F10</f>
        <v>103</v>
      </c>
      <c r="D19" s="319" t="str">
        <f>Plantilla!G10</f>
        <v>RAP</v>
      </c>
      <c r="E19" s="265">
        <f>Plantilla!O10</f>
        <v>43739</v>
      </c>
      <c r="F19" s="115">
        <f>Plantilla!Q10</f>
        <v>6</v>
      </c>
      <c r="G19" s="142">
        <f t="shared" si="0"/>
        <v>0.92582009977255142</v>
      </c>
      <c r="H19" s="142">
        <f t="shared" si="1"/>
        <v>0.99928545900129484</v>
      </c>
      <c r="I19" s="195">
        <f ca="1">Plantilla!P10</f>
        <v>0.17974163071114982</v>
      </c>
      <c r="J19" s="196">
        <f>Plantilla!I10</f>
        <v>2.8</v>
      </c>
      <c r="K19" s="49">
        <f>Plantilla!X10</f>
        <v>0</v>
      </c>
      <c r="L19" s="49">
        <f>Plantilla!Y10</f>
        <v>12</v>
      </c>
      <c r="M19" s="49">
        <f>Plantilla!Z10</f>
        <v>4.166666666666667</v>
      </c>
      <c r="N19" s="49">
        <f>Plantilla!AA10</f>
        <v>3</v>
      </c>
      <c r="O19" s="49">
        <f>Plantilla!AB10</f>
        <v>3</v>
      </c>
      <c r="P19" s="49">
        <f>Plantilla!AC10</f>
        <v>5</v>
      </c>
      <c r="Q19" s="49">
        <f>Plantilla!AD10</f>
        <v>0</v>
      </c>
      <c r="R19" s="196">
        <f t="shared" si="2"/>
        <v>2.625</v>
      </c>
      <c r="S19" s="196">
        <f t="shared" ca="1" si="3"/>
        <v>2.4148546695600466</v>
      </c>
      <c r="T19" s="49">
        <f t="shared" si="4"/>
        <v>0.25</v>
      </c>
      <c r="U19" s="49">
        <f t="shared" si="5"/>
        <v>0.48000000000000009</v>
      </c>
      <c r="V19" s="196">
        <f t="shared" ca="1" si="6"/>
        <v>0.79420992841437055</v>
      </c>
      <c r="W19" s="196">
        <f t="shared" ca="1" si="7"/>
        <v>0.85723180243539321</v>
      </c>
      <c r="X19" s="83">
        <f t="shared" ca="1" si="8"/>
        <v>3.9894063920931768</v>
      </c>
      <c r="Y19" s="83">
        <f t="shared" ca="1" si="9"/>
        <v>6.1017544698651669</v>
      </c>
      <c r="Z19" s="83">
        <f t="shared" ca="1" si="10"/>
        <v>3.9894063920931768</v>
      </c>
      <c r="AA19" s="83">
        <f t="shared" ca="1" si="11"/>
        <v>6.5923914070103997</v>
      </c>
      <c r="AB19" s="83">
        <f t="shared" ca="1" si="12"/>
        <v>12.775952339167441</v>
      </c>
      <c r="AC19" s="83">
        <f t="shared" ca="1" si="13"/>
        <v>3.2961957035051999</v>
      </c>
      <c r="AD19" s="83">
        <f t="shared" ca="1" si="14"/>
        <v>1.1763433233885179</v>
      </c>
      <c r="AE19" s="83">
        <f t="shared" ca="1" si="15"/>
        <v>4.8293099842052927</v>
      </c>
      <c r="AF19" s="83">
        <f t="shared" ca="1" si="16"/>
        <v>9.2370135412180598</v>
      </c>
      <c r="AG19" s="83">
        <f t="shared" ca="1" si="17"/>
        <v>2.4146549921026463</v>
      </c>
      <c r="AH19" s="83">
        <f t="shared" ca="1" si="18"/>
        <v>1.9029083172461319</v>
      </c>
      <c r="AI19" s="83">
        <f t="shared" ca="1" si="19"/>
        <v>11.753876152034046</v>
      </c>
      <c r="AJ19" s="83">
        <f t="shared" ca="1" si="20"/>
        <v>5.2892442684153202</v>
      </c>
      <c r="AK19" s="83">
        <f t="shared" ca="1" si="21"/>
        <v>0.82541737397429626</v>
      </c>
      <c r="AL19" s="83">
        <f t="shared" ca="1" si="22"/>
        <v>2.2202599754304559</v>
      </c>
      <c r="AM19" s="83">
        <f t="shared" ca="1" si="23"/>
        <v>9.6330680637322512</v>
      </c>
      <c r="AN19" s="83">
        <f t="shared" ca="1" si="24"/>
        <v>9.0453742561305486</v>
      </c>
      <c r="AO19" s="83">
        <f t="shared" ca="1" si="25"/>
        <v>0.12958404064096285</v>
      </c>
      <c r="AP19" s="83">
        <f t="shared" ca="1" si="26"/>
        <v>0.97947427368022333</v>
      </c>
      <c r="AQ19" s="83">
        <f t="shared" ca="1" si="27"/>
        <v>3.4495071315752095</v>
      </c>
      <c r="AR19" s="83">
        <f t="shared" ca="1" si="28"/>
        <v>7.5889156894654599</v>
      </c>
      <c r="AS19" s="83">
        <f t="shared" ca="1" si="29"/>
        <v>1.7247535657876047</v>
      </c>
      <c r="AT19" s="83">
        <f t="shared" ca="1" si="30"/>
        <v>4.6658323415073983</v>
      </c>
      <c r="AU19" s="83">
        <f t="shared" ca="1" si="31"/>
        <v>0.49087380409176751</v>
      </c>
      <c r="AV19" s="83">
        <f t="shared" ca="1" si="32"/>
        <v>1.4523540353760604</v>
      </c>
      <c r="AW19" s="83">
        <f t="shared" ca="1" si="33"/>
        <v>0.24543690204588375</v>
      </c>
      <c r="AX19" s="83">
        <f t="shared" ca="1" si="34"/>
        <v>2.4146549921026463</v>
      </c>
      <c r="AY19" s="83">
        <f t="shared" ca="1" si="35"/>
        <v>5.1103809356669769</v>
      </c>
      <c r="AZ19" s="83">
        <f t="shared" ca="1" si="36"/>
        <v>1.2073274960513232</v>
      </c>
      <c r="BA19" s="83">
        <f t="shared" ca="1" si="37"/>
        <v>4.9426190058341088</v>
      </c>
      <c r="BB19" s="83">
        <f t="shared" ca="1" si="38"/>
        <v>0.95531594180936297</v>
      </c>
      <c r="BC19" s="83">
        <f t="shared" ca="1" si="39"/>
        <v>2.5005497388812605</v>
      </c>
      <c r="BD19" s="83">
        <f t="shared" ca="1" si="40"/>
        <v>0.47765797090468148</v>
      </c>
      <c r="BE19" s="83">
        <f t="shared" ca="1" si="41"/>
        <v>3.7178021306977249</v>
      </c>
      <c r="BF19" s="83">
        <f t="shared" ca="1" si="42"/>
        <v>4.4460314140302692</v>
      </c>
      <c r="BG19" s="83">
        <f t="shared" ca="1" si="43"/>
        <v>4.3544473441398504</v>
      </c>
      <c r="BH19" s="83">
        <f t="shared" ca="1" si="44"/>
        <v>3.3568216295198559</v>
      </c>
      <c r="BI19" s="83">
        <f t="shared" ca="1" si="45"/>
        <v>0.91000451373935354</v>
      </c>
      <c r="BJ19" s="83">
        <f t="shared" ca="1" si="46"/>
        <v>6.1963368844962083</v>
      </c>
      <c r="BK19" s="83">
        <f t="shared" ca="1" si="47"/>
        <v>3.3728514175402045</v>
      </c>
      <c r="BL19" s="83">
        <f t="shared" ca="1" si="48"/>
        <v>1.8831378412227955</v>
      </c>
      <c r="BM19" s="83">
        <f t="shared" ca="1" si="49"/>
        <v>3.3001823444323448</v>
      </c>
      <c r="BN19" s="83">
        <f t="shared" ca="1" si="50"/>
        <v>0.19634952163670699</v>
      </c>
      <c r="BO19" s="83">
        <f t="shared" ca="1" si="51"/>
        <v>2.2996714210501392</v>
      </c>
      <c r="BP19" s="83">
        <f t="shared" ca="1" si="52"/>
        <v>0.86876475906338602</v>
      </c>
      <c r="BQ19" s="83">
        <f t="shared" ca="1" si="53"/>
        <v>1.5074987967794031</v>
      </c>
      <c r="BR19" s="83">
        <f t="shared" ca="1" si="54"/>
        <v>4.8558747081693312</v>
      </c>
      <c r="BS19" s="83">
        <f t="shared" ca="1" si="55"/>
        <v>0.50975356578760478</v>
      </c>
      <c r="BT19" s="83">
        <f t="shared" ca="1" si="56"/>
        <v>3.6283704643235528</v>
      </c>
      <c r="BU19" s="83">
        <f t="shared" ca="1" si="57"/>
        <v>3.1173323707568557</v>
      </c>
      <c r="BV19" s="83">
        <f t="shared" ca="1" si="58"/>
        <v>2.2488916476545198</v>
      </c>
      <c r="BW19" s="83">
        <f t="shared" ca="1" si="59"/>
        <v>4.183755191797526</v>
      </c>
      <c r="BX19" s="83">
        <f t="shared" ca="1" si="60"/>
        <v>0.45689023303926052</v>
      </c>
      <c r="BY19" s="83">
        <f t="shared" ca="1" si="61"/>
        <v>3.6283704643235528</v>
      </c>
      <c r="BZ19" s="83">
        <f t="shared" ca="1" si="62"/>
        <v>3.1173323707568557</v>
      </c>
      <c r="CA19" s="83">
        <f t="shared" ca="1" si="63"/>
        <v>3.1187925926813227</v>
      </c>
      <c r="CB19" s="83">
        <f t="shared" ca="1" si="64"/>
        <v>3.3794773435548606</v>
      </c>
      <c r="CC19" s="83">
        <f t="shared" ca="1" si="65"/>
        <v>0.55884094619678149</v>
      </c>
      <c r="CD19" s="83">
        <f t="shared" ca="1" si="66"/>
        <v>2.0067033163686485</v>
      </c>
      <c r="CE19" s="83">
        <f t="shared" ca="1" si="67"/>
        <v>2.2212711687062372</v>
      </c>
      <c r="CF19" s="83">
        <f t="shared" ca="1" si="68"/>
        <v>5.4177223339025398</v>
      </c>
      <c r="CG19" s="83">
        <f t="shared" ca="1" si="69"/>
        <v>2.2212711687062372</v>
      </c>
      <c r="CH19" s="83">
        <f t="shared" ca="1" si="70"/>
        <v>3.0856854833164173</v>
      </c>
      <c r="CI19" s="83">
        <f t="shared" ca="1" si="71"/>
        <v>7.1692787523202277</v>
      </c>
      <c r="CJ19" s="83">
        <f t="shared" ca="1" si="72"/>
        <v>3.0856854833164173</v>
      </c>
      <c r="CK19" s="83">
        <f t="shared" ca="1" si="73"/>
        <v>1.2356547514585272</v>
      </c>
    </row>
    <row r="20" spans="1:89" x14ac:dyDescent="0.25">
      <c r="A20" t="str">
        <f>Plantilla!D17</f>
        <v>P. Tuderek</v>
      </c>
      <c r="B20" s="319">
        <f>Plantilla!E17</f>
        <v>19</v>
      </c>
      <c r="C20" s="115">
        <f ca="1">Plantilla!F17</f>
        <v>81</v>
      </c>
      <c r="D20" s="319" t="str">
        <f>Plantilla!G17</f>
        <v>CAB</v>
      </c>
      <c r="E20" s="265">
        <f>Plantilla!O17</f>
        <v>43626</v>
      </c>
      <c r="F20" s="115">
        <f>Plantilla!Q17</f>
        <v>4</v>
      </c>
      <c r="G20" s="142">
        <f t="shared" si="0"/>
        <v>0.7559289460184544</v>
      </c>
      <c r="H20" s="142">
        <f t="shared" si="1"/>
        <v>0.84430867747355465</v>
      </c>
      <c r="I20" s="195">
        <f ca="1">Plantilla!P17</f>
        <v>0.56054149028618405</v>
      </c>
      <c r="J20" s="196">
        <f>Plantilla!I17</f>
        <v>1.5</v>
      </c>
      <c r="K20" s="49">
        <f>Plantilla!X17</f>
        <v>0</v>
      </c>
      <c r="L20" s="49">
        <f>Plantilla!Y17</f>
        <v>6</v>
      </c>
      <c r="M20" s="49">
        <f>Plantilla!Z17</f>
        <v>9.5</v>
      </c>
      <c r="N20" s="49">
        <f>Plantilla!AA17</f>
        <v>2</v>
      </c>
      <c r="O20" s="49">
        <f>Plantilla!AB17</f>
        <v>3</v>
      </c>
      <c r="P20" s="49">
        <f>Plantilla!AC17</f>
        <v>6</v>
      </c>
      <c r="Q20" s="49">
        <f>Plantilla!AD17</f>
        <v>8</v>
      </c>
      <c r="R20" s="196">
        <f t="shared" si="2"/>
        <v>1.875</v>
      </c>
      <c r="S20" s="196">
        <f t="shared" ca="1" si="3"/>
        <v>8.5176789368832058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6.7058436812176705</v>
      </c>
      <c r="W20" s="196">
        <f t="shared" ca="1" si="7"/>
        <v>7.4898600452522732</v>
      </c>
      <c r="X20" s="83">
        <f t="shared" ca="1" si="8"/>
        <v>2.3503229465606514</v>
      </c>
      <c r="Y20" s="83">
        <f t="shared" ca="1" si="9"/>
        <v>3.5767708178806426</v>
      </c>
      <c r="Z20" s="83">
        <f t="shared" ca="1" si="10"/>
        <v>2.3503229465606514</v>
      </c>
      <c r="AA20" s="83">
        <f t="shared" ca="1" si="11"/>
        <v>3.5063901952179792</v>
      </c>
      <c r="AB20" s="83">
        <f t="shared" ca="1" si="12"/>
        <v>6.7953298356937584</v>
      </c>
      <c r="AC20" s="83">
        <f t="shared" ca="1" si="13"/>
        <v>1.7531950976089896</v>
      </c>
      <c r="AD20" s="83">
        <f t="shared" ca="1" si="14"/>
        <v>2.4502885008951143</v>
      </c>
      <c r="AE20" s="83">
        <f t="shared" ca="1" si="15"/>
        <v>2.5686346778922409</v>
      </c>
      <c r="AF20" s="83">
        <f t="shared" ca="1" si="16"/>
        <v>4.9130234712065874</v>
      </c>
      <c r="AG20" s="83">
        <f t="shared" ca="1" si="17"/>
        <v>1.2843173389461204</v>
      </c>
      <c r="AH20" s="83">
        <f t="shared" ca="1" si="18"/>
        <v>3.9637019867420973</v>
      </c>
      <c r="AI20" s="83">
        <f t="shared" ca="1" si="19"/>
        <v>6.2517034488382581</v>
      </c>
      <c r="AJ20" s="83">
        <f t="shared" ca="1" si="20"/>
        <v>2.813266551977216</v>
      </c>
      <c r="AK20" s="83">
        <f t="shared" ca="1" si="21"/>
        <v>1.7193200825608577</v>
      </c>
      <c r="AL20" s="83">
        <f t="shared" ca="1" si="22"/>
        <v>1.64365394338793</v>
      </c>
      <c r="AM20" s="83">
        <f t="shared" ca="1" si="23"/>
        <v>5.1236786961130942</v>
      </c>
      <c r="AN20" s="83">
        <f t="shared" ca="1" si="24"/>
        <v>4.8110935236711807</v>
      </c>
      <c r="AO20" s="83">
        <f t="shared" ca="1" si="25"/>
        <v>1.4688200825608577</v>
      </c>
      <c r="AP20" s="83">
        <f t="shared" ca="1" si="26"/>
        <v>0.76905499267980248</v>
      </c>
      <c r="AQ20" s="83">
        <f t="shared" ca="1" si="27"/>
        <v>1.8347390556373149</v>
      </c>
      <c r="AR20" s="83">
        <f t="shared" ca="1" si="28"/>
        <v>4.036425922402092</v>
      </c>
      <c r="AS20" s="83">
        <f t="shared" ca="1" si="29"/>
        <v>0.91736952781865744</v>
      </c>
      <c r="AT20" s="83">
        <f t="shared" ca="1" si="30"/>
        <v>9.7187913648949067</v>
      </c>
      <c r="AU20" s="83">
        <f t="shared" ca="1" si="31"/>
        <v>0.49339287864018866</v>
      </c>
      <c r="AV20" s="83">
        <f t="shared" ca="1" si="32"/>
        <v>1.6310316418582711</v>
      </c>
      <c r="AW20" s="83">
        <f t="shared" ca="1" si="33"/>
        <v>0.24669643932009433</v>
      </c>
      <c r="AX20" s="83">
        <f t="shared" ca="1" si="34"/>
        <v>1.2843173389461204</v>
      </c>
      <c r="AY20" s="83">
        <f t="shared" ca="1" si="35"/>
        <v>2.7181319342775034</v>
      </c>
      <c r="AZ20" s="83">
        <f t="shared" ca="1" si="36"/>
        <v>0.64215866947306022</v>
      </c>
      <c r="BA20" s="83">
        <f t="shared" ca="1" si="37"/>
        <v>10.295329835693758</v>
      </c>
      <c r="BB20" s="83">
        <f t="shared" ca="1" si="38"/>
        <v>0.96021844843052095</v>
      </c>
      <c r="BC20" s="83">
        <f t="shared" ca="1" si="39"/>
        <v>2.7212267394672613</v>
      </c>
      <c r="BD20" s="83">
        <f t="shared" ca="1" si="40"/>
        <v>0.48010922421526048</v>
      </c>
      <c r="BE20" s="83">
        <f t="shared" ca="1" si="41"/>
        <v>1.9774409821868835</v>
      </c>
      <c r="BF20" s="83">
        <f t="shared" ca="1" si="42"/>
        <v>2.3647747828214278</v>
      </c>
      <c r="BG20" s="83">
        <f t="shared" ca="1" si="43"/>
        <v>9.0701855852462003</v>
      </c>
      <c r="BH20" s="83">
        <f t="shared" ca="1" si="44"/>
        <v>2.8000482239317517</v>
      </c>
      <c r="BI20" s="83">
        <f t="shared" ca="1" si="45"/>
        <v>0.91467449040219584</v>
      </c>
      <c r="BJ20" s="83">
        <f t="shared" ca="1" si="46"/>
        <v>3.2957349703114729</v>
      </c>
      <c r="BK20" s="83">
        <f t="shared" ca="1" si="47"/>
        <v>1.7939670766231524</v>
      </c>
      <c r="BL20" s="83">
        <f t="shared" ca="1" si="48"/>
        <v>3.922520667399322</v>
      </c>
      <c r="BM20" s="83">
        <f t="shared" ca="1" si="49"/>
        <v>2.6441182763963456</v>
      </c>
      <c r="BN20" s="83">
        <f t="shared" ca="1" si="50"/>
        <v>0.19735715145607544</v>
      </c>
      <c r="BO20" s="83">
        <f t="shared" ca="1" si="51"/>
        <v>1.2231593704248764</v>
      </c>
      <c r="BP20" s="83">
        <f t="shared" ca="1" si="52"/>
        <v>0.4620824288271756</v>
      </c>
      <c r="BQ20" s="83">
        <f t="shared" ca="1" si="53"/>
        <v>3.1400755998865963</v>
      </c>
      <c r="BR20" s="83">
        <f t="shared" ca="1" si="54"/>
        <v>3.8807941687021739</v>
      </c>
      <c r="BS20" s="83">
        <f t="shared" ca="1" si="55"/>
        <v>0.51236952781865752</v>
      </c>
      <c r="BT20" s="83">
        <f t="shared" ca="1" si="56"/>
        <v>1.9298736733370272</v>
      </c>
      <c r="BU20" s="83">
        <f t="shared" ca="1" si="57"/>
        <v>1.6580604799092771</v>
      </c>
      <c r="BV20" s="83">
        <f t="shared" ca="1" si="58"/>
        <v>4.6843750752406601</v>
      </c>
      <c r="BW20" s="83">
        <f t="shared" ca="1" si="59"/>
        <v>3.3412254579486849</v>
      </c>
      <c r="BX20" s="83">
        <f t="shared" ca="1" si="60"/>
        <v>0.45923491011894479</v>
      </c>
      <c r="BY20" s="83">
        <f t="shared" ca="1" si="61"/>
        <v>1.9298736733370272</v>
      </c>
      <c r="BZ20" s="83">
        <f t="shared" ca="1" si="62"/>
        <v>1.6580604799092771</v>
      </c>
      <c r="CA20" s="83">
        <f t="shared" ca="1" si="63"/>
        <v>6.4963531263227612</v>
      </c>
      <c r="CB20" s="83">
        <f t="shared" ca="1" si="64"/>
        <v>2.6948202029459143</v>
      </c>
      <c r="CC20" s="83">
        <f t="shared" ca="1" si="65"/>
        <v>0.56170881568267628</v>
      </c>
      <c r="CD20" s="83">
        <f t="shared" ca="1" si="66"/>
        <v>4.1799039132916658</v>
      </c>
      <c r="CE20" s="83">
        <f t="shared" ca="1" si="67"/>
        <v>2.2143668443964479</v>
      </c>
      <c r="CF20" s="83">
        <f t="shared" ca="1" si="68"/>
        <v>6.0225413949911717</v>
      </c>
      <c r="CG20" s="83">
        <f t="shared" ca="1" si="69"/>
        <v>2.2143668443964479</v>
      </c>
      <c r="CH20" s="83">
        <f t="shared" ca="1" si="70"/>
        <v>3.037749700162804</v>
      </c>
      <c r="CI20" s="83">
        <f t="shared" ca="1" si="71"/>
        <v>8.1958065450647553</v>
      </c>
      <c r="CJ20" s="83">
        <f t="shared" ca="1" si="72"/>
        <v>3.037749700162804</v>
      </c>
      <c r="CK20" s="83">
        <f t="shared" ca="1" si="73"/>
        <v>2.5738324589234396</v>
      </c>
    </row>
    <row r="21" spans="1:89" x14ac:dyDescent="0.25">
      <c r="A21" t="str">
        <f>Plantilla!D12</f>
        <v>B. Bruton</v>
      </c>
      <c r="B21" s="319">
        <f>Plantilla!E12</f>
        <v>19</v>
      </c>
      <c r="C21" s="115">
        <f ca="1">Plantilla!F12</f>
        <v>86</v>
      </c>
      <c r="D21" s="319">
        <f>Plantilla!G12</f>
        <v>0</v>
      </c>
      <c r="E21" s="265">
        <f>Plantilla!O12</f>
        <v>43650</v>
      </c>
      <c r="F21" s="115">
        <f>Plantilla!Q12</f>
        <v>6</v>
      </c>
      <c r="G21" s="142">
        <f t="shared" si="0"/>
        <v>0.92582009977255142</v>
      </c>
      <c r="H21" s="142">
        <f t="shared" si="1"/>
        <v>0.99928545900129484</v>
      </c>
      <c r="I21" s="195">
        <f ca="1">Plantilla!P12</f>
        <v>0.49504239939036226</v>
      </c>
      <c r="J21" s="196">
        <f>Plantilla!I12</f>
        <v>2</v>
      </c>
      <c r="K21" s="49">
        <f>Plantilla!X12</f>
        <v>0</v>
      </c>
      <c r="L21" s="49">
        <f>Plantilla!Y12</f>
        <v>10</v>
      </c>
      <c r="M21" s="49">
        <f>Plantilla!Z12</f>
        <v>8.125</v>
      </c>
      <c r="N21" s="49">
        <f>Plantilla!AA12</f>
        <v>2</v>
      </c>
      <c r="O21" s="49">
        <f>Plantilla!AB12</f>
        <v>4</v>
      </c>
      <c r="P21" s="49">
        <f>Plantilla!AC12</f>
        <v>3</v>
      </c>
      <c r="Q21" s="49">
        <f>Plantilla!AD12</f>
        <v>3</v>
      </c>
      <c r="R21" s="196">
        <f t="shared" si="2"/>
        <v>2.625</v>
      </c>
      <c r="S21" s="196">
        <f t="shared" ca="1" si="3"/>
        <v>1.011078756542565</v>
      </c>
      <c r="T21" s="49">
        <f t="shared" si="4"/>
        <v>0.24</v>
      </c>
      <c r="U21" s="49">
        <f t="shared" si="5"/>
        <v>0.49000000000000005</v>
      </c>
      <c r="V21" s="196">
        <f t="shared" ca="1" si="6"/>
        <v>3.6835822773027131</v>
      </c>
      <c r="W21" s="196">
        <f t="shared" ca="1" si="7"/>
        <v>3.9758806356092129</v>
      </c>
      <c r="X21" s="83">
        <f t="shared" ca="1" si="8"/>
        <v>3.5425709296206604</v>
      </c>
      <c r="Y21" s="83">
        <f t="shared" ca="1" si="9"/>
        <v>5.4072727034825574</v>
      </c>
      <c r="Z21" s="83">
        <f t="shared" ca="1" si="10"/>
        <v>3.5425709296206604</v>
      </c>
      <c r="AA21" s="83">
        <f t="shared" ca="1" si="11"/>
        <v>5.6225505151022457</v>
      </c>
      <c r="AB21" s="83">
        <f t="shared" ca="1" si="12"/>
        <v>10.896415726942337</v>
      </c>
      <c r="AC21" s="83">
        <f t="shared" ca="1" si="13"/>
        <v>2.8112752575511228</v>
      </c>
      <c r="AD21" s="83">
        <f t="shared" ca="1" si="14"/>
        <v>2.1470969430122762</v>
      </c>
      <c r="AE21" s="83">
        <f t="shared" ca="1" si="15"/>
        <v>4.1188451447842036</v>
      </c>
      <c r="AF21" s="83">
        <f t="shared" ca="1" si="16"/>
        <v>7.8781085705793092</v>
      </c>
      <c r="AG21" s="83">
        <f t="shared" ca="1" si="17"/>
        <v>2.0594225723921018</v>
      </c>
      <c r="AH21" s="83">
        <f t="shared" ca="1" si="18"/>
        <v>3.4732450548727996</v>
      </c>
      <c r="AI21" s="83">
        <f t="shared" ca="1" si="19"/>
        <v>10.02470246878695</v>
      </c>
      <c r="AJ21" s="83">
        <f t="shared" ca="1" si="20"/>
        <v>4.5111161109541271</v>
      </c>
      <c r="AK21" s="83">
        <f t="shared" ca="1" si="21"/>
        <v>1.5065764263993704</v>
      </c>
      <c r="AL21" s="83">
        <f t="shared" ca="1" si="22"/>
        <v>1.7030924474420941</v>
      </c>
      <c r="AM21" s="83">
        <f t="shared" ca="1" si="23"/>
        <v>8.2158974581145223</v>
      </c>
      <c r="AN21" s="83">
        <f t="shared" ca="1" si="24"/>
        <v>7.7146623346751744</v>
      </c>
      <c r="AO21" s="83">
        <f t="shared" ca="1" si="25"/>
        <v>0.65070142639937034</v>
      </c>
      <c r="AP21" s="83">
        <f t="shared" ca="1" si="26"/>
        <v>1.0141677293593929</v>
      </c>
      <c r="AQ21" s="83">
        <f t="shared" ca="1" si="27"/>
        <v>2.9420322462744313</v>
      </c>
      <c r="AR21" s="83">
        <f t="shared" ca="1" si="28"/>
        <v>6.4724709418037474</v>
      </c>
      <c r="AS21" s="83">
        <f t="shared" ca="1" si="29"/>
        <v>1.4710161231372156</v>
      </c>
      <c r="AT21" s="83">
        <f t="shared" ca="1" si="30"/>
        <v>8.5162164462335657</v>
      </c>
      <c r="AU21" s="83">
        <f t="shared" ca="1" si="31"/>
        <v>0.63653404450250395</v>
      </c>
      <c r="AV21" s="83">
        <f t="shared" ca="1" si="32"/>
        <v>1.2616498079941048</v>
      </c>
      <c r="AW21" s="83">
        <f t="shared" ca="1" si="33"/>
        <v>0.31826702225125197</v>
      </c>
      <c r="AX21" s="83">
        <f t="shared" ca="1" si="34"/>
        <v>2.0594225723921018</v>
      </c>
      <c r="AY21" s="83">
        <f t="shared" ca="1" si="35"/>
        <v>4.3585662907769347</v>
      </c>
      <c r="AZ21" s="83">
        <f t="shared" ca="1" si="36"/>
        <v>1.0297112861960509</v>
      </c>
      <c r="BA21" s="83">
        <f t="shared" ca="1" si="37"/>
        <v>9.0214157269423367</v>
      </c>
      <c r="BB21" s="83">
        <f t="shared" ca="1" si="38"/>
        <v>1.2387931789164115</v>
      </c>
      <c r="BC21" s="83">
        <f t="shared" ca="1" si="39"/>
        <v>2.4879250655452281</v>
      </c>
      <c r="BD21" s="83">
        <f t="shared" ca="1" si="40"/>
        <v>0.61939658945820575</v>
      </c>
      <c r="BE21" s="83">
        <f t="shared" ca="1" si="41"/>
        <v>3.1708569765402199</v>
      </c>
      <c r="BF21" s="83">
        <f t="shared" ca="1" si="42"/>
        <v>3.791952672975933</v>
      </c>
      <c r="BG21" s="83">
        <f t="shared" ca="1" si="43"/>
        <v>7.9478672554361989</v>
      </c>
      <c r="BH21" s="83">
        <f t="shared" ca="1" si="44"/>
        <v>3.2049135812517378</v>
      </c>
      <c r="BI21" s="83">
        <f t="shared" ca="1" si="45"/>
        <v>1.1800361901931034</v>
      </c>
      <c r="BJ21" s="83">
        <f t="shared" ca="1" si="46"/>
        <v>5.2847616275670335</v>
      </c>
      <c r="BK21" s="83">
        <f t="shared" ca="1" si="47"/>
        <v>2.8766537519127771</v>
      </c>
      <c r="BL21" s="83">
        <f t="shared" ca="1" si="48"/>
        <v>3.4371593919650305</v>
      </c>
      <c r="BM21" s="83">
        <f t="shared" ca="1" si="49"/>
        <v>2.9334673453476028</v>
      </c>
      <c r="BN21" s="83">
        <f t="shared" ca="1" si="50"/>
        <v>0.25461361780100156</v>
      </c>
      <c r="BO21" s="83">
        <f t="shared" ca="1" si="51"/>
        <v>1.9613548308496205</v>
      </c>
      <c r="BP21" s="83">
        <f t="shared" ca="1" si="52"/>
        <v>0.74095626943207893</v>
      </c>
      <c r="BQ21" s="83">
        <f t="shared" ca="1" si="53"/>
        <v>2.7515317967174124</v>
      </c>
      <c r="BR21" s="83">
        <f t="shared" ca="1" si="54"/>
        <v>4.296790624847846</v>
      </c>
      <c r="BS21" s="83">
        <f t="shared" ca="1" si="55"/>
        <v>0.66101612313721558</v>
      </c>
      <c r="BT21" s="83">
        <f t="shared" ca="1" si="56"/>
        <v>3.0945820664516233</v>
      </c>
      <c r="BU21" s="83">
        <f t="shared" ca="1" si="57"/>
        <v>2.65872543737393</v>
      </c>
      <c r="BV21" s="83">
        <f t="shared" ca="1" si="58"/>
        <v>4.1047441557587634</v>
      </c>
      <c r="BW21" s="83">
        <f t="shared" ca="1" si="59"/>
        <v>3.6972286254521096</v>
      </c>
      <c r="BX21" s="83">
        <f t="shared" ca="1" si="60"/>
        <v>0.59246630296002278</v>
      </c>
      <c r="BY21" s="83">
        <f t="shared" ca="1" si="61"/>
        <v>3.0945820664516233</v>
      </c>
      <c r="BZ21" s="83">
        <f t="shared" ca="1" si="62"/>
        <v>2.65872543737393</v>
      </c>
      <c r="CA21" s="83">
        <f t="shared" ca="1" si="63"/>
        <v>5.6925133237006147</v>
      </c>
      <c r="CB21" s="83">
        <f t="shared" ca="1" si="64"/>
        <v>2.9782920756133917</v>
      </c>
      <c r="CC21" s="83">
        <f t="shared" ca="1" si="65"/>
        <v>0.72466952758746594</v>
      </c>
      <c r="CD21" s="83">
        <f t="shared" ca="1" si="66"/>
        <v>3.6626947851385889</v>
      </c>
      <c r="CE21" s="83">
        <f t="shared" ca="1" si="67"/>
        <v>2.136032593736958</v>
      </c>
      <c r="CF21" s="83">
        <f t="shared" ca="1" si="68"/>
        <v>4.9303641085370717</v>
      </c>
      <c r="CG21" s="83">
        <f t="shared" ca="1" si="69"/>
        <v>2.136032593736958</v>
      </c>
      <c r="CH21" s="83">
        <f t="shared" ca="1" si="70"/>
        <v>2.4797559740435822</v>
      </c>
      <c r="CI21" s="83">
        <f t="shared" ca="1" si="71"/>
        <v>5.7031931301840597</v>
      </c>
      <c r="CJ21" s="83">
        <f t="shared" ca="1" si="72"/>
        <v>2.4797559740435822</v>
      </c>
      <c r="CK21" s="83">
        <f t="shared" ca="1" si="73"/>
        <v>2.2553539317355842</v>
      </c>
    </row>
    <row r="22" spans="1:89" x14ac:dyDescent="0.25">
      <c r="A22" t="str">
        <f>Plantilla!D21</f>
        <v>K. Helms</v>
      </c>
      <c r="B22" s="319">
        <f>Plantilla!E21</f>
        <v>36</v>
      </c>
      <c r="C22" s="115">
        <f ca="1">Plantilla!F21</f>
        <v>44</v>
      </c>
      <c r="D22" s="319" t="str">
        <f>Plantilla!G21</f>
        <v>TEC</v>
      </c>
      <c r="E22" s="265">
        <v>36526</v>
      </c>
      <c r="F22" s="115">
        <f>Plantilla!Q21</f>
        <v>7</v>
      </c>
      <c r="G22" s="142">
        <f t="shared" si="0"/>
        <v>1</v>
      </c>
      <c r="H22" s="142">
        <f t="shared" si="1"/>
        <v>1</v>
      </c>
      <c r="I22" s="195">
        <f>Plantilla!P21</f>
        <v>1.5</v>
      </c>
      <c r="J22" s="196">
        <f>Plantilla!I21</f>
        <v>13.8</v>
      </c>
      <c r="K22" s="49">
        <f>Plantilla!X21</f>
        <v>0</v>
      </c>
      <c r="L22" s="49">
        <f>Plantilla!Y21</f>
        <v>6.95</v>
      </c>
      <c r="M22" s="49">
        <f>Plantilla!Z21</f>
        <v>9.9499999999999993</v>
      </c>
      <c r="N22" s="49">
        <f>Plantilla!AA21</f>
        <v>12.95</v>
      </c>
      <c r="O22" s="49">
        <f>Plantilla!AB21</f>
        <v>9.9499999999999993</v>
      </c>
      <c r="P22" s="49">
        <f>Plantilla!AC21</f>
        <v>2.95</v>
      </c>
      <c r="Q22" s="49">
        <f>Plantilla!AD21</f>
        <v>17.95</v>
      </c>
      <c r="R22" s="196">
        <f t="shared" si="2"/>
        <v>3.7312499999999997</v>
      </c>
      <c r="S22" s="196">
        <f t="shared" si="3"/>
        <v>13.843343707928975</v>
      </c>
      <c r="T22" s="49">
        <f t="shared" si="4"/>
        <v>0.68599999999999994</v>
      </c>
      <c r="U22" s="49">
        <f t="shared" si="5"/>
        <v>0.81649999999999989</v>
      </c>
      <c r="V22" s="196">
        <f t="shared" ca="1" si="6"/>
        <v>20.469838781868315</v>
      </c>
      <c r="W22" s="196">
        <f t="shared" ca="1" si="7"/>
        <v>20.469838781868315</v>
      </c>
      <c r="X22" s="83">
        <f t="shared" si="8"/>
        <v>4.5545192565710391</v>
      </c>
      <c r="Y22" s="83">
        <f t="shared" si="9"/>
        <v>6.8523618673919948</v>
      </c>
      <c r="Z22" s="83">
        <f t="shared" si="10"/>
        <v>4.5545192565710391</v>
      </c>
      <c r="AA22" s="83">
        <f t="shared" si="11"/>
        <v>5.1444368114440504</v>
      </c>
      <c r="AB22" s="83">
        <f t="shared" si="12"/>
        <v>9.9698387818683152</v>
      </c>
      <c r="AC22" s="83">
        <f t="shared" si="13"/>
        <v>2.5722184057220252</v>
      </c>
      <c r="AD22" s="83">
        <f t="shared" si="14"/>
        <v>3.0868216300846587</v>
      </c>
      <c r="AE22" s="83">
        <f t="shared" si="15"/>
        <v>3.7685990595462231</v>
      </c>
      <c r="AF22" s="83">
        <f t="shared" si="16"/>
        <v>7.2081934392907918</v>
      </c>
      <c r="AG22" s="83">
        <f t="shared" si="17"/>
        <v>1.8842995297731115</v>
      </c>
      <c r="AH22" s="83">
        <f t="shared" si="18"/>
        <v>4.9933879310193019</v>
      </c>
      <c r="AI22" s="83">
        <f t="shared" si="19"/>
        <v>9.1722516793188511</v>
      </c>
      <c r="AJ22" s="83">
        <f t="shared" si="20"/>
        <v>4.1275132556934819</v>
      </c>
      <c r="AK22" s="83">
        <f t="shared" si="21"/>
        <v>2.1659630765720088</v>
      </c>
      <c r="AL22" s="83">
        <f t="shared" si="22"/>
        <v>9.3902652037385685</v>
      </c>
      <c r="AM22" s="83">
        <f t="shared" si="23"/>
        <v>7.5172584415287096</v>
      </c>
      <c r="AN22" s="83">
        <f t="shared" si="24"/>
        <v>7.0586458575627669</v>
      </c>
      <c r="AO22" s="83">
        <f t="shared" si="25"/>
        <v>3.5019630765720087</v>
      </c>
      <c r="AP22" s="83">
        <f t="shared" si="26"/>
        <v>1.9443135691780744</v>
      </c>
      <c r="AQ22" s="83">
        <f t="shared" si="27"/>
        <v>2.6918564711044453</v>
      </c>
      <c r="AR22" s="83">
        <f t="shared" si="28"/>
        <v>5.9220842364297788</v>
      </c>
      <c r="AS22" s="83">
        <f t="shared" si="29"/>
        <v>1.3459282355522226</v>
      </c>
      <c r="AT22" s="83">
        <f t="shared" si="30"/>
        <v>12.243527810083689</v>
      </c>
      <c r="AU22" s="83">
        <f t="shared" si="31"/>
        <v>1.686079041642881</v>
      </c>
      <c r="AV22" s="83">
        <f t="shared" si="32"/>
        <v>2.5891627630874163</v>
      </c>
      <c r="AW22" s="83">
        <f t="shared" si="33"/>
        <v>0.84303952082144051</v>
      </c>
      <c r="AX22" s="83">
        <f t="shared" si="34"/>
        <v>1.8842995297731115</v>
      </c>
      <c r="AY22" s="83">
        <f t="shared" si="35"/>
        <v>3.9879355127473262</v>
      </c>
      <c r="AZ22" s="83">
        <f t="shared" si="36"/>
        <v>0.94214976488655577</v>
      </c>
      <c r="BA22" s="83">
        <f t="shared" si="37"/>
        <v>12.969838781868315</v>
      </c>
      <c r="BB22" s="83">
        <f t="shared" si="38"/>
        <v>3.2813692118126836</v>
      </c>
      <c r="BC22" s="83">
        <f t="shared" si="39"/>
        <v>5.6763811688094421</v>
      </c>
      <c r="BD22" s="83">
        <f t="shared" si="40"/>
        <v>1.6406846059063418</v>
      </c>
      <c r="BE22" s="83">
        <f t="shared" si="41"/>
        <v>2.9012230855236796</v>
      </c>
      <c r="BF22" s="83">
        <f t="shared" si="42"/>
        <v>3.4695038960901736</v>
      </c>
      <c r="BG22" s="83">
        <f t="shared" si="43"/>
        <v>11.426427966825985</v>
      </c>
      <c r="BH22" s="83">
        <f t="shared" si="44"/>
        <v>13.252186677080932</v>
      </c>
      <c r="BI22" s="83">
        <f t="shared" si="45"/>
        <v>3.125731146430264</v>
      </c>
      <c r="BJ22" s="83">
        <f t="shared" si="46"/>
        <v>4.8353718092061326</v>
      </c>
      <c r="BK22" s="83">
        <f t="shared" si="47"/>
        <v>2.6320374384132355</v>
      </c>
      <c r="BL22" s="83">
        <f t="shared" si="48"/>
        <v>4.9415085758918282</v>
      </c>
      <c r="BM22" s="83">
        <f t="shared" si="49"/>
        <v>13.354639095352908</v>
      </c>
      <c r="BN22" s="83">
        <f t="shared" si="50"/>
        <v>0.67443161665715234</v>
      </c>
      <c r="BO22" s="83">
        <f t="shared" si="51"/>
        <v>1.7945709807362966</v>
      </c>
      <c r="BP22" s="83">
        <f t="shared" si="52"/>
        <v>0.67794903716704547</v>
      </c>
      <c r="BQ22" s="83">
        <f t="shared" si="53"/>
        <v>3.9558008284698358</v>
      </c>
      <c r="BR22" s="83">
        <f t="shared" si="54"/>
        <v>19.679212673482652</v>
      </c>
      <c r="BS22" s="83">
        <f t="shared" si="55"/>
        <v>1.7509282355522227</v>
      </c>
      <c r="BT22" s="83">
        <f t="shared" si="56"/>
        <v>2.8314342140506015</v>
      </c>
      <c r="BU22" s="83">
        <f t="shared" si="57"/>
        <v>2.432640662775869</v>
      </c>
      <c r="BV22" s="83">
        <f t="shared" si="58"/>
        <v>5.9012766457500838</v>
      </c>
      <c r="BW22" s="83">
        <f t="shared" si="59"/>
        <v>16.962581370310094</v>
      </c>
      <c r="BX22" s="83">
        <f t="shared" si="60"/>
        <v>1.5693504926060662</v>
      </c>
      <c r="BY22" s="83">
        <f t="shared" si="61"/>
        <v>2.8314342140506015</v>
      </c>
      <c r="BZ22" s="83">
        <f t="shared" si="62"/>
        <v>2.432640662775869</v>
      </c>
      <c r="CA22" s="83">
        <f t="shared" si="63"/>
        <v>8.183968271358907</v>
      </c>
      <c r="CB22" s="83">
        <f t="shared" si="64"/>
        <v>13.714005709772142</v>
      </c>
      <c r="CC22" s="83">
        <f t="shared" si="65"/>
        <v>1.9195361397165105</v>
      </c>
      <c r="CD22" s="83">
        <f t="shared" si="66"/>
        <v>5.2657545454385364</v>
      </c>
      <c r="CE22" s="83">
        <f t="shared" si="67"/>
        <v>7.3558731079028572</v>
      </c>
      <c r="CF22" s="83">
        <f t="shared" si="68"/>
        <v>10.523038468383723</v>
      </c>
      <c r="CG22" s="83">
        <f t="shared" si="69"/>
        <v>7.3558731079028572</v>
      </c>
      <c r="CH22" s="83">
        <f t="shared" si="70"/>
        <v>6.7932095611039607</v>
      </c>
      <c r="CI22" s="83">
        <f t="shared" si="71"/>
        <v>10.755709292377723</v>
      </c>
      <c r="CJ22" s="83">
        <f t="shared" si="72"/>
        <v>6.7932095611039607</v>
      </c>
      <c r="CK22" s="83">
        <f t="shared" si="73"/>
        <v>3.2424596954670788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59</v>
      </c>
      <c r="D23" s="319" t="str">
        <f>Plantilla!G22</f>
        <v>CAB</v>
      </c>
      <c r="E23" s="265">
        <v>36526</v>
      </c>
      <c r="F23" s="115">
        <f>Plantilla!Q22</f>
        <v>6</v>
      </c>
      <c r="G23" s="142">
        <f t="shared" si="0"/>
        <v>0.92582009977255142</v>
      </c>
      <c r="H23" s="142">
        <f t="shared" si="1"/>
        <v>0.99928545900129484</v>
      </c>
      <c r="I23" s="195">
        <f>Plantilla!P22</f>
        <v>1.5</v>
      </c>
      <c r="J23" s="196">
        <f>Plantilla!I22</f>
        <v>13.7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19.401536604554209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17.142140027997716</v>
      </c>
      <c r="W23" s="196">
        <f t="shared" ca="1" si="7"/>
        <v>18.502397247964815</v>
      </c>
      <c r="X23" s="83">
        <f t="shared" si="8"/>
        <v>4.9400027401700566</v>
      </c>
      <c r="Y23" s="83">
        <f t="shared" si="9"/>
        <v>7.4461750029318932</v>
      </c>
      <c r="Z23" s="83">
        <f t="shared" si="10"/>
        <v>4.9400027401700566</v>
      </c>
      <c r="AA23" s="83">
        <f t="shared" si="11"/>
        <v>5.869823750203607</v>
      </c>
      <c r="AB23" s="83">
        <f t="shared" si="12"/>
        <v>11.375627422875207</v>
      </c>
      <c r="AC23" s="83">
        <f t="shared" si="13"/>
        <v>2.9349118751018035</v>
      </c>
      <c r="AD23" s="83">
        <f t="shared" si="14"/>
        <v>3.6340315488665218</v>
      </c>
      <c r="AE23" s="83">
        <f t="shared" si="15"/>
        <v>4.2999871658468285</v>
      </c>
      <c r="AF23" s="83">
        <f t="shared" si="16"/>
        <v>8.2245786267387739</v>
      </c>
      <c r="AG23" s="83">
        <f t="shared" si="17"/>
        <v>2.1499935829234142</v>
      </c>
      <c r="AH23" s="83">
        <f t="shared" si="18"/>
        <v>5.8785804466958451</v>
      </c>
      <c r="AI23" s="83">
        <f t="shared" si="19"/>
        <v>10.46557722904519</v>
      </c>
      <c r="AJ23" s="83">
        <f t="shared" si="20"/>
        <v>4.7095097530703356</v>
      </c>
      <c r="AK23" s="83">
        <f t="shared" si="21"/>
        <v>2.5499297002550807</v>
      </c>
      <c r="AL23" s="83">
        <f t="shared" si="22"/>
        <v>9.3877889246506214</v>
      </c>
      <c r="AM23" s="83">
        <f t="shared" si="23"/>
        <v>8.5772230768479059</v>
      </c>
      <c r="AN23" s="83">
        <f t="shared" si="24"/>
        <v>8.0539442153956458</v>
      </c>
      <c r="AO23" s="83">
        <f t="shared" si="25"/>
        <v>3.1756097796201601</v>
      </c>
      <c r="AP23" s="83">
        <f t="shared" si="26"/>
        <v>2.01474069778806</v>
      </c>
      <c r="AQ23" s="83">
        <f t="shared" si="27"/>
        <v>3.0714194041763059</v>
      </c>
      <c r="AR23" s="83">
        <f t="shared" si="28"/>
        <v>6.757122689187872</v>
      </c>
      <c r="AS23" s="83">
        <f t="shared" si="29"/>
        <v>1.5357097020881529</v>
      </c>
      <c r="AT23" s="83">
        <f t="shared" si="30"/>
        <v>14.413973874495785</v>
      </c>
      <c r="AU23" s="83">
        <f t="shared" si="31"/>
        <v>1.7232315649737773</v>
      </c>
      <c r="AV23" s="83">
        <f t="shared" si="32"/>
        <v>3.3147288349024358</v>
      </c>
      <c r="AW23" s="83">
        <f t="shared" si="33"/>
        <v>0.86161578248688864</v>
      </c>
      <c r="AX23" s="83">
        <f t="shared" si="34"/>
        <v>2.1499935829234142</v>
      </c>
      <c r="AY23" s="83">
        <f t="shared" si="35"/>
        <v>4.550250969150083</v>
      </c>
      <c r="AZ23" s="83">
        <f t="shared" si="36"/>
        <v>1.0749967914617071</v>
      </c>
      <c r="BA23" s="83">
        <f t="shared" si="37"/>
        <v>15.269040121287908</v>
      </c>
      <c r="BB23" s="83">
        <f t="shared" si="38"/>
        <v>3.3536737379874277</v>
      </c>
      <c r="BC23" s="83">
        <f t="shared" si="39"/>
        <v>6.61295071000424</v>
      </c>
      <c r="BD23" s="83">
        <f t="shared" si="40"/>
        <v>1.6768368689937139</v>
      </c>
      <c r="BE23" s="83">
        <f t="shared" si="41"/>
        <v>3.3103075800566848</v>
      </c>
      <c r="BF23" s="83">
        <f t="shared" si="42"/>
        <v>3.9587183431605717</v>
      </c>
      <c r="BG23" s="83">
        <f t="shared" si="43"/>
        <v>13.452024346854648</v>
      </c>
      <c r="BH23" s="83">
        <f t="shared" si="44"/>
        <v>13.339792778936058</v>
      </c>
      <c r="BI23" s="83">
        <f t="shared" si="45"/>
        <v>3.1946062089129255</v>
      </c>
      <c r="BJ23" s="83">
        <f t="shared" si="46"/>
        <v>5.5171793000944751</v>
      </c>
      <c r="BK23" s="83">
        <f t="shared" si="47"/>
        <v>3.0031656396390547</v>
      </c>
      <c r="BL23" s="83">
        <f t="shared" si="48"/>
        <v>5.8175042862106929</v>
      </c>
      <c r="BM23" s="83">
        <f t="shared" si="49"/>
        <v>13.409248367592934</v>
      </c>
      <c r="BN23" s="83">
        <f t="shared" si="50"/>
        <v>0.6892926259895108</v>
      </c>
      <c r="BO23" s="83">
        <f t="shared" si="51"/>
        <v>2.0476129361175373</v>
      </c>
      <c r="BP23" s="83">
        <f t="shared" si="52"/>
        <v>0.77354266475551414</v>
      </c>
      <c r="BQ23" s="83">
        <f t="shared" si="53"/>
        <v>4.657057236992812</v>
      </c>
      <c r="BR23" s="83">
        <f t="shared" si="54"/>
        <v>19.756736865817519</v>
      </c>
      <c r="BS23" s="83">
        <f t="shared" si="55"/>
        <v>1.7895097020881534</v>
      </c>
      <c r="BT23" s="83">
        <f t="shared" si="56"/>
        <v>3.2306781880965585</v>
      </c>
      <c r="BU23" s="83">
        <f t="shared" si="57"/>
        <v>2.7756530911815505</v>
      </c>
      <c r="BV23" s="83">
        <f t="shared" si="58"/>
        <v>6.9474132551859986</v>
      </c>
      <c r="BW23" s="83">
        <f t="shared" si="59"/>
        <v>17.028675184545733</v>
      </c>
      <c r="BX23" s="83">
        <f t="shared" si="60"/>
        <v>1.6039309181679002</v>
      </c>
      <c r="BY23" s="83">
        <f t="shared" si="61"/>
        <v>3.2306781880965585</v>
      </c>
      <c r="BZ23" s="83">
        <f t="shared" si="62"/>
        <v>2.7756530911815505</v>
      </c>
      <c r="CA23" s="83">
        <f t="shared" si="63"/>
        <v>9.6347643165326708</v>
      </c>
      <c r="CB23" s="83">
        <f t="shared" si="64"/>
        <v>13.766206543473311</v>
      </c>
      <c r="CC23" s="83">
        <f t="shared" si="65"/>
        <v>1.9618328585855309</v>
      </c>
      <c r="CD23" s="83">
        <f t="shared" si="66"/>
        <v>6.199230289242891</v>
      </c>
      <c r="CE23" s="83">
        <f t="shared" si="67"/>
        <v>6.8785918873179837</v>
      </c>
      <c r="CF23" s="83">
        <f t="shared" si="68"/>
        <v>13.007766478157485</v>
      </c>
      <c r="CG23" s="83">
        <f t="shared" si="69"/>
        <v>6.8785918873179837</v>
      </c>
      <c r="CH23" s="83">
        <f t="shared" si="70"/>
        <v>7.8717658844512552</v>
      </c>
      <c r="CI23" s="83">
        <f t="shared" si="71"/>
        <v>14.85695394191616</v>
      </c>
      <c r="CJ23" s="83">
        <f t="shared" si="72"/>
        <v>7.8717658844512552</v>
      </c>
      <c r="CK23" s="83">
        <f t="shared" si="73"/>
        <v>3.817260030321977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59</v>
      </c>
      <c r="D24" s="319">
        <f>Plantilla!G23</f>
        <v>0</v>
      </c>
      <c r="E24" s="265">
        <v>36526</v>
      </c>
      <c r="F24" s="115">
        <f>Plantilla!Q23</f>
        <v>6</v>
      </c>
      <c r="G24" s="142">
        <f t="shared" si="0"/>
        <v>0.92582009977255142</v>
      </c>
      <c r="H24" s="142">
        <f t="shared" si="1"/>
        <v>0.99928545900129484</v>
      </c>
      <c r="I24" s="195">
        <f>Plantilla!P23</f>
        <v>1.5</v>
      </c>
      <c r="J24" s="196">
        <f>Plantilla!I23</f>
        <v>12.3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1.95</v>
      </c>
      <c r="O24" s="49">
        <f>Plantilla!AB23</f>
        <v>7.95</v>
      </c>
      <c r="P24" s="49">
        <f>Plantilla!AC23</f>
        <v>4.95</v>
      </c>
      <c r="Q24" s="49">
        <f>Plantilla!AD23</f>
        <v>16.95</v>
      </c>
      <c r="R24" s="196">
        <f t="shared" si="2"/>
        <v>3.1062499999999997</v>
      </c>
      <c r="S24" s="196">
        <f t="shared" si="3"/>
        <v>16.466087061708095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17.963878869604549</v>
      </c>
      <c r="W24" s="196">
        <f t="shared" ca="1" si="7"/>
        <v>19.389342428476677</v>
      </c>
      <c r="X24" s="83">
        <f t="shared" si="8"/>
        <v>4.2203495497154595</v>
      </c>
      <c r="Y24" s="83">
        <f t="shared" si="9"/>
        <v>6.3413399984910175</v>
      </c>
      <c r="Z24" s="83">
        <f t="shared" si="10"/>
        <v>4.2203495497154595</v>
      </c>
      <c r="AA24" s="83">
        <f t="shared" si="11"/>
        <v>4.5940547166703061</v>
      </c>
      <c r="AB24" s="83">
        <f t="shared" si="12"/>
        <v>8.9032068152525312</v>
      </c>
      <c r="AC24" s="83">
        <f t="shared" si="13"/>
        <v>2.297027358335153</v>
      </c>
      <c r="AD24" s="83">
        <f t="shared" si="14"/>
        <v>4.0229632220301026</v>
      </c>
      <c r="AE24" s="83">
        <f t="shared" si="15"/>
        <v>3.365412176165457</v>
      </c>
      <c r="AF24" s="83">
        <f t="shared" si="16"/>
        <v>6.43701852742758</v>
      </c>
      <c r="AG24" s="83">
        <f t="shared" si="17"/>
        <v>1.6827060880827285</v>
      </c>
      <c r="AH24" s="83">
        <f t="shared" si="18"/>
        <v>6.5077346238722242</v>
      </c>
      <c r="AI24" s="83">
        <f t="shared" si="19"/>
        <v>8.1909502700323298</v>
      </c>
      <c r="AJ24" s="83">
        <f t="shared" si="20"/>
        <v>3.6859276215145478</v>
      </c>
      <c r="AK24" s="83">
        <f t="shared" si="21"/>
        <v>2.822835538147173</v>
      </c>
      <c r="AL24" s="83">
        <f t="shared" si="22"/>
        <v>2.8830856073684883</v>
      </c>
      <c r="AM24" s="83">
        <f t="shared" si="23"/>
        <v>6.7130179387004087</v>
      </c>
      <c r="AN24" s="83">
        <f t="shared" si="24"/>
        <v>6.3034704251987916</v>
      </c>
      <c r="AO24" s="83">
        <f t="shared" si="25"/>
        <v>3.3238355381471729</v>
      </c>
      <c r="AP24" s="83">
        <f t="shared" si="26"/>
        <v>1.7451235627927286</v>
      </c>
      <c r="AQ24" s="83">
        <f t="shared" si="27"/>
        <v>2.4038658401181836</v>
      </c>
      <c r="AR24" s="83">
        <f t="shared" si="28"/>
        <v>5.2885048482600032</v>
      </c>
      <c r="AS24" s="83">
        <f t="shared" si="29"/>
        <v>1.2019329200590918</v>
      </c>
      <c r="AT24" s="83">
        <f t="shared" si="30"/>
        <v>15.956627233598388</v>
      </c>
      <c r="AU24" s="83">
        <f t="shared" si="31"/>
        <v>1.4174168859828289</v>
      </c>
      <c r="AV24" s="83">
        <f t="shared" si="32"/>
        <v>2.675639596868991</v>
      </c>
      <c r="AW24" s="83">
        <f t="shared" si="33"/>
        <v>0.70870844299141444</v>
      </c>
      <c r="AX24" s="83">
        <f t="shared" si="34"/>
        <v>1.6827060880827285</v>
      </c>
      <c r="AY24" s="83">
        <f t="shared" si="35"/>
        <v>3.5612827261010125</v>
      </c>
      <c r="AZ24" s="83">
        <f t="shared" si="36"/>
        <v>0.84135304404136424</v>
      </c>
      <c r="BA24" s="83">
        <f t="shared" si="37"/>
        <v>16.903206815252531</v>
      </c>
      <c r="BB24" s="83">
        <f t="shared" si="38"/>
        <v>2.7585113242588899</v>
      </c>
      <c r="BC24" s="83">
        <f t="shared" si="39"/>
        <v>5.3776669552041438</v>
      </c>
      <c r="BD24" s="83">
        <f t="shared" si="40"/>
        <v>1.3792556621294449</v>
      </c>
      <c r="BE24" s="83">
        <f t="shared" si="41"/>
        <v>2.5908331832384865</v>
      </c>
      <c r="BF24" s="83">
        <f t="shared" si="42"/>
        <v>3.0983159717078808</v>
      </c>
      <c r="BG24" s="83">
        <f t="shared" si="43"/>
        <v>14.891725204237479</v>
      </c>
      <c r="BH24" s="83">
        <f t="shared" si="44"/>
        <v>6.2489508587594997</v>
      </c>
      <c r="BI24" s="83">
        <f t="shared" si="45"/>
        <v>2.6276728424758593</v>
      </c>
      <c r="BJ24" s="83">
        <f t="shared" si="46"/>
        <v>4.3180553053974773</v>
      </c>
      <c r="BK24" s="83">
        <f t="shared" si="47"/>
        <v>2.3504465992266685</v>
      </c>
      <c r="BL24" s="83">
        <f t="shared" si="48"/>
        <v>6.4401217966112148</v>
      </c>
      <c r="BM24" s="83">
        <f t="shared" si="49"/>
        <v>5.4914027565307126</v>
      </c>
      <c r="BN24" s="83">
        <f t="shared" si="50"/>
        <v>0.56696675439313149</v>
      </c>
      <c r="BO24" s="83">
        <f t="shared" si="51"/>
        <v>1.6025772267454557</v>
      </c>
      <c r="BP24" s="83">
        <f t="shared" si="52"/>
        <v>0.60541806343717219</v>
      </c>
      <c r="BQ24" s="83">
        <f t="shared" si="53"/>
        <v>5.1554780786520222</v>
      </c>
      <c r="BR24" s="83">
        <f t="shared" si="54"/>
        <v>8.0215239644147545</v>
      </c>
      <c r="BS24" s="83">
        <f t="shared" si="55"/>
        <v>1.4719329200590916</v>
      </c>
      <c r="BT24" s="83">
        <f t="shared" si="56"/>
        <v>2.5285107355317185</v>
      </c>
      <c r="BU24" s="83">
        <f t="shared" si="57"/>
        <v>2.1723824629216177</v>
      </c>
      <c r="BV24" s="83">
        <f t="shared" si="58"/>
        <v>7.6909591009399021</v>
      </c>
      <c r="BW24" s="83">
        <f t="shared" si="59"/>
        <v>6.896753151299805</v>
      </c>
      <c r="BX24" s="83">
        <f t="shared" si="60"/>
        <v>1.3192880246455561</v>
      </c>
      <c r="BY24" s="83">
        <f t="shared" si="61"/>
        <v>2.5285107355317185</v>
      </c>
      <c r="BZ24" s="83">
        <f t="shared" si="62"/>
        <v>2.1723824629216177</v>
      </c>
      <c r="CA24" s="83">
        <f t="shared" si="63"/>
        <v>10.665923500424347</v>
      </c>
      <c r="CB24" s="83">
        <f t="shared" si="64"/>
        <v>5.546370099651015</v>
      </c>
      <c r="CC24" s="83">
        <f t="shared" si="65"/>
        <v>1.6136746086573743</v>
      </c>
      <c r="CD24" s="83">
        <f t="shared" si="66"/>
        <v>6.8627019669925282</v>
      </c>
      <c r="CE24" s="83">
        <f t="shared" si="67"/>
        <v>4.4355707507465683</v>
      </c>
      <c r="CF24" s="83">
        <f t="shared" si="68"/>
        <v>10.528010873974349</v>
      </c>
      <c r="CG24" s="83">
        <f t="shared" si="69"/>
        <v>4.4355707507465683</v>
      </c>
      <c r="CH24" s="83">
        <f t="shared" si="70"/>
        <v>4.5566978459023266</v>
      </c>
      <c r="CI24" s="83">
        <f t="shared" si="71"/>
        <v>11.926490130080715</v>
      </c>
      <c r="CJ24" s="83">
        <f t="shared" si="72"/>
        <v>4.5566978459023266</v>
      </c>
      <c r="CK24" s="83">
        <f t="shared" si="73"/>
        <v>4.2258017038131328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96</v>
      </c>
      <c r="D25" s="319" t="str">
        <f>Plantilla!G24</f>
        <v>RAP</v>
      </c>
      <c r="E25" s="265">
        <v>36526</v>
      </c>
      <c r="F25" s="115">
        <f>Plantilla!Q24</f>
        <v>5</v>
      </c>
      <c r="G25" s="142">
        <f t="shared" si="0"/>
        <v>0.84515425472851657</v>
      </c>
      <c r="H25" s="142">
        <f t="shared" si="1"/>
        <v>0.92504826128926143</v>
      </c>
      <c r="I25" s="195">
        <f>Plantilla!P24</f>
        <v>1.5</v>
      </c>
      <c r="J25" s="196">
        <f>Plantilla!I24</f>
        <v>14.7</v>
      </c>
      <c r="K25" s="49">
        <f>Plantilla!X24</f>
        <v>0</v>
      </c>
      <c r="L25" s="49">
        <f>Plantilla!Y24</f>
        <v>5.95</v>
      </c>
      <c r="M25" s="49">
        <f>Plantilla!Z24</f>
        <v>8.9499999999999993</v>
      </c>
      <c r="N25" s="49">
        <f>Plantilla!AA24</f>
        <v>7.95</v>
      </c>
      <c r="O25" s="49">
        <f>Plantilla!AB24</f>
        <v>8.9499999999999993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3.3562499999999997</v>
      </c>
      <c r="S25" s="196">
        <f t="shared" si="3"/>
        <v>21.14169507972462</v>
      </c>
      <c r="T25" s="49">
        <f t="shared" si="4"/>
        <v>0.91749999999999976</v>
      </c>
      <c r="U25" s="49">
        <f t="shared" si="5"/>
        <v>0.80799999999999983</v>
      </c>
      <c r="V25" s="196">
        <f t="shared" ca="1" si="6"/>
        <v>18.218502710678024</v>
      </c>
      <c r="W25" s="196">
        <f t="shared" ca="1" si="7"/>
        <v>19.940731720294043</v>
      </c>
      <c r="X25" s="83">
        <f t="shared" si="8"/>
        <v>4.3104573776468769</v>
      </c>
      <c r="Y25" s="83">
        <f t="shared" si="9"/>
        <v>6.4745922388798611</v>
      </c>
      <c r="Z25" s="83">
        <f t="shared" si="10"/>
        <v>4.3104573776468769</v>
      </c>
      <c r="AA25" s="83">
        <f t="shared" si="11"/>
        <v>4.6473143263067458</v>
      </c>
      <c r="AB25" s="83">
        <f t="shared" si="12"/>
        <v>9.0064231129975685</v>
      </c>
      <c r="AC25" s="83">
        <f t="shared" si="13"/>
        <v>2.3236571631533729</v>
      </c>
      <c r="AD25" s="83">
        <f t="shared" si="14"/>
        <v>2.8575287008934209</v>
      </c>
      <c r="AE25" s="83">
        <f t="shared" si="15"/>
        <v>3.404427936713081</v>
      </c>
      <c r="AF25" s="83">
        <f t="shared" si="16"/>
        <v>6.5116439106972415</v>
      </c>
      <c r="AG25" s="83">
        <f t="shared" si="17"/>
        <v>1.7022139683565405</v>
      </c>
      <c r="AH25" s="83">
        <f t="shared" si="18"/>
        <v>4.6224728985040633</v>
      </c>
      <c r="AI25" s="83">
        <f t="shared" si="19"/>
        <v>8.2859092639577625</v>
      </c>
      <c r="AJ25" s="83">
        <f t="shared" si="20"/>
        <v>3.7286591687809931</v>
      </c>
      <c r="AK25" s="83">
        <f t="shared" si="21"/>
        <v>2.0050726598705939</v>
      </c>
      <c r="AL25" s="83">
        <f t="shared" si="22"/>
        <v>6.4717767904425685</v>
      </c>
      <c r="AM25" s="83">
        <f t="shared" si="23"/>
        <v>6.7908430272001663</v>
      </c>
      <c r="AN25" s="83">
        <f t="shared" si="24"/>
        <v>6.3765475640022782</v>
      </c>
      <c r="AO25" s="83">
        <f t="shared" si="25"/>
        <v>3.6834226598705926</v>
      </c>
      <c r="AP25" s="83">
        <f t="shared" si="26"/>
        <v>1.8468498565432994</v>
      </c>
      <c r="AQ25" s="83">
        <f t="shared" si="27"/>
        <v>2.4317342405093436</v>
      </c>
      <c r="AR25" s="83">
        <f t="shared" si="28"/>
        <v>5.3498153291205552</v>
      </c>
      <c r="AS25" s="83">
        <f t="shared" si="29"/>
        <v>1.2158671202546718</v>
      </c>
      <c r="AT25" s="83">
        <f t="shared" si="30"/>
        <v>11.334063418669702</v>
      </c>
      <c r="AU25" s="83">
        <f t="shared" si="31"/>
        <v>1.5608350046896837</v>
      </c>
      <c r="AV25" s="83">
        <f t="shared" si="32"/>
        <v>3.1718819721082872</v>
      </c>
      <c r="AW25" s="83">
        <f t="shared" si="33"/>
        <v>0.78041750234484186</v>
      </c>
      <c r="AX25" s="83">
        <f t="shared" si="34"/>
        <v>1.7022139683565405</v>
      </c>
      <c r="AY25" s="83">
        <f t="shared" si="35"/>
        <v>3.6025692451990277</v>
      </c>
      <c r="AZ25" s="83">
        <f t="shared" si="36"/>
        <v>0.85110698417827024</v>
      </c>
      <c r="BA25" s="83">
        <f t="shared" si="37"/>
        <v>12.006423112997567</v>
      </c>
      <c r="BB25" s="83">
        <f t="shared" si="38"/>
        <v>3.0376250475883846</v>
      </c>
      <c r="BC25" s="83">
        <f t="shared" si="39"/>
        <v>6.1955391352616598</v>
      </c>
      <c r="BD25" s="83">
        <f t="shared" si="40"/>
        <v>1.5188125237941923</v>
      </c>
      <c r="BE25" s="83">
        <f t="shared" si="41"/>
        <v>2.620869125882292</v>
      </c>
      <c r="BF25" s="83">
        <f t="shared" si="42"/>
        <v>3.1342352433231535</v>
      </c>
      <c r="BG25" s="83">
        <f t="shared" si="43"/>
        <v>10.577658762550856</v>
      </c>
      <c r="BH25" s="83">
        <f t="shared" si="44"/>
        <v>10.099710147454836</v>
      </c>
      <c r="BI25" s="83">
        <f t="shared" si="45"/>
        <v>2.8935479702324134</v>
      </c>
      <c r="BJ25" s="83">
        <f t="shared" si="46"/>
        <v>4.368115209803821</v>
      </c>
      <c r="BK25" s="83">
        <f t="shared" si="47"/>
        <v>2.377695701831358</v>
      </c>
      <c r="BL25" s="83">
        <f t="shared" si="48"/>
        <v>4.5744472060520733</v>
      </c>
      <c r="BM25" s="83">
        <f t="shared" si="49"/>
        <v>9.8206138007598742</v>
      </c>
      <c r="BN25" s="83">
        <f t="shared" si="50"/>
        <v>0.6243340018758734</v>
      </c>
      <c r="BO25" s="83">
        <f t="shared" si="51"/>
        <v>1.6211561603395623</v>
      </c>
      <c r="BP25" s="83">
        <f t="shared" si="52"/>
        <v>0.6124367716838347</v>
      </c>
      <c r="BQ25" s="83">
        <f t="shared" si="53"/>
        <v>3.661959049464258</v>
      </c>
      <c r="BR25" s="83">
        <f t="shared" si="54"/>
        <v>14.440260123314872</v>
      </c>
      <c r="BS25" s="83">
        <f t="shared" si="55"/>
        <v>1.6208671202546716</v>
      </c>
      <c r="BT25" s="83">
        <f t="shared" si="56"/>
        <v>2.5578241640913091</v>
      </c>
      <c r="BU25" s="83">
        <f t="shared" si="57"/>
        <v>2.1975672395714065</v>
      </c>
      <c r="BV25" s="83">
        <f t="shared" si="58"/>
        <v>5.4629225164138928</v>
      </c>
      <c r="BW25" s="83">
        <f t="shared" si="59"/>
        <v>12.439116809201304</v>
      </c>
      <c r="BX25" s="83">
        <f t="shared" si="60"/>
        <v>1.4527771966727054</v>
      </c>
      <c r="BY25" s="83">
        <f t="shared" si="61"/>
        <v>2.5578241640913091</v>
      </c>
      <c r="BZ25" s="83">
        <f t="shared" si="62"/>
        <v>2.1975672395714065</v>
      </c>
      <c r="CA25" s="83">
        <f t="shared" si="63"/>
        <v>7.576052984301465</v>
      </c>
      <c r="CB25" s="83">
        <f t="shared" si="64"/>
        <v>10.043748686132822</v>
      </c>
      <c r="CC25" s="83">
        <f t="shared" si="65"/>
        <v>1.7769506207236399</v>
      </c>
      <c r="CD25" s="83">
        <f t="shared" si="66"/>
        <v>4.8746077838770123</v>
      </c>
      <c r="CE25" s="83">
        <f t="shared" si="67"/>
        <v>5.8573464418717327</v>
      </c>
      <c r="CF25" s="83">
        <f t="shared" si="68"/>
        <v>12.353232425235259</v>
      </c>
      <c r="CG25" s="83">
        <f t="shared" si="69"/>
        <v>5.8573464418717327</v>
      </c>
      <c r="CH25" s="83">
        <f t="shared" si="70"/>
        <v>6.6090015993974838</v>
      </c>
      <c r="CI25" s="83">
        <f t="shared" si="71"/>
        <v>14.436793241693668</v>
      </c>
      <c r="CJ25" s="83">
        <f t="shared" si="72"/>
        <v>6.6090015993974838</v>
      </c>
      <c r="CK25" s="83">
        <f t="shared" si="73"/>
        <v>3.0016057782493917</v>
      </c>
    </row>
    <row r="26" spans="1:89" x14ac:dyDescent="0.25">
      <c r="A26" t="str">
        <f>Plantilla!D25</f>
        <v>P .Trivadi</v>
      </c>
      <c r="B26" s="319">
        <f>Plantilla!E25</f>
        <v>33</v>
      </c>
      <c r="C26" s="115">
        <f ca="1">Plantilla!F25</f>
        <v>15</v>
      </c>
      <c r="D26" s="319">
        <f>Plantilla!G25</f>
        <v>0</v>
      </c>
      <c r="E26" s="265">
        <v>36526</v>
      </c>
      <c r="F26" s="115">
        <f>Plantilla!Q25</f>
        <v>5</v>
      </c>
      <c r="G26" s="142">
        <f t="shared" si="0"/>
        <v>0.84515425472851657</v>
      </c>
      <c r="H26" s="142">
        <f t="shared" si="1"/>
        <v>0.92504826128926143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13.578068576058049</v>
      </c>
      <c r="W26" s="196">
        <f t="shared" ca="1" si="7"/>
        <v>14.861628699938974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704" t="s">
        <v>442</v>
      </c>
      <c r="B35" s="704"/>
      <c r="C35" s="704"/>
      <c r="D35" s="704"/>
      <c r="E35" s="70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36</v>
      </c>
      <c r="C37">
        <f t="shared" ca="1" si="74"/>
        <v>12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24.6</v>
      </c>
      <c r="H37" s="49">
        <f>K3</f>
        <v>15.95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0.95</v>
      </c>
      <c r="L37" s="49">
        <f t="shared" si="75"/>
        <v>0</v>
      </c>
      <c r="M37" s="49">
        <f t="shared" si="75"/>
        <v>0</v>
      </c>
      <c r="N37" s="49">
        <f t="shared" si="75"/>
        <v>18.2</v>
      </c>
      <c r="O37" s="196">
        <f>((2*(L37+1))+(I37+1))/8</f>
        <v>1.8687499999999999</v>
      </c>
      <c r="P37" s="196">
        <f ca="1">1.66*(M37+(LOG(G37)*4/3)+F37)+0.55*(N37+(LOG(G37)*4/3)+F37)-7.6</f>
        <v>8.7186221155979577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21.054580142804504</v>
      </c>
      <c r="T37" s="83">
        <f ca="1">((H37+F37+(LOG(G37)*4/3))*0.597)+((I37+F37+(LOG(G37)*4/3))*0.276)</f>
        <v>15.312398464668332</v>
      </c>
      <c r="U37" s="83">
        <f ca="1">((H37+F37+(LOG(G37)*4/3))*0.866)+((I37+F37+(LOG(G37)*4/3))*0.425)</f>
        <v>22.576712964360617</v>
      </c>
      <c r="V37" s="83">
        <f ca="1">T37</f>
        <v>15.312398464668332</v>
      </c>
      <c r="W37" s="83">
        <f ca="1">((I37+F37+(LOG(G37)*4/3))*0.516)</f>
        <v>7.639163353687124</v>
      </c>
      <c r="X37" s="83">
        <f ca="1">(I37+F37+(LOG(G37)*4/3))*1</f>
        <v>14.804580142804504</v>
      </c>
      <c r="Y37" s="83">
        <f ca="1">W37/2</f>
        <v>3.819581676843562</v>
      </c>
      <c r="Z37" s="83">
        <f ca="1">(J37+F37+(LOG(G37)*4/3))*0.238</f>
        <v>1.172050073987472</v>
      </c>
      <c r="AA37" s="83">
        <f ca="1">((I37+F37+(LOG(G37)*4/3))*0.378)</f>
        <v>5.5961312939801022</v>
      </c>
      <c r="AB37" s="83">
        <f ca="1">(I37+F37+(LOG(G37)*4/3))*0.723</f>
        <v>10.703711443247656</v>
      </c>
      <c r="AC37" s="83">
        <f ca="1">AA37/2</f>
        <v>2.7980656469900511</v>
      </c>
      <c r="AD37" s="83">
        <f ca="1">(J37+F37+(LOG(G37)*4/3))*0.385</f>
        <v>1.8959633549797341</v>
      </c>
      <c r="AE37" s="326">
        <f ca="1">((I37+F37+(LOG(G37)*4/3))*0.92)</f>
        <v>13.620213731380144</v>
      </c>
      <c r="AF37" s="83">
        <f ca="1">(I37+F37+(LOG(G37)*4/3))*0.414</f>
        <v>6.1290961791210643</v>
      </c>
      <c r="AG37" s="83">
        <f ca="1">((J37+F37+(LOG(G37)*4/3))*0.167)</f>
        <v>0.8224048838483522</v>
      </c>
      <c r="AH37" s="326">
        <f ca="1">(K37+F37+(LOG(G37)*4/3))*0.588</f>
        <v>2.237093123969049</v>
      </c>
      <c r="AI37" s="83">
        <f ca="1">((I37+F37+(LOG(G37)*4/3))*0.754)</f>
        <v>11.162653427674597</v>
      </c>
      <c r="AJ37" s="83">
        <f ca="1">((I37+F37+(LOG(G37)*4/3))*0.708)</f>
        <v>10.481642741105588</v>
      </c>
      <c r="AK37" s="83">
        <f ca="1">((N37+F37+(LOG(G37)*4/3))*0.167)</f>
        <v>3.5161148838483522</v>
      </c>
      <c r="AL37" s="83">
        <f ca="1">((O37+F37+(LOG(G37)*4/3))*0.288)</f>
        <v>1.3603190811276973</v>
      </c>
      <c r="AM37" s="83">
        <f ca="1">((I37+F37+(LOG(G37)*4/3))*0.27)</f>
        <v>3.9972366385572164</v>
      </c>
      <c r="AN37" s="83">
        <f ca="1">((I37+F37+(LOG(G37)*4/3))*0.594)</f>
        <v>8.7939206048258747</v>
      </c>
      <c r="AO37" s="83">
        <f ca="1">AM37/2</f>
        <v>1.9986183192786082</v>
      </c>
      <c r="AP37" s="83">
        <f ca="1">((J37+F37+(LOG(G37)*4/3))*0.944)</f>
        <v>4.6488036548074518</v>
      </c>
      <c r="AQ37" s="83">
        <f ca="1">((L37+F37+(LOG(G37)*4/3))*0.13)</f>
        <v>0.37109541856458572</v>
      </c>
      <c r="AR37" s="83">
        <f ca="1">((M37+F37+(LOG(G37)*4/3))*0.173)+((L37+F37+(LOG(G37)*4/3))*0.12)</f>
        <v>0.83639198184172003</v>
      </c>
      <c r="AS37" s="83">
        <f ca="1">AQ37/2</f>
        <v>0.18554770928229286</v>
      </c>
      <c r="AT37" s="83">
        <f ca="1">((I37+F37+(LOG(G37)*4/3))*0.189)</f>
        <v>2.7980656469900511</v>
      </c>
      <c r="AU37" s="83">
        <f ca="1">((I37+F37+(LOG(G37)*4/3))*0.4)</f>
        <v>5.9218320571218017</v>
      </c>
      <c r="AV37" s="83">
        <f ca="1">AT37/2</f>
        <v>1.3990328234950256</v>
      </c>
      <c r="AW37" s="83">
        <f ca="1">((J37+F37+(LOG(G37)*4/3))*1)</f>
        <v>4.924580142804504</v>
      </c>
      <c r="AX37" s="83">
        <f ca="1">((L37+F37+(LOG(G37)*4/3))*0.253)</f>
        <v>0.72220877612953993</v>
      </c>
      <c r="AY37" s="83">
        <f ca="1">((M37+F37+(LOG(G37)*4/3))*0.21)+((L37+F37+(LOG(G37)*4/3))*0.341)</f>
        <v>1.5728736586852827</v>
      </c>
      <c r="AZ37" s="83">
        <f ca="1">AX37/2</f>
        <v>0.36110438806476997</v>
      </c>
      <c r="BA37" s="83">
        <f ca="1">((I37+F37+(LOG(G37)*4/3))*0.291)</f>
        <v>4.3081328215561108</v>
      </c>
      <c r="BB37" s="83">
        <f ca="1">((I37+F37+(LOG(G37)*4/3))*0.348)</f>
        <v>5.1519938896959667</v>
      </c>
      <c r="BC37" s="83">
        <f ca="1">((J37+F37+(LOG(G37)*4/3))*0.881)</f>
        <v>4.3385551058107676</v>
      </c>
      <c r="BD37" s="83">
        <f ca="1">((K37+F37+(LOG(G37)*4/3))*0.574)+((L37+F37+(LOG(G37)*4/3))*0.315)</f>
        <v>3.0830217469532051</v>
      </c>
      <c r="BE37" s="83">
        <f ca="1">((L37+F37+(LOG(G37)*4/3))*0.241)</f>
        <v>0.68795381441588577</v>
      </c>
      <c r="BF37" s="83">
        <f ca="1">((I37+F37+(LOG(G37)*4/3))*0.485)</f>
        <v>7.1802213692601837</v>
      </c>
      <c r="BG37" s="83">
        <f ca="1">((I37+F37+(LOG(G37)*4/3))*0.264)</f>
        <v>3.908409157700389</v>
      </c>
      <c r="BH37" s="83">
        <f ca="1">((J37+F37+(LOG(G37)*4/3))*0.381)</f>
        <v>1.8762650344085161</v>
      </c>
      <c r="BI37" s="83">
        <f ca="1">((K37+F37+(LOG(G37)*4/3))*0.673)+((L37+F37+(LOG(G37)*4/3))*0.201)</f>
        <v>3.1342530448111381</v>
      </c>
      <c r="BJ37" s="83">
        <f ca="1">((L37+F37+(LOG(G37)*4/3))*0.052)</f>
        <v>0.14843816742583427</v>
      </c>
      <c r="BK37" s="83">
        <f ca="1">((I37+F37+(LOG(G37)*4/3))*0.18)</f>
        <v>2.6648244257048104</v>
      </c>
      <c r="BL37" s="83">
        <f ca="1">(I37+F37+(LOG(G37)*4/3))*0.068</f>
        <v>1.0067114497107064</v>
      </c>
      <c r="BM37" s="83">
        <f ca="1">((J37+F37+(LOG(G37)*4/3))*0.305)</f>
        <v>1.5019969435553737</v>
      </c>
      <c r="BN37" s="83">
        <f ca="1">((K37+F37+(LOG(G37)*4/3))*1)+((L37+F37+(LOG(G37)*4/3))*0.286)</f>
        <v>4.6209900636465946</v>
      </c>
      <c r="BO37" s="83">
        <f ca="1">((L37+F37+(LOG(G37)*4/3))*0.135)</f>
        <v>0.38536831927860826</v>
      </c>
      <c r="BP37" s="83">
        <f ca="1">((I37+F37+(LOG(G37)*4/3))*0.284)</f>
        <v>4.2045007605564786</v>
      </c>
      <c r="BQ37" s="83">
        <f ca="1">(I37+F37+(LOG(G37)*4/3))*0.244</f>
        <v>3.612317554844299</v>
      </c>
      <c r="BR37" s="83">
        <f ca="1">((J37+F37+(LOG(G37)*4/3))*0.455)</f>
        <v>2.2406839649760495</v>
      </c>
      <c r="BS37" s="83">
        <f ca="1">((K37+F37+(LOG(G37)*4/3))*0.864)+((L37+F37+(LOG(G37)*4/3))*0.244)</f>
        <v>3.9836747982273923</v>
      </c>
      <c r="BT37" s="83">
        <f ca="1">((L37+F37+(LOG(G37)*4/3))*0.121)</f>
        <v>0.34540419727934513</v>
      </c>
      <c r="BU37" s="83">
        <f ca="1">((I37+F37+(LOG(G37)*4/3))*0.284)</f>
        <v>4.2045007605564786</v>
      </c>
      <c r="BV37" s="83">
        <f ca="1">((I37+F37+(LOG(G37)*4/3))*0.244)</f>
        <v>3.612317554844299</v>
      </c>
      <c r="BW37" s="83">
        <f ca="1">((J37+F37+(LOG(G37)*4/3))*0.631)</f>
        <v>3.1074100701096419</v>
      </c>
      <c r="BX37" s="83">
        <f ca="1">((K37+F37+(LOG(G37)*4/3))*0.702)+((L37+F37+(LOG(G37)*4/3))*0.193)</f>
        <v>3.2217492278100321</v>
      </c>
      <c r="BY37" s="83">
        <f ca="1">((L37+F37+(LOG(G37)*4/3))*0.148)</f>
        <v>0.4224778611350668</v>
      </c>
      <c r="BZ37" s="83">
        <f ca="1">((J37+F37+(LOG(G37)*4/3))*0.406)</f>
        <v>1.9993795379786288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1.6240362544011475</v>
      </c>
      <c r="CB37" s="83">
        <f ca="1">((L37+F37+(LOG(G37)*4/3))*0.543)+((M37+F37+(LOG(G37)*4/3))*0.583)</f>
        <v>3.2142572407978731</v>
      </c>
      <c r="CC37" s="83">
        <f ca="1">CA37</f>
        <v>1.6240362544011475</v>
      </c>
      <c r="CD37" s="83">
        <f ca="1">((M37+1+(LOG(G37)*4/3))*0.26)+((K37+F37+(LOG(G37)*4/3))*0.221)+((L37+F37+(LOG(G37)*4/3))*0.142)</f>
        <v>1.9883534289672069</v>
      </c>
      <c r="CE37" s="83">
        <f ca="1">((M37+F37+(LOG(G37)*4/3))*1)+((L37+F37+(LOG(G37)*4/3))*0.369)</f>
        <v>3.907920215499368</v>
      </c>
      <c r="CF37" s="83">
        <f ca="1">CD37</f>
        <v>1.9883534289672069</v>
      </c>
      <c r="CG37" s="83">
        <f ca="1">((J37+F37+(LOG(G37)*4/3))*0.25)</f>
        <v>1.231145035701126</v>
      </c>
    </row>
    <row r="38" spans="1:85" x14ac:dyDescent="0.25">
      <c r="A38" t="str">
        <f t="shared" ref="A38:E38" si="76">A4</f>
        <v>T. Hammond</v>
      </c>
      <c r="B38">
        <f t="shared" si="76"/>
        <v>40</v>
      </c>
      <c r="C38">
        <f t="shared" ca="1" si="76"/>
        <v>21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5.95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1.35625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0.65649999999999997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8.176711088976031</v>
      </c>
      <c r="U38" s="83">
        <f t="shared" ref="U38:U60" si="91">((H38+F38+(LOG(G38)*4/3))*0.866)+((I38+F38+(LOG(G38)*4/3))*0.425)</f>
        <v>12.074942744407853</v>
      </c>
      <c r="V38" s="83">
        <f t="shared" ref="V38:V60" si="92">T38</f>
        <v>8.176711088976031</v>
      </c>
      <c r="W38" s="83">
        <f t="shared" ref="W38:W60" si="93">((I38+F38+(LOG(G38)*4/3))*0.516)</f>
        <v>4.4801041488105744</v>
      </c>
      <c r="X38" s="83">
        <f t="shared" ref="X38:X60" si="94">(I38+F38+(LOG(G38)*4/3))*1</f>
        <v>8.682372381415842</v>
      </c>
      <c r="Y38" s="83">
        <f t="shared" ref="Y38:Y60" si="95">W38/2</f>
        <v>2.2400520744052872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3.2819367601751881</v>
      </c>
      <c r="AB38" s="83">
        <f t="shared" ref="AB38:AB60" si="98">(I38+F38+(LOG(G38)*4/3))*0.723</f>
        <v>6.2773552317636536</v>
      </c>
      <c r="AC38" s="83">
        <f t="shared" ref="AC38:AC60" si="99">AA38/2</f>
        <v>1.640968380087594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7.987782590902575</v>
      </c>
      <c r="AF38" s="83">
        <f t="shared" ref="AF38:AF60" si="102">(I38+F38+(LOG(G38)*4/3))*0.414</f>
        <v>3.5945021659061585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6.5465087755875446</v>
      </c>
      <c r="AJ38" s="83">
        <f t="shared" ref="AJ38:AJ60" si="106">((I38+F38+(LOG(G38)*4/3))*0.708)</f>
        <v>6.147119646042416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1.1775232458477625</v>
      </c>
      <c r="AM38" s="83">
        <f t="shared" ref="AM38:AM60" si="109">((I38+F38+(LOG(G38)*4/3))*0.27)</f>
        <v>2.3442405429822775</v>
      </c>
      <c r="AN38" s="83">
        <f t="shared" ref="AN38:AN60" si="110">((I38+F38+(LOG(G38)*4/3))*0.594)</f>
        <v>5.1573291945610098</v>
      </c>
      <c r="AO38" s="83">
        <f t="shared" ref="AO38:AO60" si="111">AM38/2</f>
        <v>1.1721202714911387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1.640968380087594</v>
      </c>
      <c r="AU38" s="83">
        <f t="shared" ref="AU38:AU60" si="117">((I38+F38+(LOG(G38)*4/3))*0.4)</f>
        <v>3.4729489525663371</v>
      </c>
      <c r="AV38" s="83">
        <f t="shared" ref="AV38:AV60" si="118">AT38/2</f>
        <v>0.82048419004379702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2.5265703629920098</v>
      </c>
      <c r="BB38" s="83">
        <f t="shared" ref="BB38:BB60" si="124">((I38+F38+(LOG(G38)*4/3))*0.348)</f>
        <v>3.0214655887327129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4.2109506049866834</v>
      </c>
      <c r="BG38" s="83">
        <f t="shared" ref="BG38:BG60" si="129">((I38+F38+(LOG(G38)*4/3))*0.264)</f>
        <v>2.2921463086937823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1.5628270286548516</v>
      </c>
      <c r="BL38" s="83">
        <f t="shared" ref="BL38:BL60" si="134">(I38+F38+(LOG(G38)*4/3))*0.068</f>
        <v>0.59040132193627726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2.4657937563220989</v>
      </c>
      <c r="BQ38" s="83">
        <f t="shared" ref="BQ38:BQ60" si="139">(I38+F38+(LOG(G38)*4/3))*0.244</f>
        <v>2.1184988610654654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2.4657937563220989</v>
      </c>
      <c r="BV38" s="83">
        <f t="shared" ref="BV38:BV60" si="144">((I38+F38+(LOG(G38)*4/3))*0.244)</f>
        <v>2.1184988610654654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37</v>
      </c>
      <c r="C39">
        <f t="shared" ca="1" si="156"/>
        <v>23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18.7</v>
      </c>
      <c r="H39" s="49">
        <f t="shared" si="157"/>
        <v>0</v>
      </c>
      <c r="I39" s="49">
        <f t="shared" si="79"/>
        <v>10.95</v>
      </c>
      <c r="J39" s="49">
        <f t="shared" si="80"/>
        <v>11.75</v>
      </c>
      <c r="K39" s="49">
        <f t="shared" si="81"/>
        <v>7.95</v>
      </c>
      <c r="L39" s="49">
        <f t="shared" si="82"/>
        <v>7.95</v>
      </c>
      <c r="M39" s="49">
        <f t="shared" si="83"/>
        <v>0.95</v>
      </c>
      <c r="N39" s="49">
        <f t="shared" si="84"/>
        <v>16.95</v>
      </c>
      <c r="O39" s="196">
        <f t="shared" si="85"/>
        <v>3.7312499999999997</v>
      </c>
      <c r="P39" s="196">
        <f t="shared" si="86"/>
        <v>10.362193267260887</v>
      </c>
      <c r="Q39" s="196">
        <f t="shared" si="87"/>
        <v>0.55599999999999994</v>
      </c>
      <c r="R39" s="196">
        <f t="shared" si="88"/>
        <v>0.94650000000000001</v>
      </c>
      <c r="S39" s="196">
        <f t="shared" ca="1" si="89"/>
        <v>19.645788808715331</v>
      </c>
      <c r="T39" s="83">
        <f t="shared" si="90"/>
        <v>5.8121236300084851</v>
      </c>
      <c r="U39" s="83">
        <f t="shared" si="91"/>
        <v>8.7795133520514934</v>
      </c>
      <c r="V39" s="83">
        <f t="shared" si="92"/>
        <v>5.8121236300084851</v>
      </c>
      <c r="W39" s="83">
        <f t="shared" si="93"/>
        <v>7.2992270252971112</v>
      </c>
      <c r="X39" s="83">
        <f t="shared" si="94"/>
        <v>14.145788808715331</v>
      </c>
      <c r="Y39" s="83">
        <f t="shared" si="95"/>
        <v>3.6496135126485556</v>
      </c>
      <c r="Z39" s="83">
        <f t="shared" si="96"/>
        <v>3.5570977364742489</v>
      </c>
      <c r="AA39" s="83">
        <f t="shared" si="97"/>
        <v>5.347108169694395</v>
      </c>
      <c r="AB39" s="83">
        <f t="shared" si="98"/>
        <v>10.227405308701183</v>
      </c>
      <c r="AC39" s="83">
        <f t="shared" si="99"/>
        <v>2.6735540848471975</v>
      </c>
      <c r="AD39" s="83">
        <f t="shared" si="100"/>
        <v>5.7541286913554028</v>
      </c>
      <c r="AE39" s="326">
        <f t="shared" si="101"/>
        <v>13.014125704018104</v>
      </c>
      <c r="AF39" s="83">
        <f t="shared" si="102"/>
        <v>5.856356566808147</v>
      </c>
      <c r="AG39" s="83">
        <f t="shared" si="103"/>
        <v>2.4959467310554606</v>
      </c>
      <c r="AH39" s="326">
        <f t="shared" si="104"/>
        <v>6.5537238195246141</v>
      </c>
      <c r="AI39" s="83">
        <f t="shared" si="105"/>
        <v>10.665924761771359</v>
      </c>
      <c r="AJ39" s="83">
        <f t="shared" si="106"/>
        <v>10.015218476570453</v>
      </c>
      <c r="AK39" s="83">
        <f t="shared" si="107"/>
        <v>3.3643467310554604</v>
      </c>
      <c r="AL39" s="83">
        <f t="shared" si="108"/>
        <v>1.9949871769100154</v>
      </c>
      <c r="AM39" s="83">
        <f t="shared" si="109"/>
        <v>3.8193629783531398</v>
      </c>
      <c r="AN39" s="83">
        <f t="shared" si="110"/>
        <v>8.4025985523769062</v>
      </c>
      <c r="AO39" s="83">
        <f t="shared" si="111"/>
        <v>1.9096814891765699</v>
      </c>
      <c r="AP39" s="83">
        <f t="shared" si="112"/>
        <v>14.108824635427272</v>
      </c>
      <c r="AQ39" s="83">
        <f t="shared" si="113"/>
        <v>1.448952545132993</v>
      </c>
      <c r="AR39" s="83">
        <f t="shared" si="114"/>
        <v>2.054716120953592</v>
      </c>
      <c r="AS39" s="83">
        <f t="shared" si="115"/>
        <v>0.72447627256649649</v>
      </c>
      <c r="AT39" s="83">
        <f t="shared" si="116"/>
        <v>2.6735540848471975</v>
      </c>
      <c r="AU39" s="83">
        <f t="shared" si="117"/>
        <v>5.6583155234861326</v>
      </c>
      <c r="AV39" s="83">
        <f t="shared" si="118"/>
        <v>1.3367770424235987</v>
      </c>
      <c r="AW39" s="83">
        <f t="shared" si="119"/>
        <v>14.945788808715331</v>
      </c>
      <c r="AX39" s="83">
        <f t="shared" si="120"/>
        <v>2.8198845686049787</v>
      </c>
      <c r="AY39" s="83">
        <f t="shared" si="121"/>
        <v>4.6713296336021477</v>
      </c>
      <c r="AZ39" s="83">
        <f t="shared" si="122"/>
        <v>1.4099422843024894</v>
      </c>
      <c r="BA39" s="83">
        <f t="shared" si="123"/>
        <v>4.1164245433361613</v>
      </c>
      <c r="BB39" s="83">
        <f t="shared" si="124"/>
        <v>4.9227345054329348</v>
      </c>
      <c r="BC39" s="83">
        <f t="shared" si="125"/>
        <v>13.167239940478208</v>
      </c>
      <c r="BD39" s="83">
        <f t="shared" si="126"/>
        <v>9.9086062509479298</v>
      </c>
      <c r="BE39" s="83">
        <f t="shared" si="127"/>
        <v>2.6861351029003946</v>
      </c>
      <c r="BF39" s="83">
        <f t="shared" si="128"/>
        <v>6.8607075722269348</v>
      </c>
      <c r="BG39" s="83">
        <f t="shared" si="129"/>
        <v>3.7344882455008475</v>
      </c>
      <c r="BH39" s="83">
        <f t="shared" si="130"/>
        <v>5.6943455361205411</v>
      </c>
      <c r="BI39" s="83">
        <f t="shared" si="131"/>
        <v>9.7414194188172001</v>
      </c>
      <c r="BJ39" s="83">
        <f t="shared" si="132"/>
        <v>0.57958101805319717</v>
      </c>
      <c r="BK39" s="83">
        <f t="shared" si="133"/>
        <v>2.5462419855687592</v>
      </c>
      <c r="BL39" s="83">
        <f t="shared" si="134"/>
        <v>0.96191363899264259</v>
      </c>
      <c r="BM39" s="83">
        <f t="shared" si="135"/>
        <v>4.5584655866581762</v>
      </c>
      <c r="BN39" s="83">
        <f t="shared" si="136"/>
        <v>14.333484408007916</v>
      </c>
      <c r="BO39" s="83">
        <f t="shared" si="137"/>
        <v>1.5046814891765699</v>
      </c>
      <c r="BP39" s="83">
        <f t="shared" si="138"/>
        <v>4.0174040216751532</v>
      </c>
      <c r="BQ39" s="83">
        <f t="shared" si="139"/>
        <v>3.4515724693265408</v>
      </c>
      <c r="BR39" s="83">
        <f t="shared" si="140"/>
        <v>6.8003339079654763</v>
      </c>
      <c r="BS39" s="83">
        <f t="shared" si="141"/>
        <v>12.349534000056586</v>
      </c>
      <c r="BT39" s="83">
        <f t="shared" si="142"/>
        <v>1.3486404458545549</v>
      </c>
      <c r="BU39" s="83">
        <f t="shared" si="143"/>
        <v>4.0174040216751532</v>
      </c>
      <c r="BV39" s="83">
        <f t="shared" si="144"/>
        <v>3.4515724693265408</v>
      </c>
      <c r="BW39" s="83">
        <f t="shared" si="145"/>
        <v>9.4307927382993739</v>
      </c>
      <c r="BX39" s="83">
        <f t="shared" si="146"/>
        <v>9.975480983800221</v>
      </c>
      <c r="BY39" s="83">
        <f t="shared" si="147"/>
        <v>1.649576743689869</v>
      </c>
      <c r="BZ39" s="83">
        <f t="shared" si="148"/>
        <v>6.0679902563384251</v>
      </c>
      <c r="CA39" s="83">
        <f t="shared" si="149"/>
        <v>4.9179559693406878</v>
      </c>
      <c r="CB39" s="83">
        <f t="shared" si="150"/>
        <v>8.4691581986134636</v>
      </c>
      <c r="CC39" s="83">
        <f t="shared" si="151"/>
        <v>4.9179559693406878</v>
      </c>
      <c r="CD39" s="83">
        <f t="shared" si="152"/>
        <v>4.9938264278296511</v>
      </c>
      <c r="CE39" s="83">
        <f t="shared" si="153"/>
        <v>8.2585848791312895</v>
      </c>
      <c r="CF39" s="83">
        <f t="shared" si="154"/>
        <v>4.9938264278296511</v>
      </c>
      <c r="CG39" s="83">
        <f t="shared" si="155"/>
        <v>3.7364472021788329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33</v>
      </c>
      <c r="C41">
        <f t="shared" ca="1" si="160"/>
        <v>31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6.8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5.95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10.399987373885489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15.446122994719426</v>
      </c>
      <c r="T41" s="83">
        <f t="shared" si="90"/>
        <v>4.9294283743900591</v>
      </c>
      <c r="U41" s="83">
        <f t="shared" si="91"/>
        <v>7.4515086750716684</v>
      </c>
      <c r="V41" s="83">
        <f t="shared" si="92"/>
        <v>4.9294283743900591</v>
      </c>
      <c r="W41" s="83">
        <f t="shared" si="93"/>
        <v>6.3027741319418906</v>
      </c>
      <c r="X41" s="83">
        <f t="shared" si="94"/>
        <v>12.214678550274982</v>
      </c>
      <c r="Y41" s="83">
        <f t="shared" si="95"/>
        <v>3.1513870659709453</v>
      </c>
      <c r="Z41" s="83">
        <f t="shared" si="96"/>
        <v>2.5251828282987789</v>
      </c>
      <c r="AA41" s="83">
        <f t="shared" si="97"/>
        <v>4.6171484920039436</v>
      </c>
      <c r="AB41" s="83">
        <f t="shared" si="98"/>
        <v>8.8312125918488125</v>
      </c>
      <c r="AC41" s="83">
        <f t="shared" si="99"/>
        <v>2.3085742460019718</v>
      </c>
      <c r="AD41" s="83">
        <f t="shared" si="100"/>
        <v>4.0848545751892011</v>
      </c>
      <c r="AE41" s="326">
        <f t="shared" si="101"/>
        <v>11.237504266252984</v>
      </c>
      <c r="AF41" s="83">
        <f t="shared" si="102"/>
        <v>5.0568769198138428</v>
      </c>
      <c r="AG41" s="83">
        <f t="shared" si="103"/>
        <v>1.7718719845625888</v>
      </c>
      <c r="AH41" s="326">
        <f t="shared" si="104"/>
        <v>5.0332869875616888</v>
      </c>
      <c r="AI41" s="83">
        <f t="shared" si="105"/>
        <v>9.2098676269073358</v>
      </c>
      <c r="AJ41" s="83">
        <f t="shared" si="106"/>
        <v>8.6479924135946877</v>
      </c>
      <c r="AK41" s="83">
        <f t="shared" si="107"/>
        <v>2.6630025401181441</v>
      </c>
      <c r="AL41" s="83">
        <f t="shared" si="108"/>
        <v>1.8436114224791946</v>
      </c>
      <c r="AM41" s="83">
        <f t="shared" si="109"/>
        <v>3.2979632085742452</v>
      </c>
      <c r="AN41" s="83">
        <f t="shared" si="110"/>
        <v>7.2555190588633387</v>
      </c>
      <c r="AO41" s="83">
        <f t="shared" si="111"/>
        <v>1.6489816042871226</v>
      </c>
      <c r="AP41" s="83">
        <f t="shared" si="112"/>
        <v>10.015851218126249</v>
      </c>
      <c r="AQ41" s="83">
        <f t="shared" si="113"/>
        <v>1.4915348782024143</v>
      </c>
      <c r="AR41" s="83">
        <f t="shared" si="114"/>
        <v>2.338683481897236</v>
      </c>
      <c r="AS41" s="83">
        <f t="shared" si="115"/>
        <v>0.74576743910120713</v>
      </c>
      <c r="AT41" s="83">
        <f t="shared" si="116"/>
        <v>2.3085742460019718</v>
      </c>
      <c r="AU41" s="83">
        <f t="shared" si="117"/>
        <v>4.8858714201099929</v>
      </c>
      <c r="AV41" s="83">
        <f t="shared" si="118"/>
        <v>1.1542871230009859</v>
      </c>
      <c r="AW41" s="83">
        <f t="shared" si="119"/>
        <v>10.610011883608315</v>
      </c>
      <c r="AX41" s="83">
        <f t="shared" si="120"/>
        <v>2.9027563398862366</v>
      </c>
      <c r="AY41" s="83">
        <f t="shared" si="121"/>
        <v>5.0800132145348478</v>
      </c>
      <c r="AZ41" s="83">
        <f t="shared" si="122"/>
        <v>1.4513781699431183</v>
      </c>
      <c r="BA41" s="83">
        <f t="shared" si="123"/>
        <v>3.5544714581300196</v>
      </c>
      <c r="BB41" s="83">
        <f t="shared" si="124"/>
        <v>4.2507081354956933</v>
      </c>
      <c r="BC41" s="83">
        <f t="shared" si="125"/>
        <v>9.3474204694589265</v>
      </c>
      <c r="BD41" s="83">
        <f t="shared" si="126"/>
        <v>8.5275505645277914</v>
      </c>
      <c r="BE41" s="83">
        <f t="shared" si="127"/>
        <v>2.7650761972829367</v>
      </c>
      <c r="BF41" s="83">
        <f t="shared" si="128"/>
        <v>5.9241190968833664</v>
      </c>
      <c r="BG41" s="83">
        <f t="shared" si="129"/>
        <v>3.2246751372725955</v>
      </c>
      <c r="BH41" s="83">
        <f t="shared" si="130"/>
        <v>4.0424145276547678</v>
      </c>
      <c r="BI41" s="83">
        <f t="shared" si="131"/>
        <v>8.0670303862736681</v>
      </c>
      <c r="BJ41" s="83">
        <f t="shared" si="132"/>
        <v>0.59661395128096562</v>
      </c>
      <c r="BK41" s="83">
        <f t="shared" si="133"/>
        <v>2.1986421390494968</v>
      </c>
      <c r="BL41" s="83">
        <f t="shared" si="134"/>
        <v>0.83059814141869881</v>
      </c>
      <c r="BM41" s="83">
        <f t="shared" si="135"/>
        <v>3.2360536245005362</v>
      </c>
      <c r="BN41" s="83">
        <f t="shared" si="136"/>
        <v>11.841388615653626</v>
      </c>
      <c r="BO41" s="83">
        <f t="shared" si="137"/>
        <v>1.5489016042871224</v>
      </c>
      <c r="BP41" s="83">
        <f t="shared" si="138"/>
        <v>3.4689687082780947</v>
      </c>
      <c r="BQ41" s="83">
        <f t="shared" si="139"/>
        <v>2.9803815662670954</v>
      </c>
      <c r="BR41" s="83">
        <f t="shared" si="140"/>
        <v>4.8275554070417837</v>
      </c>
      <c r="BS41" s="83">
        <f t="shared" si="141"/>
        <v>10.195346500371345</v>
      </c>
      <c r="BT41" s="83">
        <f t="shared" si="142"/>
        <v>1.3882747712499393</v>
      </c>
      <c r="BU41" s="83">
        <f t="shared" si="143"/>
        <v>3.4689687082780947</v>
      </c>
      <c r="BV41" s="83">
        <f t="shared" si="144"/>
        <v>2.9803815662670954</v>
      </c>
      <c r="BW41" s="83">
        <f t="shared" si="145"/>
        <v>6.6949174985568467</v>
      </c>
      <c r="BX41" s="83">
        <f t="shared" si="146"/>
        <v>8.2234839691627748</v>
      </c>
      <c r="BY41" s="83">
        <f t="shared" si="147"/>
        <v>1.6980550921073636</v>
      </c>
      <c r="BZ41" s="83">
        <f t="shared" si="148"/>
        <v>4.3076648247449763</v>
      </c>
      <c r="CA41" s="83">
        <f t="shared" si="149"/>
        <v>4.8070995246932657</v>
      </c>
      <c r="CB41" s="83">
        <f t="shared" si="150"/>
        <v>9.4715133809429624</v>
      </c>
      <c r="CC41" s="83">
        <f t="shared" si="151"/>
        <v>4.8070995246932657</v>
      </c>
      <c r="CD41" s="83">
        <f t="shared" si="152"/>
        <v>4.836580736821313</v>
      </c>
      <c r="CE41" s="83">
        <f t="shared" si="153"/>
        <v>9.793676268659782</v>
      </c>
      <c r="CF41" s="83">
        <f t="shared" si="154"/>
        <v>4.836580736821313</v>
      </c>
      <c r="CG41" s="83">
        <f t="shared" si="155"/>
        <v>2.6525029709020789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97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17.899999999999999</v>
      </c>
      <c r="H42" s="49">
        <f t="shared" si="163"/>
        <v>0</v>
      </c>
      <c r="I42" s="49">
        <f t="shared" si="79"/>
        <v>10.95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4.2312499999999993</v>
      </c>
      <c r="P42" s="196">
        <f t="shared" si="86"/>
        <v>17.265240264620751</v>
      </c>
      <c r="Q42" s="196">
        <f t="shared" si="87"/>
        <v>0.77339999999999998</v>
      </c>
      <c r="R42" s="196">
        <f t="shared" si="88"/>
        <v>0.96389999999999998</v>
      </c>
      <c r="S42" s="196">
        <f t="shared" ca="1" si="89"/>
        <v>20.200470707973189</v>
      </c>
      <c r="T42" s="83">
        <f t="shared" si="90"/>
        <v>5.7900209280605957</v>
      </c>
      <c r="U42" s="83">
        <f t="shared" si="91"/>
        <v>8.7468276839933896</v>
      </c>
      <c r="V42" s="83">
        <f t="shared" si="92"/>
        <v>5.7900209280605957</v>
      </c>
      <c r="W42" s="83">
        <f t="shared" si="93"/>
        <v>7.286162885314166</v>
      </c>
      <c r="X42" s="83">
        <f t="shared" si="94"/>
        <v>14.12047070797319</v>
      </c>
      <c r="Y42" s="83">
        <f t="shared" si="95"/>
        <v>3.643081442657083</v>
      </c>
      <c r="Z42" s="83">
        <f t="shared" si="96"/>
        <v>3.598672028497619</v>
      </c>
      <c r="AA42" s="83">
        <f t="shared" si="97"/>
        <v>5.3375379276138659</v>
      </c>
      <c r="AB42" s="83">
        <f t="shared" si="98"/>
        <v>10.209100321864616</v>
      </c>
      <c r="AC42" s="83">
        <f t="shared" si="99"/>
        <v>2.668768963806933</v>
      </c>
      <c r="AD42" s="83">
        <f t="shared" si="100"/>
        <v>5.8213812225696788</v>
      </c>
      <c r="AE42" s="326">
        <f t="shared" si="101"/>
        <v>12.990833051335336</v>
      </c>
      <c r="AF42" s="83">
        <f t="shared" si="102"/>
        <v>5.8458748731009003</v>
      </c>
      <c r="AG42" s="83">
        <f t="shared" si="103"/>
        <v>2.5251186082315229</v>
      </c>
      <c r="AH42" s="326">
        <f t="shared" si="104"/>
        <v>8.8908367762882357</v>
      </c>
      <c r="AI42" s="83">
        <f t="shared" si="105"/>
        <v>10.646834913811785</v>
      </c>
      <c r="AJ42" s="83">
        <f t="shared" si="106"/>
        <v>9.9972932612450176</v>
      </c>
      <c r="AK42" s="83">
        <f t="shared" si="107"/>
        <v>3.4569786082315228</v>
      </c>
      <c r="AL42" s="83">
        <f t="shared" si="108"/>
        <v>2.1316955638962787</v>
      </c>
      <c r="AM42" s="83">
        <f t="shared" si="109"/>
        <v>3.8125270911527616</v>
      </c>
      <c r="AN42" s="83">
        <f t="shared" si="110"/>
        <v>8.3875596005360755</v>
      </c>
      <c r="AO42" s="83">
        <f t="shared" si="111"/>
        <v>1.9062635455763808</v>
      </c>
      <c r="AP42" s="83">
        <f t="shared" si="112"/>
        <v>14.273724348326692</v>
      </c>
      <c r="AQ42" s="83">
        <f t="shared" si="113"/>
        <v>1.7056611920365148</v>
      </c>
      <c r="AR42" s="83">
        <f t="shared" si="114"/>
        <v>2.9792979174361447</v>
      </c>
      <c r="AS42" s="83">
        <f t="shared" si="115"/>
        <v>0.85283059601825739</v>
      </c>
      <c r="AT42" s="83">
        <f t="shared" si="116"/>
        <v>2.668768963806933</v>
      </c>
      <c r="AU42" s="83">
        <f t="shared" si="117"/>
        <v>5.6481882831892767</v>
      </c>
      <c r="AV42" s="83">
        <f t="shared" si="118"/>
        <v>1.3343844819034665</v>
      </c>
      <c r="AW42" s="83">
        <f t="shared" si="119"/>
        <v>15.12047070797319</v>
      </c>
      <c r="AX42" s="83">
        <f t="shared" si="120"/>
        <v>3.319479089117217</v>
      </c>
      <c r="AY42" s="83">
        <f t="shared" si="121"/>
        <v>6.1793793600932281</v>
      </c>
      <c r="AZ42" s="83">
        <f t="shared" si="122"/>
        <v>1.6597395445586085</v>
      </c>
      <c r="BA42" s="83">
        <f t="shared" si="123"/>
        <v>4.1090569760201978</v>
      </c>
      <c r="BB42" s="83">
        <f t="shared" si="124"/>
        <v>4.9139238063746697</v>
      </c>
      <c r="BC42" s="83">
        <f t="shared" si="125"/>
        <v>13.32113469372438</v>
      </c>
      <c r="BD42" s="83">
        <f t="shared" si="126"/>
        <v>12.812098459388165</v>
      </c>
      <c r="BE42" s="83">
        <f t="shared" si="127"/>
        <v>3.1620334406215389</v>
      </c>
      <c r="BF42" s="83">
        <f t="shared" si="128"/>
        <v>6.8484282933669975</v>
      </c>
      <c r="BG42" s="83">
        <f t="shared" si="129"/>
        <v>3.7278042669049225</v>
      </c>
      <c r="BH42" s="83">
        <f t="shared" si="130"/>
        <v>5.7608993397377857</v>
      </c>
      <c r="BI42" s="83">
        <f t="shared" si="131"/>
        <v>12.81329139876857</v>
      </c>
      <c r="BJ42" s="83">
        <f t="shared" si="132"/>
        <v>0.68226447681460589</v>
      </c>
      <c r="BK42" s="83">
        <f t="shared" si="133"/>
        <v>2.5416847274351744</v>
      </c>
      <c r="BL42" s="83">
        <f t="shared" si="134"/>
        <v>0.96019200814217698</v>
      </c>
      <c r="BM42" s="83">
        <f t="shared" si="135"/>
        <v>4.6117435659318229</v>
      </c>
      <c r="BN42" s="83">
        <f t="shared" si="136"/>
        <v>18.872925330453523</v>
      </c>
      <c r="BO42" s="83">
        <f t="shared" si="137"/>
        <v>1.7712635455763808</v>
      </c>
      <c r="BP42" s="83">
        <f t="shared" si="138"/>
        <v>4.0102136810643856</v>
      </c>
      <c r="BQ42" s="83">
        <f t="shared" si="139"/>
        <v>3.4453948527454585</v>
      </c>
      <c r="BR42" s="83">
        <f t="shared" si="140"/>
        <v>6.8798141721278014</v>
      </c>
      <c r="BS42" s="83">
        <f t="shared" si="141"/>
        <v>16.265481544434294</v>
      </c>
      <c r="BT42" s="83">
        <f t="shared" si="142"/>
        <v>1.5875769556647561</v>
      </c>
      <c r="BU42" s="83">
        <f t="shared" si="143"/>
        <v>4.0102136810643856</v>
      </c>
      <c r="BV42" s="83">
        <f t="shared" si="144"/>
        <v>3.4453948527454585</v>
      </c>
      <c r="BW42" s="83">
        <f t="shared" si="145"/>
        <v>9.5410170167310824</v>
      </c>
      <c r="BX42" s="83">
        <f t="shared" si="146"/>
        <v>13.146821283636005</v>
      </c>
      <c r="BY42" s="83">
        <f t="shared" si="147"/>
        <v>1.9418296647800322</v>
      </c>
      <c r="BZ42" s="83">
        <f t="shared" si="148"/>
        <v>6.1389111074371154</v>
      </c>
      <c r="CA42" s="83">
        <f t="shared" si="149"/>
        <v>6.4887652388540324</v>
      </c>
      <c r="CB42" s="83">
        <f t="shared" si="150"/>
        <v>11.858650017177812</v>
      </c>
      <c r="CC42" s="83">
        <f t="shared" si="151"/>
        <v>6.4887652388540324</v>
      </c>
      <c r="CD42" s="83">
        <f t="shared" si="152"/>
        <v>7.1860532510672979</v>
      </c>
      <c r="CE42" s="83">
        <f t="shared" si="153"/>
        <v>12.961924399215299</v>
      </c>
      <c r="CF42" s="83">
        <f t="shared" si="154"/>
        <v>7.1860532510672979</v>
      </c>
      <c r="CG42" s="83">
        <f t="shared" si="155"/>
        <v>3.7801176769932976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56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15.3</v>
      </c>
      <c r="H43" s="49">
        <f t="shared" si="165"/>
        <v>0</v>
      </c>
      <c r="I43" s="49">
        <f t="shared" si="79"/>
        <v>9.3036666666666648</v>
      </c>
      <c r="J43" s="49">
        <f t="shared" si="80"/>
        <v>13.95</v>
      </c>
      <c r="K43" s="49">
        <f t="shared" si="81"/>
        <v>11.95</v>
      </c>
      <c r="L43" s="49">
        <f t="shared" si="82"/>
        <v>9.9499999999999993</v>
      </c>
      <c r="M43" s="49">
        <f t="shared" si="83"/>
        <v>2.95</v>
      </c>
      <c r="N43" s="49">
        <f t="shared" si="84"/>
        <v>16</v>
      </c>
      <c r="O43" s="196">
        <f t="shared" si="85"/>
        <v>4.0254583333333329</v>
      </c>
      <c r="P43" s="196">
        <f t="shared" si="86"/>
        <v>12.90289074947586</v>
      </c>
      <c r="Q43" s="196">
        <f t="shared" si="87"/>
        <v>0.62750000000000006</v>
      </c>
      <c r="R43" s="196">
        <f t="shared" si="88"/>
        <v>0.8521466666666665</v>
      </c>
      <c r="S43" s="196">
        <f t="shared" ca="1" si="89"/>
        <v>18.579588574423465</v>
      </c>
      <c r="T43" s="83">
        <f t="shared" si="90"/>
        <v>5.256292825471685</v>
      </c>
      <c r="U43" s="83">
        <f t="shared" si="91"/>
        <v>7.9298071829140255</v>
      </c>
      <c r="V43" s="83">
        <f t="shared" si="92"/>
        <v>5.256292825471685</v>
      </c>
      <c r="W43" s="83">
        <f t="shared" si="93"/>
        <v>6.3897597044025067</v>
      </c>
      <c r="X43" s="83">
        <f t="shared" si="94"/>
        <v>12.383255241090129</v>
      </c>
      <c r="Y43" s="83">
        <f t="shared" si="95"/>
        <v>3.1948798522012534</v>
      </c>
      <c r="Z43" s="83">
        <f t="shared" si="96"/>
        <v>4.0530420807127845</v>
      </c>
      <c r="AA43" s="83">
        <f t="shared" si="97"/>
        <v>4.6808704811320689</v>
      </c>
      <c r="AB43" s="83">
        <f t="shared" si="98"/>
        <v>8.9530935393081634</v>
      </c>
      <c r="AC43" s="83">
        <f t="shared" si="99"/>
        <v>2.3404352405660345</v>
      </c>
      <c r="AD43" s="83">
        <f t="shared" si="100"/>
        <v>6.5563916011530337</v>
      </c>
      <c r="AE43" s="326">
        <f t="shared" si="101"/>
        <v>11.39259482180292</v>
      </c>
      <c r="AF43" s="83">
        <f t="shared" si="102"/>
        <v>5.1266676698113134</v>
      </c>
      <c r="AG43" s="83">
        <f t="shared" si="103"/>
        <v>2.8439412919287186</v>
      </c>
      <c r="AH43" s="326">
        <f t="shared" si="104"/>
        <v>8.8373980817609965</v>
      </c>
      <c r="AI43" s="83">
        <f t="shared" si="105"/>
        <v>9.3369744517819573</v>
      </c>
      <c r="AJ43" s="83">
        <f t="shared" si="106"/>
        <v>8.7673447106918108</v>
      </c>
      <c r="AK43" s="83">
        <f t="shared" si="107"/>
        <v>3.1862912919287187</v>
      </c>
      <c r="AL43" s="83">
        <f t="shared" si="108"/>
        <v>2.0462535094339578</v>
      </c>
      <c r="AM43" s="83">
        <f t="shared" si="109"/>
        <v>3.3434789150943351</v>
      </c>
      <c r="AN43" s="83">
        <f t="shared" si="110"/>
        <v>7.3556536132075365</v>
      </c>
      <c r="AO43" s="83">
        <f t="shared" si="111"/>
        <v>1.6717394575471676</v>
      </c>
      <c r="AP43" s="83">
        <f t="shared" si="112"/>
        <v>16.075931614255747</v>
      </c>
      <c r="AQ43" s="83">
        <f t="shared" si="113"/>
        <v>1.6938465146750503</v>
      </c>
      <c r="AR43" s="83">
        <f t="shared" si="114"/>
        <v>2.6066694523060754</v>
      </c>
      <c r="AS43" s="83">
        <f t="shared" si="115"/>
        <v>0.84692325733752516</v>
      </c>
      <c r="AT43" s="83">
        <f t="shared" si="116"/>
        <v>2.3404352405660345</v>
      </c>
      <c r="AU43" s="83">
        <f t="shared" si="117"/>
        <v>4.9533020964360519</v>
      </c>
      <c r="AV43" s="83">
        <f t="shared" si="118"/>
        <v>1.1702176202830172</v>
      </c>
      <c r="AW43" s="83">
        <f t="shared" si="119"/>
        <v>17.029588574423464</v>
      </c>
      <c r="AX43" s="83">
        <f t="shared" si="120"/>
        <v>3.2964859093291365</v>
      </c>
      <c r="AY43" s="83">
        <f t="shared" si="121"/>
        <v>5.7093033045073289</v>
      </c>
      <c r="AZ43" s="83">
        <f t="shared" si="122"/>
        <v>1.6482429546645683</v>
      </c>
      <c r="BA43" s="83">
        <f t="shared" si="123"/>
        <v>3.6035272751572274</v>
      </c>
      <c r="BB43" s="83">
        <f t="shared" si="124"/>
        <v>4.3093728238993645</v>
      </c>
      <c r="BC43" s="83">
        <f t="shared" si="125"/>
        <v>15.003067534067071</v>
      </c>
      <c r="BD43" s="83">
        <f t="shared" si="126"/>
        <v>12.731304242662457</v>
      </c>
      <c r="BE43" s="83">
        <f t="shared" si="127"/>
        <v>3.1401308464360547</v>
      </c>
      <c r="BF43" s="83">
        <f t="shared" si="128"/>
        <v>6.0058787919287129</v>
      </c>
      <c r="BG43" s="83">
        <f t="shared" si="129"/>
        <v>3.2691793836477943</v>
      </c>
      <c r="BH43" s="83">
        <f t="shared" si="130"/>
        <v>6.4882732468553401</v>
      </c>
      <c r="BI43" s="83">
        <f t="shared" si="131"/>
        <v>12.733860414046108</v>
      </c>
      <c r="BJ43" s="83">
        <f t="shared" si="132"/>
        <v>0.67753860587002013</v>
      </c>
      <c r="BK43" s="83">
        <f t="shared" si="133"/>
        <v>2.2289859433962231</v>
      </c>
      <c r="BL43" s="83">
        <f t="shared" si="134"/>
        <v>0.84206135639412882</v>
      </c>
      <c r="BM43" s="83">
        <f t="shared" si="135"/>
        <v>5.194024515199156</v>
      </c>
      <c r="BN43" s="83">
        <f t="shared" si="136"/>
        <v>18.756050906708573</v>
      </c>
      <c r="BO43" s="83">
        <f t="shared" si="137"/>
        <v>1.7589944575471677</v>
      </c>
      <c r="BP43" s="83">
        <f t="shared" si="138"/>
        <v>3.5168444884695966</v>
      </c>
      <c r="BQ43" s="83">
        <f t="shared" si="139"/>
        <v>3.0215142788259914</v>
      </c>
      <c r="BR43" s="83">
        <f t="shared" si="140"/>
        <v>7.7484628013626766</v>
      </c>
      <c r="BS43" s="83">
        <f t="shared" si="141"/>
        <v>16.164784140461197</v>
      </c>
      <c r="BT43" s="83">
        <f t="shared" si="142"/>
        <v>1.576580217505239</v>
      </c>
      <c r="BU43" s="83">
        <f t="shared" si="143"/>
        <v>3.5168444884695966</v>
      </c>
      <c r="BV43" s="83">
        <f t="shared" si="144"/>
        <v>3.0215142788259914</v>
      </c>
      <c r="BW43" s="83">
        <f t="shared" si="145"/>
        <v>10.745670390461205</v>
      </c>
      <c r="BX43" s="83">
        <f t="shared" si="146"/>
        <v>13.065481774108999</v>
      </c>
      <c r="BY43" s="83">
        <f t="shared" si="147"/>
        <v>1.9283791090146725</v>
      </c>
      <c r="BZ43" s="83">
        <f t="shared" si="148"/>
        <v>6.9140129612159269</v>
      </c>
      <c r="CA43" s="83">
        <f t="shared" si="149"/>
        <v>7.2417827332285016</v>
      </c>
      <c r="CB43" s="83">
        <f t="shared" si="150"/>
        <v>10.590316734800822</v>
      </c>
      <c r="CC43" s="83">
        <f t="shared" si="151"/>
        <v>7.2417827332285016</v>
      </c>
      <c r="CD43" s="83">
        <f t="shared" si="152"/>
        <v>6.6094336818658181</v>
      </c>
      <c r="CE43" s="83">
        <f t="shared" si="153"/>
        <v>10.837506758385723</v>
      </c>
      <c r="CF43" s="83">
        <f t="shared" si="154"/>
        <v>6.6094336818658181</v>
      </c>
      <c r="CG43" s="83">
        <f t="shared" si="155"/>
        <v>4.257397143605866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e">
        <f t="shared" ref="A45:E45" si="168">A11</f>
        <v>#REF!</v>
      </c>
      <c r="B45" t="e">
        <f t="shared" si="168"/>
        <v>#REF!</v>
      </c>
      <c r="C45" t="e">
        <f t="shared" si="168"/>
        <v>#REF!</v>
      </c>
      <c r="D45" t="e">
        <f t="shared" si="168"/>
        <v>#REF!</v>
      </c>
      <c r="E45" s="265">
        <f t="shared" si="168"/>
        <v>36526</v>
      </c>
      <c r="F45" s="195" t="e">
        <f t="shared" si="77"/>
        <v>#REF!</v>
      </c>
      <c r="G45" s="196" t="e">
        <f t="shared" ref="G45:H45" si="169">J11</f>
        <v>#REF!</v>
      </c>
      <c r="H45" s="49" t="e">
        <f t="shared" si="169"/>
        <v>#REF!</v>
      </c>
      <c r="I45" s="49" t="e">
        <f t="shared" si="79"/>
        <v>#REF!</v>
      </c>
      <c r="J45" s="49" t="e">
        <f t="shared" si="80"/>
        <v>#REF!</v>
      </c>
      <c r="K45" s="49" t="e">
        <f t="shared" si="81"/>
        <v>#REF!</v>
      </c>
      <c r="L45" s="49" t="e">
        <f t="shared" si="82"/>
        <v>#REF!</v>
      </c>
      <c r="M45" s="49" t="e">
        <f t="shared" si="83"/>
        <v>#REF!</v>
      </c>
      <c r="N45" s="49" t="e">
        <f t="shared" si="84"/>
        <v>#REF!</v>
      </c>
      <c r="O45" s="196" t="e">
        <f t="shared" si="85"/>
        <v>#REF!</v>
      </c>
      <c r="P45" s="196" t="e">
        <f t="shared" si="86"/>
        <v>#REF!</v>
      </c>
      <c r="Q45" s="196" t="e">
        <f t="shared" si="87"/>
        <v>#REF!</v>
      </c>
      <c r="R45" s="196" t="e">
        <f t="shared" si="88"/>
        <v>#REF!</v>
      </c>
      <c r="S45" s="196" t="e">
        <f t="shared" ca="1" si="89"/>
        <v>#REF!</v>
      </c>
      <c r="T45" s="83" t="e">
        <f t="shared" si="90"/>
        <v>#REF!</v>
      </c>
      <c r="U45" s="83" t="e">
        <f t="shared" si="91"/>
        <v>#REF!</v>
      </c>
      <c r="V45" s="83" t="e">
        <f t="shared" si="92"/>
        <v>#REF!</v>
      </c>
      <c r="W45" s="83" t="e">
        <f t="shared" si="93"/>
        <v>#REF!</v>
      </c>
      <c r="X45" s="83" t="e">
        <f t="shared" si="94"/>
        <v>#REF!</v>
      </c>
      <c r="Y45" s="83" t="e">
        <f t="shared" si="95"/>
        <v>#REF!</v>
      </c>
      <c r="Z45" s="83" t="e">
        <f t="shared" si="96"/>
        <v>#REF!</v>
      </c>
      <c r="AA45" s="83" t="e">
        <f t="shared" si="97"/>
        <v>#REF!</v>
      </c>
      <c r="AB45" s="83" t="e">
        <f t="shared" si="98"/>
        <v>#REF!</v>
      </c>
      <c r="AC45" s="83" t="e">
        <f t="shared" si="99"/>
        <v>#REF!</v>
      </c>
      <c r="AD45" s="83" t="e">
        <f t="shared" si="100"/>
        <v>#REF!</v>
      </c>
      <c r="AE45" s="326" t="e">
        <f t="shared" si="101"/>
        <v>#REF!</v>
      </c>
      <c r="AF45" s="83" t="e">
        <f t="shared" si="102"/>
        <v>#REF!</v>
      </c>
      <c r="AG45" s="83" t="e">
        <f t="shared" si="103"/>
        <v>#REF!</v>
      </c>
      <c r="AH45" s="326" t="e">
        <f t="shared" si="104"/>
        <v>#REF!</v>
      </c>
      <c r="AI45" s="83" t="e">
        <f t="shared" si="105"/>
        <v>#REF!</v>
      </c>
      <c r="AJ45" s="83" t="e">
        <f t="shared" si="106"/>
        <v>#REF!</v>
      </c>
      <c r="AK45" s="83" t="e">
        <f t="shared" si="107"/>
        <v>#REF!</v>
      </c>
      <c r="AL45" s="83" t="e">
        <f t="shared" si="108"/>
        <v>#REF!</v>
      </c>
      <c r="AM45" s="83" t="e">
        <f t="shared" si="109"/>
        <v>#REF!</v>
      </c>
      <c r="AN45" s="83" t="e">
        <f t="shared" si="110"/>
        <v>#REF!</v>
      </c>
      <c r="AO45" s="83" t="e">
        <f t="shared" si="111"/>
        <v>#REF!</v>
      </c>
      <c r="AP45" s="83" t="e">
        <f t="shared" si="112"/>
        <v>#REF!</v>
      </c>
      <c r="AQ45" s="83" t="e">
        <f t="shared" si="113"/>
        <v>#REF!</v>
      </c>
      <c r="AR45" s="83" t="e">
        <f t="shared" si="114"/>
        <v>#REF!</v>
      </c>
      <c r="AS45" s="83" t="e">
        <f t="shared" si="115"/>
        <v>#REF!</v>
      </c>
      <c r="AT45" s="83" t="e">
        <f t="shared" si="116"/>
        <v>#REF!</v>
      </c>
      <c r="AU45" s="83" t="e">
        <f t="shared" si="117"/>
        <v>#REF!</v>
      </c>
      <c r="AV45" s="83" t="e">
        <f t="shared" si="118"/>
        <v>#REF!</v>
      </c>
      <c r="AW45" s="83" t="e">
        <f t="shared" si="119"/>
        <v>#REF!</v>
      </c>
      <c r="AX45" s="83" t="e">
        <f t="shared" si="120"/>
        <v>#REF!</v>
      </c>
      <c r="AY45" s="83" t="e">
        <f t="shared" si="121"/>
        <v>#REF!</v>
      </c>
      <c r="AZ45" s="83" t="e">
        <f t="shared" si="122"/>
        <v>#REF!</v>
      </c>
      <c r="BA45" s="83" t="e">
        <f t="shared" si="123"/>
        <v>#REF!</v>
      </c>
      <c r="BB45" s="83" t="e">
        <f t="shared" si="124"/>
        <v>#REF!</v>
      </c>
      <c r="BC45" s="83" t="e">
        <f t="shared" si="125"/>
        <v>#REF!</v>
      </c>
      <c r="BD45" s="83" t="e">
        <f t="shared" si="126"/>
        <v>#REF!</v>
      </c>
      <c r="BE45" s="83" t="e">
        <f t="shared" si="127"/>
        <v>#REF!</v>
      </c>
      <c r="BF45" s="83" t="e">
        <f t="shared" si="128"/>
        <v>#REF!</v>
      </c>
      <c r="BG45" s="83" t="e">
        <f t="shared" si="129"/>
        <v>#REF!</v>
      </c>
      <c r="BH45" s="83" t="e">
        <f t="shared" si="130"/>
        <v>#REF!</v>
      </c>
      <c r="BI45" s="83" t="e">
        <f t="shared" si="131"/>
        <v>#REF!</v>
      </c>
      <c r="BJ45" s="83" t="e">
        <f t="shared" si="132"/>
        <v>#REF!</v>
      </c>
      <c r="BK45" s="83" t="e">
        <f t="shared" si="133"/>
        <v>#REF!</v>
      </c>
      <c r="BL45" s="83" t="e">
        <f t="shared" si="134"/>
        <v>#REF!</v>
      </c>
      <c r="BM45" s="83" t="e">
        <f t="shared" si="135"/>
        <v>#REF!</v>
      </c>
      <c r="BN45" s="83" t="e">
        <f t="shared" si="136"/>
        <v>#REF!</v>
      </c>
      <c r="BO45" s="83" t="e">
        <f t="shared" si="137"/>
        <v>#REF!</v>
      </c>
      <c r="BP45" s="83" t="e">
        <f t="shared" si="138"/>
        <v>#REF!</v>
      </c>
      <c r="BQ45" s="83" t="e">
        <f t="shared" si="139"/>
        <v>#REF!</v>
      </c>
      <c r="BR45" s="83" t="e">
        <f t="shared" si="140"/>
        <v>#REF!</v>
      </c>
      <c r="BS45" s="83" t="e">
        <f t="shared" si="141"/>
        <v>#REF!</v>
      </c>
      <c r="BT45" s="83" t="e">
        <f t="shared" si="142"/>
        <v>#REF!</v>
      </c>
      <c r="BU45" s="83" t="e">
        <f t="shared" si="143"/>
        <v>#REF!</v>
      </c>
      <c r="BV45" s="83" t="e">
        <f t="shared" si="144"/>
        <v>#REF!</v>
      </c>
      <c r="BW45" s="83" t="e">
        <f t="shared" si="145"/>
        <v>#REF!</v>
      </c>
      <c r="BX45" s="83" t="e">
        <f t="shared" si="146"/>
        <v>#REF!</v>
      </c>
      <c r="BY45" s="83" t="e">
        <f t="shared" si="147"/>
        <v>#REF!</v>
      </c>
      <c r="BZ45" s="83" t="e">
        <f t="shared" si="148"/>
        <v>#REF!</v>
      </c>
      <c r="CA45" s="83" t="e">
        <f t="shared" si="149"/>
        <v>#REF!</v>
      </c>
      <c r="CB45" s="83" t="e">
        <f t="shared" si="150"/>
        <v>#REF!</v>
      </c>
      <c r="CC45" s="83" t="e">
        <f t="shared" si="151"/>
        <v>#REF!</v>
      </c>
      <c r="CD45" s="83" t="e">
        <f t="shared" si="152"/>
        <v>#REF!</v>
      </c>
      <c r="CE45" s="83" t="e">
        <f t="shared" si="153"/>
        <v>#REF!</v>
      </c>
      <c r="CF45" s="83" t="e">
        <f t="shared" si="154"/>
        <v>#REF!</v>
      </c>
      <c r="CG45" s="83" t="e">
        <f t="shared" si="155"/>
        <v>#REF!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79</v>
      </c>
      <c r="D46" t="str">
        <f t="shared" si="170"/>
        <v>CAB</v>
      </c>
      <c r="E46" s="265">
        <f t="shared" si="170"/>
        <v>43626</v>
      </c>
      <c r="F46" s="195">
        <f t="shared" ca="1" si="77"/>
        <v>0.56054149028618405</v>
      </c>
      <c r="G46" s="196">
        <f t="shared" ref="G46:H46" si="171">J12</f>
        <v>0.8</v>
      </c>
      <c r="H46" s="49">
        <f t="shared" si="171"/>
        <v>0</v>
      </c>
      <c r="I46" s="49">
        <f t="shared" si="79"/>
        <v>4</v>
      </c>
      <c r="J46" s="49">
        <f t="shared" si="80"/>
        <v>10.666666666666666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8.2732351885353914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6.5069956596029428</v>
      </c>
      <c r="T46" s="83">
        <f t="shared" ca="1" si="90"/>
        <v>1.480549465878461</v>
      </c>
      <c r="U46" s="83">
        <f t="shared" ca="1" si="91"/>
        <v>2.256844628234929</v>
      </c>
      <c r="V46" s="83">
        <f t="shared" ca="1" si="92"/>
        <v>1.480549465878461</v>
      </c>
      <c r="W46" s="83">
        <f t="shared" ca="1" si="93"/>
        <v>2.286565320038128</v>
      </c>
      <c r="X46" s="83">
        <f t="shared" ca="1" si="94"/>
        <v>4.4313281396087749</v>
      </c>
      <c r="Y46" s="83">
        <f t="shared" ca="1" si="95"/>
        <v>1.143282660019064</v>
      </c>
      <c r="Z46" s="83">
        <f t="shared" ca="1" si="96"/>
        <v>2.6413227638935548</v>
      </c>
      <c r="AA46" s="83">
        <f t="shared" ca="1" si="97"/>
        <v>1.6750420367721168</v>
      </c>
      <c r="AB46" s="83">
        <f t="shared" ca="1" si="98"/>
        <v>3.203850244937144</v>
      </c>
      <c r="AC46" s="83">
        <f t="shared" ca="1" si="99"/>
        <v>0.83752101838605841</v>
      </c>
      <c r="AD46" s="83">
        <f t="shared" ca="1" si="100"/>
        <v>4.2727280004160448</v>
      </c>
      <c r="AE46" s="326">
        <f t="shared" ca="1" si="101"/>
        <v>4.0768218884400733</v>
      </c>
      <c r="AF46" s="83">
        <f t="shared" ca="1" si="102"/>
        <v>1.8345698497980327</v>
      </c>
      <c r="AG46" s="83">
        <f t="shared" ca="1" si="103"/>
        <v>1.8533651326479987</v>
      </c>
      <c r="AH46" s="326">
        <f t="shared" ca="1" si="104"/>
        <v>2.0176209460899597</v>
      </c>
      <c r="AI46" s="83">
        <f t="shared" ca="1" si="105"/>
        <v>3.3412214172650163</v>
      </c>
      <c r="AJ46" s="83">
        <f t="shared" ca="1" si="106"/>
        <v>3.1373803228430126</v>
      </c>
      <c r="AK46" s="83">
        <f t="shared" ca="1" si="107"/>
        <v>1.0740317993146655</v>
      </c>
      <c r="AL46" s="83">
        <f t="shared" ca="1" si="108"/>
        <v>0.6642225042073272</v>
      </c>
      <c r="AM46" s="83">
        <f t="shared" ca="1" si="109"/>
        <v>1.1964585976943694</v>
      </c>
      <c r="AN46" s="83">
        <f t="shared" ca="1" si="110"/>
        <v>2.6322089149276122</v>
      </c>
      <c r="AO46" s="83">
        <f t="shared" ca="1" si="111"/>
        <v>0.59822929884718468</v>
      </c>
      <c r="AP46" s="83">
        <f t="shared" ca="1" si="112"/>
        <v>10.476507097124015</v>
      </c>
      <c r="AQ46" s="83">
        <f t="shared" ca="1" si="113"/>
        <v>0.57607265814914077</v>
      </c>
      <c r="AR46" s="83">
        <f t="shared" ca="1" si="114"/>
        <v>1.8173791449053711</v>
      </c>
      <c r="AS46" s="83">
        <f t="shared" ca="1" si="115"/>
        <v>0.28803632907457039</v>
      </c>
      <c r="AT46" s="83">
        <f t="shared" ca="1" si="116"/>
        <v>0.83752101838605841</v>
      </c>
      <c r="AU46" s="83">
        <f t="shared" ca="1" si="117"/>
        <v>1.77253125584351</v>
      </c>
      <c r="AV46" s="83">
        <f t="shared" ca="1" si="118"/>
        <v>0.41876050919302921</v>
      </c>
      <c r="AW46" s="83">
        <f t="shared" ca="1" si="119"/>
        <v>11.097994806275441</v>
      </c>
      <c r="AX46" s="83">
        <f t="shared" ca="1" si="120"/>
        <v>1.12112601932102</v>
      </c>
      <c r="AY46" s="83">
        <f t="shared" ca="1" si="121"/>
        <v>3.0716618049244349</v>
      </c>
      <c r="AZ46" s="83">
        <f t="shared" ca="1" si="122"/>
        <v>0.56056300966050998</v>
      </c>
      <c r="BA46" s="83">
        <f t="shared" ca="1" si="123"/>
        <v>1.2895164886261534</v>
      </c>
      <c r="BB46" s="83">
        <f t="shared" ca="1" si="124"/>
        <v>1.5421021925838536</v>
      </c>
      <c r="BC46" s="83">
        <f t="shared" ca="1" si="125"/>
        <v>9.7773334243286634</v>
      </c>
      <c r="BD46" s="83">
        <f t="shared" ca="1" si="126"/>
        <v>3.3654507161122011</v>
      </c>
      <c r="BE46" s="83">
        <f t="shared" ca="1" si="127"/>
        <v>1.0679500816457148</v>
      </c>
      <c r="BF46" s="83">
        <f t="shared" ca="1" si="128"/>
        <v>2.1491941477102556</v>
      </c>
      <c r="BG46" s="83">
        <f t="shared" ca="1" si="129"/>
        <v>1.1698706288567167</v>
      </c>
      <c r="BH46" s="83">
        <f t="shared" ca="1" si="130"/>
        <v>4.2283360211909429</v>
      </c>
      <c r="BI46" s="83">
        <f t="shared" ca="1" si="131"/>
        <v>3.19998079401807</v>
      </c>
      <c r="BJ46" s="83">
        <f t="shared" ca="1" si="132"/>
        <v>0.23042906325965629</v>
      </c>
      <c r="BK46" s="83">
        <f t="shared" ca="1" si="133"/>
        <v>0.79763906512957949</v>
      </c>
      <c r="BL46" s="83">
        <f t="shared" ca="1" si="134"/>
        <v>0.30133031349339673</v>
      </c>
      <c r="BM46" s="83">
        <f t="shared" ca="1" si="135"/>
        <v>3.3848884159140096</v>
      </c>
      <c r="BN46" s="83">
        <f t="shared" ca="1" si="136"/>
        <v>4.6986879875368848</v>
      </c>
      <c r="BO46" s="83">
        <f t="shared" ca="1" si="137"/>
        <v>0.59822929884718468</v>
      </c>
      <c r="BP46" s="83">
        <f t="shared" ca="1" si="138"/>
        <v>1.2584971916488921</v>
      </c>
      <c r="BQ46" s="83">
        <f t="shared" ca="1" si="139"/>
        <v>1.081244066064541</v>
      </c>
      <c r="BR46" s="83">
        <f t="shared" ca="1" si="140"/>
        <v>5.0495876368553256</v>
      </c>
      <c r="BS46" s="83">
        <f t="shared" ca="1" si="141"/>
        <v>4.045911578686523</v>
      </c>
      <c r="BT46" s="83">
        <f t="shared" ca="1" si="142"/>
        <v>0.53619070489266174</v>
      </c>
      <c r="BU46" s="83">
        <f t="shared" ca="1" si="143"/>
        <v>1.2584971916488921</v>
      </c>
      <c r="BV46" s="83">
        <f t="shared" ca="1" si="144"/>
        <v>1.081244066064541</v>
      </c>
      <c r="BW46" s="83">
        <f t="shared" ca="1" si="145"/>
        <v>7.0028347227598031</v>
      </c>
      <c r="BX46" s="83">
        <f t="shared" ca="1" si="146"/>
        <v>3.2640386849498535</v>
      </c>
      <c r="BY46" s="83">
        <f t="shared" ca="1" si="147"/>
        <v>0.65583656466209861</v>
      </c>
      <c r="BZ46" s="83">
        <f t="shared" ca="1" si="148"/>
        <v>4.5057858913478297</v>
      </c>
      <c r="CA46" s="83">
        <f t="shared" ca="1" si="149"/>
        <v>2.5457219607361719</v>
      </c>
      <c r="CB46" s="83">
        <f t="shared" ca="1" si="150"/>
        <v>6.7386754851994803</v>
      </c>
      <c r="CC46" s="83">
        <f t="shared" ca="1" si="151"/>
        <v>2.5457219607361719</v>
      </c>
      <c r="CD46" s="83">
        <f t="shared" ca="1" si="152"/>
        <v>3.4339766435018593</v>
      </c>
      <c r="CE46" s="83">
        <f t="shared" ca="1" si="153"/>
        <v>9.0664882231244128</v>
      </c>
      <c r="CF46" s="83">
        <f t="shared" ca="1" si="154"/>
        <v>3.4339766435018593</v>
      </c>
      <c r="CG46" s="83">
        <f t="shared" ca="1" si="155"/>
        <v>2.7744987015688602</v>
      </c>
    </row>
    <row r="47" spans="1:85" x14ac:dyDescent="0.25">
      <c r="A47" t="str">
        <f t="shared" ref="A47:E47" si="172">A13</f>
        <v>I. Stone</v>
      </c>
      <c r="B47">
        <f t="shared" si="172"/>
        <v>19</v>
      </c>
      <c r="C47">
        <f t="shared" ca="1" si="172"/>
        <v>22</v>
      </c>
      <c r="D47" t="str">
        <f t="shared" si="172"/>
        <v>RAP</v>
      </c>
      <c r="E47" s="265">
        <f t="shared" si="172"/>
        <v>43633</v>
      </c>
      <c r="F47" s="195">
        <f t="shared" ca="1" si="77"/>
        <v>0.54190140505373663</v>
      </c>
      <c r="G47" s="196">
        <f t="shared" ref="G47:H47" si="173">J13</f>
        <v>2</v>
      </c>
      <c r="H47" s="49">
        <f t="shared" si="173"/>
        <v>0</v>
      </c>
      <c r="I47" s="49">
        <f t="shared" si="79"/>
        <v>3</v>
      </c>
      <c r="J47" s="49">
        <f t="shared" si="80"/>
        <v>9.5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10.524637159058623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3.0209930265840277</v>
      </c>
      <c r="T47" s="83">
        <f t="shared" ca="1" si="90"/>
        <v>1.6514788415647863</v>
      </c>
      <c r="U47" s="83">
        <f t="shared" ca="1" si="91"/>
        <v>2.4927676797939737</v>
      </c>
      <c r="V47" s="83">
        <f t="shared" ca="1" si="92"/>
        <v>1.6514788415647863</v>
      </c>
      <c r="W47" s="83">
        <f t="shared" ca="1" si="93"/>
        <v>2.034729762024547</v>
      </c>
      <c r="X47" s="83">
        <f t="shared" ca="1" si="94"/>
        <v>3.9432747326057114</v>
      </c>
      <c r="Y47" s="83">
        <f t="shared" ca="1" si="95"/>
        <v>1.0173648810122735</v>
      </c>
      <c r="Z47" s="83">
        <f t="shared" ca="1" si="96"/>
        <v>2.4854993863601593</v>
      </c>
      <c r="AA47" s="83">
        <f t="shared" ca="1" si="97"/>
        <v>1.4905578489249589</v>
      </c>
      <c r="AB47" s="83">
        <f t="shared" ca="1" si="98"/>
        <v>2.8509876316739291</v>
      </c>
      <c r="AC47" s="83">
        <f t="shared" ca="1" si="99"/>
        <v>0.74527892446247945</v>
      </c>
      <c r="AD47" s="83">
        <f t="shared" ca="1" si="100"/>
        <v>4.0206607720531995</v>
      </c>
      <c r="AE47" s="326">
        <f t="shared" ca="1" si="101"/>
        <v>3.6278127539972544</v>
      </c>
      <c r="AF47" s="83">
        <f t="shared" ca="1" si="102"/>
        <v>1.6325157392987644</v>
      </c>
      <c r="AG47" s="83">
        <f t="shared" ca="1" si="103"/>
        <v>1.744026880345154</v>
      </c>
      <c r="AH47" s="326">
        <f t="shared" ca="1" si="104"/>
        <v>1.7306455427721581</v>
      </c>
      <c r="AI47" s="83">
        <f t="shared" ca="1" si="105"/>
        <v>2.9732291483847062</v>
      </c>
      <c r="AJ47" s="83">
        <f t="shared" ca="1" si="106"/>
        <v>2.7918385106848436</v>
      </c>
      <c r="AK47" s="83">
        <f t="shared" ca="1" si="107"/>
        <v>0.49152688034515385</v>
      </c>
      <c r="AL47" s="83">
        <f t="shared" ca="1" si="108"/>
        <v>0.91966312299044484</v>
      </c>
      <c r="AM47" s="83">
        <f t="shared" ca="1" si="109"/>
        <v>1.0646841778035421</v>
      </c>
      <c r="AN47" s="83">
        <f t="shared" ca="1" si="110"/>
        <v>2.3423051911677923</v>
      </c>
      <c r="AO47" s="83">
        <f t="shared" ca="1" si="111"/>
        <v>0.53234208890177104</v>
      </c>
      <c r="AP47" s="83">
        <f t="shared" ca="1" si="112"/>
        <v>9.8584513475797912</v>
      </c>
      <c r="AQ47" s="83">
        <f t="shared" ca="1" si="113"/>
        <v>0.90262571523874258</v>
      </c>
      <c r="AR47" s="83">
        <f t="shared" ca="1" si="114"/>
        <v>2.5533794966534735</v>
      </c>
      <c r="AS47" s="83">
        <f t="shared" ca="1" si="115"/>
        <v>0.45131285761937129</v>
      </c>
      <c r="AT47" s="83">
        <f t="shared" ca="1" si="116"/>
        <v>0.74527892446247945</v>
      </c>
      <c r="AU47" s="83">
        <f t="shared" ca="1" si="117"/>
        <v>1.5773098930422846</v>
      </c>
      <c r="AV47" s="83">
        <f t="shared" ca="1" si="118"/>
        <v>0.37263946223123973</v>
      </c>
      <c r="AW47" s="83">
        <f t="shared" ca="1" si="119"/>
        <v>10.443274732605712</v>
      </c>
      <c r="AX47" s="83">
        <f t="shared" ca="1" si="120"/>
        <v>1.756648507349245</v>
      </c>
      <c r="AY47" s="83">
        <f t="shared" ca="1" si="121"/>
        <v>4.4557443776657468</v>
      </c>
      <c r="AZ47" s="83">
        <f t="shared" ca="1" si="122"/>
        <v>0.87832425367462252</v>
      </c>
      <c r="BA47" s="83">
        <f t="shared" ca="1" si="123"/>
        <v>1.147492947188262</v>
      </c>
      <c r="BB47" s="83">
        <f t="shared" ca="1" si="124"/>
        <v>1.3722596069467874</v>
      </c>
      <c r="BC47" s="83">
        <f t="shared" ca="1" si="125"/>
        <v>9.2005250394256315</v>
      </c>
      <c r="BD47" s="83">
        <f t="shared" ca="1" si="126"/>
        <v>3.8765712372864773</v>
      </c>
      <c r="BE47" s="83">
        <f t="shared" ca="1" si="127"/>
        <v>1.6733292105579765</v>
      </c>
      <c r="BF47" s="83">
        <f t="shared" ca="1" si="128"/>
        <v>1.9124882453137699</v>
      </c>
      <c r="BG47" s="83">
        <f t="shared" ca="1" si="129"/>
        <v>1.0410245294079079</v>
      </c>
      <c r="BH47" s="83">
        <f t="shared" ca="1" si="130"/>
        <v>3.9788876731227765</v>
      </c>
      <c r="BI47" s="83">
        <f t="shared" ca="1" si="131"/>
        <v>3.376422116297392</v>
      </c>
      <c r="BJ47" s="83">
        <f t="shared" ca="1" si="132"/>
        <v>0.361050286095497</v>
      </c>
      <c r="BK47" s="83">
        <f t="shared" ca="1" si="133"/>
        <v>0.70978945186902798</v>
      </c>
      <c r="BL47" s="83">
        <f t="shared" ca="1" si="134"/>
        <v>0.26814268181718837</v>
      </c>
      <c r="BM47" s="83">
        <f t="shared" ca="1" si="135"/>
        <v>3.1851987934447421</v>
      </c>
      <c r="BN47" s="83">
        <f t="shared" ca="1" si="136"/>
        <v>4.9290513061309449</v>
      </c>
      <c r="BO47" s="83">
        <f t="shared" ca="1" si="137"/>
        <v>0.93734208890177118</v>
      </c>
      <c r="BP47" s="83">
        <f t="shared" ca="1" si="138"/>
        <v>1.119890024060022</v>
      </c>
      <c r="BQ47" s="83">
        <f t="shared" ca="1" si="139"/>
        <v>0.96215903475579356</v>
      </c>
      <c r="BR47" s="83">
        <f t="shared" ca="1" si="140"/>
        <v>4.7516900033355993</v>
      </c>
      <c r="BS47" s="83">
        <f t="shared" ca="1" si="141"/>
        <v>4.2371484037271285</v>
      </c>
      <c r="BT47" s="83">
        <f t="shared" ca="1" si="142"/>
        <v>0.84013624264529108</v>
      </c>
      <c r="BU47" s="83">
        <f t="shared" ca="1" si="143"/>
        <v>1.119890024060022</v>
      </c>
      <c r="BV47" s="83">
        <f t="shared" ca="1" si="144"/>
        <v>0.96215903475579356</v>
      </c>
      <c r="BW47" s="83">
        <f t="shared" ca="1" si="145"/>
        <v>6.5897063562742044</v>
      </c>
      <c r="BX47" s="83">
        <f t="shared" ca="1" si="146"/>
        <v>3.4062308856821115</v>
      </c>
      <c r="BY47" s="83">
        <f t="shared" ca="1" si="147"/>
        <v>1.0276046604256452</v>
      </c>
      <c r="BZ47" s="83">
        <f t="shared" ca="1" si="148"/>
        <v>4.2399695414379197</v>
      </c>
      <c r="CA47" s="83">
        <f t="shared" ca="1" si="149"/>
        <v>3.4224461356875757</v>
      </c>
      <c r="CB47" s="83">
        <f t="shared" ca="1" si="150"/>
        <v>9.5671273489140312</v>
      </c>
      <c r="CC47" s="83">
        <f t="shared" ca="1" si="151"/>
        <v>3.4224461356875757</v>
      </c>
      <c r="CD47" s="83">
        <f t="shared" ca="1" si="152"/>
        <v>4.3407657930993873</v>
      </c>
      <c r="CE47" s="83">
        <f t="shared" ca="1" si="153"/>
        <v>12.50534310893722</v>
      </c>
      <c r="CF47" s="83">
        <f t="shared" ca="1" si="154"/>
        <v>4.3407657930993873</v>
      </c>
      <c r="CG47" s="83">
        <f t="shared" ca="1" si="155"/>
        <v>2.610818683151428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95</v>
      </c>
      <c r="D48" t="str">
        <f t="shared" si="174"/>
        <v>IMP</v>
      </c>
      <c r="E48" s="265">
        <f t="shared" si="174"/>
        <v>43630</v>
      </c>
      <c r="F48" s="195">
        <f t="shared" ca="1" si="77"/>
        <v>0.54993350287914911</v>
      </c>
      <c r="G48" s="196">
        <f t="shared" ref="G48:H48" si="175">J14</f>
        <v>2.2999999999999998</v>
      </c>
      <c r="H48" s="49">
        <f t="shared" si="175"/>
        <v>0</v>
      </c>
      <c r="I48" s="49">
        <f t="shared" si="79"/>
        <v>4</v>
      </c>
      <c r="J48" s="49">
        <f t="shared" si="80"/>
        <v>11.214285714285714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7.9612443981614263</v>
      </c>
      <c r="Q48" s="196">
        <f t="shared" si="87"/>
        <v>0.4</v>
      </c>
      <c r="R48" s="196">
        <f t="shared" si="88"/>
        <v>0.16</v>
      </c>
      <c r="S48" s="196">
        <f t="shared" ca="1" si="89"/>
        <v>1.1090869518847992</v>
      </c>
      <c r="T48" s="83">
        <f t="shared" ca="1" si="90"/>
        <v>2.0051431491379752</v>
      </c>
      <c r="U48" s="83">
        <f t="shared" ca="1" si="91"/>
        <v>3.0326183339485979</v>
      </c>
      <c r="V48" s="83">
        <f t="shared" ca="1" si="92"/>
        <v>2.0051431491379752</v>
      </c>
      <c r="W48" s="83">
        <f t="shared" ca="1" si="93"/>
        <v>2.5966344386657449</v>
      </c>
      <c r="X48" s="83">
        <f t="shared" ca="1" si="94"/>
        <v>5.03223728423594</v>
      </c>
      <c r="Y48" s="83">
        <f t="shared" ca="1" si="95"/>
        <v>1.2983172193328725</v>
      </c>
      <c r="Z48" s="83">
        <f t="shared" ca="1" si="96"/>
        <v>2.9146724736481535</v>
      </c>
      <c r="AA48" s="83">
        <f t="shared" ca="1" si="97"/>
        <v>1.9021856934411854</v>
      </c>
      <c r="AB48" s="83">
        <f t="shared" ca="1" si="98"/>
        <v>3.6383075565025846</v>
      </c>
      <c r="AC48" s="83">
        <f t="shared" ca="1" si="99"/>
        <v>0.95109284672059269</v>
      </c>
      <c r="AD48" s="83">
        <f t="shared" ca="1" si="100"/>
        <v>4.7149113544308365</v>
      </c>
      <c r="AE48" s="326">
        <f t="shared" ca="1" si="101"/>
        <v>4.6296583014970647</v>
      </c>
      <c r="AF48" s="83">
        <f t="shared" ca="1" si="102"/>
        <v>2.0833462356736789</v>
      </c>
      <c r="AG48" s="83">
        <f t="shared" ca="1" si="103"/>
        <v>2.0451693407531164</v>
      </c>
      <c r="AH48" s="326">
        <f t="shared" ca="1" si="104"/>
        <v>2.3709555231307324</v>
      </c>
      <c r="AI48" s="83">
        <f t="shared" ca="1" si="105"/>
        <v>3.7943069123138988</v>
      </c>
      <c r="AJ48" s="83">
        <f t="shared" ca="1" si="106"/>
        <v>3.5628239972390454</v>
      </c>
      <c r="AK48" s="83">
        <f t="shared" ca="1" si="107"/>
        <v>0.17238362646740191</v>
      </c>
      <c r="AL48" s="83">
        <f t="shared" ca="1" si="108"/>
        <v>0.69328433785995058</v>
      </c>
      <c r="AM48" s="83">
        <f t="shared" ca="1" si="109"/>
        <v>1.3587040667437038</v>
      </c>
      <c r="AN48" s="83">
        <f t="shared" ca="1" si="110"/>
        <v>2.9891489468361483</v>
      </c>
      <c r="AO48" s="83">
        <f t="shared" ca="1" si="111"/>
        <v>0.6793520333718519</v>
      </c>
      <c r="AP48" s="83">
        <f t="shared" ca="1" si="112"/>
        <v>11.56071771060444</v>
      </c>
      <c r="AQ48" s="83">
        <f t="shared" ca="1" si="113"/>
        <v>0.39419084695067214</v>
      </c>
      <c r="AR48" s="83">
        <f t="shared" ca="1" si="114"/>
        <v>1.9264455242811303</v>
      </c>
      <c r="AS48" s="83">
        <f t="shared" ca="1" si="115"/>
        <v>0.19709542347533607</v>
      </c>
      <c r="AT48" s="83">
        <f t="shared" ca="1" si="116"/>
        <v>0.95109284672059269</v>
      </c>
      <c r="AU48" s="83">
        <f t="shared" ca="1" si="117"/>
        <v>2.0128949136943759</v>
      </c>
      <c r="AV48" s="83">
        <f t="shared" ca="1" si="118"/>
        <v>0.47554642336029634</v>
      </c>
      <c r="AW48" s="83">
        <f t="shared" ca="1" si="119"/>
        <v>12.246522998521653</v>
      </c>
      <c r="AX48" s="83">
        <f t="shared" ca="1" si="120"/>
        <v>0.76715603291169265</v>
      </c>
      <c r="AY48" s="83">
        <f t="shared" ca="1" si="121"/>
        <v>2.9307627436140029</v>
      </c>
      <c r="AZ48" s="83">
        <f t="shared" ca="1" si="122"/>
        <v>0.38357801645584633</v>
      </c>
      <c r="BA48" s="83">
        <f t="shared" ca="1" si="123"/>
        <v>1.4643810497126584</v>
      </c>
      <c r="BB48" s="83">
        <f t="shared" ca="1" si="124"/>
        <v>1.7512185749141069</v>
      </c>
      <c r="BC48" s="83">
        <f t="shared" ca="1" si="125"/>
        <v>10.789186761697577</v>
      </c>
      <c r="BD48" s="83">
        <f t="shared" ca="1" si="126"/>
        <v>3.2696589456857499</v>
      </c>
      <c r="BE48" s="83">
        <f t="shared" ca="1" si="127"/>
        <v>0.73076918550086145</v>
      </c>
      <c r="BF48" s="83">
        <f t="shared" ca="1" si="128"/>
        <v>2.4406350828544308</v>
      </c>
      <c r="BG48" s="83">
        <f t="shared" ca="1" si="129"/>
        <v>1.3285106430382883</v>
      </c>
      <c r="BH48" s="83">
        <f t="shared" ca="1" si="130"/>
        <v>4.6659252624367502</v>
      </c>
      <c r="BI48" s="83">
        <f t="shared" ca="1" si="131"/>
        <v>3.3231753864222116</v>
      </c>
      <c r="BJ48" s="83">
        <f t="shared" ca="1" si="132"/>
        <v>0.15767633878026885</v>
      </c>
      <c r="BK48" s="83">
        <f t="shared" ca="1" si="133"/>
        <v>0.90580271116246913</v>
      </c>
      <c r="BL48" s="83">
        <f t="shared" ca="1" si="134"/>
        <v>0.34219213532804393</v>
      </c>
      <c r="BM48" s="83">
        <f t="shared" ca="1" si="135"/>
        <v>3.7351895145491043</v>
      </c>
      <c r="BN48" s="83">
        <f t="shared" ca="1" si="136"/>
        <v>4.8994571475274187</v>
      </c>
      <c r="BO48" s="83">
        <f t="shared" ca="1" si="137"/>
        <v>0.40935203337185189</v>
      </c>
      <c r="BP48" s="83">
        <f t="shared" ca="1" si="138"/>
        <v>1.4291553887230068</v>
      </c>
      <c r="BQ48" s="83">
        <f t="shared" ca="1" si="139"/>
        <v>1.2278658973535694</v>
      </c>
      <c r="BR48" s="83">
        <f t="shared" ca="1" si="140"/>
        <v>5.5721679643273525</v>
      </c>
      <c r="BS48" s="83">
        <f t="shared" ca="1" si="141"/>
        <v>4.223718910933421</v>
      </c>
      <c r="BT48" s="83">
        <f t="shared" ca="1" si="142"/>
        <v>0.36690071139254865</v>
      </c>
      <c r="BU48" s="83">
        <f t="shared" ca="1" si="143"/>
        <v>1.4291553887230068</v>
      </c>
      <c r="BV48" s="83">
        <f t="shared" ca="1" si="144"/>
        <v>1.2278658973535694</v>
      </c>
      <c r="BW48" s="83">
        <f t="shared" ca="1" si="145"/>
        <v>7.7275560120671631</v>
      </c>
      <c r="BX48" s="83">
        <f t="shared" ca="1" si="146"/>
        <v>3.4158523693911658</v>
      </c>
      <c r="BY48" s="83">
        <f t="shared" ca="1" si="147"/>
        <v>0.44877111806691905</v>
      </c>
      <c r="BZ48" s="83">
        <f t="shared" ca="1" si="148"/>
        <v>4.9720883373997919</v>
      </c>
      <c r="CA48" s="83">
        <f t="shared" ca="1" si="149"/>
        <v>2.4857956250869249</v>
      </c>
      <c r="CB48" s="83">
        <f t="shared" ca="1" si="150"/>
        <v>6.9122991820496678</v>
      </c>
      <c r="CC48" s="83">
        <f t="shared" ca="1" si="151"/>
        <v>2.4857956250869249</v>
      </c>
      <c r="CD48" s="83">
        <f t="shared" ca="1" si="152"/>
        <v>3.7871011173304119</v>
      </c>
      <c r="CE48" s="83">
        <f t="shared" ca="1" si="153"/>
        <v>10.151132842119001</v>
      </c>
      <c r="CF48" s="83">
        <f t="shared" ca="1" si="154"/>
        <v>3.7871011173304119</v>
      </c>
      <c r="CG48" s="83">
        <f t="shared" ca="1" si="155"/>
        <v>3.0616307496304134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95</v>
      </c>
      <c r="D49" t="str">
        <f t="shared" si="176"/>
        <v>RAP</v>
      </c>
      <c r="E49" s="265">
        <f t="shared" si="176"/>
        <v>43627</v>
      </c>
      <c r="F49" s="195">
        <f t="shared" ca="1" si="77"/>
        <v>0.55790014502880092</v>
      </c>
      <c r="G49" s="196">
        <f t="shared" ref="G49:H49" si="177">J15</f>
        <v>2.2999999999999998</v>
      </c>
      <c r="H49" s="49">
        <f t="shared" si="177"/>
        <v>0</v>
      </c>
      <c r="I49" s="49">
        <f t="shared" si="79"/>
        <v>2</v>
      </c>
      <c r="J49" s="49">
        <f t="shared" si="80"/>
        <v>11.25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11.278850677312159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7.1161694724031781</v>
      </c>
      <c r="T49" s="83">
        <f t="shared" ca="1" si="90"/>
        <v>1.4600980277346212</v>
      </c>
      <c r="U49" s="83">
        <f t="shared" ca="1" si="91"/>
        <v>2.1929032689637982</v>
      </c>
      <c r="V49" s="83">
        <f t="shared" ca="1" si="92"/>
        <v>1.4600980277346212</v>
      </c>
      <c r="W49" s="83">
        <f t="shared" ca="1" si="93"/>
        <v>1.5687452260149652</v>
      </c>
      <c r="X49" s="83">
        <f t="shared" ca="1" si="94"/>
        <v>3.0402039263855913</v>
      </c>
      <c r="Y49" s="83">
        <f t="shared" ca="1" si="95"/>
        <v>0.78437261300748262</v>
      </c>
      <c r="Z49" s="83">
        <f t="shared" ca="1" si="96"/>
        <v>2.9250685344797707</v>
      </c>
      <c r="AA49" s="83">
        <f t="shared" ca="1" si="97"/>
        <v>1.1491970841737535</v>
      </c>
      <c r="AB49" s="83">
        <f t="shared" ca="1" si="98"/>
        <v>2.1980674387767825</v>
      </c>
      <c r="AC49" s="83">
        <f t="shared" ca="1" si="99"/>
        <v>0.57459854208687677</v>
      </c>
      <c r="AD49" s="83">
        <f t="shared" ca="1" si="100"/>
        <v>4.7317285116584529</v>
      </c>
      <c r="AE49" s="326">
        <f t="shared" ca="1" si="101"/>
        <v>2.7969876122747444</v>
      </c>
      <c r="AF49" s="83">
        <f t="shared" ca="1" si="102"/>
        <v>1.2586444255236346</v>
      </c>
      <c r="AG49" s="83">
        <f t="shared" ca="1" si="103"/>
        <v>2.0524640557063942</v>
      </c>
      <c r="AH49" s="326">
        <f t="shared" ca="1" si="104"/>
        <v>3.5516399087147277</v>
      </c>
      <c r="AI49" s="83">
        <f t="shared" ca="1" si="105"/>
        <v>2.2923137604947357</v>
      </c>
      <c r="AJ49" s="83">
        <f t="shared" ca="1" si="106"/>
        <v>2.1524643798809984</v>
      </c>
      <c r="AK49" s="83">
        <f t="shared" ca="1" si="107"/>
        <v>1.1757140557063939</v>
      </c>
      <c r="AL49" s="83">
        <f t="shared" ca="1" si="108"/>
        <v>0.76757873079905026</v>
      </c>
      <c r="AM49" s="83">
        <f t="shared" ca="1" si="109"/>
        <v>0.82085506012410969</v>
      </c>
      <c r="AN49" s="83">
        <f t="shared" ca="1" si="110"/>
        <v>1.8058811322730413</v>
      </c>
      <c r="AO49" s="83">
        <f t="shared" ca="1" si="111"/>
        <v>0.41042753006205485</v>
      </c>
      <c r="AP49" s="83">
        <f t="shared" ca="1" si="112"/>
        <v>11.601952506507999</v>
      </c>
      <c r="AQ49" s="83">
        <f t="shared" ca="1" si="113"/>
        <v>0.65522651043012692</v>
      </c>
      <c r="AR49" s="83">
        <f t="shared" ca="1" si="114"/>
        <v>2.1687797504309785</v>
      </c>
      <c r="AS49" s="83">
        <f t="shared" ca="1" si="115"/>
        <v>0.32761325521506346</v>
      </c>
      <c r="AT49" s="83">
        <f t="shared" ca="1" si="116"/>
        <v>0.57459854208687677</v>
      </c>
      <c r="AU49" s="83">
        <f t="shared" ca="1" si="117"/>
        <v>1.2160815705542367</v>
      </c>
      <c r="AV49" s="83">
        <f t="shared" ca="1" si="118"/>
        <v>0.28729927104343839</v>
      </c>
      <c r="AW49" s="83">
        <f t="shared" ca="1" si="119"/>
        <v>12.290203926385592</v>
      </c>
      <c r="AX49" s="83">
        <f t="shared" ca="1" si="120"/>
        <v>1.2751715933755545</v>
      </c>
      <c r="AY49" s="83">
        <f t="shared" ca="1" si="121"/>
        <v>3.617152363438461</v>
      </c>
      <c r="AZ49" s="83">
        <f t="shared" ca="1" si="122"/>
        <v>0.63758579668777726</v>
      </c>
      <c r="BA49" s="83">
        <f t="shared" ca="1" si="123"/>
        <v>0.88469934257820704</v>
      </c>
      <c r="BB49" s="83">
        <f t="shared" ca="1" si="124"/>
        <v>1.0579909663821858</v>
      </c>
      <c r="BC49" s="83">
        <f t="shared" ca="1" si="125"/>
        <v>10.827669659145707</v>
      </c>
      <c r="BD49" s="83">
        <f t="shared" ca="1" si="126"/>
        <v>5.054741290556791</v>
      </c>
      <c r="BE49" s="83">
        <f t="shared" ca="1" si="127"/>
        <v>1.2146891462589275</v>
      </c>
      <c r="BF49" s="83">
        <f t="shared" ca="1" si="128"/>
        <v>1.4744989042970118</v>
      </c>
      <c r="BG49" s="83">
        <f t="shared" ca="1" si="129"/>
        <v>0.8026138365657961</v>
      </c>
      <c r="BH49" s="83">
        <f t="shared" ca="1" si="130"/>
        <v>4.682567695952911</v>
      </c>
      <c r="BI49" s="83">
        <f t="shared" ca="1" si="131"/>
        <v>5.0781382316610078</v>
      </c>
      <c r="BJ49" s="83">
        <f t="shared" ca="1" si="132"/>
        <v>0.26209060417205071</v>
      </c>
      <c r="BK49" s="83">
        <f t="shared" ca="1" si="133"/>
        <v>0.54723670674940639</v>
      </c>
      <c r="BL49" s="83">
        <f t="shared" ca="1" si="134"/>
        <v>0.20673386699422022</v>
      </c>
      <c r="BM49" s="83">
        <f t="shared" ca="1" si="135"/>
        <v>3.7485121975476057</v>
      </c>
      <c r="BN49" s="83">
        <f t="shared" ca="1" si="136"/>
        <v>7.4817022493318701</v>
      </c>
      <c r="BO49" s="83">
        <f t="shared" ca="1" si="137"/>
        <v>0.68042753006205492</v>
      </c>
      <c r="BP49" s="83">
        <f t="shared" ca="1" si="138"/>
        <v>0.86341791509350785</v>
      </c>
      <c r="BQ49" s="83">
        <f t="shared" ca="1" si="139"/>
        <v>0.74180975803808424</v>
      </c>
      <c r="BR49" s="83">
        <f t="shared" ca="1" si="140"/>
        <v>5.592042786505445</v>
      </c>
      <c r="BS49" s="83">
        <f t="shared" ca="1" si="141"/>
        <v>6.4485459504352347</v>
      </c>
      <c r="BT49" s="83">
        <f t="shared" ca="1" si="142"/>
        <v>0.60986467509265652</v>
      </c>
      <c r="BU49" s="83">
        <f t="shared" ca="1" si="143"/>
        <v>0.86341791509350785</v>
      </c>
      <c r="BV49" s="83">
        <f t="shared" ca="1" si="144"/>
        <v>0.74180975803808424</v>
      </c>
      <c r="BW49" s="83">
        <f t="shared" ca="1" si="145"/>
        <v>7.7551186775493086</v>
      </c>
      <c r="BX49" s="83">
        <f t="shared" ca="1" si="146"/>
        <v>5.2129825141151045</v>
      </c>
      <c r="BY49" s="83">
        <f t="shared" ca="1" si="147"/>
        <v>0.7459501811050675</v>
      </c>
      <c r="BZ49" s="83">
        <f t="shared" ca="1" si="148"/>
        <v>4.989822794112551</v>
      </c>
      <c r="CA49" s="83">
        <f t="shared" ca="1" si="149"/>
        <v>3.2779462456468931</v>
      </c>
      <c r="CB49" s="83">
        <f t="shared" ca="1" si="150"/>
        <v>8.0072696211101757</v>
      </c>
      <c r="CC49" s="83">
        <f t="shared" ca="1" si="151"/>
        <v>3.2779462456468931</v>
      </c>
      <c r="CD49" s="83">
        <f t="shared" ca="1" si="152"/>
        <v>4.5159930084307351</v>
      </c>
      <c r="CE49" s="83">
        <f t="shared" ca="1" si="153"/>
        <v>10.900039175221876</v>
      </c>
      <c r="CF49" s="83">
        <f t="shared" ca="1" si="154"/>
        <v>4.5159930084307351</v>
      </c>
      <c r="CG49" s="83">
        <f t="shared" ca="1" si="155"/>
        <v>3.0725509815963981</v>
      </c>
    </row>
    <row r="50" spans="1:85" x14ac:dyDescent="0.25">
      <c r="A50" t="str">
        <f t="shared" ref="A50:E50" si="178">A16</f>
        <v>R. Binst</v>
      </c>
      <c r="B50">
        <f t="shared" si="178"/>
        <v>22</v>
      </c>
      <c r="C50">
        <f t="shared" ca="1" si="178"/>
        <v>73</v>
      </c>
      <c r="D50">
        <f t="shared" si="178"/>
        <v>0</v>
      </c>
      <c r="E50" s="265">
        <f t="shared" si="178"/>
        <v>43745</v>
      </c>
      <c r="F50" s="195">
        <f t="shared" ca="1" si="77"/>
        <v>0.14812561692891457</v>
      </c>
      <c r="G50" s="196">
        <f t="shared" ref="G50:H50" si="179">J16</f>
        <v>4.2</v>
      </c>
      <c r="H50" s="49">
        <f t="shared" si="179"/>
        <v>0</v>
      </c>
      <c r="I50" s="49">
        <f t="shared" si="79"/>
        <v>2</v>
      </c>
      <c r="J50" s="49">
        <f t="shared" si="80"/>
        <v>10.142857142857142</v>
      </c>
      <c r="K50" s="49">
        <f t="shared" si="81"/>
        <v>12</v>
      </c>
      <c r="L50" s="49">
        <f t="shared" si="82"/>
        <v>5</v>
      </c>
      <c r="M50" s="49">
        <f t="shared" si="83"/>
        <v>5</v>
      </c>
      <c r="N50" s="49">
        <f t="shared" si="84"/>
        <v>4</v>
      </c>
      <c r="O50" s="196">
        <f t="shared" si="85"/>
        <v>1.875</v>
      </c>
      <c r="P50" s="196">
        <f t="shared" ca="1" si="86"/>
        <v>5.0638655224520477</v>
      </c>
      <c r="Q50" s="196">
        <f t="shared" si="87"/>
        <v>0.37</v>
      </c>
      <c r="R50" s="196">
        <f t="shared" si="88"/>
        <v>0.2</v>
      </c>
      <c r="S50" s="196">
        <f t="shared" ca="1" si="89"/>
        <v>5.0559329065744771</v>
      </c>
      <c r="T50" s="83">
        <f t="shared" ca="1" si="90"/>
        <v>1.4067758376020985</v>
      </c>
      <c r="U50" s="83">
        <f t="shared" ca="1" si="91"/>
        <v>2.1140499499934813</v>
      </c>
      <c r="V50" s="83">
        <f t="shared" ca="1" si="92"/>
        <v>1.4067758376020985</v>
      </c>
      <c r="W50" s="83">
        <f t="shared" ca="1" si="93"/>
        <v>1.5372283301290754</v>
      </c>
      <c r="X50" s="83">
        <f t="shared" ca="1" si="94"/>
        <v>2.9791246707927819</v>
      </c>
      <c r="Y50" s="83">
        <f t="shared" ca="1" si="95"/>
        <v>0.76861416506453772</v>
      </c>
      <c r="Z50" s="83">
        <f t="shared" ca="1" si="96"/>
        <v>2.6470316716486817</v>
      </c>
      <c r="AA50" s="83">
        <f t="shared" ca="1" si="97"/>
        <v>1.1261091255596716</v>
      </c>
      <c r="AB50" s="83">
        <f t="shared" ca="1" si="98"/>
        <v>2.153907136983181</v>
      </c>
      <c r="AC50" s="83">
        <f t="shared" ca="1" si="99"/>
        <v>0.56305456277983579</v>
      </c>
      <c r="AD50" s="83">
        <f t="shared" ca="1" si="100"/>
        <v>4.2819629982552208</v>
      </c>
      <c r="AE50" s="326">
        <f t="shared" ca="1" si="101"/>
        <v>2.7407946971293593</v>
      </c>
      <c r="AF50" s="83">
        <f t="shared" ca="1" si="102"/>
        <v>1.2333576137082116</v>
      </c>
      <c r="AG50" s="83">
        <f t="shared" ca="1" si="103"/>
        <v>1.8573709628795374</v>
      </c>
      <c r="AH50" s="326">
        <f t="shared" ca="1" si="104"/>
        <v>7.631725306426155</v>
      </c>
      <c r="AI50" s="83">
        <f t="shared" ca="1" si="105"/>
        <v>2.2462600017777574</v>
      </c>
      <c r="AJ50" s="83">
        <f t="shared" ca="1" si="106"/>
        <v>2.1092202669212896</v>
      </c>
      <c r="AK50" s="83">
        <f t="shared" ca="1" si="107"/>
        <v>0.8315138200223946</v>
      </c>
      <c r="AL50" s="83">
        <f t="shared" ca="1" si="108"/>
        <v>0.8219879051883211</v>
      </c>
      <c r="AM50" s="83">
        <f t="shared" ca="1" si="109"/>
        <v>0.80436366111405111</v>
      </c>
      <c r="AN50" s="83">
        <f t="shared" ca="1" si="110"/>
        <v>1.7696000544509123</v>
      </c>
      <c r="AO50" s="83">
        <f t="shared" ca="1" si="111"/>
        <v>0.40218183055702555</v>
      </c>
      <c r="AP50" s="83">
        <f t="shared" ca="1" si="112"/>
        <v>10.499150832085528</v>
      </c>
      <c r="AQ50" s="83">
        <f t="shared" ca="1" si="113"/>
        <v>0.77728620720306163</v>
      </c>
      <c r="AR50" s="83">
        <f t="shared" ca="1" si="114"/>
        <v>1.7518835285422849</v>
      </c>
      <c r="AS50" s="83">
        <f t="shared" ca="1" si="115"/>
        <v>0.38864310360153081</v>
      </c>
      <c r="AT50" s="83">
        <f t="shared" ca="1" si="116"/>
        <v>0.56305456277983579</v>
      </c>
      <c r="AU50" s="83">
        <f t="shared" ca="1" si="117"/>
        <v>1.1916498683171128</v>
      </c>
      <c r="AV50" s="83">
        <f t="shared" ca="1" si="118"/>
        <v>0.28152728138991789</v>
      </c>
      <c r="AW50" s="83">
        <f t="shared" ca="1" si="119"/>
        <v>11.121981813649924</v>
      </c>
      <c r="AX50" s="83">
        <f t="shared" ca="1" si="120"/>
        <v>1.5127185417105737</v>
      </c>
      <c r="AY50" s="83">
        <f t="shared" ca="1" si="121"/>
        <v>3.2944976936068224</v>
      </c>
      <c r="AZ50" s="83">
        <f t="shared" ca="1" si="122"/>
        <v>0.75635927085528687</v>
      </c>
      <c r="BA50" s="83">
        <f t="shared" ca="1" si="123"/>
        <v>0.86692527920069951</v>
      </c>
      <c r="BB50" s="83">
        <f t="shared" ca="1" si="124"/>
        <v>1.0367353854358881</v>
      </c>
      <c r="BC50" s="83">
        <f t="shared" ca="1" si="125"/>
        <v>9.7984659778255825</v>
      </c>
      <c r="BD50" s="83">
        <f t="shared" ca="1" si="126"/>
        <v>9.333441832334783</v>
      </c>
      <c r="BE50" s="83">
        <f t="shared" ca="1" si="127"/>
        <v>1.4409690456610604</v>
      </c>
      <c r="BF50" s="83">
        <f t="shared" ca="1" si="128"/>
        <v>1.4448754653344991</v>
      </c>
      <c r="BG50" s="83">
        <f t="shared" ca="1" si="129"/>
        <v>0.78648891308929447</v>
      </c>
      <c r="BH50" s="83">
        <f t="shared" ca="1" si="130"/>
        <v>4.2374750710006213</v>
      </c>
      <c r="BI50" s="83">
        <f t="shared" ca="1" si="131"/>
        <v>9.936754962272893</v>
      </c>
      <c r="BJ50" s="83">
        <f t="shared" ca="1" si="132"/>
        <v>0.31091448288122464</v>
      </c>
      <c r="BK50" s="83">
        <f t="shared" ca="1" si="133"/>
        <v>0.53624244074270067</v>
      </c>
      <c r="BL50" s="83">
        <f t="shared" ca="1" si="134"/>
        <v>0.20258047761390918</v>
      </c>
      <c r="BM50" s="83">
        <f t="shared" ca="1" si="135"/>
        <v>3.3922044531632269</v>
      </c>
      <c r="BN50" s="83">
        <f t="shared" ca="1" si="136"/>
        <v>14.689154326639517</v>
      </c>
      <c r="BO50" s="83">
        <f t="shared" ca="1" si="137"/>
        <v>0.80718183055702564</v>
      </c>
      <c r="BP50" s="83">
        <f t="shared" ca="1" si="138"/>
        <v>0.84607140650515</v>
      </c>
      <c r="BQ50" s="83">
        <f t="shared" ca="1" si="139"/>
        <v>0.72690641967343872</v>
      </c>
      <c r="BR50" s="83">
        <f t="shared" ca="1" si="140"/>
        <v>5.0605017252107158</v>
      </c>
      <c r="BS50" s="83">
        <f t="shared" ca="1" si="141"/>
        <v>12.672870135238401</v>
      </c>
      <c r="BT50" s="83">
        <f t="shared" ca="1" si="142"/>
        <v>0.72347408516592659</v>
      </c>
      <c r="BU50" s="83">
        <f t="shared" ca="1" si="143"/>
        <v>0.84607140650515</v>
      </c>
      <c r="BV50" s="83">
        <f t="shared" ca="1" si="144"/>
        <v>0.72690641967343872</v>
      </c>
      <c r="BW50" s="83">
        <f t="shared" ca="1" si="145"/>
        <v>7.0179705244131023</v>
      </c>
      <c r="BX50" s="83">
        <f t="shared" ca="1" si="146"/>
        <v>10.26531658035954</v>
      </c>
      <c r="BY50" s="83">
        <f t="shared" ca="1" si="147"/>
        <v>0.8849104512773317</v>
      </c>
      <c r="BZ50" s="83">
        <f t="shared" ca="1" si="148"/>
        <v>4.5155246163418692</v>
      </c>
      <c r="CA50" s="83">
        <f t="shared" ca="1" si="149"/>
        <v>4.1231239534830397</v>
      </c>
      <c r="CB50" s="83">
        <f t="shared" ca="1" si="150"/>
        <v>6.7324943793126728</v>
      </c>
      <c r="CC50" s="83">
        <f t="shared" ca="1" si="151"/>
        <v>4.1231239534830397</v>
      </c>
      <c r="CD50" s="83">
        <f t="shared" ca="1" si="152"/>
        <v>5.4934820095023857</v>
      </c>
      <c r="CE50" s="83">
        <f t="shared" ca="1" si="153"/>
        <v>8.1854216743153181</v>
      </c>
      <c r="CF50" s="83">
        <f t="shared" ca="1" si="154"/>
        <v>5.4934820095023857</v>
      </c>
      <c r="CG50" s="83">
        <f t="shared" ca="1" si="155"/>
        <v>2.7804954534124811</v>
      </c>
    </row>
    <row r="51" spans="1:85" x14ac:dyDescent="0.25">
      <c r="A51" t="str">
        <f t="shared" ref="A51:E51" si="180">A17</f>
        <v>R. Forsyth</v>
      </c>
      <c r="B51">
        <f t="shared" si="180"/>
        <v>20</v>
      </c>
      <c r="C51">
        <f t="shared" ca="1" si="180"/>
        <v>24</v>
      </c>
      <c r="D51" t="str">
        <f t="shared" si="180"/>
        <v>POT</v>
      </c>
      <c r="E51" s="265">
        <f t="shared" si="180"/>
        <v>43626</v>
      </c>
      <c r="F51" s="195">
        <f t="shared" ca="1" si="77"/>
        <v>0.56054149028618405</v>
      </c>
      <c r="G51" s="196">
        <f t="shared" ref="G51:H51" si="181">J17</f>
        <v>2.4</v>
      </c>
      <c r="H51" s="49">
        <f t="shared" si="181"/>
        <v>0</v>
      </c>
      <c r="I51" s="49">
        <f t="shared" si="79"/>
        <v>7</v>
      </c>
      <c r="J51" s="49">
        <f t="shared" si="80"/>
        <v>10.714285714285714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5.8191524857759998</v>
      </c>
      <c r="Q51" s="196">
        <f t="shared" si="87"/>
        <v>0.36</v>
      </c>
      <c r="R51" s="196">
        <f t="shared" si="88"/>
        <v>0.34</v>
      </c>
      <c r="S51" s="196">
        <f t="shared" ca="1" si="89"/>
        <v>3.1431573325624931</v>
      </c>
      <c r="T51" s="83">
        <f t="shared" ca="1" si="90"/>
        <v>2.863918606372148</v>
      </c>
      <c r="U51" s="83">
        <f t="shared" ca="1" si="91"/>
        <v>4.3531293480257078</v>
      </c>
      <c r="V51" s="83">
        <f t="shared" ca="1" si="92"/>
        <v>2.863918606372148</v>
      </c>
      <c r="W51" s="83">
        <f t="shared" ca="1" si="93"/>
        <v>4.1628247432852561</v>
      </c>
      <c r="X51" s="83">
        <f t="shared" ca="1" si="94"/>
        <v>8.0674898125683256</v>
      </c>
      <c r="Y51" s="83">
        <f t="shared" ca="1" si="95"/>
        <v>2.081412371642628</v>
      </c>
      <c r="Z51" s="83">
        <f t="shared" ca="1" si="96"/>
        <v>2.8040625753912614</v>
      </c>
      <c r="AA51" s="83">
        <f t="shared" ca="1" si="97"/>
        <v>3.0495111491508271</v>
      </c>
      <c r="AB51" s="83">
        <f t="shared" ca="1" si="98"/>
        <v>5.8327951344868989</v>
      </c>
      <c r="AC51" s="83">
        <f t="shared" ca="1" si="99"/>
        <v>1.5247555745754136</v>
      </c>
      <c r="AD51" s="83">
        <f t="shared" ca="1" si="100"/>
        <v>4.5359835778388051</v>
      </c>
      <c r="AE51" s="326">
        <f t="shared" ca="1" si="101"/>
        <v>7.4220906275628602</v>
      </c>
      <c r="AF51" s="83">
        <f t="shared" ca="1" si="102"/>
        <v>3.3399407824032865</v>
      </c>
      <c r="AG51" s="83">
        <f t="shared" ca="1" si="103"/>
        <v>1.9675565129846246</v>
      </c>
      <c r="AH51" s="326">
        <f t="shared" ca="1" si="104"/>
        <v>1.8036840097901752</v>
      </c>
      <c r="AI51" s="83">
        <f t="shared" ca="1" si="105"/>
        <v>6.0828873186765176</v>
      </c>
      <c r="AJ51" s="83">
        <f t="shared" ca="1" si="106"/>
        <v>5.7117827872983744</v>
      </c>
      <c r="AK51" s="83">
        <f t="shared" ca="1" si="107"/>
        <v>0.51227079869891035</v>
      </c>
      <c r="AL51" s="83">
        <f t="shared" ca="1" si="108"/>
        <v>0.95543706601967759</v>
      </c>
      <c r="AM51" s="83">
        <f t="shared" ca="1" si="109"/>
        <v>2.178222249393448</v>
      </c>
      <c r="AN51" s="83">
        <f t="shared" ca="1" si="110"/>
        <v>4.7920889486655849</v>
      </c>
      <c r="AO51" s="83">
        <f t="shared" ca="1" si="111"/>
        <v>1.089111124696724</v>
      </c>
      <c r="AP51" s="83">
        <f t="shared" ca="1" si="112"/>
        <v>11.121996097350213</v>
      </c>
      <c r="AQ51" s="83">
        <f t="shared" ca="1" si="113"/>
        <v>0.65877367563388234</v>
      </c>
      <c r="AR51" s="83">
        <f t="shared" ca="1" si="114"/>
        <v>1.8307745150825192</v>
      </c>
      <c r="AS51" s="83">
        <f t="shared" ca="1" si="115"/>
        <v>0.32938683781694117</v>
      </c>
      <c r="AT51" s="83">
        <f t="shared" ca="1" si="116"/>
        <v>1.5247555745754136</v>
      </c>
      <c r="AU51" s="83">
        <f t="shared" ca="1" si="117"/>
        <v>3.2269959250273303</v>
      </c>
      <c r="AV51" s="83">
        <f t="shared" ca="1" si="118"/>
        <v>0.76237778728770678</v>
      </c>
      <c r="AW51" s="83">
        <f t="shared" ca="1" si="119"/>
        <v>11.781775526854039</v>
      </c>
      <c r="AX51" s="83">
        <f t="shared" ca="1" si="120"/>
        <v>1.2820749225797865</v>
      </c>
      <c r="AY51" s="83">
        <f t="shared" ca="1" si="121"/>
        <v>3.2121868867251475</v>
      </c>
      <c r="AZ51" s="83">
        <f t="shared" ca="1" si="122"/>
        <v>0.64103746128989325</v>
      </c>
      <c r="BA51" s="83">
        <f t="shared" ca="1" si="123"/>
        <v>2.3476395354573825</v>
      </c>
      <c r="BB51" s="83">
        <f t="shared" ca="1" si="124"/>
        <v>2.8074864547737772</v>
      </c>
      <c r="BC51" s="83">
        <f t="shared" ca="1" si="125"/>
        <v>10.379744239158409</v>
      </c>
      <c r="BD51" s="83">
        <f t="shared" ca="1" si="126"/>
        <v>3.3569984433732412</v>
      </c>
      <c r="BE51" s="83">
        <f t="shared" ca="1" si="127"/>
        <v>1.2212650448289664</v>
      </c>
      <c r="BF51" s="83">
        <f t="shared" ca="1" si="128"/>
        <v>3.9127325590956379</v>
      </c>
      <c r="BG51" s="83">
        <f t="shared" ca="1" si="129"/>
        <v>2.129817310518038</v>
      </c>
      <c r="BH51" s="83">
        <f t="shared" ca="1" si="130"/>
        <v>4.4888564757313887</v>
      </c>
      <c r="BI51" s="83">
        <f t="shared" ca="1" si="131"/>
        <v>3.0829860961847166</v>
      </c>
      <c r="BJ51" s="83">
        <f t="shared" ca="1" si="132"/>
        <v>0.26350947025355292</v>
      </c>
      <c r="BK51" s="83">
        <f t="shared" ca="1" si="133"/>
        <v>1.4521481662622986</v>
      </c>
      <c r="BL51" s="83">
        <f t="shared" ca="1" si="134"/>
        <v>0.54858930725464616</v>
      </c>
      <c r="BM51" s="83">
        <f t="shared" ca="1" si="135"/>
        <v>3.5934415356904821</v>
      </c>
      <c r="BN51" s="83">
        <f t="shared" ca="1" si="136"/>
        <v>4.5167918989628664</v>
      </c>
      <c r="BO51" s="83">
        <f t="shared" ca="1" si="137"/>
        <v>0.68411112469672397</v>
      </c>
      <c r="BP51" s="83">
        <f t="shared" ca="1" si="138"/>
        <v>2.2911671067694042</v>
      </c>
      <c r="BQ51" s="83">
        <f t="shared" ca="1" si="139"/>
        <v>1.9684675142666714</v>
      </c>
      <c r="BR51" s="83">
        <f t="shared" ca="1" si="140"/>
        <v>5.360707864718588</v>
      </c>
      <c r="BS51" s="83">
        <f t="shared" ca="1" si="141"/>
        <v>3.8867787123257047</v>
      </c>
      <c r="BT51" s="83">
        <f t="shared" ca="1" si="142"/>
        <v>0.6131662673207674</v>
      </c>
      <c r="BU51" s="83">
        <f t="shared" ca="1" si="143"/>
        <v>2.2911671067694042</v>
      </c>
      <c r="BV51" s="83">
        <f t="shared" ca="1" si="144"/>
        <v>1.9684675142666714</v>
      </c>
      <c r="BW51" s="83">
        <f t="shared" ca="1" si="145"/>
        <v>7.4343003574448989</v>
      </c>
      <c r="BX51" s="83">
        <f t="shared" ca="1" si="146"/>
        <v>3.1314033822486511</v>
      </c>
      <c r="BY51" s="83">
        <f t="shared" ca="1" si="147"/>
        <v>0.74998849226011211</v>
      </c>
      <c r="BZ51" s="83">
        <f t="shared" ca="1" si="148"/>
        <v>4.7834008639027399</v>
      </c>
      <c r="CA51" s="83">
        <f t="shared" ca="1" si="149"/>
        <v>2.6061621923480978</v>
      </c>
      <c r="CB51" s="83">
        <f t="shared" ca="1" si="150"/>
        <v>6.8719935289519345</v>
      </c>
      <c r="CC51" s="83">
        <f t="shared" ca="1" si="151"/>
        <v>2.6061621923480978</v>
      </c>
      <c r="CD51" s="83">
        <f t="shared" ca="1" si="152"/>
        <v>3.3493053657556593</v>
      </c>
      <c r="CE51" s="83">
        <f t="shared" ca="1" si="153"/>
        <v>8.9373935534060376</v>
      </c>
      <c r="CF51" s="83">
        <f t="shared" ca="1" si="154"/>
        <v>3.3493053657556593</v>
      </c>
      <c r="CG51" s="83">
        <f t="shared" ca="1" si="155"/>
        <v>2.9454438817135098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94</v>
      </c>
      <c r="D52" t="str">
        <f t="shared" si="182"/>
        <v>CAB</v>
      </c>
      <c r="E52" s="265">
        <f t="shared" si="182"/>
        <v>43650</v>
      </c>
      <c r="F52" s="195">
        <f t="shared" ca="1" si="77"/>
        <v>0.49504239939036226</v>
      </c>
      <c r="G52" s="196">
        <f t="shared" ref="G52:H52" si="183">J18</f>
        <v>2.2000000000000002</v>
      </c>
      <c r="H52" s="49">
        <f t="shared" si="183"/>
        <v>0</v>
      </c>
      <c r="I52" s="49">
        <f t="shared" si="79"/>
        <v>3</v>
      </c>
      <c r="J52" s="49">
        <f t="shared" si="80"/>
        <v>10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1.1330492021421357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4.0339138436192341</v>
      </c>
      <c r="T52" s="83">
        <f t="shared" ca="1" si="90"/>
        <v>1.6587520151448345</v>
      </c>
      <c r="U52" s="83">
        <f t="shared" ca="1" si="91"/>
        <v>2.5035233122015823</v>
      </c>
      <c r="V52" s="83">
        <f t="shared" ca="1" si="92"/>
        <v>1.6587520151448345</v>
      </c>
      <c r="W52" s="83">
        <f t="shared" ca="1" si="93"/>
        <v>2.039028682491105</v>
      </c>
      <c r="X52" s="83">
        <f t="shared" ca="1" si="94"/>
        <v>3.9516059738199707</v>
      </c>
      <c r="Y52" s="83">
        <f t="shared" ca="1" si="95"/>
        <v>1.0195143412455525</v>
      </c>
      <c r="Z52" s="83">
        <f t="shared" ca="1" si="96"/>
        <v>2.606482221769153</v>
      </c>
      <c r="AA52" s="83">
        <f t="shared" ca="1" si="97"/>
        <v>1.4937070581039489</v>
      </c>
      <c r="AB52" s="83">
        <f t="shared" ca="1" si="98"/>
        <v>2.8570111190718386</v>
      </c>
      <c r="AC52" s="83">
        <f t="shared" ca="1" si="99"/>
        <v>0.74685352905197444</v>
      </c>
      <c r="AD52" s="83">
        <f t="shared" ca="1" si="100"/>
        <v>4.2163682999206893</v>
      </c>
      <c r="AE52" s="326">
        <f t="shared" ca="1" si="101"/>
        <v>3.6354774959143734</v>
      </c>
      <c r="AF52" s="83">
        <f t="shared" ca="1" si="102"/>
        <v>1.6359648731614678</v>
      </c>
      <c r="AG52" s="83">
        <f t="shared" ca="1" si="103"/>
        <v>1.8289181976279354</v>
      </c>
      <c r="AH52" s="326">
        <f t="shared" ca="1" si="104"/>
        <v>5.8515443126061424</v>
      </c>
      <c r="AI52" s="83">
        <f t="shared" ca="1" si="105"/>
        <v>2.9795109042602581</v>
      </c>
      <c r="AJ52" s="83">
        <f t="shared" ca="1" si="106"/>
        <v>2.7977370294645389</v>
      </c>
      <c r="AK52" s="83">
        <f t="shared" ca="1" si="107"/>
        <v>0.65991819762793513</v>
      </c>
      <c r="AL52" s="83">
        <f t="shared" ca="1" si="108"/>
        <v>0.92206252046015147</v>
      </c>
      <c r="AM52" s="83">
        <f t="shared" ca="1" si="109"/>
        <v>1.0669336129313922</v>
      </c>
      <c r="AN52" s="83">
        <f t="shared" ca="1" si="110"/>
        <v>2.3472539484490627</v>
      </c>
      <c r="AO52" s="83">
        <f t="shared" ca="1" si="111"/>
        <v>0.53346680646569611</v>
      </c>
      <c r="AP52" s="83">
        <f t="shared" ca="1" si="112"/>
        <v>10.338316039286052</v>
      </c>
      <c r="AQ52" s="83">
        <f t="shared" ca="1" si="113"/>
        <v>0.90370877659659632</v>
      </c>
      <c r="AR52" s="83">
        <f t="shared" ca="1" si="114"/>
        <v>1.5178205503292514</v>
      </c>
      <c r="AS52" s="83">
        <f t="shared" ca="1" si="115"/>
        <v>0.45185438829829816</v>
      </c>
      <c r="AT52" s="83">
        <f t="shared" ca="1" si="116"/>
        <v>0.74685352905197444</v>
      </c>
      <c r="AU52" s="83">
        <f t="shared" ca="1" si="117"/>
        <v>1.5806423895279884</v>
      </c>
      <c r="AV52" s="83">
        <f t="shared" ca="1" si="118"/>
        <v>0.37342676452598722</v>
      </c>
      <c r="AW52" s="83">
        <f t="shared" ca="1" si="119"/>
        <v>10.951605973819971</v>
      </c>
      <c r="AX52" s="83">
        <f t="shared" ca="1" si="120"/>
        <v>1.7587563113764526</v>
      </c>
      <c r="AY52" s="83">
        <f t="shared" ca="1" si="121"/>
        <v>3.2003348915748044</v>
      </c>
      <c r="AZ52" s="83">
        <f t="shared" ca="1" si="122"/>
        <v>0.8793781556882263</v>
      </c>
      <c r="BA52" s="83">
        <f t="shared" ca="1" si="123"/>
        <v>1.1499173383816115</v>
      </c>
      <c r="BB52" s="83">
        <f t="shared" ca="1" si="124"/>
        <v>1.3751588788893496</v>
      </c>
      <c r="BC52" s="83">
        <f t="shared" ca="1" si="125"/>
        <v>9.6483648629353951</v>
      </c>
      <c r="BD52" s="83">
        <f t="shared" ca="1" si="126"/>
        <v>7.9019777107259541</v>
      </c>
      <c r="BE52" s="83">
        <f t="shared" ca="1" si="127"/>
        <v>1.6753370396906131</v>
      </c>
      <c r="BF52" s="83">
        <f t="shared" ca="1" si="128"/>
        <v>1.9165288973026857</v>
      </c>
      <c r="BG52" s="83">
        <f t="shared" ca="1" si="129"/>
        <v>1.0432239770884724</v>
      </c>
      <c r="BH52" s="83">
        <f t="shared" ca="1" si="130"/>
        <v>4.1725618760254086</v>
      </c>
      <c r="BI52" s="83">
        <f t="shared" ca="1" si="131"/>
        <v>8.094703621118656</v>
      </c>
      <c r="BJ52" s="83">
        <f t="shared" ca="1" si="132"/>
        <v>0.36148351063863848</v>
      </c>
      <c r="BK52" s="83">
        <f t="shared" ca="1" si="133"/>
        <v>0.71128907528759466</v>
      </c>
      <c r="BL52" s="83">
        <f t="shared" ca="1" si="134"/>
        <v>0.26870920621975802</v>
      </c>
      <c r="BM52" s="83">
        <f t="shared" ca="1" si="135"/>
        <v>3.3402398220150911</v>
      </c>
      <c r="BN52" s="83">
        <f t="shared" ca="1" si="136"/>
        <v>11.939765282332482</v>
      </c>
      <c r="BO52" s="83">
        <f t="shared" ca="1" si="137"/>
        <v>0.93846680646569614</v>
      </c>
      <c r="BP52" s="83">
        <f t="shared" ca="1" si="138"/>
        <v>1.1222560965648716</v>
      </c>
      <c r="BQ52" s="83">
        <f t="shared" ca="1" si="139"/>
        <v>0.96419185761207282</v>
      </c>
      <c r="BR52" s="83">
        <f t="shared" ca="1" si="140"/>
        <v>4.9829807180880872</v>
      </c>
      <c r="BS52" s="83">
        <f t="shared" ca="1" si="141"/>
        <v>10.294379418992527</v>
      </c>
      <c r="BT52" s="83">
        <f t="shared" ca="1" si="142"/>
        <v>0.84114432283221652</v>
      </c>
      <c r="BU52" s="83">
        <f t="shared" ca="1" si="143"/>
        <v>1.1222560965648716</v>
      </c>
      <c r="BV52" s="83">
        <f t="shared" ca="1" si="144"/>
        <v>0.96419185761207282</v>
      </c>
      <c r="BW52" s="83">
        <f t="shared" ca="1" si="145"/>
        <v>6.9104633694804019</v>
      </c>
      <c r="BX52" s="83">
        <f t="shared" ca="1" si="146"/>
        <v>8.3276873465688741</v>
      </c>
      <c r="BY52" s="83">
        <f t="shared" ca="1" si="147"/>
        <v>1.0288376841253557</v>
      </c>
      <c r="BZ52" s="83">
        <f t="shared" ca="1" si="148"/>
        <v>4.446352025370909</v>
      </c>
      <c r="CA52" s="83">
        <f t="shared" ca="1" si="149"/>
        <v>3.6727867123602049</v>
      </c>
      <c r="CB52" s="83">
        <f t="shared" ca="1" si="150"/>
        <v>6.0785083265212876</v>
      </c>
      <c r="CC52" s="83">
        <f t="shared" ca="1" si="151"/>
        <v>3.6727867123602049</v>
      </c>
      <c r="CD52" s="83">
        <f t="shared" ca="1" si="152"/>
        <v>4.345139497848348</v>
      </c>
      <c r="CE52" s="83">
        <f t="shared" ca="1" si="153"/>
        <v>6.5167485781595396</v>
      </c>
      <c r="CF52" s="83">
        <f t="shared" ca="1" si="154"/>
        <v>4.345139497848348</v>
      </c>
      <c r="CG52" s="83">
        <f t="shared" ca="1" si="155"/>
        <v>2.7379014934549928</v>
      </c>
    </row>
    <row r="53" spans="1:85" x14ac:dyDescent="0.25">
      <c r="A53" t="str">
        <f t="shared" ref="A53:E53" si="184">A19</f>
        <v>A. Grimaud</v>
      </c>
      <c r="B53">
        <f t="shared" si="184"/>
        <v>19</v>
      </c>
      <c r="C53">
        <f t="shared" ca="1" si="184"/>
        <v>103</v>
      </c>
      <c r="D53" t="str">
        <f t="shared" si="184"/>
        <v>RAP</v>
      </c>
      <c r="E53" s="265">
        <f t="shared" si="184"/>
        <v>43739</v>
      </c>
      <c r="F53" s="195">
        <f t="shared" ca="1" si="77"/>
        <v>0.17974163071114982</v>
      </c>
      <c r="G53" s="196">
        <f t="shared" ref="G53:H53" si="185">J19</f>
        <v>2.8</v>
      </c>
      <c r="H53" s="49">
        <f t="shared" si="185"/>
        <v>0</v>
      </c>
      <c r="I53" s="49">
        <f t="shared" si="79"/>
        <v>12</v>
      </c>
      <c r="J53" s="49">
        <f t="shared" si="80"/>
        <v>4.166666666666667</v>
      </c>
      <c r="K53" s="49">
        <f t="shared" si="81"/>
        <v>3</v>
      </c>
      <c r="L53" s="49">
        <f t="shared" si="82"/>
        <v>3</v>
      </c>
      <c r="M53" s="49">
        <f t="shared" si="83"/>
        <v>5</v>
      </c>
      <c r="N53" s="49">
        <f t="shared" si="84"/>
        <v>0</v>
      </c>
      <c r="O53" s="196">
        <f t="shared" si="85"/>
        <v>2.625</v>
      </c>
      <c r="P53" s="196">
        <f t="shared" ca="1" si="86"/>
        <v>2.4148546695600466</v>
      </c>
      <c r="Q53" s="196">
        <f t="shared" si="87"/>
        <v>0.25</v>
      </c>
      <c r="R53" s="196">
        <f t="shared" si="88"/>
        <v>0.48000000000000009</v>
      </c>
      <c r="S53" s="196">
        <f t="shared" ca="1" si="89"/>
        <v>0.85784476769243412</v>
      </c>
      <c r="T53" s="83">
        <f t="shared" ca="1" si="90"/>
        <v>3.9894063920931768</v>
      </c>
      <c r="U53" s="83">
        <f t="shared" ca="1" si="91"/>
        <v>6.1017544698651669</v>
      </c>
      <c r="V53" s="83">
        <f t="shared" ca="1" si="92"/>
        <v>3.9894063920931768</v>
      </c>
      <c r="W53" s="83">
        <f t="shared" ca="1" si="93"/>
        <v>6.5923914070103997</v>
      </c>
      <c r="X53" s="83">
        <f t="shared" ca="1" si="94"/>
        <v>12.775952339167441</v>
      </c>
      <c r="Y53" s="83">
        <f t="shared" ca="1" si="95"/>
        <v>3.2961957035051999</v>
      </c>
      <c r="Z53" s="83">
        <f t="shared" ca="1" si="96"/>
        <v>1.1763433233885179</v>
      </c>
      <c r="AA53" s="83">
        <f t="shared" ca="1" si="97"/>
        <v>4.8293099842052927</v>
      </c>
      <c r="AB53" s="83">
        <f t="shared" ca="1" si="98"/>
        <v>9.2370135412180598</v>
      </c>
      <c r="AC53" s="83">
        <f t="shared" ca="1" si="99"/>
        <v>2.4146549921026463</v>
      </c>
      <c r="AD53" s="83">
        <f t="shared" ca="1" si="100"/>
        <v>1.9029083172461319</v>
      </c>
      <c r="AE53" s="326">
        <f t="shared" ca="1" si="101"/>
        <v>11.753876152034046</v>
      </c>
      <c r="AF53" s="83">
        <f t="shared" ca="1" si="102"/>
        <v>5.2892442684153202</v>
      </c>
      <c r="AG53" s="83">
        <f t="shared" ca="1" si="103"/>
        <v>0.82541737397429626</v>
      </c>
      <c r="AH53" s="326">
        <f t="shared" ca="1" si="104"/>
        <v>2.2202599754304559</v>
      </c>
      <c r="AI53" s="83">
        <f t="shared" ca="1" si="105"/>
        <v>9.6330680637322512</v>
      </c>
      <c r="AJ53" s="83">
        <f t="shared" ca="1" si="106"/>
        <v>9.0453742561305486</v>
      </c>
      <c r="AK53" s="83">
        <f t="shared" ca="1" si="107"/>
        <v>0.12958404064096285</v>
      </c>
      <c r="AL53" s="83">
        <f t="shared" ca="1" si="108"/>
        <v>0.97947427368022333</v>
      </c>
      <c r="AM53" s="83">
        <f t="shared" ca="1" si="109"/>
        <v>3.4495071315752095</v>
      </c>
      <c r="AN53" s="83">
        <f t="shared" ca="1" si="110"/>
        <v>7.5889156894654599</v>
      </c>
      <c r="AO53" s="83">
        <f t="shared" ca="1" si="111"/>
        <v>1.7247535657876047</v>
      </c>
      <c r="AP53" s="83">
        <f t="shared" ca="1" si="112"/>
        <v>4.6658323415073983</v>
      </c>
      <c r="AQ53" s="83">
        <f t="shared" ca="1" si="113"/>
        <v>0.49087380409176751</v>
      </c>
      <c r="AR53" s="83">
        <f t="shared" ca="1" si="114"/>
        <v>1.4523540353760604</v>
      </c>
      <c r="AS53" s="83">
        <f t="shared" ca="1" si="115"/>
        <v>0.24543690204588375</v>
      </c>
      <c r="AT53" s="83">
        <f t="shared" ca="1" si="116"/>
        <v>2.4146549921026463</v>
      </c>
      <c r="AU53" s="83">
        <f t="shared" ca="1" si="117"/>
        <v>5.1103809356669769</v>
      </c>
      <c r="AV53" s="83">
        <f t="shared" ca="1" si="118"/>
        <v>1.2073274960513232</v>
      </c>
      <c r="AW53" s="83">
        <f t="shared" ca="1" si="119"/>
        <v>4.9426190058341088</v>
      </c>
      <c r="AX53" s="83">
        <f t="shared" ca="1" si="120"/>
        <v>0.95531594180936297</v>
      </c>
      <c r="AY53" s="83">
        <f t="shared" ca="1" si="121"/>
        <v>2.5005497388812605</v>
      </c>
      <c r="AZ53" s="83">
        <f t="shared" ca="1" si="122"/>
        <v>0.47765797090468148</v>
      </c>
      <c r="BA53" s="83">
        <f t="shared" ca="1" si="123"/>
        <v>3.7178021306977249</v>
      </c>
      <c r="BB53" s="83">
        <f t="shared" ca="1" si="124"/>
        <v>4.4460314140302692</v>
      </c>
      <c r="BC53" s="83">
        <f t="shared" ca="1" si="125"/>
        <v>4.3544473441398504</v>
      </c>
      <c r="BD53" s="83">
        <f t="shared" ca="1" si="126"/>
        <v>3.3568216295198559</v>
      </c>
      <c r="BE53" s="83">
        <f t="shared" ca="1" si="127"/>
        <v>0.91000451373935354</v>
      </c>
      <c r="BF53" s="83">
        <f t="shared" ca="1" si="128"/>
        <v>6.1963368844962083</v>
      </c>
      <c r="BG53" s="83">
        <f t="shared" ca="1" si="129"/>
        <v>3.3728514175402045</v>
      </c>
      <c r="BH53" s="83">
        <f t="shared" ca="1" si="130"/>
        <v>1.8831378412227955</v>
      </c>
      <c r="BI53" s="83">
        <f t="shared" ca="1" si="131"/>
        <v>3.3001823444323448</v>
      </c>
      <c r="BJ53" s="83">
        <f t="shared" ca="1" si="132"/>
        <v>0.19634952163670699</v>
      </c>
      <c r="BK53" s="83">
        <f t="shared" ca="1" si="133"/>
        <v>2.2996714210501392</v>
      </c>
      <c r="BL53" s="83">
        <f t="shared" ca="1" si="134"/>
        <v>0.86876475906338602</v>
      </c>
      <c r="BM53" s="83">
        <f t="shared" ca="1" si="135"/>
        <v>1.5074987967794031</v>
      </c>
      <c r="BN53" s="83">
        <f t="shared" ca="1" si="136"/>
        <v>4.8558747081693312</v>
      </c>
      <c r="BO53" s="83">
        <f t="shared" ca="1" si="137"/>
        <v>0.50975356578760478</v>
      </c>
      <c r="BP53" s="83">
        <f t="shared" ca="1" si="138"/>
        <v>3.6283704643235528</v>
      </c>
      <c r="BQ53" s="83">
        <f t="shared" ca="1" si="139"/>
        <v>3.1173323707568557</v>
      </c>
      <c r="BR53" s="83">
        <f t="shared" ca="1" si="140"/>
        <v>2.2488916476545198</v>
      </c>
      <c r="BS53" s="83">
        <f t="shared" ca="1" si="141"/>
        <v>4.183755191797526</v>
      </c>
      <c r="BT53" s="83">
        <f t="shared" ca="1" si="142"/>
        <v>0.45689023303926052</v>
      </c>
      <c r="BU53" s="83">
        <f t="shared" ca="1" si="143"/>
        <v>3.6283704643235528</v>
      </c>
      <c r="BV53" s="83">
        <f t="shared" ca="1" si="144"/>
        <v>3.1173323707568557</v>
      </c>
      <c r="BW53" s="83">
        <f t="shared" ca="1" si="145"/>
        <v>3.1187925926813227</v>
      </c>
      <c r="BX53" s="83">
        <f t="shared" ca="1" si="146"/>
        <v>3.3794773435548606</v>
      </c>
      <c r="BY53" s="83">
        <f t="shared" ca="1" si="147"/>
        <v>0.55884094619678149</v>
      </c>
      <c r="BZ53" s="83">
        <f t="shared" ca="1" si="148"/>
        <v>2.0067033163686485</v>
      </c>
      <c r="CA53" s="83">
        <f t="shared" ca="1" si="149"/>
        <v>2.2212711687062372</v>
      </c>
      <c r="CB53" s="83">
        <f t="shared" ca="1" si="150"/>
        <v>5.4177223339025398</v>
      </c>
      <c r="CC53" s="83">
        <f t="shared" ca="1" si="151"/>
        <v>2.2212711687062372</v>
      </c>
      <c r="CD53" s="83">
        <f t="shared" ca="1" si="152"/>
        <v>3.0856854833164173</v>
      </c>
      <c r="CE53" s="83">
        <f t="shared" ca="1" si="153"/>
        <v>7.1692787523202277</v>
      </c>
      <c r="CF53" s="83">
        <f t="shared" ca="1" si="154"/>
        <v>3.0856854833164173</v>
      </c>
      <c r="CG53" s="83">
        <f t="shared" ca="1" si="155"/>
        <v>1.2356547514585272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81</v>
      </c>
      <c r="D54" t="str">
        <f t="shared" si="186"/>
        <v>CAB</v>
      </c>
      <c r="E54" s="265">
        <f t="shared" si="186"/>
        <v>43626</v>
      </c>
      <c r="F54" s="195">
        <f t="shared" ca="1" si="77"/>
        <v>0.56054149028618405</v>
      </c>
      <c r="G54" s="196">
        <f t="shared" ref="G54:H54" si="187">J20</f>
        <v>1.5</v>
      </c>
      <c r="H54" s="49">
        <f t="shared" si="187"/>
        <v>0</v>
      </c>
      <c r="I54" s="49">
        <f t="shared" si="79"/>
        <v>6</v>
      </c>
      <c r="J54" s="49">
        <f t="shared" si="80"/>
        <v>9.5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8.5176789368832058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8.8709973556879262</v>
      </c>
      <c r="T54" s="83">
        <f t="shared" ca="1" si="90"/>
        <v>2.3503229465606514</v>
      </c>
      <c r="U54" s="83">
        <f t="shared" ca="1" si="91"/>
        <v>3.5767708178806426</v>
      </c>
      <c r="V54" s="83">
        <f t="shared" ca="1" si="92"/>
        <v>2.3503229465606514</v>
      </c>
      <c r="W54" s="83">
        <f t="shared" ca="1" si="93"/>
        <v>3.5063901952179792</v>
      </c>
      <c r="X54" s="83">
        <f t="shared" ca="1" si="94"/>
        <v>6.7953298356937584</v>
      </c>
      <c r="Y54" s="83">
        <f t="shared" ca="1" si="95"/>
        <v>1.7531950976089896</v>
      </c>
      <c r="Z54" s="83">
        <f t="shared" ca="1" si="96"/>
        <v>2.4502885008951143</v>
      </c>
      <c r="AA54" s="83">
        <f t="shared" ca="1" si="97"/>
        <v>2.5686346778922409</v>
      </c>
      <c r="AB54" s="83">
        <f t="shared" ca="1" si="98"/>
        <v>4.9130234712065874</v>
      </c>
      <c r="AC54" s="83">
        <f t="shared" ca="1" si="99"/>
        <v>1.2843173389461204</v>
      </c>
      <c r="AD54" s="83">
        <f t="shared" ca="1" si="100"/>
        <v>3.9637019867420973</v>
      </c>
      <c r="AE54" s="326">
        <f t="shared" ca="1" si="101"/>
        <v>6.2517034488382581</v>
      </c>
      <c r="AF54" s="83">
        <f t="shared" ca="1" si="102"/>
        <v>2.813266551977216</v>
      </c>
      <c r="AG54" s="83">
        <f t="shared" ca="1" si="103"/>
        <v>1.7193200825608577</v>
      </c>
      <c r="AH54" s="326">
        <f t="shared" ca="1" si="104"/>
        <v>1.64365394338793</v>
      </c>
      <c r="AI54" s="83">
        <f t="shared" ca="1" si="105"/>
        <v>5.1236786961130942</v>
      </c>
      <c r="AJ54" s="83">
        <f t="shared" ca="1" si="106"/>
        <v>4.8110935236711807</v>
      </c>
      <c r="AK54" s="83">
        <f t="shared" ca="1" si="107"/>
        <v>1.4688200825608577</v>
      </c>
      <c r="AL54" s="83">
        <f t="shared" ca="1" si="108"/>
        <v>0.76905499267980248</v>
      </c>
      <c r="AM54" s="83">
        <f t="shared" ca="1" si="109"/>
        <v>1.8347390556373149</v>
      </c>
      <c r="AN54" s="83">
        <f t="shared" ca="1" si="110"/>
        <v>4.036425922402092</v>
      </c>
      <c r="AO54" s="83">
        <f t="shared" ca="1" si="111"/>
        <v>0.91736952781865744</v>
      </c>
      <c r="AP54" s="83">
        <f t="shared" ca="1" si="112"/>
        <v>9.7187913648949067</v>
      </c>
      <c r="AQ54" s="83">
        <f t="shared" ca="1" si="113"/>
        <v>0.49339287864018866</v>
      </c>
      <c r="AR54" s="83">
        <f t="shared" ca="1" si="114"/>
        <v>1.6310316418582711</v>
      </c>
      <c r="AS54" s="83">
        <f t="shared" ca="1" si="115"/>
        <v>0.24669643932009433</v>
      </c>
      <c r="AT54" s="83">
        <f t="shared" ca="1" si="116"/>
        <v>1.2843173389461204</v>
      </c>
      <c r="AU54" s="83">
        <f t="shared" ca="1" si="117"/>
        <v>2.7181319342775034</v>
      </c>
      <c r="AV54" s="83">
        <f t="shared" ca="1" si="118"/>
        <v>0.64215866947306022</v>
      </c>
      <c r="AW54" s="83">
        <f t="shared" ca="1" si="119"/>
        <v>10.295329835693758</v>
      </c>
      <c r="AX54" s="83">
        <f t="shared" ca="1" si="120"/>
        <v>0.96021844843052095</v>
      </c>
      <c r="AY54" s="83">
        <f t="shared" ca="1" si="121"/>
        <v>2.7212267394672613</v>
      </c>
      <c r="AZ54" s="83">
        <f t="shared" ca="1" si="122"/>
        <v>0.48010922421526048</v>
      </c>
      <c r="BA54" s="83">
        <f t="shared" ca="1" si="123"/>
        <v>1.9774409821868835</v>
      </c>
      <c r="BB54" s="83">
        <f t="shared" ca="1" si="124"/>
        <v>2.3647747828214278</v>
      </c>
      <c r="BC54" s="83">
        <f t="shared" ca="1" si="125"/>
        <v>9.0701855852462003</v>
      </c>
      <c r="BD54" s="83">
        <f t="shared" ca="1" si="126"/>
        <v>2.8000482239317517</v>
      </c>
      <c r="BE54" s="83">
        <f t="shared" ca="1" si="127"/>
        <v>0.91467449040219584</v>
      </c>
      <c r="BF54" s="83">
        <f t="shared" ca="1" si="128"/>
        <v>3.2957349703114729</v>
      </c>
      <c r="BG54" s="83">
        <f t="shared" ca="1" si="129"/>
        <v>1.7939670766231524</v>
      </c>
      <c r="BH54" s="83">
        <f t="shared" ca="1" si="130"/>
        <v>3.922520667399322</v>
      </c>
      <c r="BI54" s="83">
        <f t="shared" ca="1" si="131"/>
        <v>2.6441182763963456</v>
      </c>
      <c r="BJ54" s="83">
        <f t="shared" ca="1" si="132"/>
        <v>0.19735715145607544</v>
      </c>
      <c r="BK54" s="83">
        <f t="shared" ca="1" si="133"/>
        <v>1.2231593704248764</v>
      </c>
      <c r="BL54" s="83">
        <f t="shared" ca="1" si="134"/>
        <v>0.4620824288271756</v>
      </c>
      <c r="BM54" s="83">
        <f t="shared" ca="1" si="135"/>
        <v>3.1400755998865963</v>
      </c>
      <c r="BN54" s="83">
        <f t="shared" ca="1" si="136"/>
        <v>3.8807941687021739</v>
      </c>
      <c r="BO54" s="83">
        <f t="shared" ca="1" si="137"/>
        <v>0.51236952781865752</v>
      </c>
      <c r="BP54" s="83">
        <f t="shared" ca="1" si="138"/>
        <v>1.9298736733370272</v>
      </c>
      <c r="BQ54" s="83">
        <f t="shared" ca="1" si="139"/>
        <v>1.6580604799092771</v>
      </c>
      <c r="BR54" s="83">
        <f t="shared" ca="1" si="140"/>
        <v>4.6843750752406601</v>
      </c>
      <c r="BS54" s="83">
        <f t="shared" ca="1" si="141"/>
        <v>3.3412254579486849</v>
      </c>
      <c r="BT54" s="83">
        <f t="shared" ca="1" si="142"/>
        <v>0.45923491011894479</v>
      </c>
      <c r="BU54" s="83">
        <f t="shared" ca="1" si="143"/>
        <v>1.9298736733370272</v>
      </c>
      <c r="BV54" s="83">
        <f t="shared" ca="1" si="144"/>
        <v>1.6580604799092771</v>
      </c>
      <c r="BW54" s="83">
        <f t="shared" ca="1" si="145"/>
        <v>6.4963531263227612</v>
      </c>
      <c r="BX54" s="83">
        <f t="shared" ca="1" si="146"/>
        <v>2.6948202029459143</v>
      </c>
      <c r="BY54" s="83">
        <f t="shared" ca="1" si="147"/>
        <v>0.56170881568267628</v>
      </c>
      <c r="BZ54" s="83">
        <f t="shared" ca="1" si="148"/>
        <v>4.1799039132916658</v>
      </c>
      <c r="CA54" s="83">
        <f t="shared" ca="1" si="149"/>
        <v>2.2143668443964479</v>
      </c>
      <c r="CB54" s="83">
        <f t="shared" ca="1" si="150"/>
        <v>6.0225413949911717</v>
      </c>
      <c r="CC54" s="83">
        <f t="shared" ca="1" si="151"/>
        <v>2.2143668443964479</v>
      </c>
      <c r="CD54" s="83">
        <f t="shared" ca="1" si="152"/>
        <v>3.037749700162804</v>
      </c>
      <c r="CE54" s="83">
        <f t="shared" ca="1" si="153"/>
        <v>8.1958065450647553</v>
      </c>
      <c r="CF54" s="83">
        <f t="shared" ca="1" si="154"/>
        <v>3.037749700162804</v>
      </c>
      <c r="CG54" s="83">
        <f t="shared" ca="1" si="155"/>
        <v>2.5738324589234396</v>
      </c>
    </row>
    <row r="55" spans="1:85" x14ac:dyDescent="0.25">
      <c r="A55" t="str">
        <f t="shared" ref="A55:E55" si="188">A21</f>
        <v>B. Bruton</v>
      </c>
      <c r="B55">
        <f t="shared" si="188"/>
        <v>19</v>
      </c>
      <c r="C55">
        <f t="shared" ca="1" si="188"/>
        <v>86</v>
      </c>
      <c r="D55">
        <f t="shared" si="188"/>
        <v>0</v>
      </c>
      <c r="E55" s="265">
        <f t="shared" si="188"/>
        <v>43650</v>
      </c>
      <c r="F55" s="195">
        <f t="shared" ca="1" si="77"/>
        <v>0.49504239939036226</v>
      </c>
      <c r="G55" s="196">
        <f t="shared" ref="G55:H55" si="189">J21</f>
        <v>2</v>
      </c>
      <c r="H55" s="49">
        <f t="shared" si="189"/>
        <v>0</v>
      </c>
      <c r="I55" s="49">
        <f t="shared" si="79"/>
        <v>10</v>
      </c>
      <c r="J55" s="49">
        <f t="shared" si="80"/>
        <v>8.125</v>
      </c>
      <c r="K55" s="49">
        <f t="shared" si="81"/>
        <v>2</v>
      </c>
      <c r="L55" s="49">
        <f t="shared" si="82"/>
        <v>4</v>
      </c>
      <c r="M55" s="49">
        <f t="shared" si="83"/>
        <v>3</v>
      </c>
      <c r="N55" s="49">
        <f t="shared" si="84"/>
        <v>3</v>
      </c>
      <c r="O55" s="196">
        <f t="shared" si="85"/>
        <v>2.625</v>
      </c>
      <c r="P55" s="196">
        <f t="shared" ca="1" si="86"/>
        <v>1.011078756542565</v>
      </c>
      <c r="Q55" s="196">
        <f t="shared" si="87"/>
        <v>0.24</v>
      </c>
      <c r="R55" s="196">
        <f t="shared" si="88"/>
        <v>0.49000000000000005</v>
      </c>
      <c r="S55" s="196">
        <f t="shared" ca="1" si="89"/>
        <v>3.9787235967416006</v>
      </c>
      <c r="T55" s="83">
        <f t="shared" ca="1" si="90"/>
        <v>3.5425709296206604</v>
      </c>
      <c r="U55" s="83">
        <f t="shared" ca="1" si="91"/>
        <v>5.4072727034825574</v>
      </c>
      <c r="V55" s="83">
        <f t="shared" ca="1" si="92"/>
        <v>3.5425709296206604</v>
      </c>
      <c r="W55" s="83">
        <f t="shared" ca="1" si="93"/>
        <v>5.6225505151022457</v>
      </c>
      <c r="X55" s="83">
        <f t="shared" ca="1" si="94"/>
        <v>10.896415726942337</v>
      </c>
      <c r="Y55" s="83">
        <f t="shared" ca="1" si="95"/>
        <v>2.8112752575511228</v>
      </c>
      <c r="Z55" s="83">
        <f t="shared" ca="1" si="96"/>
        <v>2.1470969430122762</v>
      </c>
      <c r="AA55" s="83">
        <f t="shared" ca="1" si="97"/>
        <v>4.1188451447842036</v>
      </c>
      <c r="AB55" s="83">
        <f t="shared" ca="1" si="98"/>
        <v>7.8781085705793092</v>
      </c>
      <c r="AC55" s="83">
        <f t="shared" ca="1" si="99"/>
        <v>2.0594225723921018</v>
      </c>
      <c r="AD55" s="83">
        <f t="shared" ca="1" si="100"/>
        <v>3.4732450548727996</v>
      </c>
      <c r="AE55" s="326">
        <f t="shared" ca="1" si="101"/>
        <v>10.02470246878695</v>
      </c>
      <c r="AF55" s="83">
        <f t="shared" ca="1" si="102"/>
        <v>4.5111161109541271</v>
      </c>
      <c r="AG55" s="83">
        <f t="shared" ca="1" si="103"/>
        <v>1.5065764263993704</v>
      </c>
      <c r="AH55" s="326">
        <f t="shared" ca="1" si="104"/>
        <v>1.7030924474420941</v>
      </c>
      <c r="AI55" s="83">
        <f t="shared" ca="1" si="105"/>
        <v>8.2158974581145223</v>
      </c>
      <c r="AJ55" s="83">
        <f t="shared" ca="1" si="106"/>
        <v>7.7146623346751744</v>
      </c>
      <c r="AK55" s="83">
        <f t="shared" ca="1" si="107"/>
        <v>0.65070142639937034</v>
      </c>
      <c r="AL55" s="83">
        <f t="shared" ca="1" si="108"/>
        <v>1.0141677293593929</v>
      </c>
      <c r="AM55" s="83">
        <f t="shared" ca="1" si="109"/>
        <v>2.9420322462744313</v>
      </c>
      <c r="AN55" s="83">
        <f t="shared" ca="1" si="110"/>
        <v>6.4724709418037474</v>
      </c>
      <c r="AO55" s="83">
        <f t="shared" ca="1" si="111"/>
        <v>1.4710161231372156</v>
      </c>
      <c r="AP55" s="83">
        <f t="shared" ca="1" si="112"/>
        <v>8.5162164462335657</v>
      </c>
      <c r="AQ55" s="83">
        <f t="shared" ca="1" si="113"/>
        <v>0.63653404450250395</v>
      </c>
      <c r="AR55" s="83">
        <f t="shared" ca="1" si="114"/>
        <v>1.2616498079941048</v>
      </c>
      <c r="AS55" s="83">
        <f t="shared" ca="1" si="115"/>
        <v>0.31826702225125197</v>
      </c>
      <c r="AT55" s="83">
        <f t="shared" ca="1" si="116"/>
        <v>2.0594225723921018</v>
      </c>
      <c r="AU55" s="83">
        <f t="shared" ca="1" si="117"/>
        <v>4.3585662907769347</v>
      </c>
      <c r="AV55" s="83">
        <f t="shared" ca="1" si="118"/>
        <v>1.0297112861960509</v>
      </c>
      <c r="AW55" s="83">
        <f t="shared" ca="1" si="119"/>
        <v>9.0214157269423367</v>
      </c>
      <c r="AX55" s="83">
        <f t="shared" ca="1" si="120"/>
        <v>1.2387931789164115</v>
      </c>
      <c r="AY55" s="83">
        <f t="shared" ca="1" si="121"/>
        <v>2.4879250655452281</v>
      </c>
      <c r="AZ55" s="83">
        <f t="shared" ca="1" si="122"/>
        <v>0.61939658945820575</v>
      </c>
      <c r="BA55" s="83">
        <f t="shared" ca="1" si="123"/>
        <v>3.1708569765402199</v>
      </c>
      <c r="BB55" s="83">
        <f t="shared" ca="1" si="124"/>
        <v>3.791952672975933</v>
      </c>
      <c r="BC55" s="83">
        <f t="shared" ca="1" si="125"/>
        <v>7.9478672554361989</v>
      </c>
      <c r="BD55" s="83">
        <f t="shared" ca="1" si="126"/>
        <v>3.2049135812517378</v>
      </c>
      <c r="BE55" s="83">
        <f t="shared" ca="1" si="127"/>
        <v>1.1800361901931034</v>
      </c>
      <c r="BF55" s="83">
        <f t="shared" ca="1" si="128"/>
        <v>5.2847616275670335</v>
      </c>
      <c r="BG55" s="83">
        <f t="shared" ca="1" si="129"/>
        <v>2.8766537519127771</v>
      </c>
      <c r="BH55" s="83">
        <f t="shared" ca="1" si="130"/>
        <v>3.4371593919650305</v>
      </c>
      <c r="BI55" s="83">
        <f t="shared" ca="1" si="131"/>
        <v>2.9334673453476028</v>
      </c>
      <c r="BJ55" s="83">
        <f t="shared" ca="1" si="132"/>
        <v>0.25461361780100156</v>
      </c>
      <c r="BK55" s="83">
        <f t="shared" ca="1" si="133"/>
        <v>1.9613548308496205</v>
      </c>
      <c r="BL55" s="83">
        <f t="shared" ca="1" si="134"/>
        <v>0.74095626943207893</v>
      </c>
      <c r="BM55" s="83">
        <f t="shared" ca="1" si="135"/>
        <v>2.7515317967174124</v>
      </c>
      <c r="BN55" s="83">
        <f t="shared" ca="1" si="136"/>
        <v>4.296790624847846</v>
      </c>
      <c r="BO55" s="83">
        <f t="shared" ca="1" si="137"/>
        <v>0.66101612313721558</v>
      </c>
      <c r="BP55" s="83">
        <f t="shared" ca="1" si="138"/>
        <v>3.0945820664516233</v>
      </c>
      <c r="BQ55" s="83">
        <f t="shared" ca="1" si="139"/>
        <v>2.65872543737393</v>
      </c>
      <c r="BR55" s="83">
        <f t="shared" ca="1" si="140"/>
        <v>4.1047441557587634</v>
      </c>
      <c r="BS55" s="83">
        <f t="shared" ca="1" si="141"/>
        <v>3.6972286254521096</v>
      </c>
      <c r="BT55" s="83">
        <f t="shared" ca="1" si="142"/>
        <v>0.59246630296002278</v>
      </c>
      <c r="BU55" s="83">
        <f t="shared" ca="1" si="143"/>
        <v>3.0945820664516233</v>
      </c>
      <c r="BV55" s="83">
        <f t="shared" ca="1" si="144"/>
        <v>2.65872543737393</v>
      </c>
      <c r="BW55" s="83">
        <f t="shared" ca="1" si="145"/>
        <v>5.6925133237006147</v>
      </c>
      <c r="BX55" s="83">
        <f t="shared" ca="1" si="146"/>
        <v>2.9782920756133917</v>
      </c>
      <c r="BY55" s="83">
        <f t="shared" ca="1" si="147"/>
        <v>0.72466952758746594</v>
      </c>
      <c r="BZ55" s="83">
        <f t="shared" ca="1" si="148"/>
        <v>3.6626947851385889</v>
      </c>
      <c r="CA55" s="83">
        <f t="shared" ca="1" si="149"/>
        <v>2.136032593736958</v>
      </c>
      <c r="CB55" s="83">
        <f t="shared" ca="1" si="150"/>
        <v>4.9303641085370717</v>
      </c>
      <c r="CC55" s="83">
        <f t="shared" ca="1" si="151"/>
        <v>2.136032593736958</v>
      </c>
      <c r="CD55" s="83">
        <f t="shared" ca="1" si="152"/>
        <v>2.4797559740435822</v>
      </c>
      <c r="CE55" s="83">
        <f t="shared" ca="1" si="153"/>
        <v>5.7031931301840597</v>
      </c>
      <c r="CF55" s="83">
        <f t="shared" ca="1" si="154"/>
        <v>2.4797559740435822</v>
      </c>
      <c r="CG55" s="83">
        <f t="shared" ca="1" si="155"/>
        <v>2.2553539317355842</v>
      </c>
    </row>
    <row r="56" spans="1:85" x14ac:dyDescent="0.25">
      <c r="A56" t="str">
        <f t="shared" ref="A56:E56" si="190">A22</f>
        <v>K. Helms</v>
      </c>
      <c r="B56">
        <f t="shared" si="190"/>
        <v>36</v>
      </c>
      <c r="C56">
        <f t="shared" ca="1" si="190"/>
        <v>44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13.8</v>
      </c>
      <c r="H56" s="49">
        <f t="shared" si="191"/>
        <v>0</v>
      </c>
      <c r="I56" s="49">
        <f t="shared" si="79"/>
        <v>6.95</v>
      </c>
      <c r="J56" s="49">
        <f t="shared" si="80"/>
        <v>9.9499999999999993</v>
      </c>
      <c r="K56" s="49">
        <f t="shared" si="81"/>
        <v>12.95</v>
      </c>
      <c r="L56" s="49">
        <f t="shared" si="82"/>
        <v>9.9499999999999993</v>
      </c>
      <c r="M56" s="49">
        <f t="shared" si="83"/>
        <v>2.95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13.843343707928975</v>
      </c>
      <c r="Q56" s="196">
        <f t="shared" si="87"/>
        <v>0.68599999999999994</v>
      </c>
      <c r="R56" s="196">
        <f t="shared" si="88"/>
        <v>0.81649999999999989</v>
      </c>
      <c r="S56" s="196">
        <f t="shared" ca="1" si="89"/>
        <v>20.469838781868315</v>
      </c>
      <c r="T56" s="83">
        <f t="shared" si="90"/>
        <v>4.5545192565710391</v>
      </c>
      <c r="U56" s="83">
        <f t="shared" si="91"/>
        <v>6.8523618673919948</v>
      </c>
      <c r="V56" s="83">
        <f t="shared" si="92"/>
        <v>4.5545192565710391</v>
      </c>
      <c r="W56" s="83">
        <f t="shared" si="93"/>
        <v>5.1444368114440504</v>
      </c>
      <c r="X56" s="83">
        <f t="shared" si="94"/>
        <v>9.9698387818683152</v>
      </c>
      <c r="Y56" s="83">
        <f t="shared" si="95"/>
        <v>2.5722184057220252</v>
      </c>
      <c r="Z56" s="83">
        <f t="shared" si="96"/>
        <v>3.0868216300846587</v>
      </c>
      <c r="AA56" s="83">
        <f t="shared" si="97"/>
        <v>3.7685990595462231</v>
      </c>
      <c r="AB56" s="83">
        <f t="shared" si="98"/>
        <v>7.2081934392907918</v>
      </c>
      <c r="AC56" s="83">
        <f t="shared" si="99"/>
        <v>1.8842995297731115</v>
      </c>
      <c r="AD56" s="83">
        <f t="shared" si="100"/>
        <v>4.9933879310193019</v>
      </c>
      <c r="AE56" s="326">
        <f t="shared" si="101"/>
        <v>9.1722516793188511</v>
      </c>
      <c r="AF56" s="83">
        <f t="shared" si="102"/>
        <v>4.1275132556934819</v>
      </c>
      <c r="AG56" s="83">
        <f t="shared" si="103"/>
        <v>2.1659630765720088</v>
      </c>
      <c r="AH56" s="326">
        <f t="shared" si="104"/>
        <v>9.3902652037385685</v>
      </c>
      <c r="AI56" s="83">
        <f t="shared" si="105"/>
        <v>7.5172584415287096</v>
      </c>
      <c r="AJ56" s="83">
        <f t="shared" si="106"/>
        <v>7.0586458575627669</v>
      </c>
      <c r="AK56" s="83">
        <f t="shared" si="107"/>
        <v>3.5019630765720087</v>
      </c>
      <c r="AL56" s="83">
        <f t="shared" si="108"/>
        <v>1.9443135691780744</v>
      </c>
      <c r="AM56" s="83">
        <f t="shared" si="109"/>
        <v>2.6918564711044453</v>
      </c>
      <c r="AN56" s="83">
        <f t="shared" si="110"/>
        <v>5.9220842364297788</v>
      </c>
      <c r="AO56" s="83">
        <f t="shared" si="111"/>
        <v>1.3459282355522226</v>
      </c>
      <c r="AP56" s="83">
        <f t="shared" si="112"/>
        <v>12.243527810083689</v>
      </c>
      <c r="AQ56" s="83">
        <f t="shared" si="113"/>
        <v>1.686079041642881</v>
      </c>
      <c r="AR56" s="83">
        <f t="shared" si="114"/>
        <v>2.5891627630874163</v>
      </c>
      <c r="AS56" s="83">
        <f t="shared" si="115"/>
        <v>0.84303952082144051</v>
      </c>
      <c r="AT56" s="83">
        <f t="shared" si="116"/>
        <v>1.8842995297731115</v>
      </c>
      <c r="AU56" s="83">
        <f t="shared" si="117"/>
        <v>3.9879355127473262</v>
      </c>
      <c r="AV56" s="83">
        <f t="shared" si="118"/>
        <v>0.94214976488655577</v>
      </c>
      <c r="AW56" s="83">
        <f t="shared" si="119"/>
        <v>12.969838781868315</v>
      </c>
      <c r="AX56" s="83">
        <f t="shared" si="120"/>
        <v>3.2813692118126836</v>
      </c>
      <c r="AY56" s="83">
        <f t="shared" si="121"/>
        <v>5.6763811688094421</v>
      </c>
      <c r="AZ56" s="83">
        <f t="shared" si="122"/>
        <v>1.6406846059063418</v>
      </c>
      <c r="BA56" s="83">
        <f t="shared" si="123"/>
        <v>2.9012230855236796</v>
      </c>
      <c r="BB56" s="83">
        <f t="shared" si="124"/>
        <v>3.4695038960901736</v>
      </c>
      <c r="BC56" s="83">
        <f t="shared" si="125"/>
        <v>11.426427966825985</v>
      </c>
      <c r="BD56" s="83">
        <f t="shared" si="126"/>
        <v>13.252186677080932</v>
      </c>
      <c r="BE56" s="83">
        <f t="shared" si="127"/>
        <v>3.125731146430264</v>
      </c>
      <c r="BF56" s="83">
        <f t="shared" si="128"/>
        <v>4.8353718092061326</v>
      </c>
      <c r="BG56" s="83">
        <f t="shared" si="129"/>
        <v>2.6320374384132355</v>
      </c>
      <c r="BH56" s="83">
        <f t="shared" si="130"/>
        <v>4.9415085758918282</v>
      </c>
      <c r="BI56" s="83">
        <f t="shared" si="131"/>
        <v>13.354639095352908</v>
      </c>
      <c r="BJ56" s="83">
        <f t="shared" si="132"/>
        <v>0.67443161665715234</v>
      </c>
      <c r="BK56" s="83">
        <f t="shared" si="133"/>
        <v>1.7945709807362966</v>
      </c>
      <c r="BL56" s="83">
        <f t="shared" si="134"/>
        <v>0.67794903716704547</v>
      </c>
      <c r="BM56" s="83">
        <f t="shared" si="135"/>
        <v>3.9558008284698358</v>
      </c>
      <c r="BN56" s="83">
        <f t="shared" si="136"/>
        <v>19.679212673482652</v>
      </c>
      <c r="BO56" s="83">
        <f t="shared" si="137"/>
        <v>1.7509282355522227</v>
      </c>
      <c r="BP56" s="83">
        <f t="shared" si="138"/>
        <v>2.8314342140506015</v>
      </c>
      <c r="BQ56" s="83">
        <f t="shared" si="139"/>
        <v>2.432640662775869</v>
      </c>
      <c r="BR56" s="83">
        <f t="shared" si="140"/>
        <v>5.9012766457500838</v>
      </c>
      <c r="BS56" s="83">
        <f t="shared" si="141"/>
        <v>16.962581370310094</v>
      </c>
      <c r="BT56" s="83">
        <f t="shared" si="142"/>
        <v>1.5693504926060662</v>
      </c>
      <c r="BU56" s="83">
        <f t="shared" si="143"/>
        <v>2.8314342140506015</v>
      </c>
      <c r="BV56" s="83">
        <f t="shared" si="144"/>
        <v>2.432640662775869</v>
      </c>
      <c r="BW56" s="83">
        <f t="shared" si="145"/>
        <v>8.183968271358907</v>
      </c>
      <c r="BX56" s="83">
        <f t="shared" si="146"/>
        <v>13.714005709772142</v>
      </c>
      <c r="BY56" s="83">
        <f t="shared" si="147"/>
        <v>1.9195361397165105</v>
      </c>
      <c r="BZ56" s="83">
        <f t="shared" si="148"/>
        <v>5.2657545454385364</v>
      </c>
      <c r="CA56" s="83">
        <f t="shared" si="149"/>
        <v>7.3558731079028572</v>
      </c>
      <c r="CB56" s="83">
        <f t="shared" si="150"/>
        <v>10.523038468383723</v>
      </c>
      <c r="CC56" s="83">
        <f t="shared" si="151"/>
        <v>7.3558731079028572</v>
      </c>
      <c r="CD56" s="83">
        <f t="shared" si="152"/>
        <v>6.7932095611039607</v>
      </c>
      <c r="CE56" s="83">
        <f t="shared" si="153"/>
        <v>10.755709292377723</v>
      </c>
      <c r="CF56" s="83">
        <f t="shared" si="154"/>
        <v>6.7932095611039607</v>
      </c>
      <c r="CG56" s="83">
        <f t="shared" si="155"/>
        <v>3.2424596954670788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59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13.7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19.401536604554209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18.515627422875209</v>
      </c>
      <c r="T57" s="83">
        <f t="shared" si="90"/>
        <v>4.9400027401700566</v>
      </c>
      <c r="U57" s="83">
        <f t="shared" si="91"/>
        <v>7.4461750029318932</v>
      </c>
      <c r="V57" s="83">
        <f t="shared" si="92"/>
        <v>4.9400027401700566</v>
      </c>
      <c r="W57" s="83">
        <f t="shared" si="93"/>
        <v>5.869823750203607</v>
      </c>
      <c r="X57" s="83">
        <f t="shared" si="94"/>
        <v>11.375627422875207</v>
      </c>
      <c r="Y57" s="83">
        <f t="shared" si="95"/>
        <v>2.9349118751018035</v>
      </c>
      <c r="Z57" s="83">
        <f t="shared" si="96"/>
        <v>3.6340315488665218</v>
      </c>
      <c r="AA57" s="83">
        <f t="shared" si="97"/>
        <v>4.2999871658468285</v>
      </c>
      <c r="AB57" s="83">
        <f t="shared" si="98"/>
        <v>8.2245786267387739</v>
      </c>
      <c r="AC57" s="83">
        <f t="shared" si="99"/>
        <v>2.1499935829234142</v>
      </c>
      <c r="AD57" s="83">
        <f t="shared" si="100"/>
        <v>5.8785804466958451</v>
      </c>
      <c r="AE57" s="326">
        <f t="shared" si="101"/>
        <v>10.46557722904519</v>
      </c>
      <c r="AF57" s="83">
        <f t="shared" si="102"/>
        <v>4.7095097530703356</v>
      </c>
      <c r="AG57" s="83">
        <f t="shared" si="103"/>
        <v>2.5499297002550807</v>
      </c>
      <c r="AH57" s="326">
        <f t="shared" si="104"/>
        <v>9.3877889246506214</v>
      </c>
      <c r="AI57" s="83">
        <f t="shared" si="105"/>
        <v>8.5772230768479059</v>
      </c>
      <c r="AJ57" s="83">
        <f t="shared" si="106"/>
        <v>8.0539442153956458</v>
      </c>
      <c r="AK57" s="83">
        <f t="shared" si="107"/>
        <v>3.1756097796201601</v>
      </c>
      <c r="AL57" s="83">
        <f t="shared" si="108"/>
        <v>2.01474069778806</v>
      </c>
      <c r="AM57" s="83">
        <f t="shared" si="109"/>
        <v>3.0714194041763059</v>
      </c>
      <c r="AN57" s="83">
        <f t="shared" si="110"/>
        <v>6.757122689187872</v>
      </c>
      <c r="AO57" s="83">
        <f t="shared" si="111"/>
        <v>1.5357097020881529</v>
      </c>
      <c r="AP57" s="83">
        <f t="shared" si="112"/>
        <v>14.413973874495785</v>
      </c>
      <c r="AQ57" s="83">
        <f t="shared" si="113"/>
        <v>1.7232315649737773</v>
      </c>
      <c r="AR57" s="83">
        <f t="shared" si="114"/>
        <v>3.3147288349024358</v>
      </c>
      <c r="AS57" s="83">
        <f t="shared" si="115"/>
        <v>0.86161578248688864</v>
      </c>
      <c r="AT57" s="83">
        <f t="shared" si="116"/>
        <v>2.1499935829234142</v>
      </c>
      <c r="AU57" s="83">
        <f t="shared" si="117"/>
        <v>4.550250969150083</v>
      </c>
      <c r="AV57" s="83">
        <f t="shared" si="118"/>
        <v>1.0749967914617071</v>
      </c>
      <c r="AW57" s="83">
        <f t="shared" si="119"/>
        <v>15.269040121287908</v>
      </c>
      <c r="AX57" s="83">
        <f t="shared" si="120"/>
        <v>3.3536737379874277</v>
      </c>
      <c r="AY57" s="83">
        <f t="shared" si="121"/>
        <v>6.61295071000424</v>
      </c>
      <c r="AZ57" s="83">
        <f t="shared" si="122"/>
        <v>1.6768368689937139</v>
      </c>
      <c r="BA57" s="83">
        <f t="shared" si="123"/>
        <v>3.3103075800566848</v>
      </c>
      <c r="BB57" s="83">
        <f t="shared" si="124"/>
        <v>3.9587183431605717</v>
      </c>
      <c r="BC57" s="83">
        <f t="shared" si="125"/>
        <v>13.452024346854648</v>
      </c>
      <c r="BD57" s="83">
        <f t="shared" si="126"/>
        <v>13.339792778936058</v>
      </c>
      <c r="BE57" s="83">
        <f t="shared" si="127"/>
        <v>3.1946062089129255</v>
      </c>
      <c r="BF57" s="83">
        <f t="shared" si="128"/>
        <v>5.5171793000944751</v>
      </c>
      <c r="BG57" s="83">
        <f t="shared" si="129"/>
        <v>3.0031656396390547</v>
      </c>
      <c r="BH57" s="83">
        <f t="shared" si="130"/>
        <v>5.8175042862106929</v>
      </c>
      <c r="BI57" s="83">
        <f t="shared" si="131"/>
        <v>13.409248367592934</v>
      </c>
      <c r="BJ57" s="83">
        <f t="shared" si="132"/>
        <v>0.6892926259895108</v>
      </c>
      <c r="BK57" s="83">
        <f t="shared" si="133"/>
        <v>2.0476129361175373</v>
      </c>
      <c r="BL57" s="83">
        <f t="shared" si="134"/>
        <v>0.77354266475551414</v>
      </c>
      <c r="BM57" s="83">
        <f t="shared" si="135"/>
        <v>4.657057236992812</v>
      </c>
      <c r="BN57" s="83">
        <f t="shared" si="136"/>
        <v>19.756736865817519</v>
      </c>
      <c r="BO57" s="83">
        <f t="shared" si="137"/>
        <v>1.7895097020881534</v>
      </c>
      <c r="BP57" s="83">
        <f t="shared" si="138"/>
        <v>3.2306781880965585</v>
      </c>
      <c r="BQ57" s="83">
        <f t="shared" si="139"/>
        <v>2.7756530911815505</v>
      </c>
      <c r="BR57" s="83">
        <f t="shared" si="140"/>
        <v>6.9474132551859986</v>
      </c>
      <c r="BS57" s="83">
        <f t="shared" si="141"/>
        <v>17.028675184545733</v>
      </c>
      <c r="BT57" s="83">
        <f t="shared" si="142"/>
        <v>1.6039309181679002</v>
      </c>
      <c r="BU57" s="83">
        <f t="shared" si="143"/>
        <v>3.2306781880965585</v>
      </c>
      <c r="BV57" s="83">
        <f t="shared" si="144"/>
        <v>2.7756530911815505</v>
      </c>
      <c r="BW57" s="83">
        <f t="shared" si="145"/>
        <v>9.6347643165326708</v>
      </c>
      <c r="BX57" s="83">
        <f t="shared" si="146"/>
        <v>13.766206543473311</v>
      </c>
      <c r="BY57" s="83">
        <f t="shared" si="147"/>
        <v>1.9618328585855309</v>
      </c>
      <c r="BZ57" s="83">
        <f t="shared" si="148"/>
        <v>6.199230289242891</v>
      </c>
      <c r="CA57" s="83">
        <f t="shared" si="149"/>
        <v>6.8785918873179837</v>
      </c>
      <c r="CB57" s="83">
        <f t="shared" si="150"/>
        <v>13.007766478157485</v>
      </c>
      <c r="CC57" s="83">
        <f t="shared" si="151"/>
        <v>6.8785918873179837</v>
      </c>
      <c r="CD57" s="83">
        <f t="shared" si="152"/>
        <v>7.8717658844512552</v>
      </c>
      <c r="CE57" s="83">
        <f t="shared" si="153"/>
        <v>14.85695394191616</v>
      </c>
      <c r="CF57" s="83">
        <f t="shared" si="154"/>
        <v>7.8717658844512552</v>
      </c>
      <c r="CG57" s="83">
        <f t="shared" si="155"/>
        <v>3.817260030321977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59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12.3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1.95</v>
      </c>
      <c r="L58" s="49">
        <f t="shared" si="82"/>
        <v>7.95</v>
      </c>
      <c r="M58" s="49">
        <f t="shared" si="83"/>
        <v>4.95</v>
      </c>
      <c r="N58" s="49">
        <f t="shared" si="84"/>
        <v>16.95</v>
      </c>
      <c r="O58" s="196">
        <f t="shared" si="85"/>
        <v>3.1062499999999997</v>
      </c>
      <c r="P58" s="196">
        <f t="shared" si="86"/>
        <v>16.466087061708095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19.403206815252531</v>
      </c>
      <c r="T58" s="83">
        <f t="shared" si="90"/>
        <v>4.2203495497154595</v>
      </c>
      <c r="U58" s="83">
        <f t="shared" si="91"/>
        <v>6.3413399984910175</v>
      </c>
      <c r="V58" s="83">
        <f t="shared" si="92"/>
        <v>4.2203495497154595</v>
      </c>
      <c r="W58" s="83">
        <f t="shared" si="93"/>
        <v>4.5940547166703061</v>
      </c>
      <c r="X58" s="83">
        <f t="shared" si="94"/>
        <v>8.9032068152525312</v>
      </c>
      <c r="Y58" s="83">
        <f t="shared" si="95"/>
        <v>2.297027358335153</v>
      </c>
      <c r="Z58" s="83">
        <f t="shared" si="96"/>
        <v>4.0229632220301026</v>
      </c>
      <c r="AA58" s="83">
        <f t="shared" si="97"/>
        <v>3.365412176165457</v>
      </c>
      <c r="AB58" s="83">
        <f t="shared" si="98"/>
        <v>6.43701852742758</v>
      </c>
      <c r="AC58" s="83">
        <f t="shared" si="99"/>
        <v>1.6827060880827285</v>
      </c>
      <c r="AD58" s="83">
        <f t="shared" si="100"/>
        <v>6.5077346238722242</v>
      </c>
      <c r="AE58" s="326">
        <f t="shared" si="101"/>
        <v>8.1909502700323298</v>
      </c>
      <c r="AF58" s="83">
        <f t="shared" si="102"/>
        <v>3.6859276215145478</v>
      </c>
      <c r="AG58" s="83">
        <f t="shared" si="103"/>
        <v>2.822835538147173</v>
      </c>
      <c r="AH58" s="326">
        <f t="shared" si="104"/>
        <v>2.8830856073684883</v>
      </c>
      <c r="AI58" s="83">
        <f t="shared" si="105"/>
        <v>6.7130179387004087</v>
      </c>
      <c r="AJ58" s="83">
        <f t="shared" si="106"/>
        <v>6.3034704251987916</v>
      </c>
      <c r="AK58" s="83">
        <f t="shared" si="107"/>
        <v>3.3238355381471729</v>
      </c>
      <c r="AL58" s="83">
        <f t="shared" si="108"/>
        <v>1.7451235627927286</v>
      </c>
      <c r="AM58" s="83">
        <f t="shared" si="109"/>
        <v>2.4038658401181836</v>
      </c>
      <c r="AN58" s="83">
        <f t="shared" si="110"/>
        <v>5.2885048482600032</v>
      </c>
      <c r="AO58" s="83">
        <f t="shared" si="111"/>
        <v>1.2019329200590918</v>
      </c>
      <c r="AP58" s="83">
        <f t="shared" si="112"/>
        <v>15.956627233598388</v>
      </c>
      <c r="AQ58" s="83">
        <f t="shared" si="113"/>
        <v>1.4174168859828289</v>
      </c>
      <c r="AR58" s="83">
        <f t="shared" si="114"/>
        <v>2.675639596868991</v>
      </c>
      <c r="AS58" s="83">
        <f t="shared" si="115"/>
        <v>0.70870844299141444</v>
      </c>
      <c r="AT58" s="83">
        <f t="shared" si="116"/>
        <v>1.6827060880827285</v>
      </c>
      <c r="AU58" s="83">
        <f t="shared" si="117"/>
        <v>3.5612827261010125</v>
      </c>
      <c r="AV58" s="83">
        <f t="shared" si="118"/>
        <v>0.84135304404136424</v>
      </c>
      <c r="AW58" s="83">
        <f t="shared" si="119"/>
        <v>16.903206815252531</v>
      </c>
      <c r="AX58" s="83">
        <f t="shared" si="120"/>
        <v>2.7585113242588899</v>
      </c>
      <c r="AY58" s="83">
        <f t="shared" si="121"/>
        <v>5.3776669552041438</v>
      </c>
      <c r="AZ58" s="83">
        <f t="shared" si="122"/>
        <v>1.3792556621294449</v>
      </c>
      <c r="BA58" s="83">
        <f t="shared" si="123"/>
        <v>2.5908331832384865</v>
      </c>
      <c r="BB58" s="83">
        <f t="shared" si="124"/>
        <v>3.0983159717078808</v>
      </c>
      <c r="BC58" s="83">
        <f t="shared" si="125"/>
        <v>14.891725204237479</v>
      </c>
      <c r="BD58" s="83">
        <f t="shared" si="126"/>
        <v>6.2489508587594997</v>
      </c>
      <c r="BE58" s="83">
        <f t="shared" si="127"/>
        <v>2.6276728424758593</v>
      </c>
      <c r="BF58" s="83">
        <f t="shared" si="128"/>
        <v>4.3180553053974773</v>
      </c>
      <c r="BG58" s="83">
        <f t="shared" si="129"/>
        <v>2.3504465992266685</v>
      </c>
      <c r="BH58" s="83">
        <f t="shared" si="130"/>
        <v>6.4401217966112148</v>
      </c>
      <c r="BI58" s="83">
        <f t="shared" si="131"/>
        <v>5.4914027565307126</v>
      </c>
      <c r="BJ58" s="83">
        <f t="shared" si="132"/>
        <v>0.56696675439313149</v>
      </c>
      <c r="BK58" s="83">
        <f t="shared" si="133"/>
        <v>1.6025772267454557</v>
      </c>
      <c r="BL58" s="83">
        <f t="shared" si="134"/>
        <v>0.60541806343717219</v>
      </c>
      <c r="BM58" s="83">
        <f t="shared" si="135"/>
        <v>5.1554780786520222</v>
      </c>
      <c r="BN58" s="83">
        <f t="shared" si="136"/>
        <v>8.0215239644147545</v>
      </c>
      <c r="BO58" s="83">
        <f t="shared" si="137"/>
        <v>1.4719329200590916</v>
      </c>
      <c r="BP58" s="83">
        <f t="shared" si="138"/>
        <v>2.5285107355317185</v>
      </c>
      <c r="BQ58" s="83">
        <f t="shared" si="139"/>
        <v>2.1723824629216177</v>
      </c>
      <c r="BR58" s="83">
        <f t="shared" si="140"/>
        <v>7.6909591009399021</v>
      </c>
      <c r="BS58" s="83">
        <f t="shared" si="141"/>
        <v>6.896753151299805</v>
      </c>
      <c r="BT58" s="83">
        <f t="shared" si="142"/>
        <v>1.3192880246455561</v>
      </c>
      <c r="BU58" s="83">
        <f t="shared" si="143"/>
        <v>2.5285107355317185</v>
      </c>
      <c r="BV58" s="83">
        <f t="shared" si="144"/>
        <v>2.1723824629216177</v>
      </c>
      <c r="BW58" s="83">
        <f t="shared" si="145"/>
        <v>10.665923500424347</v>
      </c>
      <c r="BX58" s="83">
        <f t="shared" si="146"/>
        <v>5.546370099651015</v>
      </c>
      <c r="BY58" s="83">
        <f t="shared" si="147"/>
        <v>1.6136746086573743</v>
      </c>
      <c r="BZ58" s="83">
        <f t="shared" si="148"/>
        <v>6.8627019669925282</v>
      </c>
      <c r="CA58" s="83">
        <f t="shared" si="149"/>
        <v>4.4355707507465683</v>
      </c>
      <c r="CB58" s="83">
        <f t="shared" si="150"/>
        <v>10.528010873974349</v>
      </c>
      <c r="CC58" s="83">
        <f t="shared" si="151"/>
        <v>4.4355707507465683</v>
      </c>
      <c r="CD58" s="83">
        <f t="shared" si="152"/>
        <v>4.5566978459023266</v>
      </c>
      <c r="CE58" s="83">
        <f t="shared" si="153"/>
        <v>11.926490130080715</v>
      </c>
      <c r="CF58" s="83">
        <f t="shared" si="154"/>
        <v>4.5566978459023266</v>
      </c>
      <c r="CG58" s="83">
        <f t="shared" si="155"/>
        <v>4.2258017038131328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96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14.7</v>
      </c>
      <c r="H59" s="49">
        <f t="shared" si="197"/>
        <v>0</v>
      </c>
      <c r="I59" s="49">
        <f t="shared" si="79"/>
        <v>5.95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3.3562499999999997</v>
      </c>
      <c r="P59" s="196">
        <f t="shared" si="86"/>
        <v>21.14169507972462</v>
      </c>
      <c r="Q59" s="196">
        <f t="shared" si="87"/>
        <v>0.91749999999999976</v>
      </c>
      <c r="R59" s="196">
        <f t="shared" si="88"/>
        <v>0.80799999999999983</v>
      </c>
      <c r="S59" s="196">
        <f t="shared" ca="1" si="89"/>
        <v>21.55642311299756</v>
      </c>
      <c r="T59" s="83">
        <f t="shared" si="90"/>
        <v>4.3104573776468769</v>
      </c>
      <c r="U59" s="83">
        <f t="shared" si="91"/>
        <v>6.4745922388798611</v>
      </c>
      <c r="V59" s="83">
        <f t="shared" si="92"/>
        <v>4.3104573776468769</v>
      </c>
      <c r="W59" s="83">
        <f t="shared" si="93"/>
        <v>4.6473143263067458</v>
      </c>
      <c r="X59" s="83">
        <f t="shared" si="94"/>
        <v>9.0064231129975685</v>
      </c>
      <c r="Y59" s="83">
        <f t="shared" si="95"/>
        <v>2.3236571631533729</v>
      </c>
      <c r="Z59" s="83">
        <f t="shared" si="96"/>
        <v>2.8575287008934209</v>
      </c>
      <c r="AA59" s="83">
        <f t="shared" si="97"/>
        <v>3.404427936713081</v>
      </c>
      <c r="AB59" s="83">
        <f t="shared" si="98"/>
        <v>6.5116439106972415</v>
      </c>
      <c r="AC59" s="83">
        <f t="shared" si="99"/>
        <v>1.7022139683565405</v>
      </c>
      <c r="AD59" s="83">
        <f t="shared" si="100"/>
        <v>4.6224728985040633</v>
      </c>
      <c r="AE59" s="326">
        <f t="shared" si="101"/>
        <v>8.2859092639577625</v>
      </c>
      <c r="AF59" s="83">
        <f t="shared" si="102"/>
        <v>3.7286591687809931</v>
      </c>
      <c r="AG59" s="83">
        <f t="shared" si="103"/>
        <v>2.0050726598705939</v>
      </c>
      <c r="AH59" s="326">
        <f t="shared" si="104"/>
        <v>6.4717767904425685</v>
      </c>
      <c r="AI59" s="83">
        <f t="shared" si="105"/>
        <v>6.7908430272001663</v>
      </c>
      <c r="AJ59" s="83">
        <f t="shared" si="106"/>
        <v>6.3765475640022782</v>
      </c>
      <c r="AK59" s="83">
        <f t="shared" si="107"/>
        <v>3.6834226598705926</v>
      </c>
      <c r="AL59" s="83">
        <f t="shared" si="108"/>
        <v>1.8468498565432994</v>
      </c>
      <c r="AM59" s="83">
        <f t="shared" si="109"/>
        <v>2.4317342405093436</v>
      </c>
      <c r="AN59" s="83">
        <f t="shared" si="110"/>
        <v>5.3498153291205552</v>
      </c>
      <c r="AO59" s="83">
        <f t="shared" si="111"/>
        <v>1.2158671202546718</v>
      </c>
      <c r="AP59" s="83">
        <f t="shared" si="112"/>
        <v>11.334063418669702</v>
      </c>
      <c r="AQ59" s="83">
        <f t="shared" si="113"/>
        <v>1.5608350046896837</v>
      </c>
      <c r="AR59" s="83">
        <f t="shared" si="114"/>
        <v>3.1718819721082872</v>
      </c>
      <c r="AS59" s="83">
        <f t="shared" si="115"/>
        <v>0.78041750234484186</v>
      </c>
      <c r="AT59" s="83">
        <f t="shared" si="116"/>
        <v>1.7022139683565405</v>
      </c>
      <c r="AU59" s="83">
        <f t="shared" si="117"/>
        <v>3.6025692451990277</v>
      </c>
      <c r="AV59" s="83">
        <f t="shared" si="118"/>
        <v>0.85110698417827024</v>
      </c>
      <c r="AW59" s="83">
        <f t="shared" si="119"/>
        <v>12.006423112997567</v>
      </c>
      <c r="AX59" s="83">
        <f t="shared" si="120"/>
        <v>3.0376250475883846</v>
      </c>
      <c r="AY59" s="83">
        <f t="shared" si="121"/>
        <v>6.1955391352616598</v>
      </c>
      <c r="AZ59" s="83">
        <f t="shared" si="122"/>
        <v>1.5188125237941923</v>
      </c>
      <c r="BA59" s="83">
        <f t="shared" si="123"/>
        <v>2.620869125882292</v>
      </c>
      <c r="BB59" s="83">
        <f t="shared" si="124"/>
        <v>3.1342352433231535</v>
      </c>
      <c r="BC59" s="83">
        <f t="shared" si="125"/>
        <v>10.577658762550856</v>
      </c>
      <c r="BD59" s="83">
        <f t="shared" si="126"/>
        <v>10.099710147454836</v>
      </c>
      <c r="BE59" s="83">
        <f t="shared" si="127"/>
        <v>2.8935479702324134</v>
      </c>
      <c r="BF59" s="83">
        <f t="shared" si="128"/>
        <v>4.368115209803821</v>
      </c>
      <c r="BG59" s="83">
        <f t="shared" si="129"/>
        <v>2.377695701831358</v>
      </c>
      <c r="BH59" s="83">
        <f t="shared" si="130"/>
        <v>4.5744472060520733</v>
      </c>
      <c r="BI59" s="83">
        <f t="shared" si="131"/>
        <v>9.8206138007598742</v>
      </c>
      <c r="BJ59" s="83">
        <f t="shared" si="132"/>
        <v>0.6243340018758734</v>
      </c>
      <c r="BK59" s="83">
        <f t="shared" si="133"/>
        <v>1.6211561603395623</v>
      </c>
      <c r="BL59" s="83">
        <f t="shared" si="134"/>
        <v>0.6124367716838347</v>
      </c>
      <c r="BM59" s="83">
        <f t="shared" si="135"/>
        <v>3.661959049464258</v>
      </c>
      <c r="BN59" s="83">
        <f t="shared" si="136"/>
        <v>14.440260123314872</v>
      </c>
      <c r="BO59" s="83">
        <f t="shared" si="137"/>
        <v>1.6208671202546716</v>
      </c>
      <c r="BP59" s="83">
        <f t="shared" si="138"/>
        <v>2.5578241640913091</v>
      </c>
      <c r="BQ59" s="83">
        <f t="shared" si="139"/>
        <v>2.1975672395714065</v>
      </c>
      <c r="BR59" s="83">
        <f t="shared" si="140"/>
        <v>5.4629225164138928</v>
      </c>
      <c r="BS59" s="83">
        <f t="shared" si="141"/>
        <v>12.439116809201304</v>
      </c>
      <c r="BT59" s="83">
        <f t="shared" si="142"/>
        <v>1.4527771966727054</v>
      </c>
      <c r="BU59" s="83">
        <f t="shared" si="143"/>
        <v>2.5578241640913091</v>
      </c>
      <c r="BV59" s="83">
        <f t="shared" si="144"/>
        <v>2.1975672395714065</v>
      </c>
      <c r="BW59" s="83">
        <f t="shared" si="145"/>
        <v>7.576052984301465</v>
      </c>
      <c r="BX59" s="83">
        <f t="shared" si="146"/>
        <v>10.043748686132822</v>
      </c>
      <c r="BY59" s="83">
        <f t="shared" si="147"/>
        <v>1.7769506207236399</v>
      </c>
      <c r="BZ59" s="83">
        <f t="shared" si="148"/>
        <v>4.8746077838770123</v>
      </c>
      <c r="CA59" s="83">
        <f t="shared" si="149"/>
        <v>5.8573464418717327</v>
      </c>
      <c r="CB59" s="83">
        <f t="shared" si="150"/>
        <v>12.353232425235259</v>
      </c>
      <c r="CC59" s="83">
        <f t="shared" si="151"/>
        <v>5.8573464418717327</v>
      </c>
      <c r="CD59" s="83">
        <f t="shared" si="152"/>
        <v>6.6090015993974838</v>
      </c>
      <c r="CE59" s="83">
        <f t="shared" si="153"/>
        <v>14.436793241693668</v>
      </c>
      <c r="CF59" s="83">
        <f t="shared" si="154"/>
        <v>6.6090015993974838</v>
      </c>
      <c r="CG59" s="83">
        <f t="shared" si="155"/>
        <v>3.0016057782493917</v>
      </c>
    </row>
    <row r="60" spans="1:85" x14ac:dyDescent="0.25">
      <c r="A60" t="str">
        <f t="shared" ref="A60:E60" si="198">A26</f>
        <v>P .Trivadi</v>
      </c>
      <c r="B60">
        <f t="shared" si="198"/>
        <v>33</v>
      </c>
      <c r="C60">
        <f t="shared" ca="1" si="198"/>
        <v>15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E13-F4B9-4265-A5AB-D4FD16EDEA48}">
  <sheetPr>
    <tabColor rgb="FF92D050"/>
  </sheetPr>
  <dimension ref="A22"/>
  <sheetViews>
    <sheetView workbookViewId="0">
      <selection activeCell="A23" sqref="A23"/>
    </sheetView>
  </sheetViews>
  <sheetFormatPr baseColWidth="10" defaultRowHeight="15" x14ac:dyDescent="0.25"/>
  <sheetData>
    <row r="22" spans="1:1" x14ac:dyDescent="0.25">
      <c r="A22" s="87">
        <v>43720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705" t="s">
        <v>440</v>
      </c>
      <c r="X1" s="705"/>
      <c r="Y1" s="705"/>
      <c r="Z1" s="705"/>
      <c r="AA1" s="705"/>
    </row>
    <row r="2" spans="1:27" x14ac:dyDescent="0.25">
      <c r="A2" t="str">
        <f>Plantilla!D4</f>
        <v>D. Gehmacher</v>
      </c>
      <c r="B2" s="83">
        <f ca="1">Plantilla!Y4++Plantilla!J4+Plantilla!P4</f>
        <v>14.827653287082466</v>
      </c>
      <c r="C2" s="83">
        <f ca="1">Plantilla!AB4+Plantilla!J4+Plantilla!P4</f>
        <v>2.8776532870824658</v>
      </c>
      <c r="D2" s="126">
        <f ca="1">(C2*2+B2)/8</f>
        <v>2.5728699826559245</v>
      </c>
      <c r="E2" s="83">
        <f ca="1">D2*Plantilla!R4</f>
        <v>2.3820147440443105</v>
      </c>
      <c r="F2" s="83">
        <f ca="1">D2*Plantilla!S4</f>
        <v>2.5710315615689789</v>
      </c>
      <c r="M2" t="str">
        <f>Plantilla!D4</f>
        <v>D. Gehmacher</v>
      </c>
      <c r="N2" s="48">
        <f>Plantilla!J4</f>
        <v>1.877653287082466</v>
      </c>
      <c r="O2" s="83">
        <f>Plantilla!AC4</f>
        <v>0</v>
      </c>
      <c r="P2" s="83">
        <f>Plantilla!AD4</f>
        <v>18.2</v>
      </c>
      <c r="Q2" s="48">
        <f ca="1">Plantilla!AI4</f>
        <v>8.1190846903719223</v>
      </c>
      <c r="R2" s="48">
        <f ca="1">Plantilla!AJ4</f>
        <v>14.459137324459803</v>
      </c>
      <c r="S2" s="48">
        <f ca="1">Plantilla!AK4</f>
        <v>0.77621226296659729</v>
      </c>
      <c r="T2" s="48">
        <f ca="1">Plantilla!AL4</f>
        <v>1.2254357300957728</v>
      </c>
      <c r="W2" t="str">
        <f>M4</f>
        <v>E. Toney</v>
      </c>
      <c r="X2" s="141">
        <f t="shared" ref="X2:Z9" si="0">N2</f>
        <v>1.877653287082466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8.7475038047995994</v>
      </c>
      <c r="C3" s="83">
        <f>Plantilla!AB5+Plantilla!J5+Plantilla!P5</f>
        <v>3.7475038047995981</v>
      </c>
      <c r="D3" s="126">
        <f t="shared" ref="D3:D25" si="1">(C3*2+B3)/8</f>
        <v>2.0303139267998493</v>
      </c>
      <c r="E3" s="83">
        <f>D3*Plantilla!R5</f>
        <v>1.7159284536694546</v>
      </c>
      <c r="F3" s="83">
        <f>D3*Plantilla!S5</f>
        <v>1.8781383678575734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5.2864258410405798</v>
      </c>
      <c r="R3" s="48">
        <f>Plantilla!AJ5</f>
        <v>10.617253540669559</v>
      </c>
      <c r="S3" s="48">
        <f>Plantilla!AK5</f>
        <v>0.64230030438396779</v>
      </c>
      <c r="T3" s="48">
        <f>Plantilla!AL5</f>
        <v>0.85232526633597183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14.175954968215457</v>
      </c>
      <c r="C4" s="83">
        <f>Plantilla!AB6+Plantilla!J6+Plantilla!P6</f>
        <v>11.175954968215457</v>
      </c>
      <c r="D4" s="126">
        <f t="shared" si="1"/>
        <v>4.5659831130807964</v>
      </c>
      <c r="E4" s="83">
        <f>D4*Plantilla!R6</f>
        <v>3.4515588022092278</v>
      </c>
      <c r="F4" s="83">
        <f>D4*Plantilla!S6</f>
        <v>3.8550991635718312</v>
      </c>
      <c r="M4" t="str">
        <f>Plantilla!D6</f>
        <v>E. Toney</v>
      </c>
      <c r="N4" s="48">
        <f>Plantilla!J6</f>
        <v>1.7259549682154571</v>
      </c>
      <c r="O4" s="83">
        <f>Plantilla!AC6</f>
        <v>0.95</v>
      </c>
      <c r="P4" s="83">
        <f>Plantilla!AD6</f>
        <v>16.95</v>
      </c>
      <c r="Q4" s="48">
        <f>Plantilla!AI6</f>
        <v>7.8834775106355881</v>
      </c>
      <c r="R4" s="48">
        <f>Plantilla!AJ6</f>
        <v>11.623129433150327</v>
      </c>
      <c r="S4" s="48">
        <f>Plantilla!AK6</f>
        <v>0.81407639745723659</v>
      </c>
      <c r="T4" s="48">
        <f>Plantilla!AL6</f>
        <v>1.172316847775082</v>
      </c>
      <c r="W4" t="str">
        <f>M6</f>
        <v>F. Lasprilla</v>
      </c>
      <c r="X4" s="141">
        <f t="shared" si="0"/>
        <v>1.7259549682154571</v>
      </c>
      <c r="Y4" s="141">
        <f t="shared" si="0"/>
        <v>0.95</v>
      </c>
      <c r="Z4" s="141">
        <f t="shared" si="0"/>
        <v>16.95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12.29412613692064</v>
      </c>
      <c r="C6" s="83">
        <f>Plantilla!AB7+Plantilla!J7+Plantilla!P7</f>
        <v>11.552792803587305</v>
      </c>
      <c r="D6" s="126">
        <f t="shared" si="1"/>
        <v>4.4249639680119062</v>
      </c>
      <c r="E6" s="83">
        <f>D6*Plantilla!R7</f>
        <v>4.0967205823547284</v>
      </c>
      <c r="F6" s="83">
        <f>D6*Plantilla!S7</f>
        <v>4.4218021498389684</v>
      </c>
      <c r="M6" t="str">
        <f>Plantilla!D7</f>
        <v>F. Lasprilla</v>
      </c>
      <c r="N6" s="48">
        <f>Plantilla!J7</f>
        <v>1.1894594702539738</v>
      </c>
      <c r="O6" s="83">
        <f>Plantilla!AC7</f>
        <v>2.95</v>
      </c>
      <c r="P6" s="83">
        <f>Plantilla!AD7</f>
        <v>13.33611111111111</v>
      </c>
      <c r="Q6" s="48">
        <f>Plantilla!AI7</f>
        <v>9.791072069558826</v>
      </c>
      <c r="R6" s="48">
        <f>Plantilla!AJ7</f>
        <v>11.952094227010178</v>
      </c>
      <c r="S6" s="48">
        <f>Plantilla!AK7</f>
        <v>0.76274009095365114</v>
      </c>
      <c r="T6" s="48">
        <f>Plantilla!AL7</f>
        <v>0.97253216291777811</v>
      </c>
      <c r="W6" t="str">
        <f>M17</f>
        <v>M. Grupinski</v>
      </c>
      <c r="X6" s="141">
        <f t="shared" si="0"/>
        <v>1.1894594702539738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14.151949072230991</v>
      </c>
      <c r="C7" s="83">
        <f>Plantilla!AB8+Plantilla!J8+Plantilla!P8</f>
        <v>13.151949072230991</v>
      </c>
      <c r="D7" s="126">
        <f t="shared" si="1"/>
        <v>5.0569809020866217</v>
      </c>
      <c r="E7" s="83">
        <f>D7*Plantilla!R8</f>
        <v>5.0569809020866217</v>
      </c>
      <c r="F7" s="83">
        <f>D7*Plantilla!S8</f>
        <v>5.0569809020866217</v>
      </c>
      <c r="M7" t="str">
        <f>Plantilla!D8</f>
        <v>E. Romweber</v>
      </c>
      <c r="N7" s="48">
        <f>Plantilla!J8</f>
        <v>1.701949072230992</v>
      </c>
      <c r="O7" s="83">
        <f>Plantilla!AC8</f>
        <v>4.95</v>
      </c>
      <c r="P7" s="83">
        <f>Plantilla!AD8</f>
        <v>17.529999999999998</v>
      </c>
      <c r="Q7" s="48">
        <f>Plantilla!AI8</f>
        <v>17.334807449630489</v>
      </c>
      <c r="R7" s="48">
        <f>Plantilla!AJ8</f>
        <v>16.957949072230988</v>
      </c>
      <c r="S7" s="48">
        <f>Plantilla!AK8</f>
        <v>1.0295559257784794</v>
      </c>
      <c r="T7" s="48">
        <f>Plantilla!AL8</f>
        <v>1.1880364350561694</v>
      </c>
      <c r="W7" t="str">
        <f>M12</f>
        <v>I. Stone</v>
      </c>
      <c r="X7" s="141">
        <f t="shared" si="0"/>
        <v>1.701949072230992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12.419916805871942</v>
      </c>
      <c r="C8" s="83">
        <f>Plantilla!AB9+Plantilla!J9+Plantilla!P9</f>
        <v>13.066250139205277</v>
      </c>
      <c r="D8" s="126">
        <f t="shared" si="1"/>
        <v>4.819052135535312</v>
      </c>
      <c r="E8" s="83">
        <f>D8*Plantilla!R9</f>
        <v>3.6428610016231904</v>
      </c>
      <c r="F8" s="83">
        <f>D8*Plantilla!S9</f>
        <v>4.0687675352299282</v>
      </c>
      <c r="M8" t="str">
        <f>Plantilla!D9</f>
        <v>S. Buschelman</v>
      </c>
      <c r="N8" s="48">
        <f>Plantilla!J9</f>
        <v>1.6162501392052773</v>
      </c>
      <c r="O8" s="83">
        <f>Plantilla!AC9</f>
        <v>2.95</v>
      </c>
      <c r="P8" s="83">
        <f>Plantilla!AD9</f>
        <v>16</v>
      </c>
      <c r="Q8" s="48">
        <f>Plantilla!AI9</f>
        <v>9.8149155238775858</v>
      </c>
      <c r="R8" s="48">
        <f>Plantilla!AJ9</f>
        <v>11.491064995892328</v>
      </c>
      <c r="S8" s="48">
        <f>Plantilla!AK9</f>
        <v>0.87680001113642214</v>
      </c>
      <c r="T8" s="48">
        <f>Plantilla!AL9</f>
        <v>1.070284176411036</v>
      </c>
      <c r="W8" t="str">
        <f>M13</f>
        <v>G. Piscaer</v>
      </c>
      <c r="X8" s="141">
        <f t="shared" si="0"/>
        <v>1.6162501392052773</v>
      </c>
      <c r="Y8" s="141">
        <f t="shared" si="0"/>
        <v>2.95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e">
        <f>Plantilla!#REF!</f>
        <v>#REF!</v>
      </c>
      <c r="B10" s="83" t="e">
        <f>Plantilla!#REF!++Plantilla!#REF!+Plantilla!#REF!</f>
        <v>#REF!</v>
      </c>
      <c r="C10" s="83" t="e">
        <f>Plantilla!#REF!+Plantilla!#REF!+Plantilla!#REF!</f>
        <v>#REF!</v>
      </c>
      <c r="D10" s="126" t="e">
        <f t="shared" si="1"/>
        <v>#REF!</v>
      </c>
      <c r="E10" s="83" t="e">
        <f>D10*Plantilla!#REF!</f>
        <v>#REF!</v>
      </c>
      <c r="F10" s="83" t="e">
        <f>D10*Plantilla!#REF!</f>
        <v>#REF!</v>
      </c>
      <c r="M10" t="e">
        <f>Plantilla!#REF!</f>
        <v>#REF!</v>
      </c>
      <c r="N10" s="48" t="e">
        <f>Plantilla!#REF!</f>
        <v>#REF!</v>
      </c>
      <c r="O10" s="83" t="e">
        <f>Plantilla!#REF!</f>
        <v>#REF!</v>
      </c>
      <c r="P10" s="83" t="e">
        <f>Plantilla!#REF!</f>
        <v>#REF!</v>
      </c>
      <c r="Q10" s="48" t="e">
        <f>Plantilla!#REF!</f>
        <v>#REF!</v>
      </c>
      <c r="R10" s="48" t="e">
        <f>Plantilla!#REF!</f>
        <v>#REF!</v>
      </c>
      <c r="S10" s="48" t="e">
        <f>Plantilla!#REF!</f>
        <v>#REF!</v>
      </c>
      <c r="T10" s="48" t="e">
        <f>Plantilla!#REF!</f>
        <v>#REF!</v>
      </c>
      <c r="W10" t="e">
        <f>M10</f>
        <v>#REF!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Plantilla!D13</f>
        <v>I. Vanags</v>
      </c>
      <c r="B11" s="83">
        <f ca="1">Plantilla!Y13++Plantilla!J13+Plantilla!P13</f>
        <v>4.9009048304239249</v>
      </c>
      <c r="C11" s="83">
        <f ca="1">Plantilla!AB13+Plantilla!J13+Plantilla!P13</f>
        <v>4.9009048304239249</v>
      </c>
      <c r="D11" s="126">
        <f t="shared" ca="1" si="1"/>
        <v>1.8378393114089717</v>
      </c>
      <c r="E11" s="83">
        <f ca="1">D11*Plantilla!R13</f>
        <v>1.5532577135446195</v>
      </c>
      <c r="F11" s="83">
        <f ca="1">D11*Plantilla!S13</f>
        <v>1.7000900595479227</v>
      </c>
      <c r="M11" t="str">
        <f>Plantilla!D13</f>
        <v>I. Vanags</v>
      </c>
      <c r="N11" s="48">
        <f>Plantilla!J13</f>
        <v>0.34036334013774144</v>
      </c>
      <c r="O11" s="83">
        <f>Plantilla!AC13</f>
        <v>7</v>
      </c>
      <c r="P11" s="83">
        <f>Plantilla!AD13</f>
        <v>6</v>
      </c>
      <c r="Q11" s="48">
        <f ca="1">Plantilla!AI13</f>
        <v>7.8692309913022793</v>
      </c>
      <c r="R11" s="48">
        <f ca="1">Plantilla!AJ13</f>
        <v>6.0858753553279072</v>
      </c>
      <c r="S11" s="48">
        <f ca="1">Plantilla!AK13</f>
        <v>0.60207238643391392</v>
      </c>
      <c r="T11" s="48">
        <f ca="1">Plantilla!AL13</f>
        <v>0.40306333812967471</v>
      </c>
      <c r="W11" t="str">
        <f>M11</f>
        <v>I. Vanags</v>
      </c>
      <c r="X11" s="141" t="e">
        <f t="shared" si="2"/>
        <v>#REF!</v>
      </c>
      <c r="Y11" s="141" t="e">
        <f t="shared" si="2"/>
        <v>#REF!</v>
      </c>
      <c r="Z11" s="141" t="e">
        <f t="shared" si="2"/>
        <v>#REF!</v>
      </c>
      <c r="AA11" s="141"/>
    </row>
    <row r="12" spans="1:27" x14ac:dyDescent="0.25">
      <c r="A12" t="str">
        <f>Plantilla!D14</f>
        <v>I. Stone</v>
      </c>
      <c r="B12" s="83">
        <f ca="1">Plantilla!Y14++Plantilla!J14+Plantilla!P14</f>
        <v>4.1780630780132864</v>
      </c>
      <c r="C12" s="83">
        <f ca="1">Plantilla!AB14+Plantilla!J14+Plantilla!P14</f>
        <v>7.1780630780132864</v>
      </c>
      <c r="D12" s="126">
        <f t="shared" ca="1" si="1"/>
        <v>2.3167736542549822</v>
      </c>
      <c r="E12" s="83">
        <f ca="1">D12*Plantilla!R14</f>
        <v>2.1449156157327662</v>
      </c>
      <c r="F12" s="83">
        <f ca="1">D12*Plantilla!S14</f>
        <v>2.3151182244942969</v>
      </c>
      <c r="M12" t="str">
        <f>Plantilla!D14</f>
        <v>I. Stone</v>
      </c>
      <c r="N12" s="48">
        <f>Plantilla!J14</f>
        <v>0.63616167295954995</v>
      </c>
      <c r="O12" s="83">
        <f>Plantilla!AC14</f>
        <v>9</v>
      </c>
      <c r="P12" s="83">
        <f>Plantilla!AD14</f>
        <v>2</v>
      </c>
      <c r="Q12" s="48">
        <f ca="1">Plantilla!AI14</f>
        <v>10.224312234978745</v>
      </c>
      <c r="R12" s="48">
        <f ca="1">Plantilla!AJ14</f>
        <v>4.8865368854920801</v>
      </c>
      <c r="S12" s="48">
        <f ca="1">Plantilla!AK14</f>
        <v>0.6042450462410629</v>
      </c>
      <c r="T12" s="48">
        <f ca="1">Plantilla!AL14</f>
        <v>0.26246441546093002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Plantilla!D15</f>
        <v>G. Piscaer</v>
      </c>
      <c r="B13" s="83">
        <f ca="1">Plantilla!Y15++Plantilla!J15+Plantilla!P15</f>
        <v>5.2412854227163326</v>
      </c>
      <c r="C13" s="83">
        <f ca="1">Plantilla!AB15+Plantilla!J15+Plantilla!P15</f>
        <v>3.2412854227163326</v>
      </c>
      <c r="D13" s="126">
        <f t="shared" ca="1" si="1"/>
        <v>1.4654820335186247</v>
      </c>
      <c r="E13" s="83">
        <f ca="1">D13*Plantilla!R15</f>
        <v>1.2385583758564642</v>
      </c>
      <c r="F13" s="83">
        <f ca="1">D13*Plantilla!S15</f>
        <v>1.3556416070570549</v>
      </c>
      <c r="M13" t="str">
        <f>Plantilla!D15</f>
        <v>G. Piscaer</v>
      </c>
      <c r="N13" s="48">
        <f>Plantilla!J15</f>
        <v>0.69135191983718325</v>
      </c>
      <c r="O13" s="83">
        <f>Plantilla!AC15</f>
        <v>8</v>
      </c>
      <c r="P13" s="83">
        <f>Plantilla!AD15</f>
        <v>0</v>
      </c>
      <c r="Q13" s="48">
        <f ca="1">Plantilla!AI15</f>
        <v>7.1189377873720137</v>
      </c>
      <c r="R13" s="48">
        <f ca="1">Plantilla!AJ15</f>
        <v>3.0774478676896333</v>
      </c>
      <c r="S13" s="48">
        <f ca="1">Plantilla!AK15</f>
        <v>0.49930283381730661</v>
      </c>
      <c r="T13" s="48">
        <f ca="1">Plantilla!AL15</f>
        <v>0.24688997959014328</v>
      </c>
    </row>
    <row r="14" spans="1:27" x14ac:dyDescent="0.25">
      <c r="A14" t="str">
        <f>Plantilla!D16</f>
        <v>M. Bondarewski</v>
      </c>
      <c r="B14" s="83">
        <f ca="1">Plantilla!Y16++Plantilla!J16+Plantilla!P16</f>
        <v>3.2492520648659844</v>
      </c>
      <c r="C14" s="83">
        <f ca="1">Plantilla!AB16+Plantilla!J16+Plantilla!P16</f>
        <v>5.2492520648659839</v>
      </c>
      <c r="D14" s="126">
        <f t="shared" ca="1" si="1"/>
        <v>1.7184695243247441</v>
      </c>
      <c r="E14" s="83">
        <f ca="1">D14*Plantilla!R16</f>
        <v>1.5909936264664235</v>
      </c>
      <c r="F14" s="83">
        <f ca="1">D14*Plantilla!S16</f>
        <v>1.7172416073945886</v>
      </c>
      <c r="M14" t="str">
        <f>Plantilla!D16</f>
        <v>M. Bondarewski</v>
      </c>
      <c r="N14" s="48">
        <f>Plantilla!J16</f>
        <v>0.69135191983718325</v>
      </c>
      <c r="O14" s="83">
        <f>Plantilla!AC16</f>
        <v>8</v>
      </c>
      <c r="P14" s="83">
        <f>Plantilla!AD16</f>
        <v>6</v>
      </c>
      <c r="Q14" s="48">
        <f ca="1">Plantilla!AI16</f>
        <v>10.869912199608505</v>
      </c>
      <c r="R14" s="48">
        <f ca="1">Plantilla!AJ16</f>
        <v>7.2669953298341303</v>
      </c>
      <c r="S14" s="48">
        <f ca="1">Plantilla!AK16</f>
        <v>0.67994016518927869</v>
      </c>
      <c r="T14" s="48">
        <f ca="1">Plantilla!AL16</f>
        <v>0.34744764454061883</v>
      </c>
    </row>
    <row r="15" spans="1:27" x14ac:dyDescent="0.25">
      <c r="A15" t="str">
        <f>Plantilla!D20</f>
        <v>R. Binst</v>
      </c>
      <c r="B15" s="83">
        <f ca="1">Plantilla!Y20++Plantilla!J20+Plantilla!P20</f>
        <v>3.1027967417753133</v>
      </c>
      <c r="C15" s="83">
        <f ca="1">Plantilla!AB20+Plantilla!J20+Plantilla!P20</f>
        <v>6.1027967417753137</v>
      </c>
      <c r="D15" s="126">
        <f t="shared" ca="1" si="1"/>
        <v>1.9135487781657425</v>
      </c>
      <c r="E15" s="83">
        <f ca="1">D15*Plantilla!R20</f>
        <v>1.6172438914973317</v>
      </c>
      <c r="F15" s="83">
        <f ca="1">D15*Plantilla!S20</f>
        <v>1.7701249701344108</v>
      </c>
      <c r="M15" t="str">
        <f>Plantilla!D20</f>
        <v>R. Binst</v>
      </c>
      <c r="N15" s="48">
        <f>Plantilla!J20</f>
        <v>0.95467112484639893</v>
      </c>
      <c r="O15" s="83">
        <f>Plantilla!AC20</f>
        <v>5</v>
      </c>
      <c r="P15" s="83">
        <f>Plantilla!AD20</f>
        <v>4</v>
      </c>
      <c r="Q15" s="48">
        <f ca="1">Plantilla!AI20</f>
        <v>4.5107410608035545</v>
      </c>
      <c r="R15" s="48">
        <f ca="1">Plantilla!AJ20</f>
        <v>4.5661966537447727</v>
      </c>
      <c r="S15" s="48">
        <f ca="1">Plantilla!AK20</f>
        <v>0.45822373934202509</v>
      </c>
      <c r="T15" s="48">
        <f ca="1">Plantilla!AL20</f>
        <v>0.27719577192427192</v>
      </c>
    </row>
    <row r="16" spans="1:27" x14ac:dyDescent="0.25">
      <c r="A16" t="str">
        <f>Plantilla!D18</f>
        <v>R. Forsyth</v>
      </c>
      <c r="B16" s="83">
        <f ca="1">Plantilla!Y18++Plantilla!J18+Plantilla!P18</f>
        <v>8.2691800463425249</v>
      </c>
      <c r="C16" s="83">
        <f ca="1">Plantilla!AB18+Plantilla!J18+Plantilla!P18</f>
        <v>5.269180046342524</v>
      </c>
      <c r="D16" s="126">
        <f t="shared" ca="1" si="1"/>
        <v>2.3509425173784466</v>
      </c>
      <c r="E16" s="83">
        <f ca="1">D16*Plantilla!R18</f>
        <v>2.1765498359988467</v>
      </c>
      <c r="F16" s="83">
        <f ca="1">D16*Plantilla!S18</f>
        <v>2.3492626725641808</v>
      </c>
      <c r="M16" t="str">
        <f>Plantilla!D18</f>
        <v>R. Forsyth</v>
      </c>
      <c r="N16" s="48">
        <f>Plantilla!J18</f>
        <v>0.70863855605634019</v>
      </c>
      <c r="O16" s="83">
        <f>Plantilla!AC18</f>
        <v>6</v>
      </c>
      <c r="P16" s="83">
        <f>Plantilla!AD18</f>
        <v>2</v>
      </c>
      <c r="Q16" s="48">
        <f ca="1">Plantilla!AI18</f>
        <v>5.8001591428795374</v>
      </c>
      <c r="R16" s="48">
        <f ca="1">Plantilla!AJ18</f>
        <v>4.1376567164063314</v>
      </c>
      <c r="S16" s="48">
        <f ca="1">Plantilla!AK18</f>
        <v>0.4615344037074019</v>
      </c>
      <c r="T16" s="48">
        <f ca="1">Plantilla!AL18</f>
        <v>0.42884260324397666</v>
      </c>
    </row>
    <row r="17" spans="1:20" x14ac:dyDescent="0.25">
      <c r="A17" t="str">
        <f>Plantilla!D19</f>
        <v>M. Grupinski</v>
      </c>
      <c r="B17" s="83">
        <f ca="1">Plantilla!Y19++Plantilla!J19+Plantilla!P19</f>
        <v>4.1685757038169031</v>
      </c>
      <c r="C17" s="83">
        <f ca="1">Plantilla!AB19+Plantilla!J19+Plantilla!P19</f>
        <v>7.168575703816904</v>
      </c>
      <c r="D17" s="126">
        <f t="shared" ca="1" si="1"/>
        <v>2.3132158889313388</v>
      </c>
      <c r="E17" s="83">
        <f ca="1">D17*Plantilla!R19</f>
        <v>2.1416217650858633</v>
      </c>
      <c r="F17" s="83">
        <f ca="1">D17*Plantilla!S19</f>
        <v>2.3115630013398412</v>
      </c>
      <c r="M17" t="str">
        <f>Plantilla!D19</f>
        <v>M. Grupinski</v>
      </c>
      <c r="N17" s="48">
        <f>Plantilla!J19</f>
        <v>0.67353330442654136</v>
      </c>
      <c r="O17" s="83">
        <f>Plantilla!AC19</f>
        <v>3</v>
      </c>
      <c r="P17" s="83">
        <f>Plantilla!AD19</f>
        <v>3</v>
      </c>
      <c r="Q17" s="48">
        <f ca="1">Plantilla!AI19</f>
        <v>1.4929333363066193</v>
      </c>
      <c r="R17" s="48">
        <f ca="1">Plantilla!AJ19</f>
        <v>3.8593511740171982</v>
      </c>
      <c r="S17" s="48">
        <f ca="1">Plantilla!AK19</f>
        <v>0.33348605630535227</v>
      </c>
      <c r="T17" s="48">
        <f ca="1">Plantilla!AL19</f>
        <v>0.29180029926718326</v>
      </c>
    </row>
    <row r="18" spans="1:20" x14ac:dyDescent="0.25">
      <c r="A18" t="str">
        <f>Plantilla!D10</f>
        <v>A. Grimaud</v>
      </c>
      <c r="B18" s="83">
        <f ca="1">Plantilla!Y10++Plantilla!J10+Plantilla!P10</f>
        <v>12.952786426200229</v>
      </c>
      <c r="C18" s="83">
        <f ca="1">Plantilla!AB10+Plantilla!J10+Plantilla!P10</f>
        <v>3.9527864262002299</v>
      </c>
      <c r="D18" s="126">
        <f t="shared" ca="1" si="1"/>
        <v>2.6072949098250859</v>
      </c>
      <c r="E18" s="83">
        <f ca="1">D18*Plantilla!R10</f>
        <v>2.4138860335507264</v>
      </c>
      <c r="F18" s="83">
        <f ca="1">D18*Plantilla!S10</f>
        <v>2.6054318907163005</v>
      </c>
      <c r="M18" t="str">
        <f>Plantilla!D10</f>
        <v>A. Grimaud</v>
      </c>
      <c r="N18" s="48">
        <f>Plantilla!J10</f>
        <v>0.77304479548908012</v>
      </c>
      <c r="O18" s="83">
        <f>Plantilla!AC10</f>
        <v>5</v>
      </c>
      <c r="P18" s="83">
        <f>Plantilla!AD10</f>
        <v>0</v>
      </c>
      <c r="Q18" s="48">
        <f ca="1">Plantilla!AI10</f>
        <v>2.5975345712490387</v>
      </c>
      <c r="R18" s="48">
        <f ca="1">Plantilla!AJ10</f>
        <v>2.2708389738254566</v>
      </c>
      <c r="S18" s="48">
        <f ca="1">Plantilla!AK10</f>
        <v>0.32622291409601839</v>
      </c>
      <c r="T18" s="48">
        <f ca="1">Plantilla!AL10</f>
        <v>0.54669504983401607</v>
      </c>
    </row>
    <row r="19" spans="1:20" x14ac:dyDescent="0.25">
      <c r="A19" t="str">
        <f>Plantilla!D17</f>
        <v>P. Tuderek</v>
      </c>
      <c r="B19" s="83">
        <f ca="1">Plantilla!Y17++Plantilla!J17+Plantilla!P17</f>
        <v>7.0911281685155672</v>
      </c>
      <c r="C19" s="83">
        <f ca="1">Plantilla!AB17+Plantilla!J17+Plantilla!P17</f>
        <v>4.0911281685155672</v>
      </c>
      <c r="D19" s="126">
        <f t="shared" ca="1" si="1"/>
        <v>1.9091730631933377</v>
      </c>
      <c r="E19" s="83">
        <f ca="1">D19*Plantilla!R17</f>
        <v>1.4431991814265639</v>
      </c>
      <c r="F19" s="83">
        <f ca="1">D19*Plantilla!S17</f>
        <v>1.6119313840529021</v>
      </c>
      <c r="M19" t="str">
        <f>Plantilla!D17</f>
        <v>P. Tuderek</v>
      </c>
      <c r="N19" s="48">
        <f>Plantilla!J17</f>
        <v>0.53058667822938343</v>
      </c>
      <c r="O19" s="83">
        <f>Plantilla!AC17</f>
        <v>6</v>
      </c>
      <c r="P19" s="83">
        <f>Plantilla!AD17</f>
        <v>8</v>
      </c>
      <c r="Q19" s="48">
        <f ca="1">Plantilla!AI17</f>
        <v>6.9329216348221623</v>
      </c>
      <c r="R19" s="48">
        <f ca="1">Plantilla!AJ17</f>
        <v>6.4186895669335806</v>
      </c>
      <c r="S19" s="48">
        <f ca="1">Plantilla!AK17</f>
        <v>0.62729025348124545</v>
      </c>
      <c r="T19" s="48">
        <f ca="1">Plantilla!AL17</f>
        <v>0.55637897179608975</v>
      </c>
    </row>
    <row r="20" spans="1:20" x14ac:dyDescent="0.25">
      <c r="A20" t="str">
        <f>Plantilla!D12</f>
        <v>B. Bruton</v>
      </c>
      <c r="B20" s="83">
        <f ca="1">Plantilla!Y12++Plantilla!J12+Plantilla!P12</f>
        <v>11.131204072349913</v>
      </c>
      <c r="C20" s="83">
        <f ca="1">Plantilla!AB12+Plantilla!J12+Plantilla!P12</f>
        <v>5.1312040723499122</v>
      </c>
      <c r="D20" s="126">
        <f t="shared" ca="1" si="1"/>
        <v>2.6742015271312169</v>
      </c>
      <c r="E20" s="83">
        <f ca="1">D20*Plantilla!R12</f>
        <v>2.4758295246605329</v>
      </c>
      <c r="F20" s="83">
        <f ca="1">D20*Plantilla!S12</f>
        <v>2.6722907005012817</v>
      </c>
      <c r="M20" t="str">
        <f>Plantilla!D12</f>
        <v>B. Bruton</v>
      </c>
      <c r="N20" s="48">
        <f>Plantilla!J12</f>
        <v>0.63616167295954995</v>
      </c>
      <c r="O20" s="83">
        <f>Plantilla!AC12</f>
        <v>3</v>
      </c>
      <c r="P20" s="83">
        <f>Plantilla!AD12</f>
        <v>3</v>
      </c>
      <c r="Q20" s="48">
        <f ca="1">Plantilla!AI12</f>
        <v>1.4164686455693338</v>
      </c>
      <c r="R20" s="48">
        <f ca="1">Plantilla!AJ12</f>
        <v>3.8247517664437662</v>
      </c>
      <c r="S20" s="48">
        <f ca="1">Plantilla!AK12</f>
        <v>0.33049632578799298</v>
      </c>
      <c r="T20" s="48">
        <f ca="1">Plantilla!AL12</f>
        <v>0.56918428506449392</v>
      </c>
    </row>
    <row r="21" spans="1:20" x14ac:dyDescent="0.25">
      <c r="A21" t="str">
        <f>Plantilla!D21</f>
        <v>K. Helms</v>
      </c>
      <c r="B21" s="83">
        <f>Plantilla!Y21++Plantilla!J21+Plantilla!P21</f>
        <v>10.010348953859943</v>
      </c>
      <c r="C21" s="83">
        <f>Plantilla!AB21+Plantilla!J21+Plantilla!P21</f>
        <v>13.010348953859943</v>
      </c>
      <c r="D21" s="126">
        <f t="shared" si="1"/>
        <v>4.503880857697478</v>
      </c>
      <c r="E21" s="83">
        <f>D21*Plantilla!R21</f>
        <v>4.503880857697478</v>
      </c>
      <c r="F21" s="83">
        <f>D21*Plantilla!S21</f>
        <v>4.503880857697478</v>
      </c>
      <c r="M21" t="str">
        <f>Plantilla!D21</f>
        <v>K. Helms</v>
      </c>
      <c r="N21" s="48">
        <f>Plantilla!J21</f>
        <v>1.5603489538599433</v>
      </c>
      <c r="O21" s="83">
        <f>Plantilla!AC21</f>
        <v>2.95</v>
      </c>
      <c r="P21" s="83">
        <f>Plantilla!AD21</f>
        <v>17.95</v>
      </c>
      <c r="Q21" s="48">
        <f>Plantilla!AI21</f>
        <v>13.932871188030477</v>
      </c>
      <c r="R21" s="48">
        <f>Plantilla!AJ21</f>
        <v>16.510348953859943</v>
      </c>
      <c r="S21" s="48">
        <f>Plantilla!AK21</f>
        <v>0.93082791630879547</v>
      </c>
      <c r="T21" s="48">
        <f>Plantilla!AL21</f>
        <v>1.0307244267701958</v>
      </c>
    </row>
    <row r="22" spans="1:20" x14ac:dyDescent="0.25">
      <c r="A22" t="str">
        <f>Plantilla!D22</f>
        <v>S. Zobbe</v>
      </c>
      <c r="B22" s="83">
        <f>Plantilla!Y22++Plantilla!J22+Plantilla!P22</f>
        <v>11.416423112997565</v>
      </c>
      <c r="C22" s="83">
        <f>Plantilla!AB22+Plantilla!J22+Plantilla!P22</f>
        <v>13.296423112997568</v>
      </c>
      <c r="D22" s="126">
        <f t="shared" si="1"/>
        <v>4.7511586673740878</v>
      </c>
      <c r="E22" s="83">
        <f>D22*Plantilla!R22</f>
        <v>4.3987181914635007</v>
      </c>
      <c r="F22" s="83">
        <f>D22*Plantilla!S22</f>
        <v>4.7477637697148953</v>
      </c>
      <c r="M22" t="str">
        <f>Plantilla!D22</f>
        <v>S. Zobbe</v>
      </c>
      <c r="N22" s="48">
        <f>Plantilla!J22</f>
        <v>1.5564231129975681</v>
      </c>
      <c r="O22" s="83">
        <f>Plantilla!AC22</f>
        <v>6.95</v>
      </c>
      <c r="P22" s="83">
        <f>Plantilla!AD22</f>
        <v>16</v>
      </c>
      <c r="Q22" s="48">
        <f>Plantilla!AI22</f>
        <v>18.045803083446799</v>
      </c>
      <c r="R22" s="48">
        <f>Plantilla!AJ22</f>
        <v>15.129217976900886</v>
      </c>
      <c r="S22" s="48">
        <f>Plantilla!AK22</f>
        <v>1.0720138490398052</v>
      </c>
      <c r="T22" s="48">
        <f>Plantilla!AL22</f>
        <v>1.0283496179098297</v>
      </c>
    </row>
    <row r="23" spans="1:20" x14ac:dyDescent="0.25">
      <c r="A23" t="str">
        <f>Plantilla!D23</f>
        <v>L. Bauman</v>
      </c>
      <c r="B23" s="83">
        <f>Plantilla!Y23++Plantilla!J23+Plantilla!P23</f>
        <v>8.9484688546227815</v>
      </c>
      <c r="C23" s="83">
        <f>Plantilla!AB23+Plantilla!J23+Plantilla!P23</f>
        <v>10.948468854622782</v>
      </c>
      <c r="D23" s="126">
        <f t="shared" si="1"/>
        <v>3.8556758204835431</v>
      </c>
      <c r="E23" s="83">
        <f>D23*Plantilla!R23</f>
        <v>3.5696621728106881</v>
      </c>
      <c r="F23" s="83">
        <f>D23*Plantilla!S23</f>
        <v>3.8529207820320912</v>
      </c>
      <c r="M23" t="str">
        <f>Plantilla!D23</f>
        <v>L. Bauman</v>
      </c>
      <c r="N23" s="48">
        <f>Plantilla!J23</f>
        <v>1.4984688546227811</v>
      </c>
      <c r="O23" s="83">
        <f>Plantilla!AC23</f>
        <v>4.95</v>
      </c>
      <c r="P23" s="83">
        <f>Plantilla!AD23</f>
        <v>16.95</v>
      </c>
      <c r="Q23" s="48">
        <f>Plantilla!AI23</f>
        <v>15.337243324164646</v>
      </c>
      <c r="R23" s="48">
        <f>Plantilla!AJ23</f>
        <v>15.135741066115312</v>
      </c>
      <c r="S23" s="48">
        <f>Plantilla!AK23</f>
        <v>0.99587750836982247</v>
      </c>
      <c r="T23" s="48">
        <f>Plantilla!AL23</f>
        <v>0.9563928198235947</v>
      </c>
    </row>
    <row r="24" spans="1:20" x14ac:dyDescent="0.25">
      <c r="A24" t="str">
        <f>Plantilla!D24</f>
        <v>J. Limon</v>
      </c>
      <c r="B24" s="83">
        <f>Plantilla!Y24++Plantilla!J24+Plantilla!P24</f>
        <v>9.044532869878978</v>
      </c>
      <c r="C24" s="83">
        <f>Plantilla!AB24+Plantilla!J24+Plantilla!P24</f>
        <v>12.044532869878978</v>
      </c>
      <c r="D24" s="126">
        <f t="shared" si="1"/>
        <v>4.1416998262046167</v>
      </c>
      <c r="E24" s="83">
        <f>D24*Plantilla!R24</f>
        <v>3.5003752299251896</v>
      </c>
      <c r="F24" s="83">
        <f>D24*Plantilla!S24</f>
        <v>3.8312722230126171</v>
      </c>
      <c r="M24" t="str">
        <f>Plantilla!D24</f>
        <v>J. Limon</v>
      </c>
      <c r="N24" s="48">
        <f>Plantilla!J24</f>
        <v>1.5945328698789785</v>
      </c>
      <c r="O24" s="83">
        <f>Plantilla!AC24</f>
        <v>6.95</v>
      </c>
      <c r="P24" s="83">
        <f>Plantilla!AD24</f>
        <v>18.999999999999993</v>
      </c>
      <c r="Q24" s="48">
        <f>Plantilla!AI24</f>
        <v>17.939174606018941</v>
      </c>
      <c r="R24" s="48">
        <f>Plantilla!AJ24</f>
        <v>15.618055830373688</v>
      </c>
      <c r="S24" s="48">
        <f>Plantilla!AK24</f>
        <v>1.1650626295903179</v>
      </c>
      <c r="T24" s="48">
        <f>Plantilla!AL24</f>
        <v>1.0246173008915282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3.5785195478227818</v>
      </c>
      <c r="F25" s="83">
        <f>D25*Plantilla!S25</f>
        <v>3.9168036688952665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16.189711258805826</v>
      </c>
      <c r="R25" s="48">
        <f>Plantilla!AJ25</f>
        <v>12.538790627206676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705" t="s">
        <v>439</v>
      </c>
      <c r="B27" s="705"/>
      <c r="C27" s="705"/>
      <c r="D27" s="705"/>
      <c r="E27" s="705"/>
      <c r="F27" s="705"/>
      <c r="G27" s="705"/>
      <c r="H27" s="705"/>
      <c r="I27" s="705"/>
      <c r="J27" s="70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5.0569809020866217</v>
      </c>
      <c r="C29" s="48">
        <f>E7</f>
        <v>5.0569809020866217</v>
      </c>
      <c r="D29" s="48">
        <f>F7</f>
        <v>5.0569809020866217</v>
      </c>
      <c r="G29" s="48" t="str">
        <f>A29</f>
        <v>E. Romweber</v>
      </c>
      <c r="H29" s="48">
        <f>B29</f>
        <v>5.0569809020866217</v>
      </c>
      <c r="I29" s="48">
        <f t="shared" ref="I29:J32" si="3">C29</f>
        <v>5.0569809020866217</v>
      </c>
      <c r="J29" s="48">
        <f t="shared" si="3"/>
        <v>5.0569809020866217</v>
      </c>
    </row>
    <row r="30" spans="1:20" x14ac:dyDescent="0.25">
      <c r="A30" s="48" t="str">
        <f>A4</f>
        <v>E. Toney</v>
      </c>
      <c r="B30" s="48">
        <f>D4</f>
        <v>4.5659831130807964</v>
      </c>
      <c r="C30" s="48">
        <f>E4</f>
        <v>3.4515588022092278</v>
      </c>
      <c r="D30" s="48">
        <f>F4</f>
        <v>3.8550991635718312</v>
      </c>
      <c r="G30" s="48" t="str">
        <f>A30</f>
        <v>E. Toney</v>
      </c>
      <c r="H30" s="48">
        <f>B30</f>
        <v>4.5659831130807964</v>
      </c>
      <c r="I30" s="48">
        <f t="shared" si="3"/>
        <v>3.4515588022092278</v>
      </c>
      <c r="J30" s="48">
        <f t="shared" si="3"/>
        <v>3.8550991635718312</v>
      </c>
    </row>
    <row r="31" spans="1:20" x14ac:dyDescent="0.25">
      <c r="A31" t="str">
        <f>A8</f>
        <v>S. Buschelman</v>
      </c>
      <c r="B31" s="48">
        <f t="shared" ref="B31:D32" si="4">D8</f>
        <v>4.819052135535312</v>
      </c>
      <c r="C31" s="48">
        <f t="shared" si="4"/>
        <v>3.6428610016231904</v>
      </c>
      <c r="D31" s="48">
        <f t="shared" si="4"/>
        <v>4.0687675352299282</v>
      </c>
      <c r="G31" s="48" t="str">
        <f>A31</f>
        <v>S. Buschelman</v>
      </c>
      <c r="H31" s="48">
        <f>B31</f>
        <v>4.819052135535312</v>
      </c>
      <c r="I31" s="48">
        <f t="shared" si="3"/>
        <v>3.6428610016231904</v>
      </c>
      <c r="J31" s="48">
        <f t="shared" si="3"/>
        <v>4.0687675352299282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2019-10-24T09:47:38Z</dcterms:modified>
</cp:coreProperties>
</file>