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1A4F29BA-B924-46CF-88CA-2032EDF06342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Hall_of_Fame" sheetId="22" r:id="rId1"/>
    <sheet name="Plantilla" sheetId="1" r:id="rId2"/>
    <sheet name="Juveniles" sheetId="27" r:id="rId3"/>
    <sheet name="V.252" sheetId="34" r:id="rId4"/>
    <sheet name="Planning" sheetId="24" r:id="rId5"/>
    <sheet name="Economia" sheetId="28" r:id="rId6"/>
    <sheet name="Capitán" sheetId="12" r:id="rId7"/>
    <sheet name="CA_Calcutator" sheetId="25" r:id="rId8"/>
    <sheet name="EstudioConversion" sheetId="26" r:id="rId9"/>
    <sheet name="El Tártaro" sheetId="33" r:id="rId10"/>
    <sheet name="Entrenador" sheetId="9" r:id="rId11"/>
    <sheet name="Banderas" sheetId="31" r:id="rId12"/>
    <sheet name="Evaluacion Jugadores" sheetId="3" r:id="rId13"/>
    <sheet name="LAT" sheetId="10" r:id="rId14"/>
    <sheet name="Delantero" sheetId="32" r:id="rId15"/>
    <sheet name="PorteroTitular" sheetId="30" r:id="rId16"/>
    <sheet name="PorteroSuplente" sheetId="29" r:id="rId17"/>
  </sheets>
  <externalReferences>
    <externalReference r:id="rId18"/>
  </externalReferences>
  <definedNames>
    <definedName name="_xlnm._FilterDatabase" localSheetId="14" hidden="1">Delantero!$A$2:$Z$64</definedName>
    <definedName name="_xlnm._FilterDatabase" localSheetId="8" hidden="1">EstudioConversion!$A$1:$H$1</definedName>
  </definedNames>
  <calcPr calcId="179017"/>
  <pivotCaches>
    <pivotCache cacheId="139" r:id="rId19"/>
  </pivotCaches>
</workbook>
</file>

<file path=xl/calcChain.xml><?xml version="1.0" encoding="utf-8"?>
<calcChain xmlns="http://schemas.openxmlformats.org/spreadsheetml/2006/main">
  <c r="AE20" i="1" l="1"/>
  <c r="AF35" i="32"/>
  <c r="AG35" i="32"/>
  <c r="AH35" i="32"/>
  <c r="AF13" i="32"/>
  <c r="AG13" i="32"/>
  <c r="AH13" i="32"/>
  <c r="AF33" i="32"/>
  <c r="AG33" i="32"/>
  <c r="AH33" i="32"/>
  <c r="AF11" i="32"/>
  <c r="AG11" i="32"/>
  <c r="AH11" i="32"/>
  <c r="AF18" i="32"/>
  <c r="AG18" i="32"/>
  <c r="AH18" i="32"/>
  <c r="AF9" i="32"/>
  <c r="AG9" i="32"/>
  <c r="AH9" i="32"/>
  <c r="AF6" i="32"/>
  <c r="AG6" i="32"/>
  <c r="AH6" i="32"/>
  <c r="AF16" i="32"/>
  <c r="AG16" i="32"/>
  <c r="AH16" i="32"/>
  <c r="AF58" i="32"/>
  <c r="AG58" i="32"/>
  <c r="AH58" i="32"/>
  <c r="AF55" i="32"/>
  <c r="AG55" i="32"/>
  <c r="AH55" i="32"/>
  <c r="AF14" i="32"/>
  <c r="AG14" i="32"/>
  <c r="AH14" i="32"/>
  <c r="AF49" i="32"/>
  <c r="AG49" i="32"/>
  <c r="AH49" i="32"/>
  <c r="AF43" i="32"/>
  <c r="AG43" i="32"/>
  <c r="AH43" i="32"/>
  <c r="AF54" i="32"/>
  <c r="AG54" i="32"/>
  <c r="AH54" i="32"/>
  <c r="AF52" i="32"/>
  <c r="AG52" i="32"/>
  <c r="AH52" i="32"/>
  <c r="AF25" i="32"/>
  <c r="AG25" i="32"/>
  <c r="AH25" i="32"/>
  <c r="AF15" i="32"/>
  <c r="AG15" i="32"/>
  <c r="AH15" i="32"/>
  <c r="AF45" i="32"/>
  <c r="AG45" i="32"/>
  <c r="AH45" i="32"/>
  <c r="AF4" i="32"/>
  <c r="AG4" i="32"/>
  <c r="AH4" i="32"/>
  <c r="AF64" i="32"/>
  <c r="AG64" i="32"/>
  <c r="AH64" i="32"/>
  <c r="AF46" i="32"/>
  <c r="AG46" i="32"/>
  <c r="AH46" i="32"/>
  <c r="AF5" i="32"/>
  <c r="AG5" i="32"/>
  <c r="AH5" i="32"/>
  <c r="AF62" i="32"/>
  <c r="AG62" i="32"/>
  <c r="AH62" i="32"/>
  <c r="AF30" i="32"/>
  <c r="AG30" i="32"/>
  <c r="AH30" i="32"/>
  <c r="AF7" i="32"/>
  <c r="AG7" i="32"/>
  <c r="AH7" i="32"/>
  <c r="AF41" i="32"/>
  <c r="AG41" i="32"/>
  <c r="AH41" i="32"/>
  <c r="AF51" i="32"/>
  <c r="AG51" i="32"/>
  <c r="AH51" i="32"/>
  <c r="AF12" i="32"/>
  <c r="AG12" i="32"/>
  <c r="AH12" i="32"/>
  <c r="AF42" i="32"/>
  <c r="AG42" i="32"/>
  <c r="AH42" i="32"/>
  <c r="AF61" i="32"/>
  <c r="AG61" i="32"/>
  <c r="AH61" i="32"/>
  <c r="AF34" i="32"/>
  <c r="AG34" i="32"/>
  <c r="AH34" i="32"/>
  <c r="AF53" i="32"/>
  <c r="AG53" i="32"/>
  <c r="AH53" i="32"/>
  <c r="AF17" i="32"/>
  <c r="AG17" i="32"/>
  <c r="AH17" i="32"/>
  <c r="AF48" i="32"/>
  <c r="AG48" i="32"/>
  <c r="AH48" i="32"/>
  <c r="AF63" i="32"/>
  <c r="AG63" i="32"/>
  <c r="AH63" i="32"/>
  <c r="AF44" i="32"/>
  <c r="AG44" i="32"/>
  <c r="AH44" i="32"/>
  <c r="AF27" i="32"/>
  <c r="AG27" i="32"/>
  <c r="AH27" i="32"/>
  <c r="AF32" i="32"/>
  <c r="AG32" i="32"/>
  <c r="AH32" i="32"/>
  <c r="AF47" i="32"/>
  <c r="AG47" i="32"/>
  <c r="AH47" i="32"/>
  <c r="AF23" i="32"/>
  <c r="AG23" i="32"/>
  <c r="AH23" i="32"/>
  <c r="AF20" i="32"/>
  <c r="AG20" i="32"/>
  <c r="AH20" i="32"/>
  <c r="AF56" i="32"/>
  <c r="AG56" i="32"/>
  <c r="AH56" i="32"/>
  <c r="AF38" i="32"/>
  <c r="AG38" i="32"/>
  <c r="AH38" i="32"/>
  <c r="AF31" i="32"/>
  <c r="AG31" i="32"/>
  <c r="AH31" i="32"/>
  <c r="AF19" i="32"/>
  <c r="AG19" i="32"/>
  <c r="AH19" i="32"/>
  <c r="AF28" i="32"/>
  <c r="AG28" i="32"/>
  <c r="AH28" i="32"/>
  <c r="AF10" i="32"/>
  <c r="AG10" i="32"/>
  <c r="AH10" i="32"/>
  <c r="AF50" i="32"/>
  <c r="AG50" i="32"/>
  <c r="AH50" i="32"/>
  <c r="AF57" i="32"/>
  <c r="AG57" i="32"/>
  <c r="AH57" i="32"/>
  <c r="AF3" i="32"/>
  <c r="AG3" i="32"/>
  <c r="AH3" i="32"/>
  <c r="AF40" i="32"/>
  <c r="AG40" i="32"/>
  <c r="AH40" i="32"/>
  <c r="AF26" i="32"/>
  <c r="AG26" i="32"/>
  <c r="AH26" i="32"/>
  <c r="AF39" i="32"/>
  <c r="AG39" i="32"/>
  <c r="AH39" i="32"/>
  <c r="AF24" i="32"/>
  <c r="AG24" i="32"/>
  <c r="AH24" i="32"/>
  <c r="AF59" i="32"/>
  <c r="AG59" i="32"/>
  <c r="AH59" i="32"/>
  <c r="AF21" i="32"/>
  <c r="AG21" i="32"/>
  <c r="AH21" i="32"/>
  <c r="AF29" i="32"/>
  <c r="AG29" i="32"/>
  <c r="AH29" i="32"/>
  <c r="AF8" i="32"/>
  <c r="AG8" i="32"/>
  <c r="AH8" i="32"/>
  <c r="AF22" i="32"/>
  <c r="AG22" i="32"/>
  <c r="AH22" i="32"/>
  <c r="AF60" i="32"/>
  <c r="AG60" i="32"/>
  <c r="AH60" i="32"/>
  <c r="AF37" i="32"/>
  <c r="AG37" i="32"/>
  <c r="AH37" i="32"/>
  <c r="AH36" i="32"/>
  <c r="AG36" i="32"/>
  <c r="AF36" i="32"/>
  <c r="AK16" i="32" l="1"/>
  <c r="AI16" i="32"/>
  <c r="AJ16" i="32"/>
  <c r="P16" i="32"/>
  <c r="Q16" i="32"/>
  <c r="R16" i="32"/>
  <c r="T16" i="32"/>
  <c r="V16" i="32" s="1"/>
  <c r="U16" i="32"/>
  <c r="X16" i="32"/>
  <c r="Z16" i="32" s="1"/>
  <c r="Y16" i="32"/>
  <c r="O16" i="32"/>
  <c r="S16" i="32"/>
  <c r="W16" i="32"/>
  <c r="AK14" i="32"/>
  <c r="AB14" i="32"/>
  <c r="P14" i="32"/>
  <c r="Q14" i="32"/>
  <c r="R14" i="32"/>
  <c r="T14" i="32"/>
  <c r="V14" i="32" s="1"/>
  <c r="U14" i="32"/>
  <c r="X14" i="32"/>
  <c r="Z14" i="32" s="1"/>
  <c r="Y14" i="32"/>
  <c r="O14" i="32"/>
  <c r="S14" i="32"/>
  <c r="W14" i="32"/>
  <c r="AJ9" i="32"/>
  <c r="AI9" i="32"/>
  <c r="P9" i="32"/>
  <c r="Q9" i="32"/>
  <c r="R9" i="32"/>
  <c r="T9" i="32"/>
  <c r="V9" i="32" s="1"/>
  <c r="U9" i="32"/>
  <c r="X9" i="32"/>
  <c r="Z9" i="32" s="1"/>
  <c r="Y9" i="32"/>
  <c r="O9" i="32"/>
  <c r="S9" i="32"/>
  <c r="W9" i="32"/>
  <c r="AI14" i="32" l="1"/>
  <c r="AJ14" i="32"/>
  <c r="AK9" i="32"/>
  <c r="AK25" i="32"/>
  <c r="P25" i="32"/>
  <c r="Q25" i="32"/>
  <c r="R25" i="32"/>
  <c r="T25" i="32"/>
  <c r="V25" i="32" s="1"/>
  <c r="U25" i="32"/>
  <c r="X25" i="32"/>
  <c r="Z25" i="32" s="1"/>
  <c r="Y25" i="32"/>
  <c r="O25" i="32"/>
  <c r="S25" i="32"/>
  <c r="W25" i="32"/>
  <c r="AJ25" i="32" l="1"/>
  <c r="AI25" i="32"/>
  <c r="AB4" i="32"/>
  <c r="P4" i="32"/>
  <c r="Q4" i="32"/>
  <c r="R4" i="32"/>
  <c r="T4" i="32"/>
  <c r="V4" i="32" s="1"/>
  <c r="U4" i="32"/>
  <c r="X4" i="32"/>
  <c r="Z4" i="32" s="1"/>
  <c r="Y4" i="32"/>
  <c r="O4" i="32"/>
  <c r="S4" i="32"/>
  <c r="W4" i="32"/>
  <c r="AK35" i="32"/>
  <c r="P35" i="32"/>
  <c r="Q35" i="32"/>
  <c r="R35" i="32"/>
  <c r="T35" i="32"/>
  <c r="V35" i="32" s="1"/>
  <c r="U35" i="32"/>
  <c r="X35" i="32"/>
  <c r="Z35" i="32" s="1"/>
  <c r="Y35" i="32"/>
  <c r="O35" i="32"/>
  <c r="S35" i="32"/>
  <c r="W35" i="32"/>
  <c r="AI15" i="32"/>
  <c r="P15" i="32"/>
  <c r="Q15" i="32"/>
  <c r="R15" i="32"/>
  <c r="T15" i="32"/>
  <c r="V15" i="32" s="1"/>
  <c r="U15" i="32"/>
  <c r="X15" i="32"/>
  <c r="Z15" i="32" s="1"/>
  <c r="Y15" i="32"/>
  <c r="O15" i="32"/>
  <c r="S15" i="32"/>
  <c r="W15" i="32"/>
  <c r="AB22" i="32"/>
  <c r="AI22" i="32" s="1"/>
  <c r="P22" i="32"/>
  <c r="Q22" i="32"/>
  <c r="R22" i="32"/>
  <c r="T22" i="32"/>
  <c r="V22" i="32" s="1"/>
  <c r="U22" i="32"/>
  <c r="X22" i="32"/>
  <c r="Z22" i="32" s="1"/>
  <c r="Y22" i="32"/>
  <c r="O22" i="32"/>
  <c r="S22" i="32"/>
  <c r="W22" i="32"/>
  <c r="AI4" i="32" l="1"/>
  <c r="AJ4" i="32"/>
  <c r="AK4" i="32"/>
  <c r="AJ35" i="32"/>
  <c r="AI35" i="32"/>
  <c r="AK15" i="32"/>
  <c r="AJ15" i="32"/>
  <c r="AK22" i="32"/>
  <c r="AJ22" i="32"/>
  <c r="O13" i="32"/>
  <c r="P13" i="32"/>
  <c r="Q13" i="32"/>
  <c r="R13" i="32"/>
  <c r="O33" i="32"/>
  <c r="P33" i="32"/>
  <c r="Q33" i="32"/>
  <c r="R33" i="32"/>
  <c r="O11" i="32"/>
  <c r="P11" i="32"/>
  <c r="Q11" i="32"/>
  <c r="R11" i="32"/>
  <c r="O18" i="32"/>
  <c r="P18" i="32"/>
  <c r="Q18" i="32"/>
  <c r="R18" i="32"/>
  <c r="O6" i="32"/>
  <c r="P6" i="32"/>
  <c r="Q6" i="32"/>
  <c r="R6" i="32"/>
  <c r="O58" i="32"/>
  <c r="P58" i="32"/>
  <c r="Q58" i="32"/>
  <c r="R58" i="32"/>
  <c r="O55" i="32"/>
  <c r="P55" i="32"/>
  <c r="Q55" i="32"/>
  <c r="R55" i="32"/>
  <c r="O49" i="32"/>
  <c r="P49" i="32"/>
  <c r="Q49" i="32"/>
  <c r="R49" i="32"/>
  <c r="O43" i="32"/>
  <c r="P43" i="32"/>
  <c r="Q43" i="32"/>
  <c r="R43" i="32"/>
  <c r="O54" i="32"/>
  <c r="P54" i="32"/>
  <c r="Q54" i="32"/>
  <c r="R54" i="32"/>
  <c r="O52" i="32"/>
  <c r="P52" i="32"/>
  <c r="Q52" i="32"/>
  <c r="R52" i="32"/>
  <c r="O64" i="32"/>
  <c r="P64" i="32"/>
  <c r="Q64" i="32"/>
  <c r="R64" i="32"/>
  <c r="O5" i="32"/>
  <c r="P5" i="32"/>
  <c r="Q5" i="32"/>
  <c r="R5" i="32"/>
  <c r="O62" i="32"/>
  <c r="P62" i="32"/>
  <c r="Q62" i="32"/>
  <c r="R62" i="32"/>
  <c r="O30" i="32"/>
  <c r="P30" i="32"/>
  <c r="Q30" i="32"/>
  <c r="R30" i="32"/>
  <c r="O7" i="32"/>
  <c r="P7" i="32"/>
  <c r="Q7" i="32"/>
  <c r="R7" i="32"/>
  <c r="O41" i="32"/>
  <c r="P41" i="32"/>
  <c r="Q41" i="32"/>
  <c r="R41" i="32"/>
  <c r="O51" i="32"/>
  <c r="P51" i="32"/>
  <c r="Q51" i="32"/>
  <c r="R51" i="32"/>
  <c r="O12" i="32"/>
  <c r="P12" i="32"/>
  <c r="Q12" i="32"/>
  <c r="R12" i="32"/>
  <c r="O42" i="32"/>
  <c r="P42" i="32"/>
  <c r="Q42" i="32"/>
  <c r="R42" i="32"/>
  <c r="O61" i="32"/>
  <c r="P61" i="32"/>
  <c r="Q61" i="32"/>
  <c r="R61" i="32"/>
  <c r="O34" i="32"/>
  <c r="P34" i="32"/>
  <c r="Q34" i="32"/>
  <c r="R34" i="32"/>
  <c r="O53" i="32"/>
  <c r="P53" i="32"/>
  <c r="Q53" i="32"/>
  <c r="R53" i="32"/>
  <c r="O17" i="32"/>
  <c r="P17" i="32"/>
  <c r="Q17" i="32"/>
  <c r="R17" i="32"/>
  <c r="O48" i="32"/>
  <c r="P48" i="32"/>
  <c r="Q48" i="32"/>
  <c r="R48" i="32"/>
  <c r="O63" i="32"/>
  <c r="P63" i="32"/>
  <c r="Q63" i="32"/>
  <c r="R63" i="32"/>
  <c r="O44" i="32"/>
  <c r="P44" i="32"/>
  <c r="Q44" i="32"/>
  <c r="R44" i="32"/>
  <c r="O27" i="32"/>
  <c r="P27" i="32"/>
  <c r="Q27" i="32"/>
  <c r="R27" i="32"/>
  <c r="O32" i="32"/>
  <c r="P32" i="32"/>
  <c r="Q32" i="32"/>
  <c r="R32" i="32"/>
  <c r="O47" i="32"/>
  <c r="P47" i="32"/>
  <c r="Q47" i="32"/>
  <c r="R47" i="32"/>
  <c r="O23" i="32"/>
  <c r="P23" i="32"/>
  <c r="Q23" i="32"/>
  <c r="R23" i="32"/>
  <c r="O20" i="32"/>
  <c r="P20" i="32"/>
  <c r="Q20" i="32"/>
  <c r="R20" i="32"/>
  <c r="O38" i="32"/>
  <c r="P38" i="32"/>
  <c r="Q38" i="32"/>
  <c r="R38" i="32"/>
  <c r="O31" i="32"/>
  <c r="P31" i="32"/>
  <c r="Q31" i="32"/>
  <c r="R31" i="32"/>
  <c r="O19" i="32"/>
  <c r="P19" i="32"/>
  <c r="Q19" i="32"/>
  <c r="R19" i="32"/>
  <c r="O28" i="32"/>
  <c r="P28" i="32"/>
  <c r="Q28" i="32"/>
  <c r="R28" i="32"/>
  <c r="O10" i="32"/>
  <c r="P10" i="32"/>
  <c r="Q10" i="32"/>
  <c r="R10" i="32"/>
  <c r="O50" i="32"/>
  <c r="P50" i="32"/>
  <c r="Q50" i="32"/>
  <c r="R50" i="32"/>
  <c r="O3" i="32"/>
  <c r="P3" i="32"/>
  <c r="Q3" i="32"/>
  <c r="R3" i="32"/>
  <c r="O40" i="32"/>
  <c r="P40" i="32"/>
  <c r="Q40" i="32"/>
  <c r="R40" i="32"/>
  <c r="O26" i="32"/>
  <c r="P26" i="32"/>
  <c r="Q26" i="32"/>
  <c r="R26" i="32"/>
  <c r="O39" i="32"/>
  <c r="P39" i="32"/>
  <c r="Q39" i="32"/>
  <c r="R39" i="32"/>
  <c r="O24" i="32"/>
  <c r="P24" i="32"/>
  <c r="Q24" i="32"/>
  <c r="R24" i="32"/>
  <c r="O21" i="32"/>
  <c r="P21" i="32"/>
  <c r="Q21" i="32"/>
  <c r="R21" i="32"/>
  <c r="O29" i="32"/>
  <c r="P29" i="32"/>
  <c r="Q29" i="32"/>
  <c r="R29" i="32"/>
  <c r="O8" i="32"/>
  <c r="P8" i="32"/>
  <c r="Q8" i="32"/>
  <c r="R8" i="32"/>
  <c r="O60" i="32"/>
  <c r="P60" i="32"/>
  <c r="Q60" i="32"/>
  <c r="R60" i="32"/>
  <c r="O37" i="32"/>
  <c r="P37" i="32"/>
  <c r="Q37" i="32"/>
  <c r="R37" i="32"/>
  <c r="R36" i="32"/>
  <c r="Q36" i="32"/>
  <c r="P36" i="32"/>
  <c r="O36" i="32"/>
  <c r="T13" i="32" l="1"/>
  <c r="V13" i="32" s="1"/>
  <c r="U13" i="32"/>
  <c r="X13" i="32"/>
  <c r="Z13" i="32" s="1"/>
  <c r="Y13" i="32"/>
  <c r="S13" i="32"/>
  <c r="W13" i="32"/>
  <c r="AI13" i="32"/>
  <c r="T18" i="32"/>
  <c r="V18" i="32" s="1"/>
  <c r="U18" i="32"/>
  <c r="X18" i="32"/>
  <c r="Z18" i="32" s="1"/>
  <c r="Y18" i="32"/>
  <c r="S18" i="32"/>
  <c r="W18" i="32"/>
  <c r="AB18" i="32"/>
  <c r="AI18" i="32" s="1"/>
  <c r="T5" i="32"/>
  <c r="V5" i="32" s="1"/>
  <c r="U5" i="32"/>
  <c r="X5" i="32"/>
  <c r="Z5" i="32" s="1"/>
  <c r="Y5" i="32"/>
  <c r="S5" i="32"/>
  <c r="W5" i="32"/>
  <c r="AK5" i="32"/>
  <c r="T6" i="32"/>
  <c r="V6" i="32" s="1"/>
  <c r="U6" i="32"/>
  <c r="X6" i="32"/>
  <c r="Z6" i="32" s="1"/>
  <c r="Y6" i="32"/>
  <c r="S6" i="32"/>
  <c r="W6" i="32"/>
  <c r="AK6" i="32"/>
  <c r="AI5" i="32" l="1"/>
  <c r="AK13" i="32"/>
  <c r="AJ13" i="32"/>
  <c r="AJ5" i="32"/>
  <c r="AK18" i="32"/>
  <c r="AJ18" i="32"/>
  <c r="AI6" i="32"/>
  <c r="AJ6" i="32"/>
  <c r="T3" i="32" l="1"/>
  <c r="V3" i="32" s="1"/>
  <c r="U3" i="32"/>
  <c r="X3" i="32"/>
  <c r="Z3" i="32" s="1"/>
  <c r="Y3" i="32"/>
  <c r="S3" i="32"/>
  <c r="W3" i="32"/>
  <c r="AB3" i="32"/>
  <c r="AK3" i="32" s="1"/>
  <c r="T21" i="32"/>
  <c r="V21" i="32" s="1"/>
  <c r="U21" i="32"/>
  <c r="X21" i="32"/>
  <c r="Z21" i="32" s="1"/>
  <c r="Y21" i="32"/>
  <c r="S21" i="32"/>
  <c r="W21" i="32"/>
  <c r="AI21" i="32"/>
  <c r="T8" i="32"/>
  <c r="V8" i="32" s="1"/>
  <c r="U8" i="32"/>
  <c r="X8" i="32"/>
  <c r="Z8" i="32" s="1"/>
  <c r="Y8" i="32"/>
  <c r="S8" i="32"/>
  <c r="W8" i="32"/>
  <c r="AK8" i="32"/>
  <c r="AJ3" i="32" l="1"/>
  <c r="AJ21" i="32"/>
  <c r="AI3" i="32"/>
  <c r="AK21" i="32"/>
  <c r="AI8" i="32"/>
  <c r="AJ8" i="32"/>
  <c r="T41" i="32" l="1"/>
  <c r="V41" i="32" s="1"/>
  <c r="U41" i="32"/>
  <c r="X41" i="32"/>
  <c r="Z41" i="32" s="1"/>
  <c r="Y41" i="32"/>
  <c r="S41" i="32"/>
  <c r="W41" i="32"/>
  <c r="T33" i="32"/>
  <c r="V33" i="32" s="1"/>
  <c r="U33" i="32"/>
  <c r="X33" i="32"/>
  <c r="Z33" i="32" s="1"/>
  <c r="Y33" i="32"/>
  <c r="S33" i="32"/>
  <c r="W33" i="32"/>
  <c r="T48" i="32"/>
  <c r="V48" i="32" s="1"/>
  <c r="U48" i="32"/>
  <c r="X48" i="32"/>
  <c r="Z48" i="32" s="1"/>
  <c r="Y48" i="32"/>
  <c r="S48" i="32"/>
  <c r="W48" i="32"/>
  <c r="T12" i="32"/>
  <c r="V12" i="32" s="1"/>
  <c r="U12" i="32"/>
  <c r="X12" i="32"/>
  <c r="Z12" i="32" s="1"/>
  <c r="Y12" i="32"/>
  <c r="S12" i="32"/>
  <c r="W12" i="32"/>
  <c r="AI33" i="32" l="1"/>
  <c r="AJ33" i="32"/>
  <c r="AK33" i="32"/>
  <c r="AI12" i="32"/>
  <c r="AJ12" i="32"/>
  <c r="AK12" i="32"/>
  <c r="AI41" i="32"/>
  <c r="AK41" i="32"/>
  <c r="AJ41" i="32"/>
  <c r="AI48" i="32"/>
  <c r="AK48" i="32"/>
  <c r="AJ48" i="32"/>
  <c r="E16" i="28" l="1"/>
  <c r="E15" i="28" s="1"/>
  <c r="P22" i="28"/>
  <c r="Q22" i="28" s="1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O22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Q15" i="28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P15" i="28"/>
  <c r="O15" i="28"/>
  <c r="N15" i="28"/>
  <c r="N25" i="28" s="1"/>
  <c r="P10" i="28"/>
  <c r="Q10" i="28" s="1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O10" i="28"/>
  <c r="AC7" i="28"/>
  <c r="AA27" i="28"/>
  <c r="AB27" i="28" s="1"/>
  <c r="AC27" i="28" s="1"/>
  <c r="AA1" i="28"/>
  <c r="AB1" i="28" s="1"/>
  <c r="AC1" i="28" s="1"/>
  <c r="AA13" i="28"/>
  <c r="AA19" i="28"/>
  <c r="AA18" i="28"/>
  <c r="AA16" i="28"/>
  <c r="AA4" i="28"/>
  <c r="U6" i="28"/>
  <c r="S6" i="28"/>
  <c r="R6" i="28"/>
  <c r="H7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O38" i="28"/>
  <c r="N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26" i="28"/>
  <c r="O24" i="28"/>
  <c r="P24" i="28" s="1"/>
  <c r="L24" i="28"/>
  <c r="A32" i="28" s="1"/>
  <c r="O23" i="28"/>
  <c r="P23" i="28" s="1"/>
  <c r="O21" i="28"/>
  <c r="P21" i="28" s="1"/>
  <c r="Y20" i="28"/>
  <c r="Z20" i="28" s="1"/>
  <c r="P20" i="28"/>
  <c r="Q20" i="28" s="1"/>
  <c r="R20" i="28" s="1"/>
  <c r="S20" i="28" s="1"/>
  <c r="T20" i="28" s="1"/>
  <c r="O19" i="28"/>
  <c r="P19" i="28" s="1"/>
  <c r="Q19" i="28" s="1"/>
  <c r="R19" i="28" s="1"/>
  <c r="S19" i="28" s="1"/>
  <c r="T19" i="28" s="1"/>
  <c r="U19" i="28" s="1"/>
  <c r="V19" i="28" s="1"/>
  <c r="W19" i="28" s="1"/>
  <c r="X19" i="28" s="1"/>
  <c r="Y19" i="28" s="1"/>
  <c r="Z19" i="28" s="1"/>
  <c r="L19" i="28"/>
  <c r="A28" i="28" s="1"/>
  <c r="O18" i="28"/>
  <c r="L18" i="28"/>
  <c r="A27" i="28" s="1"/>
  <c r="E18" i="28"/>
  <c r="M17" i="28"/>
  <c r="H23" i="28" s="1"/>
  <c r="E17" i="28"/>
  <c r="O16" i="28"/>
  <c r="L16" i="28"/>
  <c r="A25" i="28" s="1"/>
  <c r="L15" i="28"/>
  <c r="A24" i="28" s="1"/>
  <c r="O13" i="28"/>
  <c r="P13" i="28" s="1"/>
  <c r="D13" i="28"/>
  <c r="D27" i="28" s="1"/>
  <c r="A13" i="28"/>
  <c r="M12" i="28"/>
  <c r="D12" i="28"/>
  <c r="D26" i="28" s="1"/>
  <c r="A12" i="28"/>
  <c r="AC11" i="28"/>
  <c r="X11" i="28"/>
  <c r="Y11" i="28" s="1"/>
  <c r="M11" i="28"/>
  <c r="E30" i="28" s="1"/>
  <c r="A11" i="28"/>
  <c r="A10" i="28"/>
  <c r="M9" i="28"/>
  <c r="A9" i="28"/>
  <c r="M8" i="28"/>
  <c r="A8" i="28"/>
  <c r="E7" i="28"/>
  <c r="A7" i="28"/>
  <c r="M6" i="28"/>
  <c r="E6" i="28"/>
  <c r="E5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M22" i="28" l="1"/>
  <c r="H31" i="28" s="1"/>
  <c r="O25" i="28"/>
  <c r="M15" i="28"/>
  <c r="H27" i="28" s="1"/>
  <c r="M10" i="28"/>
  <c r="E34" i="28" s="1"/>
  <c r="AB4" i="28"/>
  <c r="AB19" i="28"/>
  <c r="AC19" i="28" s="1"/>
  <c r="P16" i="28"/>
  <c r="M7" i="28"/>
  <c r="E33" i="28" s="1"/>
  <c r="H5" i="28"/>
  <c r="Q24" i="28"/>
  <c r="R24" i="28" s="1"/>
  <c r="S24" i="28" s="1"/>
  <c r="T24" i="28" s="1"/>
  <c r="U24" i="28" s="1"/>
  <c r="V24" i="28" s="1"/>
  <c r="W24" i="28" s="1"/>
  <c r="X24" i="28" s="1"/>
  <c r="Y24" i="28" s="1"/>
  <c r="Z24" i="28" s="1"/>
  <c r="AB24" i="28" s="1"/>
  <c r="AC24" i="28" s="1"/>
  <c r="E32" i="28"/>
  <c r="E22" i="28"/>
  <c r="E31" i="28"/>
  <c r="Q21" i="28"/>
  <c r="R21" i="28" s="1"/>
  <c r="S21" i="28" s="1"/>
  <c r="T21" i="28" s="1"/>
  <c r="U21" i="28" s="1"/>
  <c r="V21" i="28" s="1"/>
  <c r="W21" i="28" s="1"/>
  <c r="X21" i="28" s="1"/>
  <c r="Y21" i="28" s="1"/>
  <c r="Z21" i="28" s="1"/>
  <c r="AB21" i="28" s="1"/>
  <c r="AC21" i="28" s="1"/>
  <c r="Q13" i="28"/>
  <c r="P14" i="28"/>
  <c r="Q23" i="28"/>
  <c r="R23" i="28" s="1"/>
  <c r="S23" i="28" s="1"/>
  <c r="T23" i="28" s="1"/>
  <c r="U23" i="28" s="1"/>
  <c r="V23" i="28" s="1"/>
  <c r="W23" i="28" s="1"/>
  <c r="X23" i="28" s="1"/>
  <c r="Y23" i="28" s="1"/>
  <c r="Z23" i="28" s="1"/>
  <c r="AB23" i="28" s="1"/>
  <c r="AC23" i="28" s="1"/>
  <c r="M23" i="28"/>
  <c r="N14" i="28"/>
  <c r="Q16" i="28"/>
  <c r="R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B18" i="28" s="1"/>
  <c r="AC18" i="28" s="1"/>
  <c r="O14" i="28"/>
  <c r="M20" i="28"/>
  <c r="T11" i="32"/>
  <c r="V11" i="32" s="1"/>
  <c r="U11" i="32"/>
  <c r="X11" i="32"/>
  <c r="Z11" i="32" s="1"/>
  <c r="Y11" i="32"/>
  <c r="S11" i="32"/>
  <c r="W11" i="32"/>
  <c r="T17" i="32"/>
  <c r="V17" i="32" s="1"/>
  <c r="U17" i="32"/>
  <c r="X17" i="32"/>
  <c r="Z17" i="32" s="1"/>
  <c r="Y17" i="32"/>
  <c r="S17" i="32"/>
  <c r="W17" i="32"/>
  <c r="T29" i="32"/>
  <c r="V29" i="32" s="1"/>
  <c r="U29" i="32"/>
  <c r="X29" i="32"/>
  <c r="Z29" i="32" s="1"/>
  <c r="Y29" i="32"/>
  <c r="S29" i="32"/>
  <c r="W29" i="32"/>
  <c r="AB29" i="32"/>
  <c r="T28" i="32"/>
  <c r="V28" i="32" s="1"/>
  <c r="U28" i="32"/>
  <c r="X28" i="32"/>
  <c r="Z28" i="32" s="1"/>
  <c r="Y28" i="32"/>
  <c r="S28" i="32"/>
  <c r="W28" i="32"/>
  <c r="T7" i="32"/>
  <c r="V7" i="32" s="1"/>
  <c r="U7" i="32"/>
  <c r="X7" i="32"/>
  <c r="Z7" i="32" s="1"/>
  <c r="Y7" i="32"/>
  <c r="S7" i="32"/>
  <c r="W7" i="32"/>
  <c r="T10" i="32"/>
  <c r="V10" i="32" s="1"/>
  <c r="U10" i="32"/>
  <c r="X10" i="32"/>
  <c r="Z10" i="32" s="1"/>
  <c r="Y10" i="32"/>
  <c r="S10" i="32"/>
  <c r="W10" i="32"/>
  <c r="T36" i="32"/>
  <c r="V36" i="32" s="1"/>
  <c r="U36" i="32"/>
  <c r="X36" i="32"/>
  <c r="Z36" i="32" s="1"/>
  <c r="Y36" i="32"/>
  <c r="S36" i="32"/>
  <c r="W36" i="32"/>
  <c r="T31" i="32"/>
  <c r="V31" i="32" s="1"/>
  <c r="U31" i="32"/>
  <c r="X31" i="32"/>
  <c r="Z31" i="32" s="1"/>
  <c r="Y31" i="32"/>
  <c r="S31" i="32"/>
  <c r="W31" i="32"/>
  <c r="AB31" i="32"/>
  <c r="T43" i="32"/>
  <c r="V43" i="32" s="1"/>
  <c r="U43" i="32"/>
  <c r="X43" i="32"/>
  <c r="Z43" i="32" s="1"/>
  <c r="Y43" i="32"/>
  <c r="S43" i="32"/>
  <c r="W43" i="32"/>
  <c r="AI36" i="32" l="1"/>
  <c r="AJ36" i="32"/>
  <c r="AK36" i="32"/>
  <c r="AJ17" i="32"/>
  <c r="AK17" i="32"/>
  <c r="AI17" i="32"/>
  <c r="AJ11" i="32"/>
  <c r="AK11" i="32"/>
  <c r="AI11" i="32"/>
  <c r="AI29" i="32"/>
  <c r="AJ29" i="32"/>
  <c r="AK29" i="32"/>
  <c r="AI31" i="32"/>
  <c r="AJ31" i="32"/>
  <c r="AK31" i="32"/>
  <c r="AK28" i="32"/>
  <c r="AI28" i="32"/>
  <c r="AJ28" i="32"/>
  <c r="AJ43" i="32"/>
  <c r="AK43" i="32"/>
  <c r="AI43" i="32"/>
  <c r="AJ7" i="32"/>
  <c r="AK7" i="32"/>
  <c r="AI7" i="32"/>
  <c r="AI10" i="32"/>
  <c r="AJ10" i="32"/>
  <c r="AK10" i="32"/>
  <c r="M19" i="28"/>
  <c r="H30" i="28" s="1"/>
  <c r="E29" i="28"/>
  <c r="H19" i="28"/>
  <c r="R25" i="28"/>
  <c r="S16" i="28"/>
  <c r="Q14" i="28"/>
  <c r="R13" i="28"/>
  <c r="E21" i="28"/>
  <c r="P25" i="28"/>
  <c r="M18" i="28"/>
  <c r="M21" i="28"/>
  <c r="M24" i="28"/>
  <c r="Q25" i="28"/>
  <c r="E27" i="28"/>
  <c r="E13" i="28"/>
  <c r="H86" i="26"/>
  <c r="E86" i="26"/>
  <c r="H85" i="26"/>
  <c r="E85" i="26"/>
  <c r="H84" i="26"/>
  <c r="E84" i="26"/>
  <c r="H83" i="26"/>
  <c r="E83" i="26"/>
  <c r="H82" i="26"/>
  <c r="E82" i="26"/>
  <c r="H81" i="26"/>
  <c r="E81" i="26"/>
  <c r="H80" i="26"/>
  <c r="E80" i="26"/>
  <c r="H79" i="26"/>
  <c r="E79" i="26"/>
  <c r="H78" i="26"/>
  <c r="E78" i="26"/>
  <c r="H77" i="26"/>
  <c r="E77" i="26"/>
  <c r="H76" i="26"/>
  <c r="E76" i="26"/>
  <c r="S25" i="28" l="1"/>
  <c r="T16" i="28"/>
  <c r="H29" i="28"/>
  <c r="H32" i="28"/>
  <c r="H18" i="28"/>
  <c r="H24" i="28"/>
  <c r="R14" i="28"/>
  <c r="S13" i="28"/>
  <c r="AD50" i="28"/>
  <c r="AD51" i="28"/>
  <c r="T20" i="32"/>
  <c r="V20" i="32" s="1"/>
  <c r="U20" i="32"/>
  <c r="X20" i="32"/>
  <c r="Z20" i="32" s="1"/>
  <c r="Y20" i="32"/>
  <c r="S20" i="32"/>
  <c r="W20" i="32"/>
  <c r="T19" i="32"/>
  <c r="V19" i="32" s="1"/>
  <c r="U19" i="32"/>
  <c r="X19" i="32"/>
  <c r="Z19" i="32" s="1"/>
  <c r="Y19" i="32"/>
  <c r="S19" i="32"/>
  <c r="W19" i="32"/>
  <c r="Y16" i="1"/>
  <c r="Y15" i="1"/>
  <c r="Y14" i="1"/>
  <c r="Y10" i="1"/>
  <c r="Y9" i="1"/>
  <c r="Y8" i="1"/>
  <c r="Y11" i="1"/>
  <c r="Y13" i="1"/>
  <c r="Y12" i="1"/>
  <c r="Y4" i="1"/>
  <c r="AI19" i="32" l="1"/>
  <c r="AJ19" i="32"/>
  <c r="AK19" i="32"/>
  <c r="AI20" i="32"/>
  <c r="AJ20" i="32"/>
  <c r="AK20" i="32"/>
  <c r="T13" i="28"/>
  <c r="S14" i="28"/>
  <c r="U16" i="28"/>
  <c r="T25" i="28"/>
  <c r="H22" i="28"/>
  <c r="U19" i="34"/>
  <c r="U18" i="34"/>
  <c r="U17" i="34"/>
  <c r="U16" i="34"/>
  <c r="U15" i="34"/>
  <c r="U14" i="34"/>
  <c r="U13" i="34"/>
  <c r="U12" i="34"/>
  <c r="U25" i="28" l="1"/>
  <c r="V16" i="28"/>
  <c r="U13" i="28"/>
  <c r="T14" i="28"/>
  <c r="T60" i="32"/>
  <c r="V60" i="32" s="1"/>
  <c r="U60" i="32"/>
  <c r="X60" i="32"/>
  <c r="Z60" i="32" s="1"/>
  <c r="Y60" i="32"/>
  <c r="S60" i="32"/>
  <c r="W60" i="32"/>
  <c r="T64" i="32"/>
  <c r="V64" i="32" s="1"/>
  <c r="U64" i="32"/>
  <c r="X64" i="32"/>
  <c r="Z64" i="32" s="1"/>
  <c r="Y64" i="32"/>
  <c r="S64" i="32"/>
  <c r="W64" i="32"/>
  <c r="T61" i="32"/>
  <c r="V61" i="32" s="1"/>
  <c r="U61" i="32"/>
  <c r="X61" i="32"/>
  <c r="Z61" i="32" s="1"/>
  <c r="Y61" i="32"/>
  <c r="S61" i="32"/>
  <c r="W61" i="32"/>
  <c r="T34" i="32"/>
  <c r="V34" i="32" s="1"/>
  <c r="U34" i="32"/>
  <c r="X34" i="32"/>
  <c r="Z34" i="32" s="1"/>
  <c r="Y34" i="32"/>
  <c r="S34" i="32"/>
  <c r="W34" i="32"/>
  <c r="T47" i="32"/>
  <c r="V47" i="32" s="1"/>
  <c r="U47" i="32"/>
  <c r="X47" i="32"/>
  <c r="Z47" i="32" s="1"/>
  <c r="Y47" i="32"/>
  <c r="S47" i="32"/>
  <c r="W47" i="32"/>
  <c r="AI47" i="32" l="1"/>
  <c r="AJ47" i="32"/>
  <c r="AK47" i="32"/>
  <c r="AJ60" i="32"/>
  <c r="AI60" i="32"/>
  <c r="AK60" i="32"/>
  <c r="AI34" i="32"/>
  <c r="AJ34" i="32"/>
  <c r="AK34" i="32"/>
  <c r="AJ64" i="32"/>
  <c r="AK64" i="32"/>
  <c r="AI64" i="32"/>
  <c r="AK61" i="32"/>
  <c r="AI61" i="32"/>
  <c r="AJ61" i="32"/>
  <c r="V13" i="28"/>
  <c r="U14" i="28"/>
  <c r="W16" i="28"/>
  <c r="V25" i="28"/>
  <c r="AE5" i="1"/>
  <c r="Y5" i="1"/>
  <c r="X16" i="28" l="1"/>
  <c r="W25" i="28"/>
  <c r="W13" i="28"/>
  <c r="V14" i="28"/>
  <c r="U3" i="34"/>
  <c r="U4" i="34"/>
  <c r="U5" i="34"/>
  <c r="U6" i="34"/>
  <c r="U7" i="34"/>
  <c r="U8" i="34"/>
  <c r="U9" i="34"/>
  <c r="U2" i="34"/>
  <c r="X13" i="28" l="1"/>
  <c r="W14" i="28"/>
  <c r="X25" i="28"/>
  <c r="Y16" i="28"/>
  <c r="T32" i="32"/>
  <c r="V32" i="32" s="1"/>
  <c r="U32" i="32"/>
  <c r="X32" i="32"/>
  <c r="Z32" i="32" s="1"/>
  <c r="Y32" i="32"/>
  <c r="S32" i="32"/>
  <c r="W32" i="32"/>
  <c r="T54" i="32"/>
  <c r="V54" i="32" s="1"/>
  <c r="U54" i="32"/>
  <c r="X54" i="32"/>
  <c r="Z54" i="32" s="1"/>
  <c r="Y54" i="32"/>
  <c r="S54" i="32"/>
  <c r="W54" i="32"/>
  <c r="AK32" i="32" l="1"/>
  <c r="AI32" i="32"/>
  <c r="AJ32" i="32"/>
  <c r="AI54" i="32"/>
  <c r="AK54" i="32"/>
  <c r="AJ54" i="32"/>
  <c r="Y25" i="28"/>
  <c r="Z16" i="28"/>
  <c r="Y13" i="28"/>
  <c r="X14" i="28"/>
  <c r="Y6" i="1"/>
  <c r="P4" i="24"/>
  <c r="Z13" i="28" l="1"/>
  <c r="Y14" i="28"/>
  <c r="Z25" i="28"/>
  <c r="T55" i="32"/>
  <c r="V55" i="32" s="1"/>
  <c r="U55" i="32"/>
  <c r="X55" i="32"/>
  <c r="Z55" i="32" s="1"/>
  <c r="Y55" i="32"/>
  <c r="S55" i="32"/>
  <c r="W55" i="32"/>
  <c r="AK55" i="32" l="1"/>
  <c r="AI55" i="32"/>
  <c r="AJ55" i="32"/>
  <c r="Z14" i="28"/>
  <c r="H52" i="28"/>
  <c r="E45" i="28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AH21" i="33"/>
  <c r="AI21" i="33"/>
  <c r="AJ21" i="33"/>
  <c r="AK21" i="33"/>
  <c r="B21" i="33"/>
  <c r="B20" i="33"/>
  <c r="B19" i="33"/>
  <c r="B18" i="33"/>
  <c r="D16" i="33"/>
  <c r="E16" i="33"/>
  <c r="F16" i="33"/>
  <c r="G16" i="33" s="1"/>
  <c r="H16" i="33" s="1"/>
  <c r="I16" i="33" s="1"/>
  <c r="J16" i="33" s="1"/>
  <c r="K16" i="33" s="1"/>
  <c r="L16" i="33" s="1"/>
  <c r="M16" i="33" s="1"/>
  <c r="N16" i="33" s="1"/>
  <c r="O16" i="33" s="1"/>
  <c r="P16" i="33" s="1"/>
  <c r="Q16" i="33" s="1"/>
  <c r="R16" i="33" s="1"/>
  <c r="S16" i="33" s="1"/>
  <c r="T16" i="33" s="1"/>
  <c r="U16" i="33" s="1"/>
  <c r="V16" i="33" s="1"/>
  <c r="W16" i="33" s="1"/>
  <c r="X16" i="33" s="1"/>
  <c r="Y16" i="33" s="1"/>
  <c r="Z16" i="33" s="1"/>
  <c r="AA16" i="33" s="1"/>
  <c r="AB16" i="33" s="1"/>
  <c r="AC16" i="33" s="1"/>
  <c r="AD16" i="33" s="1"/>
  <c r="AE16" i="33" s="1"/>
  <c r="AF16" i="33" s="1"/>
  <c r="AG16" i="33" s="1"/>
  <c r="AH16" i="33" s="1"/>
  <c r="AI16" i="33" s="1"/>
  <c r="AJ16" i="33" s="1"/>
  <c r="C16" i="33"/>
  <c r="B16" i="33"/>
  <c r="AJ29" i="33"/>
  <c r="AH29" i="33"/>
  <c r="AF29" i="33"/>
  <c r="AJ28" i="33"/>
  <c r="AH28" i="33"/>
  <c r="AF28" i="33"/>
  <c r="AJ27" i="33"/>
  <c r="AH27" i="33"/>
  <c r="AF27" i="33"/>
  <c r="AJ26" i="33"/>
  <c r="AH26" i="33"/>
  <c r="AF26" i="33"/>
  <c r="Q13" i="33"/>
  <c r="L7" i="33" s="1"/>
  <c r="P13" i="33"/>
  <c r="L6" i="33" s="1"/>
  <c r="O13" i="33"/>
  <c r="N13" i="33"/>
  <c r="P12" i="33"/>
  <c r="E12" i="33"/>
  <c r="P11" i="33"/>
  <c r="E11" i="33"/>
  <c r="P10" i="33"/>
  <c r="E10" i="33"/>
  <c r="P9" i="33"/>
  <c r="H9" i="33"/>
  <c r="I11" i="33" s="1"/>
  <c r="E9" i="33"/>
  <c r="P8" i="33"/>
  <c r="P7" i="33"/>
  <c r="K7" i="33"/>
  <c r="J7" i="33"/>
  <c r="I7" i="33"/>
  <c r="G7" i="33"/>
  <c r="E7" i="33"/>
  <c r="P6" i="33"/>
  <c r="K6" i="33"/>
  <c r="J6" i="33"/>
  <c r="I6" i="33"/>
  <c r="G6" i="33"/>
  <c r="E6" i="33"/>
  <c r="P5" i="33"/>
  <c r="L5" i="33"/>
  <c r="K5" i="33"/>
  <c r="J5" i="33"/>
  <c r="I5" i="33"/>
  <c r="G5" i="33"/>
  <c r="E5" i="33"/>
  <c r="P4" i="33"/>
  <c r="L4" i="33"/>
  <c r="K4" i="33"/>
  <c r="J4" i="33"/>
  <c r="I4" i="33"/>
  <c r="G4" i="33"/>
  <c r="E4" i="33"/>
  <c r="P3" i="33"/>
  <c r="C3" i="33"/>
  <c r="C8" i="33" s="1"/>
  <c r="B3" i="33"/>
  <c r="P2" i="33"/>
  <c r="AA25" i="28" l="1"/>
  <c r="AB16" i="28"/>
  <c r="C24" i="33"/>
  <c r="C23" i="33"/>
  <c r="B25" i="33"/>
  <c r="B29" i="33" s="1"/>
  <c r="B24" i="33"/>
  <c r="B28" i="33" s="1"/>
  <c r="B23" i="33"/>
  <c r="B27" i="33" s="1"/>
  <c r="C22" i="33"/>
  <c r="B30" i="33"/>
  <c r="C30" i="33" s="1"/>
  <c r="D30" i="33" s="1"/>
  <c r="E30" i="33" s="1"/>
  <c r="C11" i="33"/>
  <c r="J8" i="33"/>
  <c r="B12" i="33"/>
  <c r="B13" i="33" s="1"/>
  <c r="B10" i="33" s="1"/>
  <c r="K8" i="33"/>
  <c r="L8" i="33"/>
  <c r="D22" i="33"/>
  <c r="D26" i="33" s="1"/>
  <c r="D24" i="33"/>
  <c r="D28" i="33" s="1"/>
  <c r="B22" i="33"/>
  <c r="B26" i="33" s="1"/>
  <c r="C10" i="33"/>
  <c r="I10" i="33"/>
  <c r="I12" i="33"/>
  <c r="C9" i="33"/>
  <c r="C25" i="33"/>
  <c r="I13" i="33"/>
  <c r="AB25" i="28" l="1"/>
  <c r="AC16" i="28"/>
  <c r="AB13" i="28"/>
  <c r="AC4" i="28" s="1"/>
  <c r="AA14" i="28"/>
  <c r="D25" i="33"/>
  <c r="D29" i="33" s="1"/>
  <c r="D23" i="33"/>
  <c r="D27" i="33" s="1"/>
  <c r="D31" i="33" s="1"/>
  <c r="B17" i="33"/>
  <c r="C31" i="33"/>
  <c r="B31" i="33"/>
  <c r="B32" i="33" s="1"/>
  <c r="C32" i="33" s="1"/>
  <c r="C17" i="33"/>
  <c r="E31" i="33"/>
  <c r="F30" i="33"/>
  <c r="G30" i="33" s="1"/>
  <c r="AC25" i="28" l="1"/>
  <c r="M25" i="28" s="1"/>
  <c r="A35" i="28" s="1"/>
  <c r="M16" i="28"/>
  <c r="AC13" i="28"/>
  <c r="AB14" i="28"/>
  <c r="E24" i="33"/>
  <c r="D17" i="33"/>
  <c r="E23" i="33"/>
  <c r="E25" i="33"/>
  <c r="B33" i="33"/>
  <c r="G31" i="33"/>
  <c r="H30" i="33"/>
  <c r="I30" i="33" s="1"/>
  <c r="C33" i="33"/>
  <c r="D32" i="33"/>
  <c r="AC14" i="28" l="1"/>
  <c r="M14" i="28" s="1"/>
  <c r="M13" i="28"/>
  <c r="H28" i="28"/>
  <c r="F24" i="33"/>
  <c r="F28" i="33" s="1"/>
  <c r="F25" i="33"/>
  <c r="F29" i="33" s="1"/>
  <c r="F23" i="33"/>
  <c r="F27" i="33" s="1"/>
  <c r="E22" i="33"/>
  <c r="E17" i="33"/>
  <c r="J30" i="33"/>
  <c r="K30" i="33" s="1"/>
  <c r="I31" i="33"/>
  <c r="D33" i="33"/>
  <c r="E32" i="33"/>
  <c r="E26" i="28" l="1"/>
  <c r="E12" i="28"/>
  <c r="A15" i="28"/>
  <c r="H26" i="28"/>
  <c r="H16" i="28" s="1"/>
  <c r="G24" i="33"/>
  <c r="G25" i="33"/>
  <c r="G23" i="33"/>
  <c r="F17" i="33"/>
  <c r="F22" i="33"/>
  <c r="F26" i="33" s="1"/>
  <c r="F31" i="33" s="1"/>
  <c r="F32" i="33" s="1"/>
  <c r="L30" i="33"/>
  <c r="M30" i="33" s="1"/>
  <c r="K31" i="33"/>
  <c r="E33" i="33"/>
  <c r="H23" i="33" l="1"/>
  <c r="H27" i="33" s="1"/>
  <c r="H24" i="33"/>
  <c r="H28" i="33" s="1"/>
  <c r="H25" i="33"/>
  <c r="H29" i="33" s="1"/>
  <c r="G17" i="33"/>
  <c r="G22" i="33"/>
  <c r="M31" i="33"/>
  <c r="N30" i="33"/>
  <c r="O30" i="33" s="1"/>
  <c r="F33" i="33"/>
  <c r="G32" i="33"/>
  <c r="H10" i="28" l="1"/>
  <c r="H17" i="33"/>
  <c r="H22" i="33"/>
  <c r="H26" i="33" s="1"/>
  <c r="H31" i="33" s="1"/>
  <c r="H32" i="33" s="1"/>
  <c r="I23" i="33"/>
  <c r="I24" i="33"/>
  <c r="I25" i="33"/>
  <c r="G33" i="33"/>
  <c r="O31" i="33"/>
  <c r="P30" i="33"/>
  <c r="Q30" i="33" s="1"/>
  <c r="H35" i="28" l="1"/>
  <c r="J23" i="33"/>
  <c r="J27" i="33" s="1"/>
  <c r="J24" i="33"/>
  <c r="J28" i="33" s="1"/>
  <c r="J25" i="33"/>
  <c r="J29" i="33" s="1"/>
  <c r="I22" i="33"/>
  <c r="I17" i="33"/>
  <c r="R30" i="33"/>
  <c r="S30" i="33" s="1"/>
  <c r="Q31" i="33"/>
  <c r="I32" i="33"/>
  <c r="H33" i="33"/>
  <c r="J17" i="33" l="1"/>
  <c r="J22" i="33"/>
  <c r="J26" i="33" s="1"/>
  <c r="J31" i="33" s="1"/>
  <c r="J32" i="33" s="1"/>
  <c r="K24" i="33"/>
  <c r="K25" i="33"/>
  <c r="K23" i="33"/>
  <c r="T30" i="33"/>
  <c r="U30" i="33" s="1"/>
  <c r="S31" i="33"/>
  <c r="I33" i="33"/>
  <c r="L25" i="33" l="1"/>
  <c r="L29" i="33" s="1"/>
  <c r="L24" i="33"/>
  <c r="L28" i="33" s="1"/>
  <c r="L23" i="33"/>
  <c r="L27" i="33" s="1"/>
  <c r="K17" i="33"/>
  <c r="K22" i="33"/>
  <c r="K32" i="33"/>
  <c r="J33" i="33"/>
  <c r="U31" i="33"/>
  <c r="V30" i="33"/>
  <c r="W30" i="33" s="1"/>
  <c r="M25" i="33" l="1"/>
  <c r="M23" i="33"/>
  <c r="M24" i="33"/>
  <c r="L22" i="33"/>
  <c r="L26" i="33" s="1"/>
  <c r="L31" i="33" s="1"/>
  <c r="L32" i="33" s="1"/>
  <c r="L17" i="33"/>
  <c r="K33" i="33"/>
  <c r="W31" i="33"/>
  <c r="X30" i="33"/>
  <c r="Y30" i="33" s="1"/>
  <c r="N25" i="33" l="1"/>
  <c r="N29" i="33" s="1"/>
  <c r="N24" i="33"/>
  <c r="N28" i="33" s="1"/>
  <c r="N23" i="33"/>
  <c r="N27" i="33" s="1"/>
  <c r="M22" i="33"/>
  <c r="M17" i="33"/>
  <c r="L33" i="33"/>
  <c r="M32" i="33"/>
  <c r="Z30" i="33"/>
  <c r="AA30" i="33" s="1"/>
  <c r="Y31" i="33"/>
  <c r="N22" i="33" l="1"/>
  <c r="N26" i="33" s="1"/>
  <c r="N31" i="33" s="1"/>
  <c r="N32" i="33" s="1"/>
  <c r="N17" i="33"/>
  <c r="O25" i="33"/>
  <c r="O23" i="33"/>
  <c r="O24" i="33"/>
  <c r="AB30" i="33"/>
  <c r="AC30" i="33" s="1"/>
  <c r="AA31" i="33"/>
  <c r="M33" i="33"/>
  <c r="P24" i="33" l="1"/>
  <c r="P28" i="33" s="1"/>
  <c r="P25" i="33"/>
  <c r="P29" i="33" s="1"/>
  <c r="P23" i="33"/>
  <c r="P27" i="33" s="1"/>
  <c r="O17" i="33"/>
  <c r="O22" i="33"/>
  <c r="AC31" i="33"/>
  <c r="AD30" i="33"/>
  <c r="N33" i="33"/>
  <c r="O32" i="33"/>
  <c r="P17" i="33" l="1"/>
  <c r="P22" i="33"/>
  <c r="P26" i="33" s="1"/>
  <c r="P31" i="33" s="1"/>
  <c r="P32" i="33" s="1"/>
  <c r="Q24" i="33"/>
  <c r="Q25" i="33"/>
  <c r="Q23" i="33"/>
  <c r="O33" i="33"/>
  <c r="Q22" i="33" l="1"/>
  <c r="Q17" i="33"/>
  <c r="R24" i="33"/>
  <c r="R28" i="33" s="1"/>
  <c r="R23" i="33"/>
  <c r="R27" i="33" s="1"/>
  <c r="R25" i="33"/>
  <c r="R29" i="33" s="1"/>
  <c r="Q32" i="33"/>
  <c r="P33" i="33"/>
  <c r="R17" i="33" l="1"/>
  <c r="R22" i="33"/>
  <c r="R26" i="33" s="1"/>
  <c r="R31" i="33" s="1"/>
  <c r="R32" i="33" s="1"/>
  <c r="S25" i="33"/>
  <c r="S24" i="33"/>
  <c r="S23" i="33"/>
  <c r="Q33" i="33"/>
  <c r="S22" i="33" l="1"/>
  <c r="S17" i="33"/>
  <c r="T23" i="33"/>
  <c r="T27" i="33" s="1"/>
  <c r="T24" i="33"/>
  <c r="T28" i="33" s="1"/>
  <c r="T25" i="33"/>
  <c r="T29" i="33" s="1"/>
  <c r="S32" i="33"/>
  <c r="R33" i="33"/>
  <c r="U25" i="33" l="1"/>
  <c r="U23" i="33"/>
  <c r="U24" i="33"/>
  <c r="T22" i="33"/>
  <c r="T26" i="33" s="1"/>
  <c r="T31" i="33" s="1"/>
  <c r="T32" i="33" s="1"/>
  <c r="T17" i="33"/>
  <c r="S33" i="33"/>
  <c r="U17" i="33" l="1"/>
  <c r="U22" i="33"/>
  <c r="V23" i="33"/>
  <c r="V27" i="33" s="1"/>
  <c r="V25" i="33"/>
  <c r="V29" i="33" s="1"/>
  <c r="V24" i="33"/>
  <c r="V28" i="33" s="1"/>
  <c r="T33" i="33"/>
  <c r="U32" i="33"/>
  <c r="W23" i="33" l="1"/>
  <c r="W24" i="33"/>
  <c r="W25" i="33"/>
  <c r="V22" i="33"/>
  <c r="V26" i="33" s="1"/>
  <c r="V31" i="33" s="1"/>
  <c r="V32" i="33" s="1"/>
  <c r="V17" i="33"/>
  <c r="U33" i="33"/>
  <c r="W17" i="33" l="1"/>
  <c r="W22" i="33"/>
  <c r="X23" i="33"/>
  <c r="X27" i="33" s="1"/>
  <c r="X24" i="33"/>
  <c r="X28" i="33" s="1"/>
  <c r="X25" i="33"/>
  <c r="X29" i="33" s="1"/>
  <c r="V33" i="33"/>
  <c r="W32" i="33"/>
  <c r="X22" i="33" l="1"/>
  <c r="X26" i="33" s="1"/>
  <c r="X31" i="33" s="1"/>
  <c r="X32" i="33" s="1"/>
  <c r="X17" i="33"/>
  <c r="Y24" i="33"/>
  <c r="Y23" i="33"/>
  <c r="Y25" i="33"/>
  <c r="W33" i="33"/>
  <c r="Z25" i="33" l="1"/>
  <c r="Z29" i="33" s="1"/>
  <c r="Z23" i="33"/>
  <c r="Z27" i="33" s="1"/>
  <c r="Z24" i="33"/>
  <c r="Z28" i="33" s="1"/>
  <c r="Y22" i="33"/>
  <c r="Y17" i="33"/>
  <c r="Y32" i="33"/>
  <c r="X33" i="33"/>
  <c r="AA25" i="33" l="1"/>
  <c r="AA24" i="33"/>
  <c r="AA23" i="33"/>
  <c r="Z17" i="33"/>
  <c r="Z22" i="33"/>
  <c r="Z26" i="33" s="1"/>
  <c r="Z31" i="33" s="1"/>
  <c r="Z32" i="33" s="1"/>
  <c r="Y33" i="33"/>
  <c r="AB25" i="33" l="1"/>
  <c r="AB29" i="33" s="1"/>
  <c r="AB23" i="33"/>
  <c r="AB27" i="33" s="1"/>
  <c r="AB24" i="33"/>
  <c r="AB28" i="33" s="1"/>
  <c r="AA17" i="33"/>
  <c r="AA22" i="33"/>
  <c r="AA32" i="33"/>
  <c r="Z33" i="33"/>
  <c r="AC25" i="33" l="1"/>
  <c r="AC23" i="33"/>
  <c r="AC24" i="33"/>
  <c r="AB17" i="33"/>
  <c r="AB22" i="33"/>
  <c r="AB26" i="33" s="1"/>
  <c r="AB31" i="33" s="1"/>
  <c r="AB32" i="33" s="1"/>
  <c r="AA33" i="33"/>
  <c r="AC17" i="33" l="1"/>
  <c r="AC22" i="33"/>
  <c r="AD24" i="33"/>
  <c r="AD28" i="33" s="1"/>
  <c r="AD25" i="33"/>
  <c r="AD29" i="33" s="1"/>
  <c r="AD23" i="33"/>
  <c r="AD27" i="33" s="1"/>
  <c r="AB33" i="33"/>
  <c r="AC32" i="33"/>
  <c r="AD17" i="33" l="1"/>
  <c r="AD22" i="33"/>
  <c r="AD26" i="33" s="1"/>
  <c r="AD31" i="33" s="1"/>
  <c r="AD32" i="33" s="1"/>
  <c r="AD33" i="33" s="1"/>
  <c r="AC33" i="33"/>
  <c r="T27" i="32" l="1"/>
  <c r="V27" i="32" s="1"/>
  <c r="U27" i="32"/>
  <c r="X27" i="32"/>
  <c r="Z27" i="32" s="1"/>
  <c r="Y27" i="32"/>
  <c r="S27" i="32"/>
  <c r="W27" i="32"/>
  <c r="H75" i="26"/>
  <c r="E75" i="26"/>
  <c r="H74" i="26"/>
  <c r="E74" i="26"/>
  <c r="AI27" i="32" l="1"/>
  <c r="AJ27" i="32"/>
  <c r="AK27" i="32"/>
  <c r="H73" i="26"/>
  <c r="E73" i="26"/>
  <c r="H72" i="26"/>
  <c r="E72" i="26"/>
  <c r="H71" i="26"/>
  <c r="E71" i="26"/>
  <c r="H70" i="26"/>
  <c r="E70" i="26"/>
  <c r="H69" i="26"/>
  <c r="E69" i="26"/>
  <c r="H68" i="26"/>
  <c r="E68" i="26"/>
  <c r="S37" i="32"/>
  <c r="T37" i="32"/>
  <c r="V37" i="32" s="1"/>
  <c r="U37" i="32"/>
  <c r="W37" i="32"/>
  <c r="X37" i="32"/>
  <c r="Z37" i="32" s="1"/>
  <c r="Y37" i="32"/>
  <c r="AJ37" i="32" l="1"/>
  <c r="AK37" i="32"/>
  <c r="AI37" i="32"/>
  <c r="E57" i="28"/>
  <c r="S38" i="32"/>
  <c r="T38" i="32"/>
  <c r="V38" i="32" s="1"/>
  <c r="U38" i="32"/>
  <c r="W38" i="32"/>
  <c r="X38" i="32"/>
  <c r="Z38" i="32" s="1"/>
  <c r="Y38" i="32"/>
  <c r="T58" i="32"/>
  <c r="V58" i="32" s="1"/>
  <c r="U58" i="32"/>
  <c r="X58" i="32"/>
  <c r="Z58" i="32" s="1"/>
  <c r="Y58" i="32"/>
  <c r="S58" i="32"/>
  <c r="W58" i="32"/>
  <c r="AE17" i="1"/>
  <c r="AO26" i="24"/>
  <c r="AG26" i="24"/>
  <c r="AE26" i="24"/>
  <c r="Q26" i="24"/>
  <c r="R26" i="24"/>
  <c r="S26" i="24"/>
  <c r="T26" i="24"/>
  <c r="U26" i="24"/>
  <c r="D26" i="24"/>
  <c r="AJ11" i="24"/>
  <c r="P26" i="24" s="1"/>
  <c r="N11" i="24"/>
  <c r="AH11" i="24" s="1"/>
  <c r="N26" i="24" s="1"/>
  <c r="M11" i="24"/>
  <c r="L11" i="24"/>
  <c r="K11" i="24"/>
  <c r="J11" i="24"/>
  <c r="I11" i="24"/>
  <c r="H11" i="24"/>
  <c r="AB11" i="24" s="1"/>
  <c r="H26" i="24" s="1"/>
  <c r="G11" i="24"/>
  <c r="AI38" i="32" l="1"/>
  <c r="AJ38" i="32"/>
  <c r="AK38" i="32"/>
  <c r="AI58" i="32"/>
  <c r="AJ58" i="32"/>
  <c r="AK58" i="32"/>
  <c r="V11" i="24"/>
  <c r="AE16" i="1" s="1"/>
  <c r="E11" i="24"/>
  <c r="Y11" i="24" s="1"/>
  <c r="E26" i="24" s="1"/>
  <c r="U16" i="1"/>
  <c r="AS16" i="1"/>
  <c r="W16" i="1"/>
  <c r="R16" i="1"/>
  <c r="S16" i="1"/>
  <c r="P16" i="1"/>
  <c r="N16" i="1"/>
  <c r="AJ16" i="1" s="1"/>
  <c r="J16" i="1"/>
  <c r="K16" i="1"/>
  <c r="L16" i="1"/>
  <c r="AM16" i="1" l="1"/>
  <c r="AK16" i="1"/>
  <c r="AI16" i="1"/>
  <c r="AH16" i="1"/>
  <c r="AO16" i="1"/>
  <c r="AN16" i="1"/>
  <c r="AL16" i="1"/>
  <c r="AG15" i="1" l="1"/>
  <c r="P6" i="24"/>
  <c r="Y7" i="1"/>
  <c r="T23" i="32"/>
  <c r="V23" i="32" s="1"/>
  <c r="U23" i="32"/>
  <c r="X23" i="32"/>
  <c r="Z23" i="32" s="1"/>
  <c r="Y23" i="32"/>
  <c r="S23" i="32"/>
  <c r="W23" i="32"/>
  <c r="T53" i="32"/>
  <c r="V53" i="32" s="1"/>
  <c r="U53" i="32"/>
  <c r="X53" i="32"/>
  <c r="Z53" i="32" s="1"/>
  <c r="Y53" i="32"/>
  <c r="S53" i="32"/>
  <c r="W53" i="32"/>
  <c r="S49" i="32"/>
  <c r="T49" i="32"/>
  <c r="V49" i="32" s="1"/>
  <c r="U49" i="32"/>
  <c r="W49" i="32"/>
  <c r="X49" i="32"/>
  <c r="Z49" i="32" s="1"/>
  <c r="Y49" i="32"/>
  <c r="AJ23" i="32" l="1"/>
  <c r="AK23" i="32"/>
  <c r="AI23" i="32"/>
  <c r="AI49" i="32"/>
  <c r="AJ49" i="32"/>
  <c r="AK49" i="32"/>
  <c r="AJ53" i="32"/>
  <c r="AI53" i="32"/>
  <c r="AK53" i="32"/>
  <c r="X26" i="22"/>
  <c r="T26" i="22"/>
  <c r="H67" i="26" l="1"/>
  <c r="E67" i="26"/>
  <c r="H66" i="26"/>
  <c r="E66" i="26"/>
  <c r="H65" i="26"/>
  <c r="E65" i="26"/>
  <c r="S26" i="32" l="1"/>
  <c r="T26" i="32"/>
  <c r="V26" i="32" s="1"/>
  <c r="U26" i="32"/>
  <c r="W26" i="32"/>
  <c r="X26" i="32"/>
  <c r="Z26" i="32" s="1"/>
  <c r="Y26" i="32"/>
  <c r="S52" i="32"/>
  <c r="T52" i="32"/>
  <c r="V52" i="32" s="1"/>
  <c r="U52" i="32"/>
  <c r="W52" i="32"/>
  <c r="X52" i="32"/>
  <c r="Z52" i="32" s="1"/>
  <c r="Y52" i="32"/>
  <c r="S30" i="32"/>
  <c r="T30" i="32"/>
  <c r="V30" i="32" s="1"/>
  <c r="U30" i="32"/>
  <c r="W30" i="32"/>
  <c r="X30" i="32"/>
  <c r="Z30" i="32" s="1"/>
  <c r="Y30" i="32"/>
  <c r="AI30" i="32" l="1"/>
  <c r="AJ30" i="32"/>
  <c r="AK30" i="32"/>
  <c r="AI52" i="32"/>
  <c r="AJ52" i="32"/>
  <c r="AK52" i="32"/>
  <c r="AI26" i="32"/>
  <c r="AJ26" i="32"/>
  <c r="AK26" i="32"/>
  <c r="S39" i="32"/>
  <c r="T39" i="32"/>
  <c r="V39" i="32" s="1"/>
  <c r="U39" i="32"/>
  <c r="W39" i="32"/>
  <c r="X39" i="32"/>
  <c r="Z39" i="32" s="1"/>
  <c r="Y39" i="32"/>
  <c r="T42" i="32"/>
  <c r="V42" i="32" s="1"/>
  <c r="X42" i="32"/>
  <c r="Z42" i="32" s="1"/>
  <c r="S42" i="32"/>
  <c r="W42" i="32"/>
  <c r="Y42" i="32"/>
  <c r="S63" i="32"/>
  <c r="T63" i="32"/>
  <c r="V63" i="32" s="1"/>
  <c r="U63" i="32"/>
  <c r="W63" i="32"/>
  <c r="X63" i="32"/>
  <c r="Z63" i="32" s="1"/>
  <c r="Y63" i="32"/>
  <c r="AB57" i="32"/>
  <c r="AB44" i="32"/>
  <c r="AI44" i="32" l="1"/>
  <c r="AJ44" i="32"/>
  <c r="AK44" i="32"/>
  <c r="AI45" i="32"/>
  <c r="AJ45" i="32"/>
  <c r="AK45" i="32"/>
  <c r="AI51" i="32"/>
  <c r="AJ51" i="32"/>
  <c r="AK51" i="32"/>
  <c r="AI39" i="32"/>
  <c r="AJ39" i="32"/>
  <c r="AK39" i="32"/>
  <c r="AI63" i="32"/>
  <c r="AJ63" i="32"/>
  <c r="AK63" i="32"/>
  <c r="AJ57" i="32"/>
  <c r="AK57" i="32"/>
  <c r="AI57" i="32"/>
  <c r="AJ42" i="32"/>
  <c r="AK42" i="32"/>
  <c r="AI42" i="32"/>
  <c r="AI62" i="32"/>
  <c r="AJ62" i="32"/>
  <c r="AK62" i="32"/>
  <c r="AI40" i="32"/>
  <c r="AJ40" i="32"/>
  <c r="AK40" i="32"/>
  <c r="AI50" i="32"/>
  <c r="AJ50" i="32"/>
  <c r="AK50" i="32"/>
  <c r="AI24" i="32"/>
  <c r="AJ24" i="32"/>
  <c r="AK24" i="32"/>
  <c r="AI56" i="32"/>
  <c r="AK56" i="32"/>
  <c r="AJ56" i="32"/>
  <c r="AK46" i="32"/>
  <c r="AI46" i="32"/>
  <c r="AJ46" i="32"/>
  <c r="AK59" i="32"/>
  <c r="AI59" i="32"/>
  <c r="AJ59" i="32"/>
  <c r="U42" i="32"/>
  <c r="H64" i="26"/>
  <c r="E64" i="26"/>
  <c r="H63" i="26"/>
  <c r="E63" i="26"/>
  <c r="H62" i="26"/>
  <c r="E62" i="26"/>
  <c r="H61" i="26"/>
  <c r="E61" i="26"/>
  <c r="H60" i="26"/>
  <c r="E60" i="26"/>
  <c r="H59" i="26"/>
  <c r="E59" i="26"/>
  <c r="H58" i="26"/>
  <c r="E58" i="26"/>
  <c r="H57" i="26"/>
  <c r="E57" i="26"/>
  <c r="A6" i="12"/>
  <c r="B6" i="12"/>
  <c r="C6" i="12"/>
  <c r="G6" i="12" s="1"/>
  <c r="H6" i="12" s="1"/>
  <c r="D6" i="12"/>
  <c r="E6" i="12" s="1"/>
  <c r="F6" i="12" s="1"/>
  <c r="A7" i="12"/>
  <c r="B7" i="12"/>
  <c r="C7" i="12"/>
  <c r="G7" i="12" s="1"/>
  <c r="H7" i="12" s="1"/>
  <c r="D7" i="12"/>
  <c r="E7" i="12" s="1"/>
  <c r="F7" i="12" s="1"/>
  <c r="A8" i="12"/>
  <c r="O4" i="12" s="1"/>
  <c r="B8" i="12"/>
  <c r="C8" i="12"/>
  <c r="G8" i="12" s="1"/>
  <c r="H8" i="12" s="1"/>
  <c r="D8" i="12"/>
  <c r="E8" i="12" s="1"/>
  <c r="P4" i="12" s="1"/>
  <c r="A9" i="12"/>
  <c r="B9" i="12"/>
  <c r="C9" i="12"/>
  <c r="G9" i="12" s="1"/>
  <c r="D9" i="12"/>
  <c r="E9" i="12" s="1"/>
  <c r="F9" i="12" s="1"/>
  <c r="A10" i="12"/>
  <c r="B10" i="12"/>
  <c r="C10" i="12"/>
  <c r="G10" i="12" s="1"/>
  <c r="D10" i="12"/>
  <c r="E10" i="12" s="1"/>
  <c r="F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 s="1"/>
  <c r="F12" i="12" s="1"/>
  <c r="A13" i="12"/>
  <c r="B13" i="12"/>
  <c r="C13" i="12"/>
  <c r="G13" i="12" s="1"/>
  <c r="D13" i="12"/>
  <c r="E13" i="12" s="1"/>
  <c r="F13" i="12" s="1"/>
  <c r="A14" i="12"/>
  <c r="B14" i="12"/>
  <c r="C14" i="12"/>
  <c r="D14" i="12"/>
  <c r="E14" i="12" s="1"/>
  <c r="G14" i="12"/>
  <c r="H14" i="12" s="1"/>
  <c r="A15" i="12"/>
  <c r="O3" i="12" s="1"/>
  <c r="B15" i="12"/>
  <c r="C15" i="12"/>
  <c r="G15" i="12" s="1"/>
  <c r="D15" i="12"/>
  <c r="E15" i="12" s="1"/>
  <c r="A16" i="12"/>
  <c r="O13" i="12" s="1"/>
  <c r="B16" i="12"/>
  <c r="C16" i="12"/>
  <c r="G16" i="12" s="1"/>
  <c r="R13" i="12" s="1"/>
  <c r="D16" i="12"/>
  <c r="E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D18" i="12"/>
  <c r="E18" i="12" s="1"/>
  <c r="F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 s="1"/>
  <c r="F20" i="12" s="1"/>
  <c r="A21" i="12"/>
  <c r="O8" i="12" s="1"/>
  <c r="B21" i="12"/>
  <c r="C21" i="12"/>
  <c r="G21" i="12" s="1"/>
  <c r="R8" i="12" s="1"/>
  <c r="D21" i="12"/>
  <c r="E21" i="12" s="1"/>
  <c r="F21" i="12" s="1"/>
  <c r="Q8" i="12" s="1"/>
  <c r="A22" i="12"/>
  <c r="B22" i="12"/>
  <c r="C22" i="12"/>
  <c r="D22" i="12"/>
  <c r="E22" i="12" s="1"/>
  <c r="F22" i="12" s="1"/>
  <c r="G22" i="12"/>
  <c r="H22" i="12" s="1"/>
  <c r="AA77" i="28"/>
  <c r="A9" i="25"/>
  <c r="A10" i="25"/>
  <c r="A11" i="25"/>
  <c r="H4" i="25" s="1"/>
  <c r="A12" i="25"/>
  <c r="A13" i="25"/>
  <c r="A14" i="25"/>
  <c r="A15" i="25"/>
  <c r="A16" i="25"/>
  <c r="A17" i="25"/>
  <c r="A18" i="25"/>
  <c r="A19" i="25"/>
  <c r="A20" i="25"/>
  <c r="A21" i="25"/>
  <c r="I18" i="12" l="1"/>
  <c r="H18" i="12"/>
  <c r="J18" i="12" s="1"/>
  <c r="J6" i="12"/>
  <c r="R3" i="12"/>
  <c r="H15" i="12"/>
  <c r="S3" i="12" s="1"/>
  <c r="I19" i="12"/>
  <c r="H19" i="12"/>
  <c r="J19" i="12" s="1"/>
  <c r="J7" i="12"/>
  <c r="F8" i="12"/>
  <c r="Q4" i="12" s="1"/>
  <c r="P8" i="12"/>
  <c r="I11" i="12"/>
  <c r="H11" i="12"/>
  <c r="J11" i="12" s="1"/>
  <c r="F14" i="12"/>
  <c r="J14" i="12" s="1"/>
  <c r="I14" i="12"/>
  <c r="H10" i="12"/>
  <c r="J10" i="12" s="1"/>
  <c r="I10" i="12"/>
  <c r="P3" i="12"/>
  <c r="F15" i="12"/>
  <c r="Q3" i="12" s="1"/>
  <c r="F16" i="12"/>
  <c r="Q13" i="12" s="1"/>
  <c r="P13" i="12"/>
  <c r="S4" i="12"/>
  <c r="I22" i="12"/>
  <c r="I6" i="12"/>
  <c r="J22" i="12"/>
  <c r="I15" i="12"/>
  <c r="I7" i="12"/>
  <c r="R4" i="12"/>
  <c r="H17" i="12"/>
  <c r="J17" i="12" s="1"/>
  <c r="I17" i="12"/>
  <c r="H12" i="12"/>
  <c r="J12" i="12" s="1"/>
  <c r="I12" i="12"/>
  <c r="H13" i="12"/>
  <c r="J13" i="12" s="1"/>
  <c r="I13" i="12"/>
  <c r="H16" i="12"/>
  <c r="I16" i="12"/>
  <c r="H21" i="12"/>
  <c r="I21" i="12"/>
  <c r="H20" i="12"/>
  <c r="J20" i="12" s="1"/>
  <c r="I20" i="12"/>
  <c r="H9" i="12"/>
  <c r="J9" i="12" s="1"/>
  <c r="I9" i="12"/>
  <c r="I8" i="12"/>
  <c r="B18" i="25"/>
  <c r="C18" i="25"/>
  <c r="J15" i="12" l="1"/>
  <c r="J8" i="12"/>
  <c r="J16" i="12"/>
  <c r="S13" i="12"/>
  <c r="J21" i="12"/>
  <c r="S8" i="12"/>
  <c r="X62" i="32"/>
  <c r="Z62" i="32" s="1"/>
  <c r="S62" i="32"/>
  <c r="T62" i="32"/>
  <c r="V62" i="32" s="1"/>
  <c r="U62" i="32"/>
  <c r="Y62" i="32"/>
  <c r="W62" i="32"/>
  <c r="D18" i="25"/>
  <c r="F18" i="25" s="1"/>
  <c r="E18" i="25" l="1"/>
  <c r="B9" i="25" l="1"/>
  <c r="C9" i="25"/>
  <c r="D9" i="25" l="1"/>
  <c r="F9" i="25" s="1"/>
  <c r="E9" i="25"/>
  <c r="X8" i="27"/>
  <c r="Y8" i="27"/>
  <c r="E56" i="28" l="1"/>
  <c r="H56" i="26" l="1"/>
  <c r="E56" i="26"/>
  <c r="H55" i="26" l="1"/>
  <c r="E55" i="26"/>
  <c r="H38" i="26" l="1"/>
  <c r="E38" i="26"/>
  <c r="N23" i="24" l="1"/>
  <c r="AI8" i="24"/>
  <c r="O23" i="24" s="1"/>
  <c r="AJ8" i="24"/>
  <c r="AK8" i="24"/>
  <c r="Q23" i="24" s="1"/>
  <c r="AL8" i="24"/>
  <c r="R23" i="24" s="1"/>
  <c r="AM8" i="24"/>
  <c r="S23" i="24" s="1"/>
  <c r="AN8" i="24"/>
  <c r="T23" i="24" s="1"/>
  <c r="AO8" i="24"/>
  <c r="U23" i="24" s="1"/>
  <c r="AP8" i="24" l="1"/>
  <c r="P23" i="24"/>
  <c r="V23" i="24" s="1"/>
  <c r="G8" i="24"/>
  <c r="H8" i="24"/>
  <c r="I8" i="24"/>
  <c r="J8" i="24"/>
  <c r="K8" i="24"/>
  <c r="L8" i="24"/>
  <c r="M8" i="24"/>
  <c r="N8" i="24"/>
  <c r="E8" i="24"/>
  <c r="Y8" i="24" l="1"/>
  <c r="E23" i="24" s="1"/>
  <c r="Y23" i="24" s="1"/>
  <c r="V49" i="28"/>
  <c r="V45" i="28"/>
  <c r="H48" i="26" l="1"/>
  <c r="E48" i="26"/>
  <c r="H5" i="26"/>
  <c r="E5" i="26"/>
  <c r="H47" i="26"/>
  <c r="E47" i="26"/>
  <c r="H4" i="26"/>
  <c r="E4" i="26"/>
  <c r="H6" i="26" l="1"/>
  <c r="E6" i="26"/>
  <c r="T54" i="28" l="1"/>
  <c r="S45" i="28"/>
  <c r="H50" i="28"/>
  <c r="T47" i="28"/>
  <c r="T45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54" i="28" l="1"/>
  <c r="AE18" i="1" l="1"/>
  <c r="N7" i="26" l="1"/>
  <c r="E54" i="26"/>
  <c r="H54" i="26"/>
  <c r="E50" i="26" l="1"/>
  <c r="H50" i="26"/>
  <c r="N3" i="26" l="1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3" i="27"/>
  <c r="Y13" i="27"/>
  <c r="E13" i="27"/>
  <c r="AB17" i="1" l="1"/>
  <c r="AE21" i="1"/>
  <c r="AB21" i="1"/>
  <c r="AB18" i="1"/>
  <c r="AB15" i="1"/>
  <c r="AB14" i="1"/>
  <c r="AB9" i="1"/>
  <c r="AB7" i="1"/>
  <c r="AB8" i="1"/>
  <c r="AB11" i="1"/>
  <c r="AB13" i="1"/>
  <c r="AB12" i="1"/>
  <c r="O45" i="28" l="1"/>
  <c r="O77" i="28" l="1"/>
  <c r="N49" i="28"/>
  <c r="E25" i="26" l="1"/>
  <c r="H25" i="26"/>
  <c r="X3" i="27" l="1"/>
  <c r="Y3" i="27"/>
  <c r="E3" i="27"/>
  <c r="H46" i="28" l="1"/>
  <c r="H44" i="28" s="1"/>
  <c r="E46" i="28"/>
  <c r="E44" i="28"/>
  <c r="N77" i="28"/>
  <c r="P42" i="28"/>
  <c r="N50" i="28"/>
  <c r="T46" i="28"/>
  <c r="M44" i="28"/>
  <c r="M43" i="28"/>
  <c r="N43" i="28" s="1"/>
  <c r="AD77" i="28"/>
  <c r="AC77" i="28"/>
  <c r="AB77" i="28"/>
  <c r="Z77" i="28"/>
  <c r="Y77" i="28"/>
  <c r="X77" i="28"/>
  <c r="W77" i="28"/>
  <c r="V77" i="28"/>
  <c r="S77" i="28"/>
  <c r="R77" i="28"/>
  <c r="Q77" i="28"/>
  <c r="P77" i="28"/>
  <c r="A70" i="28"/>
  <c r="A69" i="28"/>
  <c r="A68" i="28"/>
  <c r="N66" i="28"/>
  <c r="O66" i="28" s="1"/>
  <c r="P66" i="28" s="1"/>
  <c r="Q66" i="28" s="1"/>
  <c r="R66" i="28" s="1"/>
  <c r="S66" i="28" s="1"/>
  <c r="T66" i="28" s="1"/>
  <c r="U66" i="28" s="1"/>
  <c r="V66" i="28" s="1"/>
  <c r="W66" i="28" s="1"/>
  <c r="X66" i="28" s="1"/>
  <c r="Y66" i="28" s="1"/>
  <c r="Z66" i="28" s="1"/>
  <c r="A65" i="28"/>
  <c r="O63" i="28"/>
  <c r="P63" i="28" s="1"/>
  <c r="Q63" i="28" s="1"/>
  <c r="L63" i="28"/>
  <c r="A71" i="28" s="1"/>
  <c r="O62" i="28"/>
  <c r="P62" i="28" s="1"/>
  <c r="Q62" i="28" s="1"/>
  <c r="Z61" i="28"/>
  <c r="P60" i="28"/>
  <c r="Q60" i="28" s="1"/>
  <c r="O60" i="28"/>
  <c r="P59" i="28"/>
  <c r="Q59" i="28" s="1"/>
  <c r="R59" i="28" s="1"/>
  <c r="S59" i="28" s="1"/>
  <c r="T59" i="28" s="1"/>
  <c r="Y59" i="28" s="1"/>
  <c r="Z59" i="28" s="1"/>
  <c r="N64" i="28"/>
  <c r="O58" i="28"/>
  <c r="P58" i="28" s="1"/>
  <c r="L58" i="28"/>
  <c r="A67" i="28" s="1"/>
  <c r="O57" i="28"/>
  <c r="L57" i="28"/>
  <c r="A66" i="28" s="1"/>
  <c r="M56" i="28"/>
  <c r="H62" i="28" s="1"/>
  <c r="O55" i="28"/>
  <c r="P55" i="28" s="1"/>
  <c r="L55" i="28"/>
  <c r="A64" i="28" s="1"/>
  <c r="L54" i="28"/>
  <c r="A63" i="28" s="1"/>
  <c r="O52" i="28"/>
  <c r="P52" i="28" s="1"/>
  <c r="D52" i="28"/>
  <c r="D66" i="28" s="1"/>
  <c r="A52" i="28"/>
  <c r="M51" i="28"/>
  <c r="E70" i="28" s="1"/>
  <c r="D51" i="28"/>
  <c r="D65" i="28" s="1"/>
  <c r="A51" i="28"/>
  <c r="A50" i="28"/>
  <c r="A49" i="28"/>
  <c r="M48" i="28"/>
  <c r="A48" i="28"/>
  <c r="M47" i="28"/>
  <c r="A47" i="28"/>
  <c r="A46" i="28"/>
  <c r="O53" i="28"/>
  <c r="M45" i="28"/>
  <c r="E71" i="28" s="1"/>
  <c r="A45" i="28"/>
  <c r="O40" i="28"/>
  <c r="P40" i="28" s="1"/>
  <c r="Q40" i="28" s="1"/>
  <c r="R40" i="28" s="1"/>
  <c r="S40" i="28" s="1"/>
  <c r="T40" i="28" s="1"/>
  <c r="U40" i="28" s="1"/>
  <c r="V40" i="28" s="1"/>
  <c r="W40" i="28" s="1"/>
  <c r="X40" i="28" s="1"/>
  <c r="Y40" i="28" s="1"/>
  <c r="Z40" i="28" s="1"/>
  <c r="AA40" i="28" l="1"/>
  <c r="AB40" i="28" s="1"/>
  <c r="AC40" i="28" s="1"/>
  <c r="AD40" i="28" s="1"/>
  <c r="AA59" i="28"/>
  <c r="AA66" i="28"/>
  <c r="AB66" i="28" s="1"/>
  <c r="AC66" i="28" s="1"/>
  <c r="AD66" i="28" s="1"/>
  <c r="Q42" i="28"/>
  <c r="R42" i="28" s="1"/>
  <c r="S42" i="28" s="1"/>
  <c r="M61" i="28"/>
  <c r="H70" i="28" s="1"/>
  <c r="E54" i="28"/>
  <c r="P53" i="28"/>
  <c r="X50" i="28"/>
  <c r="Y50" i="28" s="1"/>
  <c r="AB50" i="28" s="1"/>
  <c r="Q58" i="28"/>
  <c r="R58" i="28" s="1"/>
  <c r="S58" i="28" s="1"/>
  <c r="T58" i="28" s="1"/>
  <c r="U58" i="28" s="1"/>
  <c r="V58" i="28" s="1"/>
  <c r="W58" i="28" s="1"/>
  <c r="X58" i="28" s="1"/>
  <c r="Y58" i="28" s="1"/>
  <c r="Z58" i="28" s="1"/>
  <c r="R62" i="28"/>
  <c r="S62" i="28" s="1"/>
  <c r="T62" i="28" s="1"/>
  <c r="U62" i="28" s="1"/>
  <c r="V62" i="28" s="1"/>
  <c r="W62" i="28" s="1"/>
  <c r="X62" i="28" s="1"/>
  <c r="Y62" i="28" s="1"/>
  <c r="Z62" i="28" s="1"/>
  <c r="E61" i="28"/>
  <c r="R63" i="28"/>
  <c r="S63" i="28" s="1"/>
  <c r="T63" i="28" s="1"/>
  <c r="U63" i="28" s="1"/>
  <c r="V63" i="28" s="1"/>
  <c r="W63" i="28" s="1"/>
  <c r="X63" i="28" s="1"/>
  <c r="Y63" i="28" s="1"/>
  <c r="Z63" i="28" s="1"/>
  <c r="R60" i="28"/>
  <c r="S60" i="28" s="1"/>
  <c r="T60" i="28" s="1"/>
  <c r="U60" i="28" s="1"/>
  <c r="V60" i="28" s="1"/>
  <c r="W60" i="28" s="1"/>
  <c r="X60" i="28" s="1"/>
  <c r="Y60" i="28" s="1"/>
  <c r="Z60" i="28" s="1"/>
  <c r="E50" i="28"/>
  <c r="O43" i="28"/>
  <c r="P43" i="28" s="1"/>
  <c r="Q43" i="28" s="1"/>
  <c r="Q52" i="28"/>
  <c r="R52" i="28" s="1"/>
  <c r="S52" i="28" s="1"/>
  <c r="T52" i="28" s="1"/>
  <c r="U52" i="28" s="1"/>
  <c r="V52" i="28" s="1"/>
  <c r="W52" i="28" s="1"/>
  <c r="X52" i="28" s="1"/>
  <c r="Y52" i="28" s="1"/>
  <c r="Z52" i="28" s="1"/>
  <c r="Q55" i="28"/>
  <c r="R55" i="28" s="1"/>
  <c r="S55" i="28" s="1"/>
  <c r="T55" i="28" s="1"/>
  <c r="U55" i="28" s="1"/>
  <c r="V55" i="28" s="1"/>
  <c r="W55" i="28" s="1"/>
  <c r="X55" i="28" s="1"/>
  <c r="Y55" i="28" s="1"/>
  <c r="Z55" i="28" s="1"/>
  <c r="P57" i="28"/>
  <c r="Q57" i="28" s="1"/>
  <c r="R57" i="28" s="1"/>
  <c r="S57" i="28" s="1"/>
  <c r="T57" i="28" s="1"/>
  <c r="U57" i="28" s="1"/>
  <c r="V57" i="28" s="1"/>
  <c r="W57" i="28" s="1"/>
  <c r="X57" i="28" s="1"/>
  <c r="Y57" i="28" s="1"/>
  <c r="Z57" i="28" s="1"/>
  <c r="M49" i="28"/>
  <c r="N53" i="28"/>
  <c r="O64" i="28"/>
  <c r="N44" i="28"/>
  <c r="AA63" i="28" l="1"/>
  <c r="AA57" i="28"/>
  <c r="AA58" i="28"/>
  <c r="AA52" i="28"/>
  <c r="AA53" i="28" s="1"/>
  <c r="AB59" i="28"/>
  <c r="AA60" i="28"/>
  <c r="AA62" i="28"/>
  <c r="AA55" i="28"/>
  <c r="AB55" i="28" s="1"/>
  <c r="T42" i="28"/>
  <c r="U42" i="28" s="1"/>
  <c r="V42" i="28" s="1"/>
  <c r="W42" i="28" s="1"/>
  <c r="X42" i="28" s="1"/>
  <c r="Y42" i="28" s="1"/>
  <c r="Z42" i="28" s="1"/>
  <c r="R43" i="28"/>
  <c r="S43" i="28" s="1"/>
  <c r="T43" i="28" s="1"/>
  <c r="U43" i="28" s="1"/>
  <c r="V43" i="28" s="1"/>
  <c r="W43" i="28" s="1"/>
  <c r="X43" i="28" s="1"/>
  <c r="Y43" i="28" s="1"/>
  <c r="Z43" i="28" s="1"/>
  <c r="S53" i="28"/>
  <c r="Q53" i="28"/>
  <c r="N65" i="28"/>
  <c r="O44" i="28" s="1"/>
  <c r="O65" i="28" s="1"/>
  <c r="P44" i="28" s="1"/>
  <c r="E64" i="28"/>
  <c r="Q64" i="28"/>
  <c r="E60" i="28"/>
  <c r="T53" i="28"/>
  <c r="M50" i="28"/>
  <c r="E73" i="28"/>
  <c r="P64" i="28"/>
  <c r="R53" i="28"/>
  <c r="AB60" i="28" l="1"/>
  <c r="AC60" i="28" s="1"/>
  <c r="AD60" i="28" s="1"/>
  <c r="AB52" i="28"/>
  <c r="AC52" i="28" s="1"/>
  <c r="AD52" i="28" s="1"/>
  <c r="AC55" i="28"/>
  <c r="AD55" i="28" s="1"/>
  <c r="M55" i="28"/>
  <c r="H67" i="28" s="1"/>
  <c r="M62" i="28"/>
  <c r="E66" i="28" s="1"/>
  <c r="AB58" i="28"/>
  <c r="AC58" i="28" s="1"/>
  <c r="AD58" i="28" s="1"/>
  <c r="AA64" i="28"/>
  <c r="AA42" i="28"/>
  <c r="AB42" i="28" s="1"/>
  <c r="AC42" i="28" s="1"/>
  <c r="AD42" i="28" s="1"/>
  <c r="AB57" i="28"/>
  <c r="AB62" i="28"/>
  <c r="AC62" i="28" s="1"/>
  <c r="AD62" i="28" s="1"/>
  <c r="AB63" i="28"/>
  <c r="AC63" i="28" s="1"/>
  <c r="AD63" i="28" s="1"/>
  <c r="M52" i="28"/>
  <c r="E65" i="28" s="1"/>
  <c r="E63" i="28" s="1"/>
  <c r="AA43" i="28"/>
  <c r="AB43" i="28" s="1"/>
  <c r="AC43" i="28" s="1"/>
  <c r="AD43" i="28" s="1"/>
  <c r="M4" i="28" s="1"/>
  <c r="N4" i="28" s="1"/>
  <c r="M59" i="28"/>
  <c r="H58" i="28" s="1"/>
  <c r="H57" i="28" s="1"/>
  <c r="U53" i="28"/>
  <c r="R64" i="28"/>
  <c r="P65" i="28"/>
  <c r="Q44" i="28" s="1"/>
  <c r="Q65" i="28" s="1"/>
  <c r="R44" i="28" s="1"/>
  <c r="E69" i="28"/>
  <c r="E11" i="28" l="1"/>
  <c r="O4" i="28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M60" i="28"/>
  <c r="H63" i="28" s="1"/>
  <c r="M63" i="28"/>
  <c r="H71" i="28" s="1"/>
  <c r="E51" i="28"/>
  <c r="AC57" i="28"/>
  <c r="AD57" i="28" s="1"/>
  <c r="M57" i="28"/>
  <c r="H68" i="28" s="1"/>
  <c r="E52" i="28"/>
  <c r="E49" i="28" s="1"/>
  <c r="M58" i="28"/>
  <c r="H69" i="28" s="1"/>
  <c r="S64" i="28"/>
  <c r="R65" i="28"/>
  <c r="S44" i="28" s="1"/>
  <c r="V53" i="28"/>
  <c r="H61" i="28"/>
  <c r="E10" i="28" l="1"/>
  <c r="T64" i="28"/>
  <c r="W53" i="28"/>
  <c r="S65" i="28"/>
  <c r="T44" i="28" s="1"/>
  <c r="T65" i="28" l="1"/>
  <c r="U44" i="28" s="1"/>
  <c r="X53" i="28"/>
  <c r="U64" i="28"/>
  <c r="U65" i="28" l="1"/>
  <c r="V44" i="28" s="1"/>
  <c r="V64" i="28"/>
  <c r="Y53" i="28"/>
  <c r="V65" i="28" l="1"/>
  <c r="V80" i="28" s="1"/>
  <c r="Z53" i="28"/>
  <c r="W64" i="28"/>
  <c r="W44" i="28" l="1"/>
  <c r="W65" i="28" s="1"/>
  <c r="X44" i="28" s="1"/>
  <c r="X64" i="28"/>
  <c r="X65" i="28" l="1"/>
  <c r="Y44" i="28" s="1"/>
  <c r="Y64" i="28"/>
  <c r="AB53" i="28"/>
  <c r="Y65" i="28" l="1"/>
  <c r="Z44" i="28" s="1"/>
  <c r="AC53" i="28"/>
  <c r="Z64" i="28"/>
  <c r="Z65" i="28" l="1"/>
  <c r="AA44" i="28" s="1"/>
  <c r="AA65" i="28" s="1"/>
  <c r="AD53" i="28"/>
  <c r="M53" i="28" s="1"/>
  <c r="M46" i="28"/>
  <c r="B11" i="28" l="1"/>
  <c r="B6" i="28"/>
  <c r="B10" i="28"/>
  <c r="B8" i="28"/>
  <c r="B9" i="28"/>
  <c r="B12" i="28"/>
  <c r="B7" i="28"/>
  <c r="B13" i="28"/>
  <c r="B14" i="28" s="1"/>
  <c r="AB44" i="28"/>
  <c r="A54" i="28"/>
  <c r="B51" i="28"/>
  <c r="B47" i="28"/>
  <c r="B48" i="28"/>
  <c r="B45" i="28"/>
  <c r="B49" i="28"/>
  <c r="B50" i="28"/>
  <c r="B52" i="28"/>
  <c r="B46" i="28"/>
  <c r="E72" i="28"/>
  <c r="AB64" i="28"/>
  <c r="AB65" i="28" l="1"/>
  <c r="AC44" i="28" s="1"/>
  <c r="B53" i="28"/>
  <c r="AC64" i="28"/>
  <c r="E68" i="28"/>
  <c r="AC65" i="28" l="1"/>
  <c r="AD44" i="28" s="1"/>
  <c r="E74" i="28"/>
  <c r="F68" i="28" s="1"/>
  <c r="AD64" i="28"/>
  <c r="M64" i="28" s="1"/>
  <c r="M54" i="28"/>
  <c r="B24" i="28" l="1"/>
  <c r="B31" i="28"/>
  <c r="B26" i="28"/>
  <c r="B29" i="28"/>
  <c r="B28" i="28"/>
  <c r="B27" i="28"/>
  <c r="B30" i="28"/>
  <c r="B32" i="28"/>
  <c r="B25" i="28"/>
  <c r="H66" i="28"/>
  <c r="B63" i="28"/>
  <c r="A74" i="28"/>
  <c r="B70" i="28"/>
  <c r="B65" i="28"/>
  <c r="B68" i="28"/>
  <c r="B71" i="28"/>
  <c r="B67" i="28"/>
  <c r="B69" i="28"/>
  <c r="B64" i="28"/>
  <c r="B66" i="28"/>
  <c r="M65" i="28"/>
  <c r="F47" i="28"/>
  <c r="F55" i="28"/>
  <c r="F45" i="28"/>
  <c r="F56" i="28"/>
  <c r="F46" i="28"/>
  <c r="F71" i="28"/>
  <c r="F57" i="28"/>
  <c r="F70" i="28"/>
  <c r="F58" i="28"/>
  <c r="F54" i="28"/>
  <c r="F44" i="28"/>
  <c r="F61" i="28"/>
  <c r="F50" i="28"/>
  <c r="F60" i="28"/>
  <c r="F52" i="28"/>
  <c r="F64" i="28"/>
  <c r="F73" i="28"/>
  <c r="F66" i="28"/>
  <c r="F65" i="28"/>
  <c r="F63" i="28"/>
  <c r="F69" i="28"/>
  <c r="F51" i="28"/>
  <c r="F49" i="28"/>
  <c r="F72" i="28"/>
  <c r="AD65" i="28"/>
  <c r="M5" i="28" s="1"/>
  <c r="B33" i="28" l="1"/>
  <c r="N5" i="28"/>
  <c r="M26" i="28"/>
  <c r="F74" i="28"/>
  <c r="B72" i="28"/>
  <c r="H65" i="28"/>
  <c r="E25" i="28" l="1"/>
  <c r="N26" i="28"/>
  <c r="O5" i="28" s="1"/>
  <c r="O26" i="28" s="1"/>
  <c r="P5" i="28" s="1"/>
  <c r="P26" i="28" s="1"/>
  <c r="Q5" i="28" s="1"/>
  <c r="Q26" i="28" s="1"/>
  <c r="R5" i="28" s="1"/>
  <c r="R26" i="28" s="1"/>
  <c r="S5" i="28" s="1"/>
  <c r="S26" i="28" s="1"/>
  <c r="T5" i="28" s="1"/>
  <c r="T26" i="28" s="1"/>
  <c r="U5" i="28" s="1"/>
  <c r="U26" i="28" s="1"/>
  <c r="V5" i="28" s="1"/>
  <c r="V26" i="28" s="1"/>
  <c r="W5" i="28" s="1"/>
  <c r="W26" i="28" s="1"/>
  <c r="X5" i="28" s="1"/>
  <c r="X26" i="28" s="1"/>
  <c r="Y5" i="28" s="1"/>
  <c r="Y26" i="28" s="1"/>
  <c r="Z5" i="28" s="1"/>
  <c r="Z26" i="28" s="1"/>
  <c r="AA5" i="28" s="1"/>
  <c r="AA26" i="28" s="1"/>
  <c r="AB5" i="28" s="1"/>
  <c r="AB26" i="28" s="1"/>
  <c r="AC5" i="28" s="1"/>
  <c r="AC26" i="28" s="1"/>
  <c r="H55" i="28"/>
  <c r="E24" i="28" l="1"/>
  <c r="E35" i="28" s="1"/>
  <c r="F25" i="28" s="1"/>
  <c r="H49" i="28"/>
  <c r="F24" i="28" l="1"/>
  <c r="F34" i="28"/>
  <c r="F12" i="28"/>
  <c r="F22" i="28"/>
  <c r="F15" i="28"/>
  <c r="F33" i="28"/>
  <c r="F8" i="28"/>
  <c r="F16" i="28"/>
  <c r="F13" i="28"/>
  <c r="F7" i="28"/>
  <c r="F6" i="28"/>
  <c r="F5" i="28"/>
  <c r="F21" i="28"/>
  <c r="F32" i="28"/>
  <c r="F29" i="28"/>
  <c r="F17" i="28"/>
  <c r="F19" i="28"/>
  <c r="F18" i="28"/>
  <c r="F31" i="28"/>
  <c r="F27" i="28"/>
  <c r="F26" i="28"/>
  <c r="F30" i="28"/>
  <c r="H36" i="28"/>
  <c r="F11" i="28"/>
  <c r="F10" i="28"/>
  <c r="H74" i="28"/>
  <c r="F35" i="28" l="1"/>
  <c r="I49" i="28"/>
  <c r="I6" i="28"/>
  <c r="I14" i="28"/>
  <c r="I15" i="28"/>
  <c r="I12" i="28"/>
  <c r="I11" i="28"/>
  <c r="I13" i="28"/>
  <c r="I7" i="28"/>
  <c r="I31" i="28"/>
  <c r="I23" i="28"/>
  <c r="I5" i="28"/>
  <c r="I27" i="28"/>
  <c r="I19" i="28"/>
  <c r="I30" i="28"/>
  <c r="I18" i="28"/>
  <c r="I29" i="28"/>
  <c r="I32" i="28"/>
  <c r="I24" i="28"/>
  <c r="I22" i="28"/>
  <c r="I28" i="28"/>
  <c r="I26" i="28"/>
  <c r="I16" i="28"/>
  <c r="I10" i="28"/>
  <c r="I35" i="28"/>
  <c r="I54" i="28"/>
  <c r="I50" i="28"/>
  <c r="I74" i="28"/>
  <c r="I51" i="28"/>
  <c r="I45" i="28"/>
  <c r="I53" i="28"/>
  <c r="I52" i="28"/>
  <c r="I62" i="28"/>
  <c r="I46" i="28"/>
  <c r="I44" i="28"/>
  <c r="I70" i="28"/>
  <c r="I69" i="28"/>
  <c r="I71" i="28"/>
  <c r="I58" i="28"/>
  <c r="I68" i="28"/>
  <c r="I67" i="28"/>
  <c r="I63" i="28"/>
  <c r="I57" i="28"/>
  <c r="I61" i="28"/>
  <c r="H75" i="28"/>
  <c r="I66" i="28"/>
  <c r="I65" i="28"/>
  <c r="I55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27" i="27" s="1"/>
  <c r="Y21" i="27"/>
  <c r="X21" i="27"/>
  <c r="E21" i="27"/>
  <c r="Y28" i="27"/>
  <c r="X28" i="27"/>
  <c r="F28" i="27"/>
  <c r="E28" i="27" s="1"/>
  <c r="Y27" i="27"/>
  <c r="X27" i="27"/>
  <c r="F27" i="27"/>
  <c r="E27" i="27" s="1"/>
  <c r="E8" i="27"/>
  <c r="Y26" i="27"/>
  <c r="X26" i="27"/>
  <c r="Y25" i="27"/>
  <c r="X25" i="27"/>
  <c r="F25" i="27"/>
  <c r="E25" i="27" s="1"/>
  <c r="Y24" i="27"/>
  <c r="X24" i="27"/>
  <c r="F24" i="27"/>
  <c r="E24" i="27" s="1"/>
  <c r="Y17" i="27"/>
  <c r="X17" i="27"/>
  <c r="E17" i="27"/>
  <c r="Y16" i="27"/>
  <c r="X16" i="27"/>
  <c r="E16" i="27"/>
  <c r="Y15" i="27"/>
  <c r="X15" i="27"/>
  <c r="E15" i="27"/>
  <c r="Y22" i="27"/>
  <c r="X22" i="27"/>
  <c r="E22" i="27"/>
  <c r="Y12" i="27"/>
  <c r="X12" i="27"/>
  <c r="E12" i="27"/>
  <c r="Y23" i="27"/>
  <c r="X23" i="27"/>
  <c r="E23" i="27"/>
  <c r="Y14" i="27"/>
  <c r="X14" i="27"/>
  <c r="E14" i="27"/>
  <c r="Y20" i="27"/>
  <c r="X20" i="27"/>
  <c r="E20" i="27"/>
  <c r="AI6" i="27"/>
  <c r="AI11" i="27" s="1"/>
  <c r="AI19" i="27" s="1"/>
  <c r="AH6" i="27"/>
  <c r="AH11" i="27" s="1"/>
  <c r="AH19" i="27" s="1"/>
  <c r="AG6" i="27"/>
  <c r="AG11" i="27" s="1"/>
  <c r="AG19" i="27" s="1"/>
  <c r="AF6" i="27"/>
  <c r="AF11" i="27" s="1"/>
  <c r="AF19" i="27" s="1"/>
  <c r="AE6" i="27"/>
  <c r="AE11" i="27" s="1"/>
  <c r="AE19" i="27" s="1"/>
  <c r="AD6" i="27"/>
  <c r="AD11" i="27" s="1"/>
  <c r="AD19" i="27" s="1"/>
  <c r="AC6" i="27"/>
  <c r="AC11" i="27" s="1"/>
  <c r="AC19" i="27" s="1"/>
  <c r="AB6" i="27"/>
  <c r="AB11" i="27" s="1"/>
  <c r="AB19" i="27" s="1"/>
  <c r="Z6" i="27"/>
  <c r="Z11" i="27" s="1"/>
  <c r="Z19" i="27" s="1"/>
  <c r="Y6" i="27"/>
  <c r="Y11" i="27" s="1"/>
  <c r="Y19" i="27" s="1"/>
  <c r="X6" i="27"/>
  <c r="X11" i="27" s="1"/>
  <c r="X19" i="27" s="1"/>
  <c r="W6" i="27"/>
  <c r="W11" i="27" s="1"/>
  <c r="W19" i="27" s="1"/>
  <c r="V6" i="27"/>
  <c r="V11" i="27" s="1"/>
  <c r="V19" i="27" s="1"/>
  <c r="U6" i="27"/>
  <c r="U11" i="27" s="1"/>
  <c r="U19" i="27" s="1"/>
  <c r="T6" i="27"/>
  <c r="T11" i="27" s="1"/>
  <c r="T19" i="27" s="1"/>
  <c r="S6" i="27"/>
  <c r="S11" i="27" s="1"/>
  <c r="S19" i="27" s="1"/>
  <c r="R6" i="27"/>
  <c r="R11" i="27" s="1"/>
  <c r="R19" i="27" s="1"/>
  <c r="Q6" i="27"/>
  <c r="Q11" i="27" s="1"/>
  <c r="Q19" i="27" s="1"/>
  <c r="P6" i="27"/>
  <c r="P11" i="27" s="1"/>
  <c r="P19" i="27" s="1"/>
  <c r="O6" i="27"/>
  <c r="O11" i="27" s="1"/>
  <c r="O19" i="27" s="1"/>
  <c r="N6" i="27"/>
  <c r="N11" i="27" s="1"/>
  <c r="N19" i="27" s="1"/>
  <c r="M6" i="27"/>
  <c r="M11" i="27" s="1"/>
  <c r="M19" i="27" s="1"/>
  <c r="L6" i="27"/>
  <c r="L11" i="27" s="1"/>
  <c r="L19" i="27" s="1"/>
  <c r="K6" i="27"/>
  <c r="K11" i="27" s="1"/>
  <c r="K19" i="27" s="1"/>
  <c r="I6" i="27"/>
  <c r="I11" i="27" s="1"/>
  <c r="I19" i="27" s="1"/>
  <c r="H6" i="27"/>
  <c r="H11" i="27" s="1"/>
  <c r="H19" i="27" s="1"/>
  <c r="G6" i="27"/>
  <c r="G11" i="27" s="1"/>
  <c r="G19" i="27" s="1"/>
  <c r="F6" i="27"/>
  <c r="F11" i="27" s="1"/>
  <c r="F19" i="27" s="1"/>
  <c r="Y7" i="27"/>
  <c r="X7" i="27"/>
  <c r="E7" i="27"/>
  <c r="C8" i="27" l="1"/>
  <c r="C13" i="27"/>
  <c r="A36" i="27"/>
  <c r="A33" i="27" s="1"/>
  <c r="C21" i="27" s="1"/>
  <c r="E28" i="26"/>
  <c r="H28" i="26"/>
  <c r="C14" i="27" l="1"/>
  <c r="C7" i="27"/>
  <c r="C20" i="27"/>
  <c r="C22" i="27"/>
  <c r="C15" i="27"/>
  <c r="C16" i="27"/>
  <c r="C3" i="27"/>
  <c r="C17" i="27"/>
  <c r="C23" i="27"/>
  <c r="C28" i="27"/>
  <c r="C25" i="27"/>
  <c r="C24" i="27"/>
  <c r="C26" i="27"/>
  <c r="C12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O17" i="3"/>
  <c r="R17" i="3" s="1"/>
  <c r="P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P19" i="3"/>
  <c r="Q19" i="3"/>
  <c r="A19" i="3"/>
  <c r="B19" i="3"/>
  <c r="D19" i="3"/>
  <c r="E19" i="3"/>
  <c r="F19" i="3"/>
  <c r="G19" i="3" s="1"/>
  <c r="A18" i="3"/>
  <c r="B18" i="3"/>
  <c r="D18" i="3"/>
  <c r="E18" i="3"/>
  <c r="F18" i="3"/>
  <c r="H18" i="3" s="1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G17" i="3" s="1"/>
  <c r="D3" i="3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O7" i="12"/>
  <c r="S7" i="12"/>
  <c r="Q7" i="12"/>
  <c r="O6" i="12"/>
  <c r="R6" i="12"/>
  <c r="Q6" i="12"/>
  <c r="O11" i="12"/>
  <c r="Q11" i="12"/>
  <c r="S10" i="12"/>
  <c r="O9" i="12"/>
  <c r="R9" i="12"/>
  <c r="Q9" i="12"/>
  <c r="O12" i="12"/>
  <c r="R12" i="12"/>
  <c r="P12" i="12"/>
  <c r="D3" i="12"/>
  <c r="C3" i="12"/>
  <c r="B3" i="12"/>
  <c r="A3" i="12"/>
  <c r="O5" i="12" s="1"/>
  <c r="R12" i="25"/>
  <c r="G18" i="3" l="1"/>
  <c r="S19" i="3"/>
  <c r="S18" i="3"/>
  <c r="S8" i="3"/>
  <c r="S7" i="3"/>
  <c r="S6" i="3"/>
  <c r="S5" i="3"/>
  <c r="S17" i="3"/>
  <c r="R4" i="3"/>
  <c r="R11" i="3"/>
  <c r="T19" i="3"/>
  <c r="T18" i="3"/>
  <c r="T17" i="3"/>
  <c r="H5" i="12"/>
  <c r="R19" i="3"/>
  <c r="T12" i="3"/>
  <c r="T4" i="3"/>
  <c r="T7" i="3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P9" i="12"/>
  <c r="H17" i="3"/>
  <c r="BR13" i="3"/>
  <c r="BH13" i="3"/>
  <c r="Q10" i="12"/>
  <c r="R11" i="12"/>
  <c r="BU13" i="3"/>
  <c r="AT13" i="3"/>
  <c r="AV13" i="3" s="1"/>
  <c r="Q12" i="12"/>
  <c r="R10" i="12"/>
  <c r="W13" i="3"/>
  <c r="Y13" i="3" s="1"/>
  <c r="R6" i="3"/>
  <c r="R5" i="3"/>
  <c r="BP13" i="3"/>
  <c r="P11" i="12"/>
  <c r="R7" i="12"/>
  <c r="P6" i="12"/>
  <c r="BM13" i="3"/>
  <c r="AJ13" i="3"/>
  <c r="BX13" i="3"/>
  <c r="BA13" i="3"/>
  <c r="BC13" i="3" s="1"/>
  <c r="AG13" i="3"/>
  <c r="P7" i="12"/>
  <c r="BK13" i="3"/>
  <c r="AZ13" i="3"/>
  <c r="H19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4" i="3"/>
  <c r="H13" i="3"/>
  <c r="H5" i="3"/>
  <c r="H16" i="3"/>
  <c r="H8" i="3"/>
  <c r="H15" i="3"/>
  <c r="H7" i="3"/>
  <c r="I5" i="12"/>
  <c r="I4" i="12"/>
  <c r="H4" i="12"/>
  <c r="J4" i="12" s="1"/>
  <c r="A3" i="25"/>
  <c r="A4" i="25"/>
  <c r="H6" i="25" s="1"/>
  <c r="H17" i="25" s="1"/>
  <c r="A5" i="25"/>
  <c r="A6" i="25"/>
  <c r="H2" i="25" s="1"/>
  <c r="H13" i="25" s="1"/>
  <c r="O13" i="25" s="1"/>
  <c r="A7" i="25"/>
  <c r="H3" i="25" s="1"/>
  <c r="H14" i="25" s="1"/>
  <c r="O14" i="25" s="1"/>
  <c r="A8" i="25"/>
  <c r="H5" i="25" s="1"/>
  <c r="H15" i="25"/>
  <c r="O15" i="25" s="1"/>
  <c r="A2" i="25"/>
  <c r="K1" i="25"/>
  <c r="R1" i="25" s="1"/>
  <c r="H16" i="25" l="1"/>
  <c r="O16" i="25" s="1"/>
  <c r="J5" i="12"/>
  <c r="S11" i="12"/>
  <c r="S9" i="12"/>
  <c r="S6" i="12"/>
  <c r="S12" i="12"/>
  <c r="O5" i="25"/>
  <c r="O4" i="25"/>
  <c r="O2" i="25"/>
  <c r="O3" i="25"/>
  <c r="AS8" i="24" l="1"/>
  <c r="AS23" i="24"/>
  <c r="AB26" i="24" l="1"/>
  <c r="AB27" i="24"/>
  <c r="AJ23" i="24"/>
  <c r="AJ26" i="24"/>
  <c r="AJ27" i="24"/>
  <c r="AH30" i="24"/>
  <c r="AH29" i="24"/>
  <c r="AH28" i="24"/>
  <c r="AH27" i="24"/>
  <c r="AH26" i="24"/>
  <c r="AH25" i="24"/>
  <c r="AH24" i="24"/>
  <c r="AH23" i="24"/>
  <c r="AH22" i="24"/>
  <c r="AH21" i="24"/>
  <c r="AH20" i="24"/>
  <c r="AH19" i="24"/>
  <c r="AE30" i="24"/>
  <c r="AE29" i="24"/>
  <c r="AE28" i="24"/>
  <c r="AE27" i="24"/>
  <c r="AE25" i="24"/>
  <c r="AE24" i="24"/>
  <c r="AE23" i="24"/>
  <c r="AE22" i="24"/>
  <c r="AE21" i="24"/>
  <c r="AE19" i="24"/>
  <c r="AM23" i="24"/>
  <c r="AM26" i="24"/>
  <c r="AM27" i="24"/>
  <c r="AH18" i="24"/>
  <c r="Y27" i="24"/>
  <c r="Z27" i="24"/>
  <c r="Y26" i="24"/>
  <c r="N27" i="24"/>
  <c r="AH13" i="24"/>
  <c r="AH9" i="24"/>
  <c r="AH7" i="24"/>
  <c r="AH3" i="24"/>
  <c r="AO23" i="24" l="1"/>
  <c r="N22" i="24"/>
  <c r="N24" i="24"/>
  <c r="N28" i="24"/>
  <c r="N18" i="24"/>
  <c r="J24" i="24"/>
  <c r="H25" i="24"/>
  <c r="AB25" i="24" s="1"/>
  <c r="J25" i="24"/>
  <c r="J28" i="24"/>
  <c r="AS22" i="24"/>
  <c r="D18" i="24"/>
  <c r="AH15" i="24" l="1"/>
  <c r="N30" i="24" s="1"/>
  <c r="AH14" i="24"/>
  <c r="N29" i="24" s="1"/>
  <c r="AH10" i="24"/>
  <c r="N25" i="24" s="1"/>
  <c r="AH6" i="24"/>
  <c r="N21" i="24" s="1"/>
  <c r="AH5" i="24"/>
  <c r="N20" i="24" s="1"/>
  <c r="AH4" i="24"/>
  <c r="N19" i="24" s="1"/>
  <c r="AB15" i="24"/>
  <c r="H30" i="24" s="1"/>
  <c r="AB30" i="24" s="1"/>
  <c r="AB14" i="24"/>
  <c r="H29" i="24" s="1"/>
  <c r="AB29" i="24" s="1"/>
  <c r="AB13" i="24"/>
  <c r="H28" i="24" s="1"/>
  <c r="AB28" i="24" s="1"/>
  <c r="AB9" i="24"/>
  <c r="H24" i="24" s="1"/>
  <c r="AB24" i="24" s="1"/>
  <c r="AB7" i="24"/>
  <c r="H22" i="24" s="1"/>
  <c r="AB22" i="24" s="1"/>
  <c r="AB6" i="24"/>
  <c r="H21" i="24" s="1"/>
  <c r="AB21" i="24" s="1"/>
  <c r="AB5" i="24"/>
  <c r="H20" i="24" s="1"/>
  <c r="AB20" i="24" s="1"/>
  <c r="AB4" i="24"/>
  <c r="H19" i="24" s="1"/>
  <c r="AB19" i="24" s="1"/>
  <c r="AB3" i="24"/>
  <c r="H18" i="24" s="1"/>
  <c r="AB18" i="24" s="1"/>
  <c r="AJ4" i="24" l="1"/>
  <c r="P19" i="24" s="1"/>
  <c r="AJ19" i="24" s="1"/>
  <c r="AJ5" i="24"/>
  <c r="P20" i="24" s="1"/>
  <c r="AJ20" i="24" s="1"/>
  <c r="AJ6" i="24"/>
  <c r="P21" i="24" s="1"/>
  <c r="AJ21" i="24" s="1"/>
  <c r="AJ7" i="24"/>
  <c r="P22" i="24" s="1"/>
  <c r="AJ22" i="24" s="1"/>
  <c r="AJ9" i="24"/>
  <c r="P24" i="24" s="1"/>
  <c r="AJ24" i="24" s="1"/>
  <c r="AJ10" i="24"/>
  <c r="P25" i="24" s="1"/>
  <c r="AJ25" i="24" s="1"/>
  <c r="AJ13" i="24"/>
  <c r="P28" i="24" s="1"/>
  <c r="AJ28" i="24" s="1"/>
  <c r="AJ14" i="24"/>
  <c r="P29" i="24" s="1"/>
  <c r="AJ29" i="24" s="1"/>
  <c r="AJ15" i="24"/>
  <c r="P30" i="24" s="1"/>
  <c r="AJ30" i="24" s="1"/>
  <c r="AJ3" i="24"/>
  <c r="P18" i="24" s="1"/>
  <c r="AJ18" i="24" s="1"/>
  <c r="AI4" i="24"/>
  <c r="O19" i="24" s="1"/>
  <c r="AK4" i="24"/>
  <c r="Q19" i="24" s="1"/>
  <c r="AL4" i="24"/>
  <c r="R19" i="24" s="1"/>
  <c r="AM4" i="24"/>
  <c r="S19" i="24" s="1"/>
  <c r="AM19" i="24" s="1"/>
  <c r="AN4" i="24"/>
  <c r="T19" i="24" s="1"/>
  <c r="AO4" i="24"/>
  <c r="U19" i="24" s="1"/>
  <c r="AO19" i="24" s="1"/>
  <c r="AI5" i="24"/>
  <c r="O20" i="24" s="1"/>
  <c r="AK5" i="24"/>
  <c r="Q20" i="24" s="1"/>
  <c r="AL5" i="24"/>
  <c r="R20" i="24" s="1"/>
  <c r="AM5" i="24"/>
  <c r="S20" i="24" s="1"/>
  <c r="AM20" i="24" s="1"/>
  <c r="AN5" i="24"/>
  <c r="T20" i="24" s="1"/>
  <c r="AO5" i="24"/>
  <c r="U20" i="24" s="1"/>
  <c r="AO20" i="24" s="1"/>
  <c r="AI6" i="24"/>
  <c r="O21" i="24" s="1"/>
  <c r="AK6" i="24"/>
  <c r="Q21" i="24" s="1"/>
  <c r="AL6" i="24"/>
  <c r="R21" i="24" s="1"/>
  <c r="AM6" i="24"/>
  <c r="S21" i="24" s="1"/>
  <c r="AM21" i="24" s="1"/>
  <c r="AN6" i="24"/>
  <c r="T21" i="24" s="1"/>
  <c r="AO6" i="24"/>
  <c r="U21" i="24" s="1"/>
  <c r="AO21" i="24" s="1"/>
  <c r="AI7" i="24"/>
  <c r="O22" i="24" s="1"/>
  <c r="AK7" i="24"/>
  <c r="Q22" i="24" s="1"/>
  <c r="AL7" i="24"/>
  <c r="R22" i="24" s="1"/>
  <c r="AM7" i="24"/>
  <c r="S22" i="24" s="1"/>
  <c r="AM22" i="24" s="1"/>
  <c r="AN7" i="24"/>
  <c r="T22" i="24" s="1"/>
  <c r="AO7" i="24"/>
  <c r="U22" i="24" s="1"/>
  <c r="AO22" i="24" s="1"/>
  <c r="AI9" i="24"/>
  <c r="O24" i="24" s="1"/>
  <c r="AK9" i="24"/>
  <c r="Q24" i="24" s="1"/>
  <c r="AL9" i="24"/>
  <c r="R24" i="24" s="1"/>
  <c r="AM9" i="24"/>
  <c r="S24" i="24" s="1"/>
  <c r="AM24" i="24" s="1"/>
  <c r="AN9" i="24"/>
  <c r="T24" i="24" s="1"/>
  <c r="AO9" i="24"/>
  <c r="U24" i="24" s="1"/>
  <c r="AO24" i="24" s="1"/>
  <c r="AI10" i="24"/>
  <c r="O25" i="24" s="1"/>
  <c r="AK10" i="24"/>
  <c r="Q25" i="24" s="1"/>
  <c r="AL10" i="24"/>
  <c r="R25" i="24" s="1"/>
  <c r="AM10" i="24"/>
  <c r="S25" i="24" s="1"/>
  <c r="AM25" i="24" s="1"/>
  <c r="AN10" i="24"/>
  <c r="T25" i="24" s="1"/>
  <c r="AO10" i="24"/>
  <c r="U25" i="24" s="1"/>
  <c r="AO25" i="24" s="1"/>
  <c r="AI11" i="24"/>
  <c r="O26" i="24" s="1"/>
  <c r="AK11" i="24"/>
  <c r="AL11" i="24"/>
  <c r="AM11" i="24"/>
  <c r="AN11" i="24"/>
  <c r="AO11" i="24"/>
  <c r="AI12" i="24"/>
  <c r="O27" i="24" s="1"/>
  <c r="AK12" i="24"/>
  <c r="AL12" i="24"/>
  <c r="AM12" i="24"/>
  <c r="AN12" i="24"/>
  <c r="AO12" i="24"/>
  <c r="AI13" i="24"/>
  <c r="O28" i="24" s="1"/>
  <c r="AK13" i="24"/>
  <c r="Q28" i="24" s="1"/>
  <c r="AL13" i="24"/>
  <c r="R28" i="24" s="1"/>
  <c r="AM13" i="24"/>
  <c r="S28" i="24" s="1"/>
  <c r="AM28" i="24" s="1"/>
  <c r="AN13" i="24"/>
  <c r="T28" i="24" s="1"/>
  <c r="AO13" i="24"/>
  <c r="U28" i="24" s="1"/>
  <c r="AO28" i="24" s="1"/>
  <c r="AI14" i="24"/>
  <c r="O29" i="24" s="1"/>
  <c r="AK14" i="24"/>
  <c r="Q29" i="24" s="1"/>
  <c r="AL14" i="24"/>
  <c r="R29" i="24" s="1"/>
  <c r="AM14" i="24"/>
  <c r="S29" i="24" s="1"/>
  <c r="AM29" i="24" s="1"/>
  <c r="AN14" i="24"/>
  <c r="T29" i="24" s="1"/>
  <c r="AO14" i="24"/>
  <c r="U29" i="24" s="1"/>
  <c r="AO29" i="24" s="1"/>
  <c r="AI15" i="24"/>
  <c r="O30" i="24" s="1"/>
  <c r="AK15" i="24"/>
  <c r="Q30" i="24" s="1"/>
  <c r="AL15" i="24"/>
  <c r="R30" i="24" s="1"/>
  <c r="AM15" i="24"/>
  <c r="S30" i="24" s="1"/>
  <c r="AM30" i="24" s="1"/>
  <c r="AN15" i="24"/>
  <c r="T30" i="24" s="1"/>
  <c r="AO15" i="24"/>
  <c r="U30" i="24" s="1"/>
  <c r="AO30" i="24" s="1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7" i="3" s="1"/>
  <c r="AK17" i="3" l="1"/>
  <c r="N3" i="24"/>
  <c r="H3" i="24"/>
  <c r="I3" i="24"/>
  <c r="J3" i="24"/>
  <c r="K3" i="24"/>
  <c r="L3" i="24"/>
  <c r="M3" i="24"/>
  <c r="G3" i="24"/>
  <c r="E3" i="24"/>
  <c r="Y3" i="24" s="1"/>
  <c r="I2" i="1"/>
  <c r="O2" i="1"/>
  <c r="Q2" i="1"/>
  <c r="V2" i="1"/>
  <c r="T2" i="1"/>
  <c r="N4" i="1"/>
  <c r="S44" i="32" l="1"/>
  <c r="U44" i="32"/>
  <c r="W44" i="32"/>
  <c r="T44" i="32"/>
  <c r="V44" i="32" s="1"/>
  <c r="X44" i="32"/>
  <c r="Z44" i="32" s="1"/>
  <c r="Y44" i="32"/>
  <c r="BZ17" i="3"/>
  <c r="BY17" i="3"/>
  <c r="CA17" i="3" s="1"/>
  <c r="AW17" i="3"/>
  <c r="AY17" i="3" s="1"/>
  <c r="U17" i="3"/>
  <c r="V17" i="3" s="1"/>
  <c r="BW17" i="3"/>
  <c r="AL17" i="3"/>
  <c r="AQ17" i="3"/>
  <c r="AG17" i="3"/>
  <c r="CE17" i="3"/>
  <c r="AS17" i="3"/>
  <c r="CC17" i="3"/>
  <c r="AP17" i="3"/>
  <c r="AR17" i="3" s="1"/>
  <c r="AC17" i="3"/>
  <c r="BF17" i="3"/>
  <c r="CB17" i="3"/>
  <c r="CD17" i="3" s="1"/>
  <c r="AH17" i="3"/>
  <c r="BE17" i="3"/>
  <c r="BK17" i="3"/>
  <c r="AI17" i="3"/>
  <c r="AM17" i="3"/>
  <c r="BM17" i="3"/>
  <c r="W17" i="3"/>
  <c r="Y17" i="3" s="1"/>
  <c r="BP17" i="3"/>
  <c r="AN17" i="3"/>
  <c r="BV17" i="3"/>
  <c r="BB17" i="3"/>
  <c r="X17" i="3"/>
  <c r="AX17" i="3"/>
  <c r="AE17" i="3"/>
  <c r="AD17" i="3"/>
  <c r="AF17" i="3" s="1"/>
  <c r="BX17" i="3"/>
  <c r="BQ17" i="3"/>
  <c r="BH17" i="3"/>
  <c r="BL17" i="3"/>
  <c r="BD17" i="3"/>
  <c r="BU17" i="3"/>
  <c r="Z17" i="3"/>
  <c r="AB17" i="3" s="1"/>
  <c r="BR17" i="3"/>
  <c r="BI17" i="3"/>
  <c r="AZ17" i="3"/>
  <c r="AO17" i="3"/>
  <c r="BT17" i="3"/>
  <c r="BO17" i="3"/>
  <c r="BS17" i="3"/>
  <c r="BJ17" i="3"/>
  <c r="BA17" i="3"/>
  <c r="BC17" i="3" s="1"/>
  <c r="AJ17" i="3"/>
  <c r="BG17" i="3"/>
  <c r="AA17" i="3"/>
  <c r="BN17" i="3"/>
  <c r="AU17" i="3"/>
  <c r="AT17" i="3"/>
  <c r="AV17" i="3" s="1"/>
  <c r="F3" i="30"/>
  <c r="F8" i="30" s="1"/>
  <c r="AK4" i="1"/>
  <c r="I3" i="3"/>
  <c r="J3" i="29"/>
  <c r="E18" i="24"/>
  <c r="Y18" i="24" s="1"/>
  <c r="D21" i="24"/>
  <c r="D22" i="24"/>
  <c r="N7" i="24"/>
  <c r="H7" i="24"/>
  <c r="I7" i="24"/>
  <c r="J7" i="24"/>
  <c r="K7" i="24"/>
  <c r="L7" i="24"/>
  <c r="M7" i="24"/>
  <c r="G7" i="24"/>
  <c r="E7" i="24"/>
  <c r="Y7" i="24" s="1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2" i="24"/>
  <c r="Y22" i="24" s="1"/>
  <c r="N20" i="1"/>
  <c r="P6" i="30" l="1"/>
  <c r="P10" i="30"/>
  <c r="P7" i="30"/>
  <c r="Q5" i="30"/>
  <c r="Q9" i="30"/>
  <c r="I18" i="3"/>
  <c r="BK18" i="3" s="1"/>
  <c r="N21" i="1"/>
  <c r="BZ18" i="3" l="1"/>
  <c r="AO18" i="3"/>
  <c r="AU18" i="3"/>
  <c r="BT18" i="3"/>
  <c r="BJ18" i="3"/>
  <c r="AM18" i="3"/>
  <c r="AQ18" i="3"/>
  <c r="AJ18" i="3"/>
  <c r="AZ18" i="3"/>
  <c r="BA18" i="3"/>
  <c r="BC18" i="3" s="1"/>
  <c r="AC18" i="3"/>
  <c r="AA18" i="3"/>
  <c r="CC18" i="3"/>
  <c r="AX18" i="3"/>
  <c r="BB18" i="3"/>
  <c r="BF18" i="3"/>
  <c r="AD18" i="3"/>
  <c r="AF18" i="3" s="1"/>
  <c r="AT18" i="3"/>
  <c r="AV18" i="3" s="1"/>
  <c r="AP18" i="3"/>
  <c r="AR18" i="3" s="1"/>
  <c r="AE18" i="3"/>
  <c r="CE18" i="3"/>
  <c r="BQ18" i="3"/>
  <c r="BE18" i="3"/>
  <c r="BH18" i="3"/>
  <c r="BI18" i="3"/>
  <c r="AW18" i="3"/>
  <c r="AY18" i="3" s="1"/>
  <c r="AH18" i="3"/>
  <c r="AL18" i="3"/>
  <c r="BX18" i="3"/>
  <c r="AS18" i="3"/>
  <c r="AG18" i="3"/>
  <c r="W18" i="3"/>
  <c r="Y18" i="3" s="1"/>
  <c r="BP18" i="3"/>
  <c r="BG18" i="3"/>
  <c r="AI18" i="3"/>
  <c r="AK18" i="3"/>
  <c r="Z18" i="3"/>
  <c r="AB18" i="3" s="1"/>
  <c r="CB18" i="3"/>
  <c r="CD18" i="3" s="1"/>
  <c r="U18" i="3"/>
  <c r="V18" i="3" s="1"/>
  <c r="BO18" i="3"/>
  <c r="BW18" i="3"/>
  <c r="BR18" i="3"/>
  <c r="BV18" i="3"/>
  <c r="BU18" i="3"/>
  <c r="BL18" i="3"/>
  <c r="BY18" i="3"/>
  <c r="CA18" i="3" s="1"/>
  <c r="BN18" i="3"/>
  <c r="BM18" i="3"/>
  <c r="BD18" i="3"/>
  <c r="AN18" i="3"/>
  <c r="X18" i="3"/>
  <c r="BS18" i="3"/>
  <c r="I19" i="3"/>
  <c r="Z19" i="3" s="1"/>
  <c r="AB19" i="3" s="1"/>
  <c r="BG19" i="3" l="1"/>
  <c r="AH19" i="3"/>
  <c r="CC19" i="3"/>
  <c r="AP19" i="3"/>
  <c r="AR19" i="3" s="1"/>
  <c r="AT19" i="3"/>
  <c r="AV19" i="3" s="1"/>
  <c r="AO19" i="3"/>
  <c r="AL19" i="3"/>
  <c r="BU19" i="3"/>
  <c r="BI19" i="3"/>
  <c r="BA19" i="3"/>
  <c r="BC19" i="3" s="1"/>
  <c r="BO19" i="3"/>
  <c r="U19" i="3"/>
  <c r="V19" i="3" s="1"/>
  <c r="AI19" i="3"/>
  <c r="AM19" i="3"/>
  <c r="CB19" i="3"/>
  <c r="CD19" i="3" s="1"/>
  <c r="BP19" i="3"/>
  <c r="AA19" i="3"/>
  <c r="BR19" i="3"/>
  <c r="BD19" i="3"/>
  <c r="AQ19" i="3"/>
  <c r="BX19" i="3"/>
  <c r="BY19" i="3"/>
  <c r="CA19" i="3" s="1"/>
  <c r="AU19" i="3"/>
  <c r="AG19" i="3"/>
  <c r="AN19" i="3"/>
  <c r="AZ19" i="3"/>
  <c r="BF19" i="3"/>
  <c r="BB19" i="3"/>
  <c r="AS19" i="3"/>
  <c r="BJ19" i="3"/>
  <c r="AE19" i="3"/>
  <c r="AW19" i="3"/>
  <c r="AY19" i="3" s="1"/>
  <c r="BZ19" i="3"/>
  <c r="BH19" i="3"/>
  <c r="BM19" i="3"/>
  <c r="BE19" i="3"/>
  <c r="X19" i="3"/>
  <c r="AJ19" i="3"/>
  <c r="AX19" i="3"/>
  <c r="BQ19" i="3"/>
  <c r="W19" i="3"/>
  <c r="Y19" i="3" s="1"/>
  <c r="BT19" i="3"/>
  <c r="BV19" i="3"/>
  <c r="BS19" i="3"/>
  <c r="AK19" i="3"/>
  <c r="CE19" i="3"/>
  <c r="BK19" i="3"/>
  <c r="AD19" i="3"/>
  <c r="AF19" i="3" s="1"/>
  <c r="BL19" i="3"/>
  <c r="AC19" i="3"/>
  <c r="BW19" i="3"/>
  <c r="BN19" i="3"/>
  <c r="N6" i="24"/>
  <c r="H6" i="24"/>
  <c r="I6" i="24"/>
  <c r="J6" i="24"/>
  <c r="AD6" i="24" s="1"/>
  <c r="J21" i="24" s="1"/>
  <c r="K6" i="24"/>
  <c r="L6" i="24"/>
  <c r="M6" i="24"/>
  <c r="G6" i="24"/>
  <c r="E6" i="24"/>
  <c r="Y6" i="24" s="1"/>
  <c r="N7" i="1"/>
  <c r="S50" i="32" l="1"/>
  <c r="Y50" i="32"/>
  <c r="W50" i="32"/>
  <c r="T50" i="32"/>
  <c r="V50" i="32" s="1"/>
  <c r="U50" i="32"/>
  <c r="X50" i="32"/>
  <c r="Z50" i="32" s="1"/>
  <c r="S6" i="29"/>
  <c r="T6" i="29"/>
  <c r="I6" i="3"/>
  <c r="AK6" i="3" s="1"/>
  <c r="E21" i="24"/>
  <c r="Y21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D19" i="24"/>
  <c r="D20" i="24"/>
  <c r="AD4" i="24" l="1"/>
  <c r="J19" i="24" s="1"/>
  <c r="AD5" i="24"/>
  <c r="AD15" i="24"/>
  <c r="J30" i="24" s="1"/>
  <c r="AD14" i="24"/>
  <c r="J29" i="24" s="1"/>
  <c r="U21" i="1"/>
  <c r="AS21" i="1"/>
  <c r="AO21" i="1"/>
  <c r="AH21" i="1"/>
  <c r="AL21" i="1"/>
  <c r="AK21" i="1"/>
  <c r="AN21" i="1"/>
  <c r="AM21" i="1"/>
  <c r="W21" i="1"/>
  <c r="R21" i="1"/>
  <c r="S21" i="1"/>
  <c r="P21" i="1"/>
  <c r="K21" i="1"/>
  <c r="L21" i="1"/>
  <c r="J21" i="1"/>
  <c r="B21" i="25" l="1"/>
  <c r="C21" i="25"/>
  <c r="J20" i="24"/>
  <c r="AD20" i="24" s="1"/>
  <c r="AJ21" i="1"/>
  <c r="AI21" i="1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0" i="24" s="1"/>
  <c r="L5" i="24"/>
  <c r="AF5" i="24" s="1"/>
  <c r="M5" i="24"/>
  <c r="AG5" i="24" s="1"/>
  <c r="M20" i="24" s="1"/>
  <c r="G5" i="24"/>
  <c r="AA5" i="24" s="1"/>
  <c r="G20" i="24" s="1"/>
  <c r="E5" i="24"/>
  <c r="Y5" i="24" s="1"/>
  <c r="H4" i="24"/>
  <c r="I4" i="24"/>
  <c r="AC4" i="24" s="1"/>
  <c r="I19" i="24" s="1"/>
  <c r="J4" i="24"/>
  <c r="K4" i="24"/>
  <c r="AE4" i="24" s="1"/>
  <c r="K19" i="24" s="1"/>
  <c r="L4" i="24"/>
  <c r="AF4" i="24" s="1"/>
  <c r="L19" i="24" s="1"/>
  <c r="M4" i="24"/>
  <c r="AG4" i="24" s="1"/>
  <c r="M19" i="24" s="1"/>
  <c r="G4" i="24"/>
  <c r="AA4" i="24" s="1"/>
  <c r="G19" i="24" s="1"/>
  <c r="E4" i="24"/>
  <c r="Y4" i="24" s="1"/>
  <c r="H13" i="24"/>
  <c r="I13" i="24"/>
  <c r="AC13" i="24" s="1"/>
  <c r="I28" i="24" s="1"/>
  <c r="J13" i="24"/>
  <c r="K13" i="24"/>
  <c r="AE13" i="24" s="1"/>
  <c r="K28" i="24" s="1"/>
  <c r="M13" i="24"/>
  <c r="AG13" i="24" s="1"/>
  <c r="M28" i="24" s="1"/>
  <c r="H14" i="24"/>
  <c r="I14" i="24"/>
  <c r="AC14" i="24" s="1"/>
  <c r="I29" i="24" s="1"/>
  <c r="J14" i="24"/>
  <c r="K14" i="24"/>
  <c r="AE14" i="24" s="1"/>
  <c r="K29" i="24" s="1"/>
  <c r="M14" i="24"/>
  <c r="AG14" i="24" s="1"/>
  <c r="M29" i="24" s="1"/>
  <c r="H15" i="24"/>
  <c r="I15" i="24"/>
  <c r="AC15" i="24" s="1"/>
  <c r="I30" i="24" s="1"/>
  <c r="J15" i="24"/>
  <c r="M15" i="24"/>
  <c r="AG15" i="24" s="1"/>
  <c r="M30" i="24" s="1"/>
  <c r="H9" i="24"/>
  <c r="I9" i="24"/>
  <c r="AC9" i="24" s="1"/>
  <c r="I24" i="24" s="1"/>
  <c r="J9" i="24"/>
  <c r="M9" i="24"/>
  <c r="AG9" i="24" s="1"/>
  <c r="M24" i="24" s="1"/>
  <c r="H10" i="24"/>
  <c r="I10" i="24"/>
  <c r="AC10" i="24" s="1"/>
  <c r="I25" i="24" s="1"/>
  <c r="J10" i="24"/>
  <c r="M10" i="24"/>
  <c r="AG10" i="24" s="1"/>
  <c r="M25" i="24" s="1"/>
  <c r="G15" i="24"/>
  <c r="AA15" i="24" s="1"/>
  <c r="G30" i="24" s="1"/>
  <c r="G14" i="24"/>
  <c r="AA14" i="24" s="1"/>
  <c r="G29" i="24" s="1"/>
  <c r="G13" i="24"/>
  <c r="AA13" i="24" s="1"/>
  <c r="G28" i="24" s="1"/>
  <c r="G10" i="24"/>
  <c r="AA10" i="24" s="1"/>
  <c r="G25" i="24" s="1"/>
  <c r="G9" i="24"/>
  <c r="AA9" i="24" s="1"/>
  <c r="G24" i="24" s="1"/>
  <c r="E15" i="24"/>
  <c r="Y15" i="24" s="1"/>
  <c r="E14" i="24"/>
  <c r="Y14" i="24" s="1"/>
  <c r="E13" i="24"/>
  <c r="Y13" i="24" s="1"/>
  <c r="E10" i="24"/>
  <c r="Y10" i="24" s="1"/>
  <c r="E9" i="24"/>
  <c r="Y9" i="24" s="1"/>
  <c r="AN30" i="24"/>
  <c r="AL30" i="24"/>
  <c r="AK30" i="24"/>
  <c r="AL29" i="24"/>
  <c r="AL25" i="24"/>
  <c r="AD25" i="24"/>
  <c r="AN24" i="24"/>
  <c r="AL24" i="24"/>
  <c r="AD24" i="24"/>
  <c r="AN23" i="24"/>
  <c r="AK23" i="24"/>
  <c r="AL23" i="24"/>
  <c r="AN22" i="24"/>
  <c r="AK22" i="24"/>
  <c r="AN21" i="24"/>
  <c r="AK21" i="24"/>
  <c r="AI21" i="24"/>
  <c r="AN20" i="24"/>
  <c r="AK20" i="24"/>
  <c r="AN19" i="24"/>
  <c r="AL19" i="24"/>
  <c r="AH16" i="24"/>
  <c r="Z17" i="24"/>
  <c r="Y17" i="24"/>
  <c r="F17" i="24"/>
  <c r="E17" i="24"/>
  <c r="D17" i="24"/>
  <c r="AI30" i="24"/>
  <c r="AD30" i="24"/>
  <c r="V15" i="24"/>
  <c r="AE15" i="1" s="1"/>
  <c r="AN29" i="24"/>
  <c r="AK29" i="24"/>
  <c r="AD29" i="24"/>
  <c r="V14" i="24"/>
  <c r="AE12" i="1" s="1"/>
  <c r="AN28" i="24"/>
  <c r="AL28" i="24"/>
  <c r="AK28" i="24"/>
  <c r="AD28" i="24"/>
  <c r="V13" i="24"/>
  <c r="AE14" i="1" s="1"/>
  <c r="AN27" i="24"/>
  <c r="AL27" i="24"/>
  <c r="AK27" i="24"/>
  <c r="AG12" i="24"/>
  <c r="AF12" i="24"/>
  <c r="AF27" i="24" s="1"/>
  <c r="AE12" i="24"/>
  <c r="AD12" i="24"/>
  <c r="AD27" i="24" s="1"/>
  <c r="AC12" i="24"/>
  <c r="AC27" i="24" s="1"/>
  <c r="AB12" i="24"/>
  <c r="AA12" i="24"/>
  <c r="V12" i="24"/>
  <c r="AN26" i="24"/>
  <c r="AL26" i="24"/>
  <c r="AK26" i="24"/>
  <c r="AI26" i="24"/>
  <c r="AG11" i="24"/>
  <c r="M26" i="24" s="1"/>
  <c r="AF11" i="24"/>
  <c r="AE11" i="24"/>
  <c r="K26" i="24" s="1"/>
  <c r="AD11" i="24"/>
  <c r="AC11" i="24"/>
  <c r="AA11" i="24"/>
  <c r="G26" i="24" s="1"/>
  <c r="AN25" i="24"/>
  <c r="AI25" i="24"/>
  <c r="V10" i="24"/>
  <c r="AE13" i="1" s="1"/>
  <c r="AK24" i="24"/>
  <c r="AI24" i="24"/>
  <c r="V9" i="24"/>
  <c r="AE11" i="1" s="1"/>
  <c r="AG8" i="24"/>
  <c r="M23" i="24" s="1"/>
  <c r="AF8" i="24"/>
  <c r="AE8" i="24"/>
  <c r="K23" i="24" s="1"/>
  <c r="AD8" i="24"/>
  <c r="J23" i="24" s="1"/>
  <c r="AC8" i="24"/>
  <c r="I23" i="24" s="1"/>
  <c r="AC23" i="24" s="1"/>
  <c r="AB8" i="24"/>
  <c r="H23" i="24" s="1"/>
  <c r="AB23" i="24" s="1"/>
  <c r="AA8" i="24"/>
  <c r="G23" i="24" s="1"/>
  <c r="V8" i="24"/>
  <c r="AE10" i="1" s="1"/>
  <c r="AL22" i="24"/>
  <c r="AG7" i="24"/>
  <c r="M22" i="24" s="1"/>
  <c r="AF7" i="24"/>
  <c r="AE7" i="24"/>
  <c r="K22" i="24" s="1"/>
  <c r="AD7" i="24"/>
  <c r="J22" i="24" s="1"/>
  <c r="AC7" i="24"/>
  <c r="AA7" i="24"/>
  <c r="G22" i="24" s="1"/>
  <c r="V7" i="24"/>
  <c r="AE9" i="1" s="1"/>
  <c r="AL21" i="24"/>
  <c r="AG6" i="24"/>
  <c r="M21" i="24" s="1"/>
  <c r="AF6" i="24"/>
  <c r="AE6" i="24"/>
  <c r="K21" i="24" s="1"/>
  <c r="AC6" i="24"/>
  <c r="AA6" i="24"/>
  <c r="G21" i="24" s="1"/>
  <c r="V6" i="24"/>
  <c r="AE7" i="1" s="1"/>
  <c r="AL20" i="24"/>
  <c r="V5" i="24"/>
  <c r="AE8" i="1" s="1"/>
  <c r="AK19" i="24"/>
  <c r="AD19" i="24"/>
  <c r="V4" i="24"/>
  <c r="AE6" i="1" s="1"/>
  <c r="AO3" i="24"/>
  <c r="U18" i="24" s="1"/>
  <c r="AO18" i="24" s="1"/>
  <c r="AN3" i="24"/>
  <c r="T18" i="24" s="1"/>
  <c r="AN18" i="24" s="1"/>
  <c r="AM3" i="24"/>
  <c r="AL3" i="24"/>
  <c r="AK3" i="24"/>
  <c r="Q18" i="24" s="1"/>
  <c r="AI3" i="24"/>
  <c r="AG3" i="24"/>
  <c r="M18" i="24" s="1"/>
  <c r="AF3" i="24"/>
  <c r="AE3" i="24"/>
  <c r="AD3" i="24"/>
  <c r="AC3" i="24"/>
  <c r="AA3" i="24"/>
  <c r="G18" i="24" s="1"/>
  <c r="AA18" i="24" s="1"/>
  <c r="V3" i="24"/>
  <c r="AE4" i="1" s="1"/>
  <c r="AH1" i="24"/>
  <c r="I26" i="24" l="1"/>
  <c r="AC26" i="24" s="1"/>
  <c r="L26" i="24"/>
  <c r="AF26" i="24" s="1"/>
  <c r="J26" i="24"/>
  <c r="AD26" i="24" s="1"/>
  <c r="D21" i="25"/>
  <c r="E21" i="25" s="1"/>
  <c r="G27" i="24"/>
  <c r="AA27" i="24" s="1"/>
  <c r="AP3" i="24"/>
  <c r="O18" i="24"/>
  <c r="AI18" i="24" s="1"/>
  <c r="R18" i="24"/>
  <c r="AL18" i="24" s="1"/>
  <c r="AA26" i="24"/>
  <c r="S18" i="24"/>
  <c r="AM18" i="24" s="1"/>
  <c r="L23" i="24"/>
  <c r="AF23" i="24" s="1"/>
  <c r="AA23" i="24"/>
  <c r="AD23" i="24"/>
  <c r="E25" i="24"/>
  <c r="Y25" i="24" s="1"/>
  <c r="E28" i="24"/>
  <c r="Y28" i="24" s="1"/>
  <c r="E29" i="24"/>
  <c r="Y29" i="24" s="1"/>
  <c r="E30" i="24"/>
  <c r="Y30" i="24" s="1"/>
  <c r="E24" i="24"/>
  <c r="Y24" i="24" s="1"/>
  <c r="E19" i="24"/>
  <c r="Y19" i="24" s="1"/>
  <c r="E20" i="24"/>
  <c r="Y20" i="24" s="1"/>
  <c r="L21" i="24"/>
  <c r="AF21" i="24" s="1"/>
  <c r="L20" i="24"/>
  <c r="AF20" i="24" s="1"/>
  <c r="L22" i="24"/>
  <c r="AF22" i="24" s="1"/>
  <c r="I18" i="24"/>
  <c r="AC18" i="24" s="1"/>
  <c r="J18" i="24"/>
  <c r="AD18" i="24" s="1"/>
  <c r="L18" i="24"/>
  <c r="AF18" i="24" s="1"/>
  <c r="I22" i="24"/>
  <c r="AC22" i="24" s="1"/>
  <c r="K18" i="24"/>
  <c r="AE18" i="24" s="1"/>
  <c r="I21" i="24"/>
  <c r="AC21" i="24" s="1"/>
  <c r="I20" i="24"/>
  <c r="AC20" i="24" s="1"/>
  <c r="AP15" i="24"/>
  <c r="AP14" i="24"/>
  <c r="AP7" i="24"/>
  <c r="AA22" i="24"/>
  <c r="AD22" i="24"/>
  <c r="AD21" i="24"/>
  <c r="AA21" i="24"/>
  <c r="AA19" i="24"/>
  <c r="AA29" i="24"/>
  <c r="AA30" i="24"/>
  <c r="AC19" i="24"/>
  <c r="AC25" i="24"/>
  <c r="AC30" i="24"/>
  <c r="AC24" i="24"/>
  <c r="AA24" i="24"/>
  <c r="AC29" i="24"/>
  <c r="AA25" i="24"/>
  <c r="AC28" i="24"/>
  <c r="AA20" i="24"/>
  <c r="AF19" i="24"/>
  <c r="AA28" i="24"/>
  <c r="N1" i="24"/>
  <c r="N16" i="24"/>
  <c r="AP21" i="24"/>
  <c r="AI20" i="24"/>
  <c r="V20" i="24"/>
  <c r="AK18" i="24"/>
  <c r="V18" i="24"/>
  <c r="AI28" i="24"/>
  <c r="V28" i="24"/>
  <c r="AI19" i="24"/>
  <c r="V19" i="24"/>
  <c r="V26" i="24"/>
  <c r="AI22" i="24"/>
  <c r="AK25" i="24"/>
  <c r="V25" i="24"/>
  <c r="AP9" i="24"/>
  <c r="AP11" i="24"/>
  <c r="AP12" i="24"/>
  <c r="V21" i="24"/>
  <c r="AP5" i="24"/>
  <c r="AP24" i="24"/>
  <c r="AP6" i="24"/>
  <c r="V24" i="24"/>
  <c r="V30" i="24"/>
  <c r="AI27" i="24"/>
  <c r="AP27" i="24" s="1"/>
  <c r="V27" i="24"/>
  <c r="AP13" i="24"/>
  <c r="AP4" i="24"/>
  <c r="AP26" i="24"/>
  <c r="AI23" i="24"/>
  <c r="AP10" i="24"/>
  <c r="AP30" i="24"/>
  <c r="F21" i="25" l="1"/>
  <c r="AP25" i="24"/>
  <c r="V22" i="24"/>
  <c r="V29" i="24"/>
  <c r="AI29" i="24"/>
  <c r="AP18" i="24"/>
  <c r="AP23" i="24"/>
  <c r="AP19" i="24"/>
  <c r="AP20" i="24"/>
  <c r="AP22" i="24"/>
  <c r="AP28" i="24"/>
  <c r="AP29" i="24" l="1"/>
  <c r="AS6" i="1" l="1"/>
  <c r="W6" i="1"/>
  <c r="U6" i="1"/>
  <c r="S6" i="1"/>
  <c r="R6" i="1"/>
  <c r="P6" i="1"/>
  <c r="N6" i="1"/>
  <c r="J6" i="1"/>
  <c r="K6" i="1"/>
  <c r="L6" i="1"/>
  <c r="AI6" i="1" l="1"/>
  <c r="AJ6" i="1"/>
  <c r="S5" i="29"/>
  <c r="T5" i="29"/>
  <c r="I5" i="3"/>
  <c r="AX5" i="3" s="1"/>
  <c r="AN6" i="1"/>
  <c r="B4" i="25"/>
  <c r="I6" i="25" s="1"/>
  <c r="I17" i="25" s="1"/>
  <c r="C4" i="25"/>
  <c r="J6" i="25" s="1"/>
  <c r="J17" i="25" s="1"/>
  <c r="AL6" i="1"/>
  <c r="AH6" i="1"/>
  <c r="AK6" i="1"/>
  <c r="AO6" i="1"/>
  <c r="AM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S8" i="1"/>
  <c r="R8" i="1"/>
  <c r="S8" i="1"/>
  <c r="P8" i="1"/>
  <c r="N8" i="1"/>
  <c r="F46" i="32" s="1"/>
  <c r="J8" i="1"/>
  <c r="K8" i="1"/>
  <c r="L8" i="1"/>
  <c r="O46" i="32" l="1"/>
  <c r="P46" i="32"/>
  <c r="Q46" i="32"/>
  <c r="R46" i="32"/>
  <c r="S46" i="32"/>
  <c r="Y46" i="32"/>
  <c r="T46" i="32"/>
  <c r="V46" i="32" s="1"/>
  <c r="X46" i="32"/>
  <c r="Z46" i="32" s="1"/>
  <c r="W46" i="32"/>
  <c r="U46" i="32"/>
  <c r="AI8" i="1"/>
  <c r="AJ8" i="1"/>
  <c r="T7" i="29"/>
  <c r="S7" i="29"/>
  <c r="I7" i="3"/>
  <c r="AH7" i="3" s="1"/>
  <c r="E4" i="25"/>
  <c r="L6" i="25" s="1"/>
  <c r="F4" i="25"/>
  <c r="M6" i="25" s="1"/>
  <c r="AM8" i="1"/>
  <c r="C6" i="25"/>
  <c r="J2" i="25" s="1"/>
  <c r="J13" i="25" s="1"/>
  <c r="B6" i="25"/>
  <c r="I2" i="25" s="1"/>
  <c r="I13" i="25" s="1"/>
  <c r="AO8" i="1"/>
  <c r="AL8" i="1"/>
  <c r="AK8" i="1"/>
  <c r="AN8" i="1"/>
  <c r="AH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G2" i="1"/>
  <c r="AE2" i="1"/>
  <c r="AD2" i="1"/>
  <c r="R2" i="25" l="1"/>
  <c r="K13" i="25"/>
  <c r="E6" i="25"/>
  <c r="L2" i="25" s="1"/>
  <c r="F6" i="25"/>
  <c r="M2" i="25" s="1"/>
  <c r="AS7" i="1"/>
  <c r="AM7" i="1"/>
  <c r="AN7" i="1"/>
  <c r="AK7" i="1"/>
  <c r="AL7" i="1"/>
  <c r="AH7" i="1"/>
  <c r="AO7" i="1"/>
  <c r="U7" i="1"/>
  <c r="W7" i="1"/>
  <c r="R7" i="1"/>
  <c r="S7" i="1"/>
  <c r="P7" i="1"/>
  <c r="J7" i="1"/>
  <c r="K7" i="1"/>
  <c r="L7" i="1"/>
  <c r="AI7" i="1" l="1"/>
  <c r="AJ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S19" i="1"/>
  <c r="AM19" i="1"/>
  <c r="AN19" i="1"/>
  <c r="AK19" i="1"/>
  <c r="AL19" i="1"/>
  <c r="AH19" i="1"/>
  <c r="AO19" i="1"/>
  <c r="U19" i="1"/>
  <c r="W19" i="1"/>
  <c r="R19" i="1"/>
  <c r="S19" i="1"/>
  <c r="P19" i="1"/>
  <c r="J19" i="1"/>
  <c r="K19" i="1"/>
  <c r="L19" i="1"/>
  <c r="AS4" i="1"/>
  <c r="AM4" i="1"/>
  <c r="AN4" i="1"/>
  <c r="AL4" i="1"/>
  <c r="AH4" i="1"/>
  <c r="AO4" i="1"/>
  <c r="U4" i="1"/>
  <c r="W4" i="1"/>
  <c r="R4" i="1"/>
  <c r="S4" i="1"/>
  <c r="P4" i="1"/>
  <c r="J4" i="1"/>
  <c r="K4" i="1"/>
  <c r="L4" i="1"/>
  <c r="B19" i="25" l="1"/>
  <c r="C19" i="25"/>
  <c r="AI19" i="1"/>
  <c r="AJ19" i="1"/>
  <c r="AI4" i="1"/>
  <c r="AJ4" i="1"/>
  <c r="F5" i="25"/>
  <c r="E5" i="25"/>
  <c r="C2" i="25"/>
  <c r="B2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S5" i="1"/>
  <c r="W5" i="1"/>
  <c r="R5" i="1"/>
  <c r="S5" i="1"/>
  <c r="P5" i="1"/>
  <c r="N5" i="1"/>
  <c r="F57" i="32" s="1"/>
  <c r="J5" i="1"/>
  <c r="K5" i="1"/>
  <c r="L5" i="1"/>
  <c r="Q57" i="32" l="1"/>
  <c r="O57" i="32"/>
  <c r="P57" i="32"/>
  <c r="R57" i="32"/>
  <c r="D19" i="25"/>
  <c r="E19" i="25" s="1"/>
  <c r="S57" i="32"/>
  <c r="Y57" i="32"/>
  <c r="T57" i="32"/>
  <c r="V57" i="32" s="1"/>
  <c r="X57" i="32"/>
  <c r="Z57" i="32" s="1"/>
  <c r="U57" i="32"/>
  <c r="W57" i="32"/>
  <c r="AJ5" i="1"/>
  <c r="AI5" i="1"/>
  <c r="F4" i="30"/>
  <c r="P4" i="30" s="1"/>
  <c r="I4" i="3"/>
  <c r="AO4" i="3" s="1"/>
  <c r="J4" i="29"/>
  <c r="R13" i="25"/>
  <c r="B3" i="25"/>
  <c r="C3" i="25"/>
  <c r="AM5" i="1"/>
  <c r="AO5" i="1"/>
  <c r="AH5" i="1"/>
  <c r="AL5" i="1"/>
  <c r="AK5" i="1"/>
  <c r="AN5" i="1"/>
  <c r="AC15" i="1"/>
  <c r="AC14" i="1"/>
  <c r="AC11" i="1"/>
  <c r="AC13" i="1"/>
  <c r="AC12" i="1"/>
  <c r="F19" i="25" l="1"/>
  <c r="Q4" i="30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5" i="24" s="1"/>
  <c r="AF25" i="24" s="1"/>
  <c r="J13" i="10"/>
  <c r="P12" i="3"/>
  <c r="S12" i="3" s="1"/>
  <c r="L9" i="24"/>
  <c r="AF9" i="24" s="1"/>
  <c r="L24" i="24" s="1"/>
  <c r="AF24" i="24" s="1"/>
  <c r="J11" i="10"/>
  <c r="P10" i="3"/>
  <c r="S10" i="3" s="1"/>
  <c r="J10" i="10"/>
  <c r="P9" i="3"/>
  <c r="S9" i="3" s="1"/>
  <c r="J18" i="10"/>
  <c r="L13" i="24"/>
  <c r="AF13" i="24" s="1"/>
  <c r="L28" i="24" s="1"/>
  <c r="AF28" i="24" s="1"/>
  <c r="J14" i="10"/>
  <c r="P13" i="3"/>
  <c r="L15" i="24"/>
  <c r="AF15" i="24" s="1"/>
  <c r="L30" i="24" s="1"/>
  <c r="AF30" i="24" s="1"/>
  <c r="J15" i="10"/>
  <c r="P14" i="3"/>
  <c r="S14" i="3" s="1"/>
  <c r="L14" i="24"/>
  <c r="AF14" i="24" s="1"/>
  <c r="L29" i="24" s="1"/>
  <c r="AF29" i="24" s="1"/>
  <c r="J12" i="10"/>
  <c r="P11" i="3"/>
  <c r="S11" i="3" s="1"/>
  <c r="D3" i="25"/>
  <c r="F3" i="25" s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5" i="24" s="1"/>
  <c r="I13" i="10"/>
  <c r="O12" i="3"/>
  <c r="R12" i="3" s="1"/>
  <c r="K15" i="24"/>
  <c r="AE15" i="24" s="1"/>
  <c r="K30" i="24" s="1"/>
  <c r="I15" i="10"/>
  <c r="O14" i="3"/>
  <c r="R14" i="3" s="1"/>
  <c r="K9" i="24"/>
  <c r="AE9" i="24" s="1"/>
  <c r="K24" i="24" s="1"/>
  <c r="I11" i="10"/>
  <c r="O10" i="3"/>
  <c r="R10" i="3" s="1"/>
  <c r="I18" i="10"/>
  <c r="N11" i="1"/>
  <c r="F45" i="32" s="1"/>
  <c r="AS11" i="1"/>
  <c r="U11" i="1"/>
  <c r="W11" i="1"/>
  <c r="R11" i="1"/>
  <c r="S11" i="1"/>
  <c r="P11" i="1"/>
  <c r="J11" i="1"/>
  <c r="K11" i="1"/>
  <c r="L11" i="1"/>
  <c r="O45" i="32" l="1"/>
  <c r="Q45" i="32"/>
  <c r="P45" i="32"/>
  <c r="R45" i="32"/>
  <c r="S45" i="32"/>
  <c r="U45" i="32"/>
  <c r="W45" i="32"/>
  <c r="Y45" i="32"/>
  <c r="X45" i="32"/>
  <c r="Z45" i="32" s="1"/>
  <c r="T45" i="32"/>
  <c r="V45" i="32" s="1"/>
  <c r="C10" i="25"/>
  <c r="B10" i="25"/>
  <c r="AI11" i="1"/>
  <c r="AJ11" i="1"/>
  <c r="I10" i="3"/>
  <c r="CC10" i="3" s="1"/>
  <c r="AK11" i="1"/>
  <c r="AO11" i="1"/>
  <c r="AH11" i="1"/>
  <c r="AN11" i="1"/>
  <c r="AM11" i="1"/>
  <c r="AL11" i="1"/>
  <c r="D10" i="25" l="1"/>
  <c r="CB10" i="3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U12" i="1"/>
  <c r="AS12" i="1"/>
  <c r="W12" i="1"/>
  <c r="R12" i="1"/>
  <c r="S12" i="1"/>
  <c r="P12" i="1"/>
  <c r="N12" i="1"/>
  <c r="F56" i="32" s="1"/>
  <c r="J12" i="1"/>
  <c r="K12" i="1"/>
  <c r="L12" i="1"/>
  <c r="O56" i="32" l="1"/>
  <c r="P56" i="32"/>
  <c r="Q56" i="32"/>
  <c r="R56" i="32"/>
  <c r="W56" i="32"/>
  <c r="Y56" i="32"/>
  <c r="U56" i="32"/>
  <c r="S56" i="32"/>
  <c r="X56" i="32"/>
  <c r="Z56" i="32" s="1"/>
  <c r="T56" i="32"/>
  <c r="V56" i="32" s="1"/>
  <c r="B11" i="25"/>
  <c r="I4" i="25" s="1"/>
  <c r="I15" i="25" s="1"/>
  <c r="C11" i="25"/>
  <c r="E10" i="25"/>
  <c r="F10" i="25"/>
  <c r="AI12" i="1"/>
  <c r="AJ12" i="1"/>
  <c r="I11" i="3"/>
  <c r="AJ11" i="3" s="1"/>
  <c r="AK12" i="1"/>
  <c r="AO12" i="1"/>
  <c r="AH12" i="1"/>
  <c r="AN12" i="1"/>
  <c r="AM12" i="1"/>
  <c r="AL12" i="1"/>
  <c r="D11" i="25" l="1"/>
  <c r="F11" i="25" s="1"/>
  <c r="M4" i="25" s="1"/>
  <c r="J4" i="25"/>
  <c r="J15" i="25" s="1"/>
  <c r="Q15" i="25" s="1"/>
  <c r="U11" i="3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P4" i="25"/>
  <c r="P15" i="25"/>
  <c r="Q4" i="25" l="1"/>
  <c r="R4" i="25" s="1"/>
  <c r="K4" i="25"/>
  <c r="E11" i="25"/>
  <c r="L4" i="25" s="1"/>
  <c r="K15" i="25"/>
  <c r="R15" i="25"/>
  <c r="AS15" i="1" l="1"/>
  <c r="W15" i="1"/>
  <c r="U15" i="1"/>
  <c r="S15" i="1"/>
  <c r="R15" i="1"/>
  <c r="P15" i="1"/>
  <c r="N15" i="1"/>
  <c r="F59" i="32" s="1"/>
  <c r="L15" i="1"/>
  <c r="K15" i="1"/>
  <c r="J15" i="1"/>
  <c r="AS14" i="1"/>
  <c r="AO14" i="1"/>
  <c r="AL14" i="1"/>
  <c r="AK14" i="1"/>
  <c r="AN14" i="1"/>
  <c r="AM14" i="1"/>
  <c r="AH14" i="1"/>
  <c r="W14" i="1"/>
  <c r="U14" i="1"/>
  <c r="S14" i="1"/>
  <c r="R14" i="1"/>
  <c r="P14" i="1"/>
  <c r="L14" i="1"/>
  <c r="K14" i="1"/>
  <c r="J14" i="1"/>
  <c r="AS18" i="1"/>
  <c r="W18" i="1"/>
  <c r="U18" i="1"/>
  <c r="S18" i="1"/>
  <c r="R18" i="1"/>
  <c r="P18" i="1"/>
  <c r="N18" i="1"/>
  <c r="L18" i="1"/>
  <c r="K18" i="1"/>
  <c r="J18" i="1"/>
  <c r="AS10" i="1"/>
  <c r="W10" i="1"/>
  <c r="U10" i="1"/>
  <c r="S10" i="1"/>
  <c r="R10" i="1"/>
  <c r="P10" i="1"/>
  <c r="N10" i="1"/>
  <c r="L10" i="1"/>
  <c r="K10" i="1"/>
  <c r="J10" i="1"/>
  <c r="AS13" i="1"/>
  <c r="W13" i="1"/>
  <c r="U13" i="1"/>
  <c r="S13" i="1"/>
  <c r="R13" i="1"/>
  <c r="P13" i="1"/>
  <c r="N13" i="1"/>
  <c r="L13" i="1"/>
  <c r="K13" i="1"/>
  <c r="J13" i="1"/>
  <c r="AS20" i="1"/>
  <c r="AO20" i="1"/>
  <c r="AH20" i="1"/>
  <c r="AL20" i="1"/>
  <c r="AK20" i="1"/>
  <c r="AN20" i="1"/>
  <c r="AM20" i="1"/>
  <c r="W20" i="1"/>
  <c r="U20" i="1"/>
  <c r="S20" i="1"/>
  <c r="R20" i="1"/>
  <c r="P20" i="1"/>
  <c r="L20" i="1"/>
  <c r="K20" i="1"/>
  <c r="J20" i="1"/>
  <c r="AS17" i="1"/>
  <c r="W17" i="1"/>
  <c r="U17" i="1"/>
  <c r="S17" i="1"/>
  <c r="R17" i="1"/>
  <c r="P17" i="1"/>
  <c r="N17" i="1"/>
  <c r="L17" i="1"/>
  <c r="K17" i="1"/>
  <c r="J17" i="1"/>
  <c r="AS9" i="1"/>
  <c r="W9" i="1"/>
  <c r="U9" i="1"/>
  <c r="S9" i="1"/>
  <c r="R9" i="1"/>
  <c r="P9" i="1"/>
  <c r="L9" i="1"/>
  <c r="K9" i="1"/>
  <c r="J9" i="1"/>
  <c r="O59" i="32" l="1"/>
  <c r="P59" i="32"/>
  <c r="Q59" i="32"/>
  <c r="R59" i="32"/>
  <c r="B13" i="25"/>
  <c r="C13" i="25"/>
  <c r="C20" i="25"/>
  <c r="B20" i="25"/>
  <c r="Y59" i="32"/>
  <c r="X59" i="32"/>
  <c r="Z59" i="32" s="1"/>
  <c r="W59" i="32"/>
  <c r="S59" i="32"/>
  <c r="U59" i="32"/>
  <c r="T59" i="32"/>
  <c r="V59" i="32" s="1"/>
  <c r="W51" i="32"/>
  <c r="X51" i="32"/>
  <c r="Z51" i="32" s="1"/>
  <c r="Y51" i="32"/>
  <c r="S51" i="32"/>
  <c r="T51" i="32"/>
  <c r="V51" i="32" s="1"/>
  <c r="U51" i="32"/>
  <c r="U24" i="32"/>
  <c r="T24" i="32"/>
  <c r="V24" i="32" s="1"/>
  <c r="W24" i="32"/>
  <c r="X24" i="32"/>
  <c r="Z24" i="32" s="1"/>
  <c r="Y24" i="32"/>
  <c r="S24" i="32"/>
  <c r="S40" i="32"/>
  <c r="W40" i="32"/>
  <c r="X40" i="32"/>
  <c r="Z40" i="32" s="1"/>
  <c r="Y40" i="32"/>
  <c r="T40" i="32"/>
  <c r="V40" i="32" s="1"/>
  <c r="U40" i="32"/>
  <c r="C14" i="25"/>
  <c r="B14" i="25"/>
  <c r="B12" i="25"/>
  <c r="C12" i="25"/>
  <c r="B17" i="25"/>
  <c r="C17" i="25"/>
  <c r="C16" i="25"/>
  <c r="B16" i="25"/>
  <c r="B15" i="25"/>
  <c r="C15" i="25"/>
  <c r="AI9" i="1"/>
  <c r="AJ9" i="1"/>
  <c r="AI14" i="1"/>
  <c r="AJ14" i="1"/>
  <c r="AJ20" i="1"/>
  <c r="AI20" i="1"/>
  <c r="AI15" i="1"/>
  <c r="AJ15" i="1"/>
  <c r="AI10" i="1"/>
  <c r="AJ10" i="1"/>
  <c r="AI18" i="1"/>
  <c r="AJ18" i="1"/>
  <c r="AJ13" i="1"/>
  <c r="AI13" i="1"/>
  <c r="AI17" i="1"/>
  <c r="AJ17" i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7" i="25"/>
  <c r="J3" i="25" s="1"/>
  <c r="J14" i="25" s="1"/>
  <c r="B7" i="25"/>
  <c r="I3" i="25" s="1"/>
  <c r="I14" i="25" s="1"/>
  <c r="C8" i="25"/>
  <c r="J5" i="25" s="1"/>
  <c r="B8" i="25"/>
  <c r="I5" i="25" s="1"/>
  <c r="S2" i="1"/>
  <c r="R2" i="1"/>
  <c r="U2" i="1"/>
  <c r="N2" i="1"/>
  <c r="AM9" i="1"/>
  <c r="AL9" i="1"/>
  <c r="AO9" i="1"/>
  <c r="AK9" i="1"/>
  <c r="AN9" i="1"/>
  <c r="AH9" i="1"/>
  <c r="AH18" i="1"/>
  <c r="AK17" i="1"/>
  <c r="AO10" i="1"/>
  <c r="AH15" i="1"/>
  <c r="AL10" i="1"/>
  <c r="AO15" i="1"/>
  <c r="AO13" i="1"/>
  <c r="AH10" i="1"/>
  <c r="AN10" i="1"/>
  <c r="AL18" i="1"/>
  <c r="AK15" i="1"/>
  <c r="AN18" i="1"/>
  <c r="AK18" i="1"/>
  <c r="AN15" i="1"/>
  <c r="AN17" i="1"/>
  <c r="AK13" i="1"/>
  <c r="AL17" i="1"/>
  <c r="AK10" i="1"/>
  <c r="AO18" i="1"/>
  <c r="AL15" i="1"/>
  <c r="AM17" i="1"/>
  <c r="AH17" i="1"/>
  <c r="AL13" i="1"/>
  <c r="AO17" i="1"/>
  <c r="AM13" i="1"/>
  <c r="AH13" i="1"/>
  <c r="AN13" i="1"/>
  <c r="AM10" i="1"/>
  <c r="AM18" i="1"/>
  <c r="AM15" i="1"/>
  <c r="D13" i="25" l="1"/>
  <c r="E13" i="25" s="1"/>
  <c r="D20" i="25"/>
  <c r="F13" i="25"/>
  <c r="D15" i="25"/>
  <c r="F15" i="25" s="1"/>
  <c r="D12" i="25"/>
  <c r="E12" i="25" s="1"/>
  <c r="D17" i="25"/>
  <c r="F17" i="25" s="1"/>
  <c r="D16" i="25"/>
  <c r="D14" i="25"/>
  <c r="J16" i="25"/>
  <c r="Q16" i="25" s="1"/>
  <c r="Q5" i="25"/>
  <c r="I16" i="25"/>
  <c r="K5" i="25"/>
  <c r="P5" i="25"/>
  <c r="BB14" i="3"/>
  <c r="BE14" i="3"/>
  <c r="AU14" i="3"/>
  <c r="BN14" i="3"/>
  <c r="BQ14" i="3"/>
  <c r="BW14" i="3"/>
  <c r="BT14" i="3"/>
  <c r="BF14" i="3"/>
  <c r="AT14" i="3"/>
  <c r="AV14" i="3" s="1"/>
  <c r="BK14" i="3"/>
  <c r="BL14" i="3"/>
  <c r="AX14" i="3"/>
  <c r="BV14" i="3"/>
  <c r="AD14" i="3"/>
  <c r="AF14" i="3" s="1"/>
  <c r="BI14" i="3"/>
  <c r="U14" i="3"/>
  <c r="CB14" i="3"/>
  <c r="CD14" i="3" s="1"/>
  <c r="BJ14" i="3"/>
  <c r="AA14" i="3"/>
  <c r="BA14" i="3"/>
  <c r="BC14" i="3" s="1"/>
  <c r="AN14" i="3"/>
  <c r="AO15" i="3"/>
  <c r="BP14" i="3"/>
  <c r="AH14" i="3"/>
  <c r="AO14" i="3"/>
  <c r="AS14" i="3"/>
  <c r="AE15" i="3"/>
  <c r="BX14" i="3"/>
  <c r="CE14" i="3"/>
  <c r="AG14" i="3"/>
  <c r="CC14" i="3"/>
  <c r="AZ14" i="3"/>
  <c r="BU14" i="3"/>
  <c r="BS14" i="3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5" i="3"/>
  <c r="BG14" i="3"/>
  <c r="BY14" i="3"/>
  <c r="CA14" i="3" s="1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V14" i="3"/>
  <c r="BH15" i="3"/>
  <c r="AZ16" i="3"/>
  <c r="BR14" i="3"/>
  <c r="AP14" i="3"/>
  <c r="AR14" i="3" s="1"/>
  <c r="BM14" i="3"/>
  <c r="AL14" i="3"/>
  <c r="AI14" i="3"/>
  <c r="AE14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V12" i="3" s="1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7" i="25"/>
  <c r="D8" i="25"/>
  <c r="E20" i="25" l="1"/>
  <c r="F20" i="25"/>
  <c r="F12" i="25"/>
  <c r="E15" i="25"/>
  <c r="E17" i="25"/>
  <c r="E14" i="25"/>
  <c r="F14" i="25"/>
  <c r="E16" i="25"/>
  <c r="F16" i="25"/>
  <c r="R5" i="25"/>
  <c r="P16" i="25"/>
  <c r="R16" i="25" s="1"/>
  <c r="K16" i="25"/>
  <c r="R3" i="25"/>
  <c r="K14" i="25"/>
  <c r="R14" i="25"/>
  <c r="E7" i="25"/>
  <c r="L3" i="25" s="1"/>
  <c r="F7" i="25"/>
  <c r="M3" i="25" s="1"/>
  <c r="E8" i="25"/>
  <c r="L5" i="25" s="1"/>
  <c r="F8" i="25"/>
  <c r="M5" i="25" s="1"/>
  <c r="R18" i="25" l="1"/>
  <c r="K18" i="25"/>
  <c r="S3" i="25"/>
  <c r="T3" i="25"/>
  <c r="K9" i="9"/>
  <c r="O10" i="12" l="1"/>
  <c r="P10" i="12"/>
  <c r="E3" i="12"/>
  <c r="P5" i="12" s="1"/>
  <c r="G3" i="12"/>
  <c r="R5" i="12" s="1"/>
  <c r="P18" i="12" l="1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20" i="1" s="1"/>
  <c r="F10" i="1" l="1"/>
  <c r="F12" i="1"/>
  <c r="C12" i="1" s="1"/>
  <c r="F19" i="1"/>
  <c r="F16" i="1"/>
  <c r="F17" i="1"/>
  <c r="F18" i="1"/>
  <c r="C18" i="1" s="1"/>
  <c r="F7" i="1"/>
  <c r="C7" i="1" s="1"/>
  <c r="F21" i="1"/>
  <c r="F14" i="1"/>
  <c r="F15" i="1"/>
  <c r="C15" i="1" s="1"/>
  <c r="F13" i="1"/>
  <c r="F11" i="1"/>
  <c r="C11" i="1" s="1"/>
  <c r="F4" i="1"/>
  <c r="C4" i="1" s="1"/>
  <c r="F6" i="1"/>
  <c r="C6" i="1" s="1"/>
  <c r="F9" i="1"/>
  <c r="C9" i="1" s="1"/>
  <c r="F8" i="1"/>
  <c r="C8" i="1" s="1"/>
  <c r="F5" i="1"/>
  <c r="C5" i="1" s="1"/>
  <c r="C16" i="1" l="1"/>
  <c r="F11" i="24"/>
  <c r="Z11" i="24" s="1"/>
  <c r="F26" i="24" s="1"/>
  <c r="Z26" i="24" s="1"/>
  <c r="C17" i="1"/>
  <c r="D13" i="10"/>
  <c r="C13" i="1"/>
  <c r="D19" i="10"/>
  <c r="C19" i="1"/>
  <c r="D14" i="10"/>
  <c r="C14" i="1"/>
  <c r="D21" i="10"/>
  <c r="C21" i="1"/>
  <c r="D20" i="10"/>
  <c r="C20" i="1"/>
  <c r="D18" i="10"/>
  <c r="F8" i="24"/>
  <c r="Z8" i="24" s="1"/>
  <c r="F23" i="24" s="1"/>
  <c r="Z23" i="24" s="1"/>
  <c r="C10" i="1"/>
  <c r="D15" i="10"/>
  <c r="D16" i="10"/>
  <c r="D17" i="10"/>
  <c r="D11" i="10"/>
  <c r="D12" i="10"/>
  <c r="D6" i="10"/>
  <c r="D10" i="10"/>
  <c r="D9" i="10"/>
  <c r="D7" i="10"/>
  <c r="D5" i="10"/>
  <c r="D4" i="10"/>
  <c r="D8" i="10"/>
  <c r="C11" i="3"/>
  <c r="C8" i="3"/>
  <c r="C19" i="3"/>
  <c r="C18" i="3"/>
  <c r="C16" i="3"/>
  <c r="C9" i="3"/>
  <c r="C5" i="3"/>
  <c r="C15" i="3"/>
  <c r="C7" i="3"/>
  <c r="C17" i="3"/>
  <c r="C6" i="3"/>
  <c r="C14" i="3"/>
  <c r="C10" i="3"/>
  <c r="C12" i="3"/>
  <c r="C4" i="3"/>
  <c r="C13" i="3"/>
  <c r="F7" i="24"/>
  <c r="Z7" i="24" s="1"/>
  <c r="F3" i="24"/>
  <c r="Z3" i="24" s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2" i="24" l="1"/>
  <c r="Z22" i="24" s="1"/>
  <c r="F18" i="24"/>
  <c r="Z18" i="24" s="1"/>
  <c r="F21" i="24"/>
  <c r="Z21" i="24" s="1"/>
  <c r="F20" i="24"/>
  <c r="Z20" i="24" s="1"/>
  <c r="F29" i="24"/>
  <c r="Z29" i="24" s="1"/>
  <c r="F30" i="24"/>
  <c r="Z30" i="24" s="1"/>
  <c r="F19" i="24"/>
  <c r="Z19" i="24" s="1"/>
  <c r="F24" i="24" l="1"/>
  <c r="Z24" i="24" s="1"/>
  <c r="F25" i="24"/>
  <c r="Z25" i="24" s="1"/>
  <c r="F28" i="24"/>
  <c r="Z28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S1" authorId="0" shapeId="0" xr:uid="{24E56AF6-6867-4619-A60B-CE97005E38CC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la temp 58</t>
        </r>
      </text>
    </comment>
    <comment ref="W1" authorId="0" shapeId="0" xr:uid="{4DC47D40-D710-476D-978C-1C30A073515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la temp 58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80D441FF-899D-4D6C-B35C-EB87B29AF56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91E19C0-3BA4-474A-904A-62493104E485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70CEA9ED-AB5B-4294-AD43-8FAA0F3F11F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DBEF30CE-8BC5-4194-A464-180FD02B351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1F4D6A86-4309-436F-9803-199839DE961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  <comment ref="G47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49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55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58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61" authorId="0" shapeId="0" xr:uid="{7C6DA7EA-6FF9-4751-BEEC-D01A4EE919B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Para cuadrar Caja...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1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<sst xmlns="http://schemas.openxmlformats.org/spreadsheetml/2006/main" count="1988" uniqueCount="967">
  <si>
    <t>CAB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</si>
  <si>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</si>
  <si>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</si>
  <si>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</si>
  <si>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</si>
  <si>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</si>
  <si>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</si>
  <si>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</si>
  <si>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</si>
  <si>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</si>
  <si>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</si>
  <si>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</si>
  <si>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</si>
  <si>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</si>
  <si>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</si>
  <si>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</si>
  <si>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</si>
  <si>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</si>
  <si>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</si>
  <si>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</si>
  <si>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</si>
  <si>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</si>
  <si>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</si>
  <si>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</si>
  <si>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</si>
  <si>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</si>
  <si>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</si>
  <si>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</si>
  <si>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</si>
  <si>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</si>
  <si>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</si>
  <si>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</si>
  <si>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</si>
  <si>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</si>
  <si>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</si>
  <si>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</si>
  <si>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</si>
  <si>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</si>
  <si>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#9</t>
  </si>
  <si>
    <t>DAV</t>
  </si>
  <si>
    <t>RAP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</si>
  <si>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</si>
  <si>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</si>
  <si>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</si>
  <si>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</si>
  <si>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</si>
  <si>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</si>
  <si>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</si>
  <si>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</si>
  <si>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</si>
  <si>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</si>
  <si>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</si>
  <si>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</si>
  <si>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</si>
  <si>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</si>
  <si>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</si>
  <si>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</si>
  <si>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</si>
  <si>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</si>
  <si>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</si>
  <si>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</si>
  <si>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</si>
  <si>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</si>
  <si>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</si>
  <si>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</si>
  <si>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</si>
  <si>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</si>
  <si>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</si>
  <si>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</si>
  <si>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</si>
  <si>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</si>
  <si>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</si>
  <si>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</si>
  <si>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</si>
  <si>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</si>
  <si>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</si>
  <si>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</si>
  <si>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</si>
  <si>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</si>
  <si>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</si>
  <si>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</si>
  <si>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</si>
  <si>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</si>
  <si>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</si>
  <si>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</si>
  <si>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</si>
  <si>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</si>
  <si>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</si>
  <si>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</si>
  <si>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</si>
  <si>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</si>
  <si>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</si>
  <si>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</si>
  <si>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</si>
  <si>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</si>
  <si>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</si>
  <si>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</si>
  <si>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</si>
  <si>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</si>
  <si>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</si>
  <si>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</si>
  <si>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</si>
  <si>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</si>
  <si>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</si>
  <si>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</si>
  <si>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</si>
  <si>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</si>
  <si>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</si>
  <si>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</si>
  <si>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</si>
  <si>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</si>
  <si>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</si>
  <si>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</si>
  <si>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</si>
  <si>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</si>
  <si>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</si>
  <si>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</si>
  <si>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</si>
  <si>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</si>
  <si>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</si>
  <si>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</si>
  <si>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</si>
  <si>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</si>
  <si>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</si>
  <si>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</si>
  <si>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</si>
  <si>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</si>
  <si>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</si>
  <si>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</si>
  <si>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</si>
  <si>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</si>
  <si>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</si>
  <si>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</si>
  <si>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</si>
  <si>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</si>
  <si>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</si>
  <si>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</si>
  <si>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</si>
  <si>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</si>
  <si>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</si>
  <si>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</si>
  <si>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</si>
  <si>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</si>
  <si>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</si>
  <si>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</si>
  <si>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</si>
  <si>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</si>
  <si>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</si>
  <si>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</si>
  <si>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</si>
  <si>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</si>
  <si>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</si>
  <si>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</si>
  <si>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</si>
  <si>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</si>
  <si>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</si>
  <si>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</si>
  <si>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</si>
  <si>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</si>
  <si>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</si>
  <si>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</si>
  <si>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</si>
  <si>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</si>
  <si>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</si>
  <si>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</si>
  <si>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</si>
  <si>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</si>
  <si>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</si>
  <si>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</si>
  <si>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</si>
  <si>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</si>
  <si>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</si>
  <si>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</si>
  <si>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</si>
  <si>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</si>
  <si>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</si>
  <si>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</si>
  <si>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</si>
  <si>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</si>
  <si>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</si>
  <si>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</si>
  <si>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</si>
  <si>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Enrique Cubas</t>
  </si>
  <si>
    <t>IMP</t>
  </si>
  <si>
    <t>HTMS</t>
  </si>
  <si>
    <t>Valeri Gomis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</si>
  <si>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</si>
  <si>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</si>
  <si>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</si>
  <si>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</si>
  <si>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</si>
  <si>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</si>
  <si>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</si>
  <si>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</si>
  <si>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</si>
  <si>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</si>
  <si>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</si>
  <si>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</si>
  <si>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</si>
  <si>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</si>
  <si>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</si>
  <si>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</si>
  <si>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</si>
  <si>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</si>
  <si>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</si>
  <si>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</si>
  <si>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</si>
  <si>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</si>
  <si>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</si>
  <si>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</si>
  <si>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</si>
  <si>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</si>
  <si>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</si>
  <si>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</si>
  <si>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</si>
  <si>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</si>
  <si>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</si>
  <si>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</si>
  <si>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</si>
  <si>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</si>
  <si>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</si>
  <si>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</si>
  <si>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</si>
  <si>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</si>
  <si>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</si>
  <si>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</si>
  <si>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</si>
  <si>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</si>
  <si>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</si>
  <si>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</si>
  <si>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</si>
  <si>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</si>
  <si>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</si>
  <si>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</si>
  <si>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</si>
  <si>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</si>
  <si>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</si>
  <si>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</si>
  <si>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</si>
  <si>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</si>
  <si>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</si>
  <si>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</si>
  <si>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</si>
  <si>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</si>
  <si>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</si>
  <si>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</si>
  <si>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</si>
  <si>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</si>
  <si>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</si>
  <si>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</si>
  <si>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</si>
  <si>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</si>
  <si>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</si>
  <si>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</si>
  <si>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</si>
  <si>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</si>
  <si>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</si>
  <si>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</si>
  <si>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</si>
  <si>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</si>
  <si>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</si>
  <si>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</si>
  <si>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</si>
  <si>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</si>
  <si>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</si>
  <si>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</si>
  <si>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</si>
  <si>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</si>
  <si>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</si>
  <si>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</si>
  <si>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</si>
  <si>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</si>
  <si>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</si>
  <si>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</si>
  <si>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</si>
  <si>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</si>
  <si>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</si>
  <si>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</si>
  <si>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</si>
  <si>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</si>
  <si>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</si>
  <si>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</si>
  <si>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</si>
  <si>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</si>
  <si>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</si>
  <si>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</si>
  <si>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</si>
  <si>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</si>
  <si>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</si>
  <si>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</si>
  <si>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</si>
  <si>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</si>
  <si>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</si>
  <si>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</si>
  <si>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</si>
  <si>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</si>
  <si>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</si>
  <si>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</si>
  <si>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</si>
  <si>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</si>
  <si>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</si>
  <si>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</si>
  <si>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</si>
  <si>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</si>
  <si>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</si>
  <si>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</si>
  <si>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</si>
  <si>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</si>
  <si>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</si>
  <si>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</si>
  <si>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</si>
  <si>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</si>
  <si>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</si>
  <si>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</si>
  <si>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</si>
  <si>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</si>
  <si>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</si>
  <si>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</si>
  <si>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</si>
  <si>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</si>
  <si>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</si>
  <si>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</si>
  <si>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</si>
  <si>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</si>
  <si>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</si>
  <si>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W. Duffill</t>
  </si>
  <si>
    <t>F. Añigas</t>
  </si>
  <si>
    <t>IMP/RAP</t>
  </si>
  <si>
    <t>Filip Antonijevic</t>
  </si>
  <si>
    <t>Namazbek Baktygazyuly</t>
  </si>
  <si>
    <t>Juan Gabriel de Minaya</t>
  </si>
  <si>
    <t>Berto Abandero</t>
  </si>
  <si>
    <t>Miguel Fernández</t>
  </si>
  <si>
    <t>M. Fernandez</t>
  </si>
  <si>
    <t>B. Abandero</t>
  </si>
  <si>
    <t>Iván Real Figueroa</t>
  </si>
  <si>
    <t>I. R. Figueroa</t>
  </si>
  <si>
    <t>Fabien Fabre</t>
  </si>
  <si>
    <t>Emilio Rojas</t>
  </si>
  <si>
    <t>Guillermo Pedrajas</t>
  </si>
  <si>
    <t>G. Pedrajas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</si>
  <si>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</si>
  <si>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</si>
  <si>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</si>
  <si>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</si>
  <si>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</si>
  <si>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</si>
  <si>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</si>
  <si>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</si>
  <si>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</si>
  <si>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</si>
  <si>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</si>
  <si>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</si>
  <si>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</si>
  <si>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</si>
  <si>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</si>
  <si>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</si>
  <si>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</si>
  <si>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</si>
  <si>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</si>
  <si>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</si>
  <si>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</si>
  <si>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</si>
  <si>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</si>
  <si>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</si>
  <si>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</si>
  <si>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</si>
  <si>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</si>
  <si>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</si>
  <si>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</si>
  <si>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</si>
  <si>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</si>
  <si>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</si>
  <si>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</si>
  <si>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</si>
  <si>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</si>
  <si>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</si>
  <si>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</si>
  <si>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</si>
  <si>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</si>
  <si>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</si>
  <si>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</si>
  <si>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</si>
  <si>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</si>
  <si>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</si>
  <si>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</si>
  <si>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</si>
  <si>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</si>
  <si>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</si>
  <si>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</si>
  <si>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</si>
  <si>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</si>
  <si>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</si>
  <si>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</si>
  <si>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</si>
  <si>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</si>
  <si>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</si>
  <si>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</si>
  <si>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</si>
  <si>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</si>
  <si>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</si>
  <si>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</si>
  <si>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</si>
  <si>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</si>
  <si>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</si>
  <si>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</si>
  <si>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</si>
  <si>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</si>
  <si>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</si>
  <si>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</si>
  <si>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</si>
  <si>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</si>
  <si>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</si>
  <si>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</si>
  <si>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</si>
  <si>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</si>
  <si>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</si>
  <si>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</si>
  <si>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</si>
  <si>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</si>
  <si>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</si>
  <si>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</si>
  <si>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</si>
  <si>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</si>
  <si>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</si>
  <si>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</si>
  <si>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</si>
  <si>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</si>
  <si>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</si>
  <si>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</si>
  <si>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</si>
  <si>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</si>
  <si>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</si>
  <si>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</si>
  <si>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</si>
  <si>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</si>
  <si>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</si>
  <si>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</si>
  <si>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</si>
  <si>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</si>
  <si>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</si>
  <si>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</si>
  <si>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</si>
  <si>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</si>
  <si>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</si>
  <si>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</si>
  <si>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</si>
  <si>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</si>
  <si>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</si>
  <si>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</si>
  <si>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</si>
  <si>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</si>
  <si>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</si>
  <si>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</si>
  <si>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</si>
  <si>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</si>
  <si>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</si>
  <si>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</si>
  <si>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</si>
  <si>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</si>
  <si>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</si>
  <si>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</si>
  <si>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</si>
  <si>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</si>
  <si>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</si>
  <si>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</si>
  <si>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</si>
  <si>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</si>
  <si>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</si>
  <si>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</si>
  <si>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</si>
  <si>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</si>
  <si>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</si>
  <si>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</si>
  <si>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</si>
  <si>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</si>
  <si>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</si>
  <si>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</si>
  <si>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</si>
  <si>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</si>
  <si>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</si>
  <si>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</si>
  <si>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</si>
  <si>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</si>
  <si>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</si>
  <si>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</si>
  <si>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</si>
  <si>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</si>
  <si>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</si>
  <si>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</si>
  <si>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</si>
  <si>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</si>
  <si>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</si>
  <si>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</si>
  <si>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</si>
  <si>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</si>
  <si>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</si>
  <si>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</si>
  <si>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</si>
  <si>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</si>
  <si>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</si>
  <si>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</si>
  <si>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</si>
  <si>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</si>
  <si>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</si>
  <si>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</si>
  <si>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</si>
  <si>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</si>
  <si>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</si>
  <si>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</si>
  <si>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</si>
  <si>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</si>
  <si>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</si>
  <si>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</si>
  <si>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</si>
  <si>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</si>
  <si>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</si>
  <si>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</si>
  <si>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</si>
  <si>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</si>
  <si>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</si>
  <si>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</si>
  <si>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</si>
  <si>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</si>
  <si>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</si>
  <si>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</si>
  <si>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</si>
  <si>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</si>
  <si>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</si>
  <si>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</si>
  <si>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</si>
  <si>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</si>
  <si>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</si>
  <si>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</si>
  <si>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</si>
  <si>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</si>
  <si>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</si>
  <si>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</si>
  <si>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</si>
  <si>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</si>
  <si>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</si>
  <si>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</si>
  <si>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</si>
  <si>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</si>
  <si>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</si>
  <si>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</si>
  <si>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</si>
  <si>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</si>
  <si>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</si>
  <si>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</si>
  <si>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</si>
  <si>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</si>
  <si>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</si>
  <si>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</si>
  <si>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</si>
  <si>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</si>
  <si>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</si>
  <si>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</si>
  <si>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</si>
  <si>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</si>
  <si>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</si>
  <si>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</si>
  <si>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</si>
  <si>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</si>
  <si>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</si>
  <si>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</si>
  <si>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</si>
  <si>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</si>
  <si>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</si>
  <si>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</si>
  <si>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</si>
  <si>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</si>
  <si>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</si>
  <si>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</si>
  <si>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</si>
  <si>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</si>
  <si>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</si>
  <si>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</si>
  <si>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</si>
  <si>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</si>
  <si>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</si>
  <si>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</si>
  <si>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</si>
  <si>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</si>
  <si>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</si>
  <si>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</si>
  <si>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</si>
  <si>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</si>
  <si>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</si>
  <si>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</si>
  <si>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</si>
  <si>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</si>
  <si>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</si>
  <si>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</si>
  <si>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</si>
  <si>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</si>
  <si>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</si>
  <si>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</si>
  <si>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</si>
  <si>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</si>
  <si>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</si>
  <si>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</si>
  <si>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</si>
  <si>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</si>
  <si>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</si>
  <si>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</si>
  <si>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</si>
  <si>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</si>
  <si>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</si>
  <si>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</si>
  <si>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</si>
  <si>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</si>
  <si>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</si>
  <si>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</si>
  <si>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</si>
  <si>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</si>
  <si>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</si>
  <si>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</si>
  <si>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</si>
  <si>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</si>
  <si>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</si>
  <si>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</si>
  <si>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</si>
  <si>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</si>
  <si>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</si>
  <si>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</si>
  <si>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</si>
  <si>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</si>
  <si>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</si>
  <si>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</si>
  <si>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</si>
  <si>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</si>
  <si>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</si>
  <si>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</si>
  <si>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</si>
  <si>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</si>
  <si>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</si>
  <si>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</si>
  <si>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</si>
  <si>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</si>
  <si>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</si>
  <si>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</si>
  <si>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</si>
  <si>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</si>
  <si>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</si>
  <si>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</si>
  <si>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</si>
  <si>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</si>
  <si>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</si>
  <si>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</si>
  <si>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</si>
  <si>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</si>
  <si>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</si>
  <si>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</si>
  <si>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</si>
  <si>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</si>
  <si>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</si>
  <si>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</si>
  <si>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</si>
  <si>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</si>
  <si>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</si>
  <si>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</si>
  <si>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</si>
  <si>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</si>
  <si>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</si>
  <si>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</si>
  <si>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</si>
  <si>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</si>
  <si>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</si>
  <si>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</si>
  <si>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</si>
  <si>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</si>
  <si>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</si>
  <si>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</si>
  <si>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</si>
  <si>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</si>
  <si>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</si>
  <si>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</si>
  <si>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</si>
  <si>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</si>
  <si>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</si>
  <si>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</si>
  <si>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</si>
  <si>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</si>
  <si>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</si>
  <si>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</si>
  <si>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</si>
  <si>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</si>
  <si>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</si>
  <si>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</si>
  <si>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</si>
  <si>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</si>
  <si>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</si>
  <si>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</si>
  <si>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</si>
  <si>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</si>
  <si>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</si>
  <si>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</si>
  <si>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</si>
  <si>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</si>
  <si>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</si>
  <si>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</si>
  <si>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</si>
  <si>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</si>
  <si>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</si>
  <si>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</si>
  <si>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</si>
  <si>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</si>
  <si>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</si>
  <si>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</si>
  <si>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</si>
  <si>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</si>
  <si>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</si>
  <si>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</si>
  <si>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</si>
  <si>
    <t>TOWERS TEAM</t>
  </si>
  <si>
    <t>Adrià Moltó</t>
  </si>
  <si>
    <t>Romdi</t>
  </si>
  <si>
    <t>23(12)</t>
  </si>
  <si>
    <t>Alejandro Camacho</t>
  </si>
  <si>
    <t>23(109)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</si>
  <si>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</si>
  <si>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</si>
  <si>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</si>
  <si>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</si>
  <si>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</si>
  <si>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</si>
  <si>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Coste_36</t>
  </si>
  <si>
    <t>Clemente Nassano</t>
  </si>
  <si>
    <t>Jose Naalisvaara</t>
  </si>
  <si>
    <t>Taisto Matikainen</t>
  </si>
  <si>
    <t>Boris Vulkov</t>
  </si>
  <si>
    <t>Héctor Rodolfo Valentini</t>
  </si>
  <si>
    <t>Jo Schepers</t>
  </si>
  <si>
    <t>Cem Kuren</t>
  </si>
  <si>
    <t>Venance Egal</t>
  </si>
  <si>
    <t>Arvid Paulissen</t>
  </si>
  <si>
    <t>LID</t>
  </si>
  <si>
    <t xml:space="preserve">Iulian Pavlovschi </t>
  </si>
  <si>
    <t>Trond Berge</t>
  </si>
  <si>
    <t>雄太 (Takehiro) 小野塚 (Onozuka)</t>
  </si>
  <si>
    <t>Nahuel Ducoing</t>
  </si>
  <si>
    <t>Ferenc Hancz</t>
  </si>
  <si>
    <t>Kasper Marszołek</t>
  </si>
  <si>
    <t>Francesc d'Assís Gallardet</t>
  </si>
  <si>
    <t>Miro Henzmann</t>
  </si>
  <si>
    <t>Hab</t>
  </si>
  <si>
    <t>P.C.N</t>
  </si>
  <si>
    <t>Nacidos de la Bruma</t>
  </si>
  <si>
    <t>F.c. de Rositas</t>
  </si>
  <si>
    <t>Mes GOLS</t>
  </si>
  <si>
    <t>Miklos Gábriel</t>
  </si>
  <si>
    <t>Stanislaw Zdankiewicz</t>
  </si>
  <si>
    <t>Cornel Caraba</t>
  </si>
  <si>
    <t>Miquel Fernandez</t>
  </si>
  <si>
    <t>Fermando Gazón</t>
  </si>
  <si>
    <t>Mes vegades Millor</t>
  </si>
  <si>
    <t>Sergio Riaza</t>
  </si>
  <si>
    <t>Albert Sabater</t>
  </si>
  <si>
    <t>Tomas Solsona</t>
  </si>
  <si>
    <t>h36</t>
  </si>
  <si>
    <t>#17</t>
  </si>
  <si>
    <t>Julian Gräbitz</t>
  </si>
  <si>
    <t>J. Gräbitz</t>
  </si>
  <si>
    <t>莫 (Mo) 世兴 (Shixing)</t>
  </si>
  <si>
    <t>Luca Seethaler</t>
  </si>
  <si>
    <t>23(43)</t>
  </si>
  <si>
    <t xml:space="preserve"> Calixto Vázquez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</si>
  <si>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</si>
  <si>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</si>
  <si>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</si>
  <si>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</si>
  <si>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</si>
  <si>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</si>
  <si>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</si>
  <si>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Slobodan Lončar</t>
  </si>
  <si>
    <t>Pot28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</si>
  <si>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</si>
  <si>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</si>
  <si>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</si>
  <si>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</si>
  <si>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</si>
  <si>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</si>
  <si>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</si>
  <si>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</si>
  <si>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</si>
  <si>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</si>
  <si>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</si>
  <si>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</si>
  <si>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</si>
  <si>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</si>
  <si>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</si>
  <si>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</si>
  <si>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</si>
  <si>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</si>
  <si>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</si>
  <si>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</si>
  <si>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</si>
  <si>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</si>
  <si>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</si>
  <si>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</si>
  <si>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</si>
  <si>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</si>
  <si>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</si>
  <si>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</si>
  <si>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</si>
  <si>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</si>
  <si>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</si>
  <si>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</si>
  <si>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</si>
  <si>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</si>
  <si>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</si>
  <si>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</si>
  <si>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</si>
  <si>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</si>
  <si>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</si>
  <si>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</si>
  <si>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</si>
  <si>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Cristian Rinnaudo</t>
  </si>
  <si>
    <t>Fernando Flórez</t>
  </si>
  <si>
    <t>Guillermo Pineda</t>
  </si>
  <si>
    <t>Res11</t>
  </si>
  <si>
    <t>Exp11</t>
  </si>
  <si>
    <t>Real club de la Aviación</t>
  </si>
  <si>
    <t>Region</t>
  </si>
  <si>
    <t>Ceuta y Melilla</t>
  </si>
  <si>
    <t>Compres</t>
  </si>
  <si>
    <t>Vendes</t>
  </si>
  <si>
    <t>Tacticas</t>
  </si>
  <si>
    <t>352-253</t>
  </si>
  <si>
    <t>GLADIATORS 96</t>
  </si>
  <si>
    <t>La Rioja</t>
  </si>
  <si>
    <t>Desde</t>
  </si>
  <si>
    <t>541 - 442 CA</t>
  </si>
  <si>
    <t>FormigonArmado2.0</t>
  </si>
  <si>
    <t>Galicia</t>
  </si>
  <si>
    <t>352-253-343</t>
  </si>
  <si>
    <t>R.C. Deportivo da Coruña</t>
  </si>
  <si>
    <t>253-343</t>
  </si>
  <si>
    <t>Squandrago C.F.</t>
  </si>
  <si>
    <t>Andalucia</t>
  </si>
  <si>
    <t>352-343-433</t>
  </si>
  <si>
    <t>Omailovy's</t>
  </si>
  <si>
    <t>Catalunya</t>
  </si>
  <si>
    <t>MejorLiga</t>
  </si>
  <si>
    <t>IV (1)</t>
  </si>
  <si>
    <t>V (8)</t>
  </si>
  <si>
    <t>V (5)</t>
  </si>
  <si>
    <t>V (4)</t>
  </si>
  <si>
    <t>Gades F.C.</t>
  </si>
  <si>
    <t>VI (10)</t>
  </si>
  <si>
    <t>III (4)</t>
  </si>
  <si>
    <t>532-541 CA</t>
  </si>
  <si>
    <t>23(51)</t>
  </si>
  <si>
    <t>28(8)</t>
  </si>
  <si>
    <t>27(70)</t>
  </si>
  <si>
    <t>28(9)</t>
  </si>
  <si>
    <t>28(108)</t>
  </si>
  <si>
    <t>27(83)</t>
  </si>
  <si>
    <t>26(4)</t>
  </si>
  <si>
    <t>27(44)</t>
  </si>
  <si>
    <t>Trans</t>
  </si>
  <si>
    <t>Tot</t>
  </si>
  <si>
    <t>Excelent - Neutro - Pobre</t>
  </si>
  <si>
    <t>Notable - Of - Debil</t>
  </si>
  <si>
    <t>Notable - Of - Insuf</t>
  </si>
  <si>
    <t>Notable - Of - Pobre</t>
  </si>
  <si>
    <t>Notable - Neutro - Insuf</t>
  </si>
  <si>
    <t>Notable - Def - Debil</t>
  </si>
  <si>
    <t>Excelent - Def - Notable</t>
  </si>
  <si>
    <t>Notable - Neutro - Aceptable</t>
  </si>
  <si>
    <t>Dominik Talaska</t>
  </si>
  <si>
    <t>Michael Pilotto</t>
  </si>
  <si>
    <t>Antonio Aguado Orea</t>
  </si>
  <si>
    <t>Jae-Kwon Kim</t>
  </si>
  <si>
    <t>Pedro Baute</t>
  </si>
  <si>
    <t>Winfred Wetterich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</si>
  <si>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</si>
  <si>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</si>
  <si>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</si>
  <si>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</si>
  <si>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</si>
  <si>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</si>
  <si>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</si>
  <si>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</si>
  <si>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</si>
  <si>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</si>
  <si>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</si>
  <si>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</si>
  <si>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</si>
  <si>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</si>
  <si>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</si>
  <si>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</si>
  <si>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</si>
  <si>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</si>
  <si>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</si>
  <si>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</si>
  <si>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</si>
  <si>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</si>
  <si>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</si>
  <si>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</si>
  <si>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</si>
  <si>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</si>
  <si>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</si>
  <si>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</si>
  <si>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</si>
  <si>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Jeremies Creixems</t>
  </si>
  <si>
    <t>Pablo Ignacio Venet</t>
  </si>
  <si>
    <t>23(54)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</si>
  <si>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</si>
  <si>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</si>
  <si>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</si>
  <si>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</si>
  <si>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</si>
  <si>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</si>
  <si>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</si>
  <si>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</si>
  <si>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</si>
  <si>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</si>
  <si>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</si>
  <si>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V.252</t>
  </si>
  <si>
    <t>V.49</t>
  </si>
  <si>
    <t>Ralph Fendler</t>
  </si>
  <si>
    <t>Tomasz Rybka</t>
  </si>
  <si>
    <t>Shaheen Al-Hajiri</t>
  </si>
  <si>
    <t>Cristi David</t>
  </si>
  <si>
    <t>Said Azizi Khairul Aiman</t>
  </si>
  <si>
    <t>Tranquillo Schlüchter</t>
  </si>
  <si>
    <t>Roey Moshckovitz</t>
  </si>
  <si>
    <t xml:space="preserve">Ramón Xavier Villanueva </t>
  </si>
  <si>
    <t>Ciriaco Deitler</t>
  </si>
  <si>
    <t>#16</t>
  </si>
  <si>
    <t>#15</t>
  </si>
  <si>
    <t>#14</t>
  </si>
  <si>
    <t>#18</t>
  </si>
  <si>
    <t>BALANCE DE SITUACION Temporada 60</t>
  </si>
  <si>
    <t>BALANCE DE SITUACION Temporada 61</t>
  </si>
  <si>
    <t>Mantxo Hokigarai</t>
  </si>
  <si>
    <t>Kautik Patil</t>
  </si>
  <si>
    <t>Francisco Espasens</t>
  </si>
  <si>
    <t>Marian Tyka</t>
  </si>
  <si>
    <t>Caetano João Nogueira</t>
  </si>
  <si>
    <t>Raffael Mosberger</t>
  </si>
  <si>
    <t>V_36</t>
  </si>
  <si>
    <t>V_34</t>
  </si>
  <si>
    <t>V_32</t>
  </si>
  <si>
    <t>C_T32</t>
  </si>
  <si>
    <t>C_T34</t>
  </si>
  <si>
    <t>Ludovico Galfrè</t>
  </si>
  <si>
    <t>Hannes Seewald</t>
  </si>
  <si>
    <t>C_T36</t>
  </si>
  <si>
    <t>Nathan Pierret</t>
  </si>
  <si>
    <t>Matteo Grammatico</t>
  </si>
  <si>
    <t>Tautginas Tydikas</t>
  </si>
  <si>
    <t>Ernie Barclay</t>
  </si>
  <si>
    <t>DhL</t>
  </si>
  <si>
    <t>Julio Segura Puertas</t>
  </si>
  <si>
    <t>Hanno Pajur</t>
  </si>
  <si>
    <t>Hugo Cosatabella</t>
  </si>
  <si>
    <t>Artur Putilin</t>
  </si>
  <si>
    <t>Tommaso Niscola</t>
  </si>
  <si>
    <t>Sean Zahren</t>
  </si>
  <si>
    <t>Tim van Tol</t>
  </si>
  <si>
    <t>Quentin Veillon</t>
  </si>
  <si>
    <t>Juan Jesús Patiño</t>
  </si>
  <si>
    <t>Coste_34</t>
  </si>
  <si>
    <t>Coste_32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</si>
</sst>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Arial"/>
      <family val="2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theme="1"/>
      <name val="Calibri"/>
      <family val="2"/>
      <scheme val="minor"/>
    </font>
    <font>
      <b/>
      <sz val="9"/>
      <color theme="0"/>
      <name val="Verdana"/>
      <family val="2"/>
    </font>
    <font>
      <b/>
      <sz val="9"/>
      <name val="Calibri"/>
      <family val="2"/>
      <scheme val="minor"/>
    </font>
    <font>
      <b/>
      <sz val="14"/>
      <name val="Calibri"/>
      <family val="2"/>
      <charset val="1"/>
    </font>
  </fonts>
  <fills count="7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rgb="FFFFFF00"/>
        <bgColor rgb="FFFFC000"/>
      </patternFill>
    </fill>
    <fill>
      <patternFill patternType="solid">
        <fgColor rgb="FF92D050"/>
        <bgColor rgb="FFA9D18E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548235"/>
        <bgColor rgb="FF639A3F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rgb="FFC9C9C9"/>
        <bgColor rgb="FFCCCCCC"/>
      </patternFill>
    </fill>
    <fill>
      <patternFill patternType="solid">
        <fgColor theme="8" tint="0.79998168889431442"/>
        <bgColor rgb="FFFFEB9C"/>
      </patternFill>
    </fill>
    <fill>
      <patternFill patternType="solid">
        <fgColor theme="8" tint="0.79998168889431442"/>
        <bgColor rgb="FF000080"/>
      </patternFill>
    </fill>
    <fill>
      <patternFill patternType="solid">
        <fgColor theme="8" tint="0.79998168889431442"/>
        <bgColor rgb="FFDBDBDB"/>
      </patternFill>
    </fill>
    <fill>
      <patternFill patternType="solid">
        <fgColor theme="8" tint="0.79998168889431442"/>
        <bgColor rgb="FFB4C7E7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604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0" fontId="44" fillId="4" borderId="1" xfId="3" applyFont="1" applyFill="1" applyBorder="1" applyAlignment="1">
      <alignment horizontal="right"/>
    </xf>
    <xf numFmtId="0" fontId="13" fillId="22" borderId="0" xfId="0" applyFont="1" applyFill="1" applyAlignment="1">
      <alignment horizontal="right"/>
    </xf>
    <xf numFmtId="0" fontId="13" fillId="23" borderId="0" xfId="0" applyFont="1" applyFill="1" applyAlignment="1">
      <alignment horizontal="center"/>
    </xf>
    <xf numFmtId="2" fontId="0" fillId="0" borderId="0" xfId="0" applyNumberFormat="1" applyAlignment="1">
      <alignment horizontal="left" indent="2"/>
    </xf>
    <xf numFmtId="1" fontId="38" fillId="0" borderId="1" xfId="3" applyNumberFormat="1" applyFont="1" applyBorder="1"/>
    <xf numFmtId="164" fontId="61" fillId="26" borderId="1" xfId="3" applyNumberFormat="1" applyFont="1" applyFill="1" applyBorder="1" applyAlignment="1">
      <alignment horizontal="center"/>
    </xf>
    <xf numFmtId="2" fontId="45" fillId="26" borderId="0" xfId="3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center"/>
    </xf>
    <xf numFmtId="164" fontId="9" fillId="0" borderId="1" xfId="0" applyNumberFormat="1" applyFont="1" applyBorder="1"/>
    <xf numFmtId="0" fontId="79" fillId="48" borderId="0" xfId="0" applyFont="1" applyFill="1" applyAlignment="1">
      <alignment horizontal="center" wrapText="1"/>
    </xf>
    <xf numFmtId="0" fontId="0" fillId="58" borderId="1" xfId="0" applyFont="1" applyFill="1" applyBorder="1"/>
    <xf numFmtId="0" fontId="80" fillId="62" borderId="0" xfId="0" applyFont="1" applyFill="1" applyAlignment="1">
      <alignment horizontal="center" wrapText="1"/>
    </xf>
    <xf numFmtId="0" fontId="81" fillId="0" borderId="0" xfId="0" applyFont="1" applyAlignment="1">
      <alignment horizontal="center" wrapText="1"/>
    </xf>
    <xf numFmtId="2" fontId="81" fillId="0" borderId="0" xfId="0" applyNumberFormat="1" applyFont="1" applyAlignment="1">
      <alignment horizontal="center" wrapText="1"/>
    </xf>
    <xf numFmtId="0" fontId="80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19" xfId="0" applyBorder="1" applyAlignment="1">
      <alignment wrapText="1"/>
    </xf>
    <xf numFmtId="1" fontId="0" fillId="0" borderId="20" xfId="0" applyNumberFormat="1" applyBorder="1"/>
    <xf numFmtId="0" fontId="0" fillId="0" borderId="21" xfId="0" applyFont="1" applyBorder="1"/>
    <xf numFmtId="0" fontId="0" fillId="0" borderId="19" xfId="0" applyFont="1" applyBorder="1"/>
    <xf numFmtId="0" fontId="81" fillId="63" borderId="0" xfId="0" applyFont="1" applyFill="1" applyAlignment="1">
      <alignment horizontal="center" wrapText="1"/>
    </xf>
    <xf numFmtId="0" fontId="80" fillId="63" borderId="0" xfId="0" applyFont="1" applyFill="1" applyAlignment="1">
      <alignment horizontal="center" wrapText="1"/>
    </xf>
    <xf numFmtId="0" fontId="0" fillId="0" borderId="21" xfId="0" applyFont="1" applyBorder="1" applyAlignment="1">
      <alignment wrapText="1"/>
    </xf>
    <xf numFmtId="1" fontId="0" fillId="64" borderId="22" xfId="0" applyNumberFormat="1" applyFill="1" applyBorder="1"/>
    <xf numFmtId="0" fontId="81" fillId="0" borderId="23" xfId="0" applyFont="1" applyBorder="1" applyAlignment="1">
      <alignment horizontal="center" wrapText="1"/>
    </xf>
    <xf numFmtId="176" fontId="0" fillId="0" borderId="21" xfId="4" applyNumberFormat="1" applyFont="1" applyBorder="1" applyAlignment="1" applyProtection="1"/>
    <xf numFmtId="0" fontId="81" fillId="0" borderId="21" xfId="0" applyFont="1" applyBorder="1" applyAlignment="1">
      <alignment horizontal="center" wrapText="1"/>
    </xf>
    <xf numFmtId="176" fontId="0" fillId="0" borderId="19" xfId="4" applyNumberFormat="1" applyFont="1" applyBorder="1" applyAlignment="1" applyProtection="1"/>
    <xf numFmtId="1" fontId="0" fillId="64" borderId="24" xfId="0" applyNumberFormat="1" applyFill="1" applyBorder="1"/>
    <xf numFmtId="0" fontId="81" fillId="63" borderId="23" xfId="0" applyFont="1" applyFill="1" applyBorder="1" applyAlignment="1">
      <alignment horizontal="center" wrapText="1"/>
    </xf>
    <xf numFmtId="0" fontId="81" fillId="63" borderId="21" xfId="0" applyFont="1" applyFill="1" applyBorder="1" applyAlignment="1">
      <alignment horizontal="center" wrapText="1"/>
    </xf>
    <xf numFmtId="1" fontId="0" fillId="64" borderId="25" xfId="0" applyNumberFormat="1" applyFill="1" applyBorder="1"/>
    <xf numFmtId="169" fontId="0" fillId="59" borderId="10" xfId="2" applyNumberFormat="1" applyFont="1" applyFill="1" applyBorder="1" applyAlignment="1" applyProtection="1"/>
    <xf numFmtId="169" fontId="0" fillId="59" borderId="21" xfId="2" applyNumberFormat="1" applyFont="1" applyFill="1" applyBorder="1" applyAlignment="1" applyProtection="1"/>
    <xf numFmtId="169" fontId="0" fillId="58" borderId="0" xfId="2" applyNumberFormat="1" applyFont="1" applyFill="1" applyBorder="1" applyAlignment="1" applyProtection="1"/>
    <xf numFmtId="169" fontId="0" fillId="0" borderId="0" xfId="2" applyNumberFormat="1" applyFont="1" applyBorder="1" applyAlignment="1" applyProtection="1"/>
    <xf numFmtId="0" fontId="0" fillId="0" borderId="0" xfId="0" applyFont="1" applyBorder="1" applyAlignment="1">
      <alignment wrapText="1"/>
    </xf>
    <xf numFmtId="173" fontId="0" fillId="58" borderId="0" xfId="0" applyNumberFormat="1" applyFill="1" applyBorder="1" applyAlignment="1">
      <alignment wrapText="1"/>
    </xf>
    <xf numFmtId="173" fontId="0" fillId="58" borderId="0" xfId="0" applyNumberFormat="1" applyFill="1"/>
    <xf numFmtId="0" fontId="82" fillId="65" borderId="0" xfId="0" applyFont="1" applyFill="1" applyAlignment="1">
      <alignment horizontal="right"/>
    </xf>
    <xf numFmtId="173" fontId="83" fillId="58" borderId="26" xfId="0" applyNumberFormat="1" applyFont="1" applyFill="1" applyBorder="1"/>
    <xf numFmtId="0" fontId="66" fillId="66" borderId="0" xfId="0" applyFont="1" applyFill="1" applyAlignment="1">
      <alignment horizontal="center"/>
    </xf>
    <xf numFmtId="0" fontId="0" fillId="61" borderId="0" xfId="0" applyFont="1" applyFill="1"/>
    <xf numFmtId="1" fontId="0" fillId="61" borderId="0" xfId="0" applyNumberFormat="1" applyFill="1"/>
    <xf numFmtId="0" fontId="0" fillId="65" borderId="0" xfId="0" applyFont="1" applyFill="1" applyAlignment="1">
      <alignment horizontal="right"/>
    </xf>
    <xf numFmtId="1" fontId="0" fillId="65" borderId="0" xfId="0" applyNumberFormat="1" applyFill="1"/>
    <xf numFmtId="0" fontId="0" fillId="67" borderId="0" xfId="0" applyFont="1" applyFill="1" applyBorder="1" applyAlignment="1">
      <alignment horizontal="right" wrapText="1"/>
    </xf>
    <xf numFmtId="174" fontId="0" fillId="67" borderId="0" xfId="0" applyNumberFormat="1" applyFill="1" applyBorder="1"/>
    <xf numFmtId="0" fontId="0" fillId="54" borderId="0" xfId="0" applyFont="1" applyFill="1" applyBorder="1" applyAlignment="1">
      <alignment horizontal="right" wrapText="1"/>
    </xf>
    <xf numFmtId="174" fontId="0" fillId="54" borderId="0" xfId="0" applyNumberFormat="1" applyFill="1"/>
    <xf numFmtId="0" fontId="84" fillId="61" borderId="0" xfId="0" applyFont="1" applyFill="1" applyBorder="1" applyAlignment="1">
      <alignment horizontal="right" wrapText="1"/>
    </xf>
    <xf numFmtId="174" fontId="64" fillId="61" borderId="0" xfId="0" applyNumberFormat="1" applyFont="1" applyFill="1"/>
    <xf numFmtId="0" fontId="84" fillId="0" borderId="0" xfId="0" applyFont="1" applyBorder="1"/>
    <xf numFmtId="0" fontId="64" fillId="61" borderId="0" xfId="0" applyFont="1" applyFill="1" applyBorder="1" applyAlignment="1">
      <alignment horizontal="right" wrapText="1"/>
    </xf>
    <xf numFmtId="0" fontId="13" fillId="61" borderId="0" xfId="0" applyFont="1" applyFill="1"/>
    <xf numFmtId="1" fontId="13" fillId="61" borderId="0" xfId="0" applyNumberFormat="1" applyFont="1" applyFill="1"/>
    <xf numFmtId="0" fontId="21" fillId="55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43" fontId="0" fillId="0" borderId="0" xfId="1" applyFont="1"/>
    <xf numFmtId="0" fontId="86" fillId="5" borderId="1" xfId="0" applyFont="1" applyFill="1" applyBorder="1" applyAlignment="1">
      <alignment horizontal="center" vertical="center"/>
    </xf>
    <xf numFmtId="0" fontId="85" fillId="0" borderId="0" xfId="0" applyFont="1" applyAlignment="1">
      <alignment horizontal="center"/>
    </xf>
    <xf numFmtId="0" fontId="8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66" fillId="0" borderId="0" xfId="2" applyNumberFormat="1" applyFont="1"/>
    <xf numFmtId="0" fontId="66" fillId="68" borderId="13" xfId="0" applyFont="1" applyFill="1" applyBorder="1" applyAlignment="1">
      <alignment horizontal="center" wrapText="1"/>
    </xf>
    <xf numFmtId="1" fontId="66" fillId="68" borderId="1" xfId="0" applyNumberFormat="1" applyFont="1" applyFill="1" applyBorder="1" applyAlignment="1">
      <alignment horizontal="center" wrapText="1"/>
    </xf>
    <xf numFmtId="173" fontId="0" fillId="70" borderId="1" xfId="0" applyNumberFormat="1" applyFill="1" applyBorder="1"/>
    <xf numFmtId="173" fontId="0" fillId="70" borderId="1" xfId="0" applyNumberFormat="1" applyFill="1" applyBorder="1" applyAlignment="1">
      <alignment horizontal="center"/>
    </xf>
    <xf numFmtId="173" fontId="69" fillId="70" borderId="1" xfId="0" applyNumberFormat="1" applyFont="1" applyFill="1" applyBorder="1"/>
    <xf numFmtId="173" fontId="0" fillId="71" borderId="1" xfId="0" applyNumberFormat="1" applyFill="1" applyBorder="1"/>
    <xf numFmtId="173" fontId="72" fillId="71" borderId="1" xfId="0" applyNumberFormat="1" applyFont="1" applyFill="1" applyBorder="1"/>
    <xf numFmtId="14" fontId="64" fillId="4" borderId="0" xfId="0" applyNumberFormat="1" applyFont="1" applyFill="1" applyAlignment="1">
      <alignment wrapText="1"/>
    </xf>
    <xf numFmtId="173" fontId="88" fillId="69" borderId="1" xfId="0" applyNumberFormat="1" applyFont="1" applyFill="1" applyBorder="1"/>
    <xf numFmtId="0" fontId="64" fillId="0" borderId="27" xfId="0" applyFont="1" applyBorder="1"/>
    <xf numFmtId="0" fontId="0" fillId="0" borderId="27" xfId="0" applyBorder="1"/>
    <xf numFmtId="14" fontId="64" fillId="0" borderId="27" xfId="0" applyNumberFormat="1" applyFont="1" applyBorder="1" applyAlignment="1">
      <alignment horizontal="center"/>
    </xf>
    <xf numFmtId="14" fontId="64" fillId="22" borderId="27" xfId="0" applyNumberFormat="1" applyFont="1" applyFill="1" applyBorder="1" applyAlignment="1">
      <alignment horizontal="center"/>
    </xf>
    <xf numFmtId="2" fontId="42" fillId="26" borderId="0" xfId="3" applyNumberFormat="1" applyFont="1" applyFill="1" applyBorder="1" applyAlignment="1">
      <alignment horizontal="right"/>
    </xf>
    <xf numFmtId="164" fontId="78" fillId="26" borderId="0" xfId="3" applyNumberFormat="1" applyFont="1" applyFill="1" applyBorder="1" applyAlignment="1">
      <alignment horizontal="center"/>
    </xf>
    <xf numFmtId="0" fontId="13" fillId="23" borderId="0" xfId="0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66" fillId="0" borderId="0" xfId="0" applyFont="1" applyBorder="1" applyAlignment="1">
      <alignment horizontal="center" vertical="center" wrapText="1"/>
    </xf>
    <xf numFmtId="173" fontId="71" fillId="50" borderId="1" xfId="0" applyNumberFormat="1" applyFont="1" applyFill="1" applyBorder="1" applyAlignment="1">
      <alignment horizontal="center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2" fillId="54" borderId="1" xfId="0" applyNumberFormat="1" applyFont="1" applyFill="1" applyBorder="1" applyAlignment="1">
      <alignment horizontal="center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0" fillId="0" borderId="0" xfId="0" applyBorder="1" applyAlignment="1">
      <alignment wrapText="1"/>
    </xf>
    <xf numFmtId="0" fontId="65" fillId="15" borderId="19" xfId="0" applyFont="1" applyFill="1" applyBorder="1" applyAlignment="1">
      <alignment horizontal="center"/>
    </xf>
    <xf numFmtId="0" fontId="65" fillId="15" borderId="28" xfId="0" applyFont="1" applyFill="1" applyBorder="1" applyAlignment="1">
      <alignment horizontal="center"/>
    </xf>
    <xf numFmtId="0" fontId="65" fillId="15" borderId="23" xfId="0" applyFont="1" applyFill="1" applyBorder="1" applyAlignment="1">
      <alignment horizontal="center"/>
    </xf>
    <xf numFmtId="0" fontId="0" fillId="59" borderId="1" xfId="0" applyFont="1" applyFill="1" applyBorder="1" applyAlignment="1">
      <alignment horizontal="center"/>
    </xf>
    <xf numFmtId="0" fontId="0" fillId="60" borderId="1" xfId="0" applyFont="1" applyFill="1" applyBorder="1" applyAlignment="1">
      <alignment horizontal="center"/>
    </xf>
    <xf numFmtId="0" fontId="0" fillId="61" borderId="1" xfId="0" applyFont="1" applyFill="1" applyBorder="1" applyAlignment="1">
      <alignment horizontal="center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/>
    <xf numFmtId="1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3" borderId="17" xfId="0" applyFill="1" applyBorder="1"/>
    <xf numFmtId="0" fontId="0" fillId="4" borderId="17" xfId="0" applyFill="1" applyBorder="1"/>
    <xf numFmtId="0" fontId="0" fillId="23" borderId="5" xfId="0" applyFill="1" applyBorder="1"/>
    <xf numFmtId="43" fontId="1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43" fontId="1" fillId="0" borderId="5" xfId="1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 applyBorder="1"/>
    <xf numFmtId="2" fontId="8" fillId="0" borderId="0" xfId="0" applyNumberFormat="1" applyFont="1" applyBorder="1"/>
    <xf numFmtId="2" fontId="0" fillId="0" borderId="18" xfId="0" applyNumberFormat="1" applyBorder="1"/>
    <xf numFmtId="2" fontId="0" fillId="0" borderId="6" xfId="0" applyNumberFormat="1" applyBorder="1"/>
    <xf numFmtId="2" fontId="8" fillId="0" borderId="6" xfId="0" applyNumberFormat="1" applyFont="1" applyBorder="1"/>
    <xf numFmtId="2" fontId="0" fillId="0" borderId="11" xfId="0" applyNumberFormat="1" applyBorder="1"/>
    <xf numFmtId="2" fontId="8" fillId="0" borderId="18" xfId="0" applyNumberFormat="1" applyFont="1" applyBorder="1"/>
    <xf numFmtId="2" fontId="8" fillId="0" borderId="11" xfId="0" applyNumberFormat="1" applyFont="1" applyBorder="1"/>
    <xf numFmtId="0" fontId="0" fillId="0" borderId="6" xfId="0" applyBorder="1"/>
    <xf numFmtId="0" fontId="0" fillId="0" borderId="11" xfId="0" applyBorder="1"/>
    <xf numFmtId="0" fontId="13" fillId="0" borderId="0" xfId="0" applyFont="1" applyBorder="1"/>
    <xf numFmtId="0" fontId="13" fillId="0" borderId="18" xfId="0" applyFont="1" applyBorder="1"/>
    <xf numFmtId="0" fontId="13" fillId="0" borderId="6" xfId="0" applyFont="1" applyBorder="1"/>
    <xf numFmtId="0" fontId="13" fillId="0" borderId="11" xfId="0" applyFont="1" applyBorder="1"/>
    <xf numFmtId="1" fontId="0" fillId="0" borderId="18" xfId="0" applyNumberFormat="1" applyBorder="1"/>
    <xf numFmtId="1" fontId="0" fillId="0" borderId="11" xfId="0" applyNumberFormat="1" applyBorder="1"/>
    <xf numFmtId="0" fontId="15" fillId="9" borderId="19" xfId="0" applyFont="1" applyFill="1" applyBorder="1"/>
    <xf numFmtId="0" fontId="15" fillId="9" borderId="28" xfId="0" applyFont="1" applyFill="1" applyBorder="1"/>
    <xf numFmtId="0" fontId="15" fillId="9" borderId="28" xfId="0" applyFont="1" applyFill="1" applyBorder="1" applyAlignment="1">
      <alignment horizontal="center"/>
    </xf>
    <xf numFmtId="0" fontId="15" fillId="9" borderId="23" xfId="0" applyFont="1" applyFill="1" applyBorder="1" applyAlignment="1">
      <alignment horizontal="center"/>
    </xf>
    <xf numFmtId="0" fontId="15" fillId="14" borderId="19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5" fillId="10" borderId="28" xfId="0" applyFont="1" applyFill="1" applyBorder="1" applyAlignment="1">
      <alignment horizontal="center"/>
    </xf>
    <xf numFmtId="0" fontId="15" fillId="10" borderId="23" xfId="0" applyFont="1" applyFill="1" applyBorder="1" applyAlignment="1">
      <alignment horizontal="center"/>
    </xf>
    <xf numFmtId="0" fontId="15" fillId="11" borderId="28" xfId="0" applyFont="1" applyFill="1" applyBorder="1"/>
    <xf numFmtId="0" fontId="15" fillId="11" borderId="23" xfId="0" applyFont="1" applyFill="1" applyBorder="1"/>
    <xf numFmtId="0" fontId="15" fillId="12" borderId="28" xfId="0" applyFont="1" applyFill="1" applyBorder="1"/>
    <xf numFmtId="0" fontId="15" fillId="12" borderId="23" xfId="0" applyFont="1" applyFill="1" applyBorder="1"/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31750"/>
            </c:spPr>
            <c:trendlineType val="linear"/>
            <c:dispRSqr val="0"/>
            <c:dispEq val="0"/>
          </c:trendline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0.38541666666666669</c:v>
                </c:pt>
                <c:pt idx="4">
                  <c:v>0.34306569343065696</c:v>
                </c:pt>
                <c:pt idx="5">
                  <c:v>0.41530054644808745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46144"/>
        <c:axId val="679719248"/>
      </c:lineChart>
      <c:lineChart>
        <c:grouping val="standard"/>
        <c:varyColors val="0"/>
        <c:ser>
          <c:idx val="1"/>
          <c:order val="1"/>
          <c:tx>
            <c:v>Ocasiones Falladas</c:v>
          </c:tx>
          <c:spPr>
            <a:ln w="12700"/>
          </c:spPr>
          <c:marker>
            <c:symbol val="none"/>
          </c:marker>
          <c:val>
            <c:numRef>
              <c:f>EstudioConversion!$L$2:$L$8</c:f>
              <c:numCache>
                <c:formatCode>General</c:formatCode>
                <c:ptCount val="7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96</c:v>
                </c:pt>
                <c:pt idx="4">
                  <c:v>137</c:v>
                </c:pt>
                <c:pt idx="5">
                  <c:v>183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E-4EEF-B855-109AC846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29663"/>
        <c:axId val="1318174047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  <c:valAx>
        <c:axId val="131817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688729663"/>
        <c:crosses val="max"/>
        <c:crossBetween val="between"/>
      </c:valAx>
      <c:catAx>
        <c:axId val="16887296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1817404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14</xdr:col>
      <xdr:colOff>723900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7</xdr:col>
      <xdr:colOff>133350</xdr:colOff>
      <xdr:row>19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C40195-4101-4CF8-95A7-E79A3F7681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131" t="28378" r="20336" b="41781"/>
        <a:stretch/>
      </xdr:blipFill>
      <xdr:spPr>
        <a:xfrm>
          <a:off x="238125" y="209550"/>
          <a:ext cx="5229225" cy="3495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56.568075000003" createdVersion="6" refreshedVersion="6" minRefreshableVersion="3" recordCount="87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10-18T00:00:00" count="63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d v="2019-08-31T00:00:00"/>
        <d v="2019-09-03T00:00:00"/>
        <d v="2019-09-05T00:00:00"/>
        <d v="2019-09-07T00:00:00"/>
        <d v="2019-09-09T00:00:00"/>
        <d v="2019-09-11T00:00:00"/>
        <d v="2019-09-14T00:00:00"/>
        <d v="2019-09-16T00:00:00"/>
        <d v="2019-09-23T00:00:00"/>
        <d v="2019-09-28T00:00:00"/>
        <d v="2019-09-30T00:00:00"/>
        <d v="2019-10-01T00:00:00"/>
        <d v="2019-10-04T00:00:00"/>
        <d v="2019-10-05T00:00:00"/>
        <d v="2019-10-07T00:00:00"/>
        <d v="2019-10-08T00:00:00"/>
        <d v="2019-10-09T00:00:00"/>
        <d v="2019-10-10T00:00:00"/>
        <d v="2019-10-15T00:00:00"/>
        <d v="2019-10-16T00:00:00"/>
        <d v="2019-10-17T00:00:00"/>
        <m/>
      </sharedItems>
      <fieldGroup par="8" base="0">
        <rangePr groupBy="days" startDate="2019-03-13T00:00:00" endDate="2019-10-18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8/10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10-18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8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s v="V@der SC"/>
    <s v="TOWERS TEAM"/>
    <x v="3"/>
    <n v="12.545454545454545"/>
    <n v="4"/>
    <n v="2"/>
    <n v="0.5"/>
  </r>
  <r>
    <x v="42"/>
    <s v="Romdi"/>
    <s v="V@der SC"/>
    <x v="2"/>
    <n v="12.727272727272727"/>
    <n v="7"/>
    <n v="4"/>
    <n v="0.5714285714285714"/>
  </r>
  <r>
    <x v="43"/>
    <s v="V@der SC"/>
    <s v="Babbu team"/>
    <x v="5"/>
    <n v="13.090909090909092"/>
    <n v="10"/>
    <n v="3"/>
    <n v="0.3"/>
  </r>
  <r>
    <x v="43"/>
    <s v="V@der SC"/>
    <s v="Club de Catalunya"/>
    <x v="4"/>
    <n v="13.090909090909092"/>
    <n v="4"/>
    <n v="2"/>
    <n v="0.5"/>
  </r>
  <r>
    <x v="44"/>
    <s v="Splug Team"/>
    <s v="V@der SC"/>
    <x v="5"/>
    <n v="12.818181818181818"/>
    <n v="7"/>
    <n v="4"/>
    <n v="0.5714285714285714"/>
  </r>
  <r>
    <x v="45"/>
    <s v="V@der SC"/>
    <s v="Atletico ius"/>
    <x v="4"/>
    <n v="11.909090909090908"/>
    <n v="6"/>
    <n v="3"/>
    <n v="0.5"/>
  </r>
  <r>
    <x v="46"/>
    <s v="Funkickers zwarte Schapen"/>
    <s v="V@der SC"/>
    <x v="4"/>
    <n v="13.090909090909092"/>
    <n v="4"/>
    <n v="1"/>
    <n v="0.25"/>
  </r>
  <r>
    <x v="47"/>
    <s v="Menkoko C.F."/>
    <s v="V@der SC"/>
    <x v="4"/>
    <n v="12.090909090909092"/>
    <n v="3"/>
    <n v="1"/>
    <n v="0.33333333333333331"/>
  </r>
  <r>
    <x v="48"/>
    <s v="V@der SC"/>
    <s v="Bandurrias del Sur"/>
    <x v="5"/>
    <n v="12.818181818181818"/>
    <n v="6"/>
    <n v="2"/>
    <n v="0.33333333333333331"/>
  </r>
  <r>
    <x v="49"/>
    <s v="von der veck"/>
    <s v="V@der SC"/>
    <x v="4"/>
    <n v="12.818181818181818"/>
    <n v="9"/>
    <n v="4"/>
    <n v="0.44444444444444442"/>
  </r>
  <r>
    <x v="50"/>
    <s v="P.C.N"/>
    <s v="V@der SC"/>
    <x v="5"/>
    <n v="12.727272727272727"/>
    <n v="4"/>
    <n v="2"/>
    <n v="0.5"/>
  </r>
  <r>
    <x v="51"/>
    <s v="V@der SC"/>
    <s v="Nacidos de la Bruma"/>
    <x v="5"/>
    <n v="13.090909090909092"/>
    <n v="9"/>
    <n v="5"/>
    <n v="0.55555555555555558"/>
  </r>
  <r>
    <x v="52"/>
    <s v="F.c. de Rositas"/>
    <s v="V@der SC"/>
    <x v="4"/>
    <n v="13.181818181818182"/>
    <n v="7"/>
    <n v="3"/>
    <n v="0.42857142857142855"/>
  </r>
  <r>
    <x v="53"/>
    <s v="V@der SC"/>
    <s v="La Pobla FC"/>
    <x v="5"/>
    <n v="13.181818181818182"/>
    <n v="6"/>
    <n v="3"/>
    <n v="0.5"/>
  </r>
  <r>
    <x v="54"/>
    <s v="F.c. de Rositas"/>
    <s v="V@der SC"/>
    <x v="4"/>
    <n v="13.181818181818182"/>
    <n v="10"/>
    <n v="3"/>
    <n v="0.3"/>
  </r>
  <r>
    <x v="55"/>
    <s v="Dinamo skiejef"/>
    <s v="V@der SC"/>
    <x v="5"/>
    <n v="13.181818181818182"/>
    <n v="7"/>
    <n v="4"/>
    <n v="0.5714285714285714"/>
  </r>
  <r>
    <x v="55"/>
    <s v="Athletic MSS"/>
    <s v="V@der SC"/>
    <x v="5"/>
    <n v="13.181818181818182"/>
    <n v="7"/>
    <n v="2"/>
    <n v="0.2857142857142857"/>
  </r>
  <r>
    <x v="55"/>
    <s v="V@der SC"/>
    <s v="Demos returns"/>
    <x v="5"/>
    <n v="13.181818181818182"/>
    <n v="12"/>
    <n v="3"/>
    <n v="0.25"/>
  </r>
  <r>
    <x v="55"/>
    <s v="V@der SC"/>
    <s v="P.E.C. Zwolle"/>
    <x v="5"/>
    <n v="13.181818181818182"/>
    <n v="9"/>
    <n v="5"/>
    <n v="0.55555555555555558"/>
  </r>
  <r>
    <x v="56"/>
    <s v="Luso Futebol do Dafundo"/>
    <s v="V@der SC"/>
    <x v="4"/>
    <n v="13.181818181818182"/>
    <n v="9"/>
    <n v="3"/>
    <n v="0.33333333333333331"/>
  </r>
  <r>
    <x v="56"/>
    <s v="FC FLEW"/>
    <s v="V@der SC"/>
    <x v="5"/>
    <n v="13.181818181818182"/>
    <n v="10"/>
    <n v="5"/>
    <n v="0.5"/>
  </r>
  <r>
    <x v="57"/>
    <s v="CF Crystynho 07"/>
    <s v="V@der SC"/>
    <x v="5"/>
    <n v="12.909090909090908"/>
    <n v="10"/>
    <n v="2"/>
    <n v="0.2"/>
  </r>
  <r>
    <x v="58"/>
    <s v="V@der SC"/>
    <s v="Start Rudnik"/>
    <x v="4"/>
    <n v="12.909090909090908"/>
    <n v="8"/>
    <n v="3"/>
    <n v="0.375"/>
  </r>
  <r>
    <x v="58"/>
    <s v="V@der SC"/>
    <s v="Vicers PS"/>
    <x v="5"/>
    <n v="12.909090909090908"/>
    <n v="7"/>
    <n v="3"/>
    <n v="0.42857142857142855"/>
  </r>
  <r>
    <x v="58"/>
    <s v="V@der SC"/>
    <s v="Organización"/>
    <x v="5"/>
    <n v="12.909090909090908"/>
    <n v="8"/>
    <n v="3"/>
    <n v="0.375"/>
  </r>
  <r>
    <x v="59"/>
    <s v="Legazpi de Maputo"/>
    <s v="V@der SC"/>
    <x v="4"/>
    <n v="12.909090909090908"/>
    <n v="8"/>
    <n v="3"/>
    <n v="0.375"/>
  </r>
  <r>
    <x v="59"/>
    <s v="CMM Canoa Polo Triste"/>
    <s v="V@der SC"/>
    <x v="5"/>
    <n v="12.909090909090908"/>
    <n v="6"/>
    <n v="1"/>
    <n v="0.16666666666666666"/>
  </r>
  <r>
    <x v="59"/>
    <s v="Gälka Warriors"/>
    <s v="V@der SC"/>
    <x v="5"/>
    <n v="12.909090909090908"/>
    <n v="9"/>
    <n v="4"/>
    <n v="0.44444444444444442"/>
  </r>
  <r>
    <x v="60"/>
    <s v="V@der SC"/>
    <s v="Jyderups Jubelasnor"/>
    <x v="5"/>
    <n v="12.909090909090908"/>
    <n v="9"/>
    <n v="4"/>
    <n v="0.44444444444444442"/>
  </r>
  <r>
    <x v="60"/>
    <s v="Die Nashorner Logans"/>
    <s v="V@der SC"/>
    <x v="5"/>
    <n v="12.909090909090908"/>
    <n v="7"/>
    <n v="3"/>
    <n v="0.42857142857142855"/>
  </r>
  <r>
    <x v="60"/>
    <s v="V@der SC"/>
    <s v="CabaretVoltaire"/>
    <x v="5"/>
    <n v="12.909090909090908"/>
    <n v="6"/>
    <n v="2"/>
    <n v="0.33333333333333331"/>
  </r>
  <r>
    <x v="61"/>
    <s v="V@der SC"/>
    <s v="UF_United"/>
    <x v="5"/>
    <n v="12.909090909090908"/>
    <n v="8"/>
    <n v="4"/>
    <n v="0.5"/>
  </r>
  <r>
    <x v="62"/>
    <m/>
    <m/>
    <x v="7"/>
    <m/>
    <m/>
    <m/>
    <m/>
  </r>
  <r>
    <x v="62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X32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2.28515625" bestFit="1" customWidth="1"/>
    <col min="2" max="2" width="22.42578125" bestFit="1" customWidth="1"/>
    <col min="3" max="3" width="10.7109375" bestFit="1" customWidth="1"/>
    <col min="4" max="4" width="9.140625" style="125" customWidth="1"/>
    <col min="5" max="5" width="5.140625" customWidth="1"/>
    <col min="6" max="6" width="5.28515625" style="114" bestFit="1" customWidth="1"/>
    <col min="7" max="7" width="20.85546875" bestFit="1" customWidth="1"/>
    <col min="8" max="8" width="5.85546875" style="105" customWidth="1"/>
    <col min="9" max="9" width="6.85546875" customWidth="1"/>
    <col min="10" max="10" width="5.28515625" style="114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4" bestFit="1" customWidth="1"/>
    <col min="15" max="15" width="21.28515625" bestFit="1" customWidth="1"/>
    <col min="16" max="16" width="5.85546875" customWidth="1"/>
    <col min="17" max="17" width="6.140625" customWidth="1"/>
    <col min="18" max="18" width="5.28515625" bestFit="1" customWidth="1"/>
    <col min="19" max="19" width="21.7109375" bestFit="1" customWidth="1"/>
    <col min="20" max="20" width="5.140625" style="125" customWidth="1"/>
    <col min="21" max="21" width="5.7109375" customWidth="1"/>
    <col min="22" max="22" width="5.28515625" bestFit="1" customWidth="1"/>
    <col min="23" max="23" width="20.85546875" bestFit="1" customWidth="1"/>
    <col min="24" max="24" width="11.42578125" style="125"/>
  </cols>
  <sheetData>
    <row r="1" spans="1:24" x14ac:dyDescent="0.25">
      <c r="A1" s="106" t="s">
        <v>235</v>
      </c>
      <c r="F1" s="113" t="s">
        <v>282</v>
      </c>
      <c r="G1" s="525" t="s">
        <v>242</v>
      </c>
      <c r="H1" s="525"/>
      <c r="J1" s="113" t="s">
        <v>282</v>
      </c>
      <c r="K1" s="525" t="s">
        <v>283</v>
      </c>
      <c r="L1" s="525"/>
      <c r="N1" s="113" t="s">
        <v>282</v>
      </c>
      <c r="O1" s="525" t="s">
        <v>313</v>
      </c>
      <c r="P1" s="525"/>
      <c r="R1" s="445" t="s">
        <v>282</v>
      </c>
      <c r="S1" s="524" t="s">
        <v>750</v>
      </c>
      <c r="T1" s="524"/>
      <c r="V1" s="445" t="s">
        <v>282</v>
      </c>
      <c r="W1" s="524" t="s">
        <v>756</v>
      </c>
      <c r="X1" s="524"/>
    </row>
    <row r="2" spans="1:24" x14ac:dyDescent="0.25">
      <c r="A2" s="27">
        <v>43741</v>
      </c>
      <c r="F2" s="47">
        <v>1</v>
      </c>
      <c r="G2" s="107" t="s">
        <v>243</v>
      </c>
      <c r="H2" s="105" t="s">
        <v>244</v>
      </c>
      <c r="J2" s="47">
        <v>1</v>
      </c>
      <c r="K2" s="107" t="s">
        <v>266</v>
      </c>
      <c r="L2" s="105">
        <v>175</v>
      </c>
      <c r="N2" s="47">
        <v>1</v>
      </c>
      <c r="O2" s="107" t="s">
        <v>251</v>
      </c>
      <c r="P2" s="105">
        <v>58</v>
      </c>
      <c r="R2" s="47">
        <v>1</v>
      </c>
      <c r="S2" s="444" t="s">
        <v>349</v>
      </c>
      <c r="T2" s="125">
        <v>21</v>
      </c>
      <c r="V2" s="47">
        <v>1</v>
      </c>
      <c r="W2" s="444" t="s">
        <v>341</v>
      </c>
      <c r="X2" s="125">
        <v>24</v>
      </c>
    </row>
    <row r="3" spans="1:24" x14ac:dyDescent="0.25">
      <c r="F3" s="47">
        <v>2</v>
      </c>
      <c r="G3" s="107" t="s">
        <v>245</v>
      </c>
      <c r="H3" s="105" t="s">
        <v>246</v>
      </c>
      <c r="J3" s="47">
        <v>2</v>
      </c>
      <c r="K3" s="107" t="s">
        <v>284</v>
      </c>
      <c r="L3" s="105">
        <v>155</v>
      </c>
      <c r="N3" s="47">
        <v>2</v>
      </c>
      <c r="O3" s="107" t="s">
        <v>285</v>
      </c>
      <c r="P3" s="105">
        <v>57</v>
      </c>
      <c r="R3" s="47">
        <v>2</v>
      </c>
      <c r="S3" s="444" t="s">
        <v>182</v>
      </c>
      <c r="T3" s="125">
        <v>17</v>
      </c>
      <c r="V3" s="47">
        <v>2</v>
      </c>
      <c r="W3" s="444" t="s">
        <v>182</v>
      </c>
      <c r="X3" s="125">
        <v>3</v>
      </c>
    </row>
    <row r="4" spans="1:24" x14ac:dyDescent="0.25">
      <c r="A4" s="106" t="s">
        <v>236</v>
      </c>
      <c r="F4" s="47">
        <v>3</v>
      </c>
      <c r="G4" s="107" t="s">
        <v>247</v>
      </c>
      <c r="H4" s="105" t="s">
        <v>248</v>
      </c>
      <c r="J4" s="47">
        <v>3</v>
      </c>
      <c r="K4" s="107" t="s">
        <v>252</v>
      </c>
      <c r="L4" s="105">
        <v>145</v>
      </c>
      <c r="N4" s="47">
        <v>3</v>
      </c>
      <c r="O4" s="107" t="s">
        <v>245</v>
      </c>
      <c r="P4" s="105">
        <v>44</v>
      </c>
      <c r="R4" s="47">
        <v>2</v>
      </c>
      <c r="S4" s="444" t="s">
        <v>350</v>
      </c>
      <c r="T4" s="125">
        <v>17</v>
      </c>
      <c r="V4" s="47">
        <v>2</v>
      </c>
      <c r="W4" s="444" t="s">
        <v>234</v>
      </c>
      <c r="X4" s="125">
        <v>3</v>
      </c>
    </row>
    <row r="5" spans="1:24" x14ac:dyDescent="0.25">
      <c r="A5" s="122" t="s">
        <v>237</v>
      </c>
      <c r="B5" t="s">
        <v>347</v>
      </c>
      <c r="C5" s="27">
        <v>42847</v>
      </c>
      <c r="D5" s="47" t="s">
        <v>238</v>
      </c>
      <c r="F5" s="47">
        <v>4</v>
      </c>
      <c r="G5" s="107" t="s">
        <v>249</v>
      </c>
      <c r="H5" s="105" t="s">
        <v>250</v>
      </c>
      <c r="J5" s="47">
        <v>4</v>
      </c>
      <c r="K5" s="107" t="s">
        <v>249</v>
      </c>
      <c r="L5" s="105">
        <v>144</v>
      </c>
      <c r="N5" s="47">
        <v>4</v>
      </c>
      <c r="O5" s="107" t="s">
        <v>243</v>
      </c>
      <c r="P5" s="105">
        <v>42</v>
      </c>
      <c r="R5" s="47">
        <v>4</v>
      </c>
      <c r="S5" s="444" t="s">
        <v>344</v>
      </c>
      <c r="T5" s="125">
        <v>12</v>
      </c>
      <c r="V5" s="47">
        <v>4</v>
      </c>
      <c r="W5" s="444" t="s">
        <v>335</v>
      </c>
      <c r="X5" s="125">
        <v>3</v>
      </c>
    </row>
    <row r="6" spans="1:24" x14ac:dyDescent="0.25">
      <c r="A6" s="122" t="s">
        <v>239</v>
      </c>
      <c r="B6" t="s">
        <v>240</v>
      </c>
      <c r="C6" s="27">
        <v>42991</v>
      </c>
      <c r="D6" s="47" t="s">
        <v>241</v>
      </c>
      <c r="F6" s="47">
        <v>5</v>
      </c>
      <c r="G6" s="107" t="s">
        <v>251</v>
      </c>
      <c r="H6" s="105" t="s">
        <v>250</v>
      </c>
      <c r="J6" s="47">
        <v>5</v>
      </c>
      <c r="K6" s="107" t="s">
        <v>243</v>
      </c>
      <c r="L6" s="105">
        <v>141</v>
      </c>
      <c r="N6" s="47">
        <v>4</v>
      </c>
      <c r="O6" s="444" t="s">
        <v>185</v>
      </c>
      <c r="P6" s="108">
        <v>42</v>
      </c>
      <c r="R6" s="47">
        <v>4</v>
      </c>
      <c r="S6" s="444" t="s">
        <v>234</v>
      </c>
      <c r="T6" s="125">
        <v>12</v>
      </c>
      <c r="V6" s="47">
        <v>4</v>
      </c>
      <c r="W6" s="107" t="s">
        <v>751</v>
      </c>
      <c r="X6" s="125">
        <v>3</v>
      </c>
    </row>
    <row r="7" spans="1:24" x14ac:dyDescent="0.25">
      <c r="F7" s="47">
        <v>6</v>
      </c>
      <c r="G7" s="107" t="s">
        <v>252</v>
      </c>
      <c r="H7" s="105" t="s">
        <v>253</v>
      </c>
      <c r="J7" s="47">
        <v>6</v>
      </c>
      <c r="K7" s="107" t="s">
        <v>285</v>
      </c>
      <c r="L7" s="105">
        <v>140</v>
      </c>
      <c r="N7" s="47">
        <v>6</v>
      </c>
      <c r="O7" s="444" t="s">
        <v>338</v>
      </c>
      <c r="P7" s="122">
        <v>29</v>
      </c>
      <c r="R7" s="47">
        <v>6</v>
      </c>
      <c r="S7" s="444" t="s">
        <v>345</v>
      </c>
      <c r="T7" s="125">
        <v>11</v>
      </c>
      <c r="V7" s="47">
        <v>6</v>
      </c>
      <c r="W7" s="107" t="s">
        <v>753</v>
      </c>
      <c r="X7" s="125">
        <v>1</v>
      </c>
    </row>
    <row r="8" spans="1:24" x14ac:dyDescent="0.25">
      <c r="A8" s="113" t="s">
        <v>282</v>
      </c>
      <c r="B8" s="525" t="s">
        <v>294</v>
      </c>
      <c r="C8" s="525"/>
      <c r="F8" s="47">
        <v>7</v>
      </c>
      <c r="G8" s="107" t="s">
        <v>254</v>
      </c>
      <c r="H8" s="105" t="s">
        <v>255</v>
      </c>
      <c r="J8" s="47">
        <v>7</v>
      </c>
      <c r="K8" s="107" t="s">
        <v>288</v>
      </c>
      <c r="L8" s="105">
        <v>135</v>
      </c>
      <c r="N8" s="47">
        <v>7</v>
      </c>
      <c r="O8" s="107" t="s">
        <v>247</v>
      </c>
      <c r="P8" s="105">
        <v>27</v>
      </c>
      <c r="R8" s="47">
        <v>7</v>
      </c>
      <c r="S8" s="107" t="s">
        <v>751</v>
      </c>
      <c r="T8" s="125">
        <v>7</v>
      </c>
      <c r="V8" s="47">
        <v>7</v>
      </c>
      <c r="W8" s="444" t="s">
        <v>350</v>
      </c>
      <c r="X8" s="125">
        <v>1</v>
      </c>
    </row>
    <row r="9" spans="1:24" x14ac:dyDescent="0.25">
      <c r="A9" s="47">
        <v>1</v>
      </c>
      <c r="B9" s="107" t="s">
        <v>266</v>
      </c>
      <c r="C9" s="105">
        <v>71</v>
      </c>
      <c r="F9" s="47">
        <v>8</v>
      </c>
      <c r="G9" s="107" t="s">
        <v>257</v>
      </c>
      <c r="H9" s="105" t="s">
        <v>256</v>
      </c>
      <c r="J9" s="47">
        <v>8</v>
      </c>
      <c r="K9" s="107" t="s">
        <v>257</v>
      </c>
      <c r="L9" s="105">
        <v>111</v>
      </c>
      <c r="N9" s="47">
        <v>8</v>
      </c>
      <c r="O9" s="107" t="s">
        <v>290</v>
      </c>
      <c r="P9" s="105">
        <v>22</v>
      </c>
      <c r="R9" s="47">
        <v>7</v>
      </c>
      <c r="S9" s="444" t="s">
        <v>185</v>
      </c>
      <c r="T9" s="125">
        <v>7</v>
      </c>
      <c r="V9" s="47">
        <v>8</v>
      </c>
      <c r="W9" s="107"/>
    </row>
    <row r="10" spans="1:24" x14ac:dyDescent="0.25">
      <c r="A10" s="47">
        <v>2</v>
      </c>
      <c r="B10" s="107" t="s">
        <v>287</v>
      </c>
      <c r="C10" s="105">
        <v>29</v>
      </c>
      <c r="F10" s="47">
        <v>9</v>
      </c>
      <c r="G10" s="107" t="s">
        <v>258</v>
      </c>
      <c r="H10" s="105" t="s">
        <v>256</v>
      </c>
      <c r="J10" s="47">
        <v>9</v>
      </c>
      <c r="K10" s="444" t="s">
        <v>182</v>
      </c>
      <c r="L10" s="105">
        <v>107</v>
      </c>
      <c r="N10" s="47">
        <v>9</v>
      </c>
      <c r="O10" s="107" t="s">
        <v>314</v>
      </c>
      <c r="P10" s="105">
        <v>20</v>
      </c>
      <c r="R10" s="47">
        <v>9</v>
      </c>
      <c r="S10" s="444" t="s">
        <v>338</v>
      </c>
      <c r="T10" s="125">
        <v>6</v>
      </c>
      <c r="V10" s="47">
        <v>9</v>
      </c>
      <c r="W10" s="107"/>
    </row>
    <row r="11" spans="1:24" x14ac:dyDescent="0.25">
      <c r="A11" s="47">
        <v>3</v>
      </c>
      <c r="B11" s="107" t="s">
        <v>295</v>
      </c>
      <c r="C11" s="105">
        <v>16</v>
      </c>
      <c r="F11" s="47">
        <v>10</v>
      </c>
      <c r="G11" s="107" t="s">
        <v>259</v>
      </c>
      <c r="H11" s="105" t="s">
        <v>256</v>
      </c>
      <c r="J11" s="47">
        <v>10</v>
      </c>
      <c r="K11" s="107" t="s">
        <v>286</v>
      </c>
      <c r="L11" s="105">
        <v>105</v>
      </c>
      <c r="N11" s="47">
        <v>10</v>
      </c>
      <c r="O11" s="107" t="s">
        <v>293</v>
      </c>
      <c r="P11" s="105">
        <v>13</v>
      </c>
      <c r="R11" s="47">
        <v>10</v>
      </c>
      <c r="S11" s="444" t="s">
        <v>339</v>
      </c>
      <c r="T11" s="125">
        <v>5</v>
      </c>
      <c r="V11" s="47">
        <v>10</v>
      </c>
      <c r="W11" s="107"/>
    </row>
    <row r="12" spans="1:24" x14ac:dyDescent="0.25">
      <c r="A12" s="47">
        <v>4</v>
      </c>
      <c r="B12" s="444" t="s">
        <v>341</v>
      </c>
      <c r="C12" s="105">
        <v>15</v>
      </c>
      <c r="F12" s="47">
        <v>11</v>
      </c>
      <c r="G12" s="107" t="s">
        <v>260</v>
      </c>
      <c r="H12" s="105" t="s">
        <v>256</v>
      </c>
      <c r="J12" s="47">
        <v>11</v>
      </c>
      <c r="K12" s="444" t="s">
        <v>344</v>
      </c>
      <c r="L12" s="105">
        <v>100</v>
      </c>
      <c r="N12" s="47">
        <v>10</v>
      </c>
      <c r="O12" s="107" t="s">
        <v>315</v>
      </c>
      <c r="P12" s="105">
        <v>12</v>
      </c>
      <c r="R12" s="47">
        <v>11</v>
      </c>
      <c r="S12" s="444" t="s">
        <v>752</v>
      </c>
      <c r="T12" s="125">
        <v>4</v>
      </c>
      <c r="V12" s="47">
        <v>11</v>
      </c>
      <c r="W12" s="107"/>
    </row>
    <row r="13" spans="1:24" x14ac:dyDescent="0.25">
      <c r="A13" s="47">
        <v>5</v>
      </c>
      <c r="B13" s="107" t="s">
        <v>296</v>
      </c>
      <c r="C13" s="105">
        <v>12</v>
      </c>
      <c r="F13" s="47">
        <v>12</v>
      </c>
      <c r="G13" s="107" t="s">
        <v>262</v>
      </c>
      <c r="H13" s="105" t="s">
        <v>261</v>
      </c>
      <c r="J13" s="47">
        <v>12</v>
      </c>
      <c r="K13" s="107" t="s">
        <v>287</v>
      </c>
      <c r="L13" s="105">
        <v>93</v>
      </c>
      <c r="N13" s="47">
        <v>10</v>
      </c>
      <c r="O13" s="111" t="s">
        <v>232</v>
      </c>
      <c r="P13" s="105">
        <v>12</v>
      </c>
      <c r="R13" s="47">
        <v>12</v>
      </c>
      <c r="S13" s="444" t="s">
        <v>335</v>
      </c>
      <c r="T13" s="125">
        <v>3</v>
      </c>
      <c r="V13" s="47">
        <v>12</v>
      </c>
      <c r="W13" s="107"/>
    </row>
    <row r="14" spans="1:24" x14ac:dyDescent="0.25">
      <c r="A14" s="47">
        <v>6</v>
      </c>
      <c r="B14" s="107" t="s">
        <v>297</v>
      </c>
      <c r="C14" s="105">
        <v>11</v>
      </c>
      <c r="F14" s="47">
        <v>13</v>
      </c>
      <c r="G14" s="107" t="s">
        <v>263</v>
      </c>
      <c r="H14" s="105" t="s">
        <v>261</v>
      </c>
      <c r="J14" s="47">
        <v>12</v>
      </c>
      <c r="K14" s="444" t="s">
        <v>185</v>
      </c>
      <c r="L14" s="105">
        <v>93</v>
      </c>
      <c r="N14" s="47">
        <v>13</v>
      </c>
      <c r="O14" s="107" t="s">
        <v>316</v>
      </c>
      <c r="P14" s="105">
        <v>11</v>
      </c>
      <c r="R14" s="47">
        <v>12</v>
      </c>
      <c r="S14" s="444" t="s">
        <v>348</v>
      </c>
      <c r="T14" s="125">
        <v>3</v>
      </c>
      <c r="V14" s="47">
        <v>13</v>
      </c>
      <c r="W14" s="107"/>
    </row>
    <row r="15" spans="1:24" x14ac:dyDescent="0.25">
      <c r="A15" s="47">
        <v>6</v>
      </c>
      <c r="B15" s="107" t="s">
        <v>298</v>
      </c>
      <c r="C15" s="105">
        <v>11</v>
      </c>
      <c r="F15" s="47">
        <v>14</v>
      </c>
      <c r="G15" s="107" t="s">
        <v>264</v>
      </c>
      <c r="H15" s="105" t="s">
        <v>261</v>
      </c>
      <c r="J15" s="47">
        <v>12</v>
      </c>
      <c r="K15" s="444" t="s">
        <v>234</v>
      </c>
      <c r="L15" s="105">
        <v>93</v>
      </c>
      <c r="N15" s="47">
        <v>13</v>
      </c>
      <c r="O15" s="107" t="s">
        <v>297</v>
      </c>
      <c r="P15" s="105">
        <v>11</v>
      </c>
      <c r="R15" s="47">
        <v>12</v>
      </c>
      <c r="S15" s="107" t="s">
        <v>753</v>
      </c>
      <c r="T15" s="125">
        <v>3</v>
      </c>
      <c r="V15" s="47">
        <v>14</v>
      </c>
      <c r="W15" s="107"/>
    </row>
    <row r="16" spans="1:24" x14ac:dyDescent="0.25">
      <c r="A16" s="47">
        <v>8</v>
      </c>
      <c r="B16" s="107" t="s">
        <v>299</v>
      </c>
      <c r="C16" s="105">
        <v>6</v>
      </c>
      <c r="F16" s="47">
        <v>15</v>
      </c>
      <c r="G16" s="107" t="s">
        <v>265</v>
      </c>
      <c r="H16" s="105" t="s">
        <v>261</v>
      </c>
      <c r="J16" s="47">
        <v>15</v>
      </c>
      <c r="K16" s="444" t="s">
        <v>345</v>
      </c>
      <c r="L16" s="105">
        <v>92</v>
      </c>
      <c r="N16" s="47">
        <v>13</v>
      </c>
      <c r="O16" s="444" t="s">
        <v>344</v>
      </c>
      <c r="P16" s="125">
        <v>11</v>
      </c>
      <c r="R16" s="47">
        <v>15</v>
      </c>
      <c r="S16" s="444" t="s">
        <v>712</v>
      </c>
      <c r="T16" s="125">
        <v>2</v>
      </c>
      <c r="V16" s="47">
        <v>15</v>
      </c>
      <c r="W16" s="107"/>
    </row>
    <row r="17" spans="1:24" x14ac:dyDescent="0.25">
      <c r="A17" s="47">
        <v>8</v>
      </c>
      <c r="B17" s="444" t="s">
        <v>323</v>
      </c>
      <c r="C17" s="105">
        <v>6</v>
      </c>
      <c r="F17" s="47">
        <v>16</v>
      </c>
      <c r="G17" s="107" t="s">
        <v>266</v>
      </c>
      <c r="H17" s="105" t="s">
        <v>261</v>
      </c>
      <c r="J17" s="47">
        <v>16</v>
      </c>
      <c r="K17" s="107" t="s">
        <v>273</v>
      </c>
      <c r="L17" s="105">
        <v>83</v>
      </c>
      <c r="N17" s="47">
        <v>15</v>
      </c>
      <c r="O17" s="107" t="s">
        <v>317</v>
      </c>
      <c r="P17" s="105">
        <v>8</v>
      </c>
      <c r="R17" s="47">
        <v>15</v>
      </c>
      <c r="S17" s="444" t="s">
        <v>331</v>
      </c>
      <c r="T17" s="125">
        <v>2</v>
      </c>
      <c r="V17" s="47">
        <v>16</v>
      </c>
      <c r="W17" s="107"/>
    </row>
    <row r="18" spans="1:24" x14ac:dyDescent="0.25">
      <c r="A18" s="47">
        <v>10</v>
      </c>
      <c r="B18" s="107" t="s">
        <v>300</v>
      </c>
      <c r="C18" s="105">
        <v>4</v>
      </c>
      <c r="F18" s="47">
        <v>17</v>
      </c>
      <c r="G18" s="107" t="s">
        <v>268</v>
      </c>
      <c r="H18" s="105" t="s">
        <v>267</v>
      </c>
      <c r="J18" s="47">
        <v>17</v>
      </c>
      <c r="K18" s="107" t="s">
        <v>274</v>
      </c>
      <c r="L18" s="105">
        <v>78</v>
      </c>
      <c r="N18" s="47">
        <v>15</v>
      </c>
      <c r="O18" s="107" t="s">
        <v>318</v>
      </c>
      <c r="P18" s="105">
        <v>8</v>
      </c>
      <c r="R18" s="47">
        <v>17</v>
      </c>
      <c r="S18" s="444" t="s">
        <v>754</v>
      </c>
      <c r="T18" s="125">
        <v>1</v>
      </c>
      <c r="V18" s="47">
        <v>17</v>
      </c>
      <c r="W18" s="107"/>
    </row>
    <row r="19" spans="1:24" x14ac:dyDescent="0.25">
      <c r="A19" s="47">
        <v>11</v>
      </c>
      <c r="B19" s="107" t="s">
        <v>301</v>
      </c>
      <c r="C19" s="105">
        <v>3</v>
      </c>
      <c r="F19" s="47">
        <v>17</v>
      </c>
      <c r="G19" s="107" t="s">
        <v>269</v>
      </c>
      <c r="H19" s="105" t="s">
        <v>267</v>
      </c>
      <c r="J19" s="47">
        <v>18</v>
      </c>
      <c r="K19" s="107" t="s">
        <v>264</v>
      </c>
      <c r="L19" s="105">
        <v>67</v>
      </c>
      <c r="N19" s="47">
        <v>15</v>
      </c>
      <c r="O19" s="107" t="s">
        <v>292</v>
      </c>
      <c r="P19" s="105">
        <v>8</v>
      </c>
      <c r="R19" s="47">
        <v>17</v>
      </c>
      <c r="S19" s="444" t="s">
        <v>341</v>
      </c>
      <c r="T19" s="125">
        <v>1</v>
      </c>
      <c r="V19" s="47">
        <v>18</v>
      </c>
      <c r="W19" s="107"/>
    </row>
    <row r="20" spans="1:24" x14ac:dyDescent="0.25">
      <c r="A20" s="47">
        <v>12</v>
      </c>
      <c r="B20" s="107" t="s">
        <v>302</v>
      </c>
      <c r="C20" s="105">
        <v>2</v>
      </c>
      <c r="F20" s="47">
        <v>17</v>
      </c>
      <c r="G20" s="107" t="s">
        <v>270</v>
      </c>
      <c r="H20" s="105" t="s">
        <v>267</v>
      </c>
      <c r="J20" s="47">
        <v>19</v>
      </c>
      <c r="K20" s="107" t="s">
        <v>251</v>
      </c>
      <c r="L20" s="105">
        <v>64</v>
      </c>
      <c r="N20" s="47">
        <v>18</v>
      </c>
      <c r="O20" s="107" t="s">
        <v>319</v>
      </c>
      <c r="P20" s="105">
        <v>7</v>
      </c>
      <c r="R20" s="47">
        <v>17</v>
      </c>
      <c r="S20" s="444" t="s">
        <v>755</v>
      </c>
      <c r="T20" s="125">
        <v>1</v>
      </c>
      <c r="V20" s="47">
        <v>19</v>
      </c>
      <c r="W20" s="107"/>
    </row>
    <row r="21" spans="1:24" x14ac:dyDescent="0.25">
      <c r="A21" s="47">
        <v>12</v>
      </c>
      <c r="B21" s="111" t="s">
        <v>324</v>
      </c>
      <c r="C21" s="110">
        <v>2</v>
      </c>
      <c r="F21" s="47">
        <v>17</v>
      </c>
      <c r="G21" s="107" t="s">
        <v>271</v>
      </c>
      <c r="H21" s="105" t="s">
        <v>267</v>
      </c>
      <c r="J21" s="47">
        <v>20</v>
      </c>
      <c r="K21" s="107" t="s">
        <v>275</v>
      </c>
      <c r="L21" s="105">
        <v>60</v>
      </c>
      <c r="N21" s="47">
        <v>18</v>
      </c>
      <c r="O21" s="107" t="s">
        <v>320</v>
      </c>
      <c r="P21" s="105">
        <v>7</v>
      </c>
      <c r="R21" s="47">
        <v>20</v>
      </c>
      <c r="S21" s="107"/>
      <c r="V21" s="47">
        <v>20</v>
      </c>
      <c r="W21" s="107"/>
    </row>
    <row r="22" spans="1:24" x14ac:dyDescent="0.25">
      <c r="A22" s="47">
        <v>14</v>
      </c>
      <c r="B22" s="107" t="s">
        <v>303</v>
      </c>
      <c r="C22" s="105">
        <v>1</v>
      </c>
      <c r="F22" s="47">
        <v>17</v>
      </c>
      <c r="G22" s="107" t="s">
        <v>272</v>
      </c>
      <c r="H22" s="105" t="s">
        <v>267</v>
      </c>
      <c r="J22" s="47">
        <v>20</v>
      </c>
      <c r="K22" s="107" t="s">
        <v>265</v>
      </c>
      <c r="L22" s="105">
        <v>60</v>
      </c>
      <c r="N22" s="47">
        <v>18</v>
      </c>
      <c r="O22" s="444" t="s">
        <v>348</v>
      </c>
      <c r="P22" s="124">
        <v>7</v>
      </c>
      <c r="R22" s="47">
        <v>21</v>
      </c>
      <c r="S22" s="107"/>
      <c r="V22" s="47">
        <v>21</v>
      </c>
      <c r="W22" s="107"/>
    </row>
    <row r="23" spans="1:24" x14ac:dyDescent="0.25">
      <c r="A23" s="47">
        <v>14</v>
      </c>
      <c r="B23" s="107" t="s">
        <v>304</v>
      </c>
      <c r="C23" s="105">
        <v>1</v>
      </c>
      <c r="F23" s="47">
        <v>17</v>
      </c>
      <c r="G23" s="107" t="s">
        <v>273</v>
      </c>
      <c r="H23" s="105" t="s">
        <v>267</v>
      </c>
      <c r="J23" s="47">
        <v>22</v>
      </c>
      <c r="K23" s="107" t="s">
        <v>289</v>
      </c>
      <c r="L23" s="105">
        <v>58</v>
      </c>
      <c r="N23" s="47">
        <v>21</v>
      </c>
      <c r="O23" s="107" t="s">
        <v>321</v>
      </c>
      <c r="P23" s="105">
        <v>6</v>
      </c>
      <c r="R23" s="47">
        <v>22</v>
      </c>
      <c r="S23" s="107"/>
      <c r="V23" s="47">
        <v>22</v>
      </c>
      <c r="W23" s="107"/>
    </row>
    <row r="24" spans="1:24" x14ac:dyDescent="0.25">
      <c r="A24" s="47">
        <v>14</v>
      </c>
      <c r="B24" s="107" t="s">
        <v>305</v>
      </c>
      <c r="C24" s="105">
        <v>1</v>
      </c>
      <c r="F24" s="47">
        <v>17</v>
      </c>
      <c r="G24" s="107" t="s">
        <v>274</v>
      </c>
      <c r="H24" s="105" t="s">
        <v>267</v>
      </c>
      <c r="J24" s="47">
        <v>23</v>
      </c>
      <c r="K24" s="107" t="s">
        <v>290</v>
      </c>
      <c r="L24" s="105">
        <v>57</v>
      </c>
      <c r="N24" s="47">
        <v>21</v>
      </c>
      <c r="O24" s="107" t="s">
        <v>322</v>
      </c>
      <c r="P24" s="105">
        <v>6</v>
      </c>
      <c r="R24" s="47">
        <v>23</v>
      </c>
      <c r="S24" s="107"/>
      <c r="V24" s="47">
        <v>23</v>
      </c>
      <c r="W24" s="107"/>
    </row>
    <row r="25" spans="1:24" x14ac:dyDescent="0.25">
      <c r="A25" s="47">
        <v>14</v>
      </c>
      <c r="B25" s="107" t="s">
        <v>306</v>
      </c>
      <c r="C25" s="105">
        <v>1</v>
      </c>
      <c r="F25" s="47">
        <v>17</v>
      </c>
      <c r="G25" s="107" t="s">
        <v>275</v>
      </c>
      <c r="H25" s="105" t="s">
        <v>267</v>
      </c>
      <c r="J25" s="47">
        <v>23</v>
      </c>
      <c r="K25" s="107" t="s">
        <v>245</v>
      </c>
      <c r="L25" s="105">
        <v>57</v>
      </c>
      <c r="N25" s="47">
        <v>21</v>
      </c>
      <c r="O25" s="107" t="s">
        <v>288</v>
      </c>
      <c r="P25" s="105">
        <v>6</v>
      </c>
      <c r="R25" s="47">
        <v>24</v>
      </c>
      <c r="S25" s="107"/>
      <c r="V25" s="47">
        <v>24</v>
      </c>
      <c r="W25" s="107"/>
    </row>
    <row r="26" spans="1:24" x14ac:dyDescent="0.25">
      <c r="A26" s="47">
        <v>14</v>
      </c>
      <c r="B26" s="107" t="s">
        <v>307</v>
      </c>
      <c r="C26" s="105">
        <v>1</v>
      </c>
      <c r="F26" s="47">
        <v>17</v>
      </c>
      <c r="G26" s="107" t="s">
        <v>276</v>
      </c>
      <c r="H26" s="105" t="s">
        <v>267</v>
      </c>
      <c r="J26" s="47">
        <v>23</v>
      </c>
      <c r="K26" s="444" t="s">
        <v>341</v>
      </c>
      <c r="L26" s="125">
        <v>57</v>
      </c>
      <c r="T26" s="47">
        <f>SUM(T2:T25)</f>
        <v>135</v>
      </c>
      <c r="X26" s="47">
        <f>SUM(X2:X25)</f>
        <v>38</v>
      </c>
    </row>
    <row r="27" spans="1:24" x14ac:dyDescent="0.25">
      <c r="A27" s="47">
        <v>14</v>
      </c>
      <c r="B27" s="107" t="s">
        <v>308</v>
      </c>
      <c r="C27" s="105">
        <v>1</v>
      </c>
      <c r="F27" s="47">
        <v>17</v>
      </c>
      <c r="G27" s="107" t="s">
        <v>277</v>
      </c>
      <c r="H27" s="105" t="s">
        <v>267</v>
      </c>
      <c r="J27" s="47">
        <v>26</v>
      </c>
      <c r="K27" s="107" t="s">
        <v>291</v>
      </c>
      <c r="L27" s="105">
        <v>56</v>
      </c>
    </row>
    <row r="28" spans="1:24" x14ac:dyDescent="0.25">
      <c r="A28" s="47">
        <v>14</v>
      </c>
      <c r="B28" s="107" t="s">
        <v>309</v>
      </c>
      <c r="C28" s="105">
        <v>1</v>
      </c>
      <c r="F28" s="47">
        <v>17</v>
      </c>
      <c r="G28" s="107" t="s">
        <v>278</v>
      </c>
      <c r="H28" s="105" t="s">
        <v>267</v>
      </c>
      <c r="J28" s="47">
        <v>26</v>
      </c>
      <c r="K28" s="107" t="s">
        <v>269</v>
      </c>
      <c r="L28" s="105">
        <v>56</v>
      </c>
    </row>
    <row r="29" spans="1:24" x14ac:dyDescent="0.25">
      <c r="A29" s="47">
        <v>14</v>
      </c>
      <c r="B29" s="107" t="s">
        <v>310</v>
      </c>
      <c r="C29" s="105">
        <v>1</v>
      </c>
      <c r="F29" s="47">
        <v>17</v>
      </c>
      <c r="G29" s="107" t="s">
        <v>279</v>
      </c>
      <c r="H29" s="105" t="s">
        <v>267</v>
      </c>
      <c r="J29" s="47">
        <v>28</v>
      </c>
      <c r="K29" s="107" t="s">
        <v>254</v>
      </c>
      <c r="L29" s="105">
        <v>54</v>
      </c>
    </row>
    <row r="30" spans="1:24" x14ac:dyDescent="0.25">
      <c r="A30" s="47">
        <v>14</v>
      </c>
      <c r="B30" s="107" t="s">
        <v>311</v>
      </c>
      <c r="C30" s="105">
        <v>1</v>
      </c>
      <c r="F30" s="47">
        <v>17</v>
      </c>
      <c r="G30" s="107" t="s">
        <v>280</v>
      </c>
      <c r="H30" s="105" t="s">
        <v>267</v>
      </c>
      <c r="J30" s="47">
        <v>29</v>
      </c>
      <c r="K30" s="123" t="s">
        <v>330</v>
      </c>
      <c r="L30" s="112">
        <v>52</v>
      </c>
    </row>
    <row r="31" spans="1:24" x14ac:dyDescent="0.25">
      <c r="A31" s="47">
        <v>14</v>
      </c>
      <c r="B31" s="107" t="s">
        <v>312</v>
      </c>
      <c r="C31" s="105">
        <v>1</v>
      </c>
      <c r="F31" s="47">
        <v>17</v>
      </c>
      <c r="G31" s="107" t="s">
        <v>281</v>
      </c>
      <c r="H31" s="105" t="s">
        <v>267</v>
      </c>
      <c r="J31" s="47">
        <v>30</v>
      </c>
      <c r="K31" s="107" t="s">
        <v>278</v>
      </c>
      <c r="L31" s="105">
        <v>51</v>
      </c>
    </row>
    <row r="32" spans="1:24" x14ac:dyDescent="0.25">
      <c r="A32" s="47">
        <v>14</v>
      </c>
      <c r="B32" s="111" t="s">
        <v>346</v>
      </c>
      <c r="C32" s="105">
        <v>1</v>
      </c>
      <c r="F32" s="47">
        <v>17</v>
      </c>
      <c r="G32" s="444" t="s">
        <v>341</v>
      </c>
      <c r="H32" s="125" t="s">
        <v>267</v>
      </c>
      <c r="J32" s="47">
        <v>30</v>
      </c>
      <c r="K32" s="107" t="s">
        <v>292</v>
      </c>
      <c r="L32" s="105">
        <v>51</v>
      </c>
    </row>
  </sheetData>
  <mergeCells count="6">
    <mergeCell ref="W1:X1"/>
    <mergeCell ref="G1:H1"/>
    <mergeCell ref="K1:L1"/>
    <mergeCell ref="B8:C8"/>
    <mergeCell ref="O1:P1"/>
    <mergeCell ref="S1:T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23783-4595-49C6-B89B-38F60F100B1C}">
  <sheetPr>
    <tabColor theme="8" tint="0.59999389629810485"/>
  </sheetPr>
  <dimension ref="A1:AV38"/>
  <sheetViews>
    <sheetView zoomScale="90" zoomScaleNormal="90" workbookViewId="0">
      <selection activeCell="D9" sqref="D9"/>
    </sheetView>
  </sheetViews>
  <sheetFormatPr baseColWidth="10" defaultRowHeight="15" x14ac:dyDescent="0.25"/>
  <cols>
    <col min="1" max="1" width="30.5703125" customWidth="1"/>
    <col min="2" max="6" width="12.42578125" bestFit="1" customWidth="1"/>
    <col min="7" max="7" width="13.5703125" bestFit="1" customWidth="1"/>
    <col min="8" max="10" width="12.42578125" bestFit="1" customWidth="1"/>
    <col min="11" max="11" width="14.85546875" bestFit="1" customWidth="1"/>
    <col min="12" max="15" width="12.42578125" bestFit="1" customWidth="1"/>
    <col min="16" max="16" width="12" bestFit="1" customWidth="1"/>
    <col min="17" max="17" width="12.42578125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30" width="12.42578125" bestFit="1" customWidth="1"/>
    <col min="31" max="37" width="6.5703125" bestFit="1" customWidth="1"/>
  </cols>
  <sheetData>
    <row r="1" spans="1:36" ht="32.25" x14ac:dyDescent="0.25">
      <c r="M1" s="452" t="s">
        <v>777</v>
      </c>
      <c r="N1" s="452" t="s">
        <v>778</v>
      </c>
      <c r="O1" s="452" t="s">
        <v>779</v>
      </c>
      <c r="P1" s="452" t="s">
        <v>780</v>
      </c>
      <c r="Q1" s="452" t="s">
        <v>781</v>
      </c>
      <c r="R1" s="452" t="s">
        <v>782</v>
      </c>
      <c r="S1" s="452" t="s">
        <v>783</v>
      </c>
      <c r="U1" s="452" t="s">
        <v>784</v>
      </c>
    </row>
    <row r="2" spans="1:36" x14ac:dyDescent="0.25">
      <c r="C2" s="453" t="s">
        <v>785</v>
      </c>
      <c r="D2" s="552" t="s">
        <v>786</v>
      </c>
      <c r="E2" s="552"/>
      <c r="F2" s="553" t="s">
        <v>787</v>
      </c>
      <c r="G2" s="553"/>
      <c r="H2" s="554" t="s">
        <v>788</v>
      </c>
      <c r="I2" s="554"/>
      <c r="K2" s="59"/>
      <c r="M2" s="454">
        <v>11</v>
      </c>
      <c r="N2" s="455">
        <v>14.98</v>
      </c>
      <c r="O2" s="455">
        <v>5.95</v>
      </c>
      <c r="P2" s="456">
        <f t="shared" ref="P2:P12" si="0">U2*0.97</f>
        <v>5.3253000000000004</v>
      </c>
      <c r="Q2" s="455">
        <v>0.68</v>
      </c>
      <c r="R2" s="457">
        <v>27.09</v>
      </c>
      <c r="U2" s="455">
        <v>5.49</v>
      </c>
    </row>
    <row r="3" spans="1:36" ht="15.75" thickBot="1" x14ac:dyDescent="0.3">
      <c r="A3" s="458" t="s">
        <v>789</v>
      </c>
      <c r="B3" s="459">
        <f>B4+B5+B6+B7</f>
        <v>42676</v>
      </c>
      <c r="C3" s="460">
        <f>C4+C5+C6+C7</f>
        <v>47167.558749999997</v>
      </c>
      <c r="D3" s="461" t="s">
        <v>790</v>
      </c>
      <c r="E3" s="461" t="s">
        <v>791</v>
      </c>
      <c r="F3" s="461" t="s">
        <v>790</v>
      </c>
      <c r="G3" s="461" t="s">
        <v>792</v>
      </c>
      <c r="H3" s="461" t="s">
        <v>790</v>
      </c>
      <c r="I3" s="462" t="s">
        <v>793</v>
      </c>
      <c r="J3" s="461" t="s">
        <v>794</v>
      </c>
      <c r="K3" s="461" t="s">
        <v>795</v>
      </c>
      <c r="M3" s="454">
        <v>10</v>
      </c>
      <c r="N3" s="463">
        <v>14.23</v>
      </c>
      <c r="O3" s="463">
        <v>5.59</v>
      </c>
      <c r="P3" s="456">
        <f t="shared" si="0"/>
        <v>4.9179000000000004</v>
      </c>
      <c r="Q3" s="463">
        <v>0.62</v>
      </c>
      <c r="R3" s="464">
        <v>25.52</v>
      </c>
      <c r="U3" s="463">
        <v>5.07</v>
      </c>
    </row>
    <row r="4" spans="1:36" x14ac:dyDescent="0.25">
      <c r="A4" s="465" t="s">
        <v>796</v>
      </c>
      <c r="B4" s="459">
        <v>24422</v>
      </c>
      <c r="C4" s="466">
        <v>26992.238000000005</v>
      </c>
      <c r="D4" s="467">
        <v>45</v>
      </c>
      <c r="E4" s="468">
        <f>D4*(C4-B4)</f>
        <v>115660.71000000022</v>
      </c>
      <c r="F4" s="469">
        <v>0.5</v>
      </c>
      <c r="G4" s="468">
        <f>(C4-B4)*F4</f>
        <v>1285.1190000000024</v>
      </c>
      <c r="H4" s="469">
        <v>7</v>
      </c>
      <c r="I4" s="470">
        <f>(C4-B4)*H4</f>
        <v>17991.666000000034</v>
      </c>
      <c r="J4" s="468">
        <f>H4*C4</f>
        <v>188945.66600000003</v>
      </c>
      <c r="K4" s="461">
        <f>B4*F4</f>
        <v>12211</v>
      </c>
      <c r="L4" s="31">
        <f>5000*N13*F4</f>
        <v>1382.4289405684756</v>
      </c>
      <c r="M4" s="454">
        <v>9</v>
      </c>
      <c r="N4" s="455">
        <v>13.49</v>
      </c>
      <c r="O4" s="455">
        <v>5.24</v>
      </c>
      <c r="P4" s="456">
        <f t="shared" si="0"/>
        <v>4.5202</v>
      </c>
      <c r="Q4" s="455">
        <v>0.56999999999999995</v>
      </c>
      <c r="R4" s="457">
        <v>23.95</v>
      </c>
      <c r="U4" s="455">
        <v>4.66</v>
      </c>
    </row>
    <row r="5" spans="1:36" x14ac:dyDescent="0.25">
      <c r="A5" s="465" t="s">
        <v>797</v>
      </c>
      <c r="B5" s="459">
        <v>9374</v>
      </c>
      <c r="C5" s="471">
        <v>10360.443000000001</v>
      </c>
      <c r="D5" s="472">
        <v>75</v>
      </c>
      <c r="E5" s="468">
        <f>D5*(C5-B5)</f>
        <v>73983.225000000079</v>
      </c>
      <c r="F5" s="473">
        <v>0.7</v>
      </c>
      <c r="G5" s="468">
        <f>(C5-B5)*F5</f>
        <v>690.51010000000076</v>
      </c>
      <c r="H5" s="473">
        <v>10</v>
      </c>
      <c r="I5" s="470">
        <f>(C5-B5)*H5</f>
        <v>9864.4300000000112</v>
      </c>
      <c r="J5" s="468">
        <f>H5*C5</f>
        <v>103604.43000000001</v>
      </c>
      <c r="K5" s="461">
        <f>B5*F5</f>
        <v>6561.7999999999993</v>
      </c>
      <c r="L5" s="31">
        <f>5000*O13*F5</f>
        <v>768.73385012919903</v>
      </c>
      <c r="M5" s="454">
        <v>8</v>
      </c>
      <c r="N5" s="463">
        <v>12.74</v>
      </c>
      <c r="O5" s="463">
        <v>4.8899999999999997</v>
      </c>
      <c r="P5" s="456">
        <f t="shared" si="0"/>
        <v>4.1224999999999996</v>
      </c>
      <c r="Q5" s="463">
        <v>0.51</v>
      </c>
      <c r="R5" s="464">
        <v>22.39</v>
      </c>
      <c r="U5" s="463">
        <v>4.25</v>
      </c>
    </row>
    <row r="6" spans="1:36" x14ac:dyDescent="0.25">
      <c r="A6" s="465" t="s">
        <v>798</v>
      </c>
      <c r="B6" s="459">
        <v>7902</v>
      </c>
      <c r="C6" s="471">
        <v>8734.3407499999994</v>
      </c>
      <c r="D6" s="467">
        <v>90</v>
      </c>
      <c r="E6" s="468">
        <f>D6*(C6-B6)</f>
        <v>74910.667499999952</v>
      </c>
      <c r="F6" s="469">
        <v>1</v>
      </c>
      <c r="G6" s="468">
        <f>(C6-B6)*F6</f>
        <v>832.34074999999939</v>
      </c>
      <c r="H6" s="469">
        <v>19</v>
      </c>
      <c r="I6" s="470">
        <f>(C6-B6)*H6</f>
        <v>15814.474249999988</v>
      </c>
      <c r="J6" s="468">
        <f>H6*C6</f>
        <v>165952.47425</v>
      </c>
      <c r="K6" s="461">
        <f>B6*F6</f>
        <v>7902</v>
      </c>
      <c r="L6" s="31">
        <f>5000*P13*F6</f>
        <v>982.89036544850512</v>
      </c>
      <c r="M6" s="454">
        <v>7</v>
      </c>
      <c r="N6" s="455">
        <v>12</v>
      </c>
      <c r="O6" s="455">
        <v>4.53</v>
      </c>
      <c r="P6" s="456">
        <f t="shared" si="0"/>
        <v>3.7247999999999997</v>
      </c>
      <c r="Q6" s="455">
        <v>0.46</v>
      </c>
      <c r="R6" s="457">
        <v>20.83</v>
      </c>
      <c r="U6" s="455">
        <v>3.84</v>
      </c>
    </row>
    <row r="7" spans="1:36" ht="15.75" thickBot="1" x14ac:dyDescent="0.3">
      <c r="A7" s="465" t="s">
        <v>799</v>
      </c>
      <c r="B7" s="459">
        <v>978</v>
      </c>
      <c r="C7" s="474">
        <v>1080.5370000000003</v>
      </c>
      <c r="D7" s="472">
        <v>300</v>
      </c>
      <c r="E7" s="468">
        <f>D7*(C7-B7)</f>
        <v>30761.100000000079</v>
      </c>
      <c r="F7" s="473">
        <v>2.5</v>
      </c>
      <c r="G7" s="468">
        <f>(C7-B7)*F7</f>
        <v>256.34250000000065</v>
      </c>
      <c r="H7" s="473">
        <v>35</v>
      </c>
      <c r="I7" s="470">
        <f>(C7-B7)*H7</f>
        <v>3588.7950000000092</v>
      </c>
      <c r="J7" s="468">
        <f>H7*C7</f>
        <v>37818.795000000013</v>
      </c>
      <c r="K7" s="461">
        <f>B7*F7</f>
        <v>2445</v>
      </c>
      <c r="L7" s="31">
        <f>5000*Q13*F7</f>
        <v>313.76891842008126</v>
      </c>
      <c r="M7" s="454">
        <v>6</v>
      </c>
      <c r="N7" s="463">
        <v>11.26</v>
      </c>
      <c r="O7" s="463">
        <v>4.17</v>
      </c>
      <c r="P7" s="456">
        <f t="shared" si="0"/>
        <v>3.3367999999999998</v>
      </c>
      <c r="Q7" s="463">
        <v>0.41</v>
      </c>
      <c r="R7" s="464">
        <v>19.27</v>
      </c>
      <c r="U7" s="463">
        <v>3.44</v>
      </c>
    </row>
    <row r="8" spans="1:36" x14ac:dyDescent="0.25">
      <c r="C8" s="475">
        <f>C4/$C$3</f>
        <v>0.5722627737226279</v>
      </c>
      <c r="J8" s="468">
        <f>J7+J6+J5+J4</f>
        <v>496321.36525000003</v>
      </c>
      <c r="K8" s="461">
        <f>K7+K6+K5+K4</f>
        <v>29119.8</v>
      </c>
      <c r="L8" s="461">
        <f>L7+L6+L5+L4</f>
        <v>3447.8220745662611</v>
      </c>
      <c r="M8" s="454">
        <v>5</v>
      </c>
      <c r="N8" s="455">
        <v>10.52</v>
      </c>
      <c r="O8" s="455">
        <v>3.81</v>
      </c>
      <c r="P8" s="456">
        <f t="shared" si="0"/>
        <v>2.9390999999999998</v>
      </c>
      <c r="Q8" s="455">
        <v>0.35</v>
      </c>
      <c r="R8" s="457">
        <v>17.72</v>
      </c>
      <c r="U8" s="455">
        <v>3.03</v>
      </c>
    </row>
    <row r="9" spans="1:36" x14ac:dyDescent="0.25">
      <c r="C9" s="476">
        <f>C5/$C$3</f>
        <v>0.21965188096574961</v>
      </c>
      <c r="E9" s="29">
        <f>C4-B4</f>
        <v>2570.2380000000048</v>
      </c>
      <c r="H9">
        <f>H10+H11+H12+H13</f>
        <v>71304</v>
      </c>
      <c r="M9" s="454">
        <v>4</v>
      </c>
      <c r="N9" s="463">
        <v>9.8000000000000007</v>
      </c>
      <c r="O9" s="463">
        <v>3.46</v>
      </c>
      <c r="P9" s="456">
        <f t="shared" si="0"/>
        <v>2.5510999999999999</v>
      </c>
      <c r="Q9" s="463">
        <v>0.3</v>
      </c>
      <c r="R9" s="464">
        <v>16.170000000000002</v>
      </c>
      <c r="U9" s="463">
        <v>2.63</v>
      </c>
    </row>
    <row r="10" spans="1:36" x14ac:dyDescent="0.25">
      <c r="B10" s="477">
        <f>B11/B13</f>
        <v>3.275298295540495E-2</v>
      </c>
      <c r="C10" s="476">
        <f>C6/$C$3</f>
        <v>0.18517686692869176</v>
      </c>
      <c r="E10" s="29">
        <f>C5-B5</f>
        <v>986.44300000000112</v>
      </c>
      <c r="H10">
        <v>40146</v>
      </c>
      <c r="I10" s="478">
        <f>H10/$H$9</f>
        <v>0.56302591719959605</v>
      </c>
      <c r="M10" s="454">
        <v>3</v>
      </c>
      <c r="N10" s="455">
        <v>9.09</v>
      </c>
      <c r="O10" s="455">
        <v>3.1</v>
      </c>
      <c r="P10" s="456">
        <f t="shared" si="0"/>
        <v>2.1436999999999999</v>
      </c>
      <c r="Q10" s="455">
        <v>0.24</v>
      </c>
      <c r="R10" s="457">
        <v>14.63</v>
      </c>
      <c r="U10" s="455">
        <v>2.21</v>
      </c>
    </row>
    <row r="11" spans="1:36" x14ac:dyDescent="0.25">
      <c r="A11" s="479" t="s">
        <v>800</v>
      </c>
      <c r="B11" s="480">
        <v>10000</v>
      </c>
      <c r="C11" s="476">
        <f>C7/$C$3</f>
        <v>2.2908478382930943E-2</v>
      </c>
      <c r="E11" s="29">
        <f>C6-B6</f>
        <v>832.34074999999939</v>
      </c>
      <c r="H11">
        <v>15594</v>
      </c>
      <c r="I11" s="478">
        <f>H11/$H$9</f>
        <v>0.21869740828004039</v>
      </c>
      <c r="M11" s="454">
        <v>2</v>
      </c>
      <c r="N11" s="463">
        <v>8.42</v>
      </c>
      <c r="O11" s="463">
        <v>2.73</v>
      </c>
      <c r="P11" s="456">
        <f t="shared" si="0"/>
        <v>1.7168999999999999</v>
      </c>
      <c r="Q11" s="463">
        <v>0.18</v>
      </c>
      <c r="R11" s="464">
        <v>13.09</v>
      </c>
      <c r="U11" s="463">
        <v>1.77</v>
      </c>
    </row>
    <row r="12" spans="1:36" ht="15.75" thickBot="1" x14ac:dyDescent="0.3">
      <c r="A12" s="479" t="s">
        <v>801</v>
      </c>
      <c r="B12" s="481">
        <f>E7+E6+E5+E4</f>
        <v>295315.70250000036</v>
      </c>
      <c r="E12" s="29">
        <f>C7-B7</f>
        <v>102.53700000000026</v>
      </c>
      <c r="H12">
        <v>13868</v>
      </c>
      <c r="I12" s="478">
        <f>H12/$H$9</f>
        <v>0.19449119263996409</v>
      </c>
      <c r="M12" s="454">
        <v>1</v>
      </c>
      <c r="N12" s="455">
        <v>7.85</v>
      </c>
      <c r="O12" s="455">
        <v>2.34</v>
      </c>
      <c r="P12" s="456">
        <f t="shared" si="0"/>
        <v>1.1931</v>
      </c>
      <c r="Q12" s="455">
        <v>0.1</v>
      </c>
      <c r="R12" s="457">
        <v>11.53</v>
      </c>
      <c r="U12" s="455">
        <v>1.23</v>
      </c>
    </row>
    <row r="13" spans="1:36" ht="15.75" thickBot="1" x14ac:dyDescent="0.3">
      <c r="A13" s="482" t="s">
        <v>80</v>
      </c>
      <c r="B13" s="483">
        <f>B11+B12</f>
        <v>305315.70250000036</v>
      </c>
      <c r="H13">
        <v>1696</v>
      </c>
      <c r="I13" s="478">
        <f>H13/$H$9</f>
        <v>2.3785481880399417E-2</v>
      </c>
      <c r="N13">
        <f>N2/R2</f>
        <v>0.55297157622739024</v>
      </c>
      <c r="O13">
        <f>O2/R2</f>
        <v>0.21963824289405687</v>
      </c>
      <c r="P13" s="456">
        <f>P2/R2</f>
        <v>0.19657807308970102</v>
      </c>
      <c r="Q13">
        <f>Q2/R2</f>
        <v>2.51015134736065E-2</v>
      </c>
    </row>
    <row r="15" spans="1:36" x14ac:dyDescent="0.25">
      <c r="A15" s="302"/>
      <c r="B15" s="484" t="s">
        <v>570</v>
      </c>
      <c r="C15" s="484" t="s">
        <v>571</v>
      </c>
      <c r="D15" s="484" t="s">
        <v>572</v>
      </c>
      <c r="E15" s="484" t="s">
        <v>573</v>
      </c>
      <c r="F15" s="484" t="s">
        <v>574</v>
      </c>
      <c r="G15" s="484" t="s">
        <v>575</v>
      </c>
      <c r="H15" s="484" t="s">
        <v>576</v>
      </c>
      <c r="I15" s="484" t="s">
        <v>577</v>
      </c>
      <c r="J15" s="484" t="s">
        <v>578</v>
      </c>
      <c r="K15" s="484" t="s">
        <v>579</v>
      </c>
      <c r="L15" s="484" t="s">
        <v>580</v>
      </c>
      <c r="M15" s="484" t="s">
        <v>581</v>
      </c>
      <c r="N15" s="484" t="s">
        <v>582</v>
      </c>
      <c r="O15" s="484" t="s">
        <v>583</v>
      </c>
      <c r="P15" s="484" t="s">
        <v>584</v>
      </c>
      <c r="Q15" s="484" t="s">
        <v>569</v>
      </c>
      <c r="R15" s="484" t="s">
        <v>570</v>
      </c>
      <c r="S15" s="484" t="s">
        <v>571</v>
      </c>
      <c r="T15" s="484" t="s">
        <v>572</v>
      </c>
      <c r="U15" s="484" t="s">
        <v>573</v>
      </c>
      <c r="V15" s="484" t="s">
        <v>574</v>
      </c>
      <c r="W15" s="484" t="s">
        <v>575</v>
      </c>
      <c r="X15" s="484" t="s">
        <v>576</v>
      </c>
      <c r="Y15" s="484" t="s">
        <v>577</v>
      </c>
      <c r="Z15" s="484" t="s">
        <v>578</v>
      </c>
      <c r="AA15" s="484" t="s">
        <v>579</v>
      </c>
      <c r="AB15" s="484" t="s">
        <v>580</v>
      </c>
      <c r="AC15" s="484" t="s">
        <v>581</v>
      </c>
      <c r="AD15" s="484" t="s">
        <v>582</v>
      </c>
      <c r="AE15" s="484" t="s">
        <v>583</v>
      </c>
      <c r="AF15" s="484" t="s">
        <v>584</v>
      </c>
      <c r="AG15" s="484" t="s">
        <v>569</v>
      </c>
      <c r="AH15" s="484"/>
      <c r="AI15" s="484"/>
    </row>
    <row r="16" spans="1:36" x14ac:dyDescent="0.25">
      <c r="A16" s="485" t="s">
        <v>802</v>
      </c>
      <c r="B16" s="486">
        <f>(1897*1.1)</f>
        <v>2086.7000000000003</v>
      </c>
      <c r="C16" s="486">
        <f>B16+4</f>
        <v>2090.7000000000003</v>
      </c>
      <c r="D16" s="486">
        <f t="shared" ref="D16:AJ16" si="1">C16+4</f>
        <v>2094.7000000000003</v>
      </c>
      <c r="E16" s="486">
        <f t="shared" si="1"/>
        <v>2098.7000000000003</v>
      </c>
      <c r="F16" s="486">
        <f t="shared" si="1"/>
        <v>2102.7000000000003</v>
      </c>
      <c r="G16" s="486">
        <f t="shared" si="1"/>
        <v>2106.7000000000003</v>
      </c>
      <c r="H16" s="486">
        <f t="shared" si="1"/>
        <v>2110.7000000000003</v>
      </c>
      <c r="I16" s="486">
        <f t="shared" si="1"/>
        <v>2114.7000000000003</v>
      </c>
      <c r="J16" s="486">
        <f t="shared" si="1"/>
        <v>2118.7000000000003</v>
      </c>
      <c r="K16" s="486">
        <f t="shared" si="1"/>
        <v>2122.7000000000003</v>
      </c>
      <c r="L16" s="486">
        <f t="shared" si="1"/>
        <v>2126.7000000000003</v>
      </c>
      <c r="M16" s="486">
        <f t="shared" si="1"/>
        <v>2130.7000000000003</v>
      </c>
      <c r="N16" s="486">
        <f t="shared" si="1"/>
        <v>2134.7000000000003</v>
      </c>
      <c r="O16" s="486">
        <f t="shared" si="1"/>
        <v>2138.7000000000003</v>
      </c>
      <c r="P16" s="486">
        <f t="shared" si="1"/>
        <v>2142.7000000000003</v>
      </c>
      <c r="Q16" s="486">
        <f t="shared" si="1"/>
        <v>2146.7000000000003</v>
      </c>
      <c r="R16" s="486">
        <f t="shared" si="1"/>
        <v>2150.7000000000003</v>
      </c>
      <c r="S16" s="486">
        <f t="shared" si="1"/>
        <v>2154.7000000000003</v>
      </c>
      <c r="T16" s="486">
        <f t="shared" si="1"/>
        <v>2158.7000000000003</v>
      </c>
      <c r="U16" s="486">
        <f t="shared" si="1"/>
        <v>2162.7000000000003</v>
      </c>
      <c r="V16" s="486">
        <f t="shared" si="1"/>
        <v>2166.7000000000003</v>
      </c>
      <c r="W16" s="486">
        <f t="shared" si="1"/>
        <v>2170.7000000000003</v>
      </c>
      <c r="X16" s="486">
        <f t="shared" si="1"/>
        <v>2174.7000000000003</v>
      </c>
      <c r="Y16" s="486">
        <f t="shared" si="1"/>
        <v>2178.7000000000003</v>
      </c>
      <c r="Z16" s="486">
        <f t="shared" si="1"/>
        <v>2182.7000000000003</v>
      </c>
      <c r="AA16" s="486">
        <f t="shared" si="1"/>
        <v>2186.7000000000003</v>
      </c>
      <c r="AB16" s="486">
        <f t="shared" si="1"/>
        <v>2190.7000000000003</v>
      </c>
      <c r="AC16" s="486">
        <f t="shared" si="1"/>
        <v>2194.7000000000003</v>
      </c>
      <c r="AD16" s="486">
        <f t="shared" si="1"/>
        <v>2198.7000000000003</v>
      </c>
      <c r="AE16" s="486">
        <f t="shared" si="1"/>
        <v>2202.7000000000003</v>
      </c>
      <c r="AF16" s="486">
        <f t="shared" si="1"/>
        <v>2206.7000000000003</v>
      </c>
      <c r="AG16" s="486">
        <f t="shared" si="1"/>
        <v>2210.7000000000003</v>
      </c>
      <c r="AH16" s="486">
        <f t="shared" si="1"/>
        <v>2214.7000000000003</v>
      </c>
      <c r="AI16" s="486">
        <f t="shared" si="1"/>
        <v>2218.7000000000003</v>
      </c>
      <c r="AJ16" s="486">
        <f t="shared" si="1"/>
        <v>2222.7000000000003</v>
      </c>
    </row>
    <row r="17" spans="1:48" s="45" customFormat="1" x14ac:dyDescent="0.25">
      <c r="A17" s="497"/>
      <c r="B17" s="498">
        <f t="shared" ref="B17:AD17" si="2">B18+B19+B20+B21</f>
        <v>46455.15875000001</v>
      </c>
      <c r="C17" s="498">
        <f t="shared" si="2"/>
        <v>46544.208750000005</v>
      </c>
      <c r="D17" s="498">
        <f t="shared" si="2"/>
        <v>46633.258750000001</v>
      </c>
      <c r="E17" s="498">
        <f t="shared" si="2"/>
        <v>46722.308750000004</v>
      </c>
      <c r="F17" s="498">
        <f t="shared" si="2"/>
        <v>46811.358750000007</v>
      </c>
      <c r="G17" s="498">
        <f t="shared" si="2"/>
        <v>46900.40875000001</v>
      </c>
      <c r="H17" s="498">
        <f t="shared" si="2"/>
        <v>46989.458750000005</v>
      </c>
      <c r="I17" s="498">
        <f t="shared" si="2"/>
        <v>47078.508750000008</v>
      </c>
      <c r="J17" s="498">
        <f t="shared" si="2"/>
        <v>47167.558749999997</v>
      </c>
      <c r="K17" s="498">
        <f t="shared" si="2"/>
        <v>47256.608749999999</v>
      </c>
      <c r="L17" s="498">
        <f t="shared" si="2"/>
        <v>47345.658750000002</v>
      </c>
      <c r="M17" s="498">
        <f t="shared" si="2"/>
        <v>47434.708749999998</v>
      </c>
      <c r="N17" s="498">
        <f t="shared" si="2"/>
        <v>47523.758750000008</v>
      </c>
      <c r="O17" s="498">
        <f t="shared" si="2"/>
        <v>47612.808750000004</v>
      </c>
      <c r="P17" s="498">
        <f t="shared" si="2"/>
        <v>47701.858750000007</v>
      </c>
      <c r="Q17" s="498">
        <f t="shared" si="2"/>
        <v>47790.90875000001</v>
      </c>
      <c r="R17" s="498">
        <f t="shared" si="2"/>
        <v>47879.958750000013</v>
      </c>
      <c r="S17" s="498">
        <f t="shared" si="2"/>
        <v>47969.008750000001</v>
      </c>
      <c r="T17" s="498">
        <f t="shared" si="2"/>
        <v>48058.058750000004</v>
      </c>
      <c r="U17" s="498">
        <f t="shared" si="2"/>
        <v>48147.108750000007</v>
      </c>
      <c r="V17" s="498">
        <f t="shared" si="2"/>
        <v>48236.158750000002</v>
      </c>
      <c r="W17" s="498">
        <f t="shared" si="2"/>
        <v>48325.208750000005</v>
      </c>
      <c r="X17" s="498">
        <f t="shared" si="2"/>
        <v>48414.258750000001</v>
      </c>
      <c r="Y17" s="498">
        <f t="shared" si="2"/>
        <v>48503.308750000004</v>
      </c>
      <c r="Z17" s="498">
        <f t="shared" si="2"/>
        <v>48592.358750000007</v>
      </c>
      <c r="AA17" s="498">
        <f t="shared" si="2"/>
        <v>48681.40875000001</v>
      </c>
      <c r="AB17" s="498">
        <f t="shared" si="2"/>
        <v>48770.458750000005</v>
      </c>
      <c r="AC17" s="498">
        <f t="shared" si="2"/>
        <v>48859.508750000001</v>
      </c>
      <c r="AD17" s="498">
        <f t="shared" si="2"/>
        <v>48948.558750000004</v>
      </c>
      <c r="AE17" s="498"/>
      <c r="AF17" s="498"/>
      <c r="AG17" s="498"/>
      <c r="AH17" s="498"/>
      <c r="AI17" s="498"/>
    </row>
    <row r="18" spans="1:48" x14ac:dyDescent="0.25">
      <c r="A18" s="487" t="s">
        <v>803</v>
      </c>
      <c r="B18" s="488">
        <f>B16*$N$5</f>
        <v>26584.558000000005</v>
      </c>
      <c r="C18" s="488">
        <f t="shared" ref="C18:AK18" si="3">C16*$N$5</f>
        <v>26635.518000000004</v>
      </c>
      <c r="D18" s="488">
        <f t="shared" si="3"/>
        <v>26686.478000000003</v>
      </c>
      <c r="E18" s="488">
        <f t="shared" si="3"/>
        <v>26737.438000000006</v>
      </c>
      <c r="F18" s="488">
        <f t="shared" si="3"/>
        <v>26788.398000000005</v>
      </c>
      <c r="G18" s="488">
        <f t="shared" si="3"/>
        <v>26839.358000000004</v>
      </c>
      <c r="H18" s="488">
        <f t="shared" si="3"/>
        <v>26890.318000000003</v>
      </c>
      <c r="I18" s="488">
        <f t="shared" si="3"/>
        <v>26941.278000000006</v>
      </c>
      <c r="J18" s="488">
        <f t="shared" si="3"/>
        <v>26992.238000000005</v>
      </c>
      <c r="K18" s="488">
        <f t="shared" si="3"/>
        <v>27043.198000000004</v>
      </c>
      <c r="L18" s="488">
        <f t="shared" si="3"/>
        <v>27094.158000000003</v>
      </c>
      <c r="M18" s="488">
        <f t="shared" si="3"/>
        <v>27145.118000000002</v>
      </c>
      <c r="N18" s="488">
        <f t="shared" si="3"/>
        <v>27196.078000000005</v>
      </c>
      <c r="O18" s="488">
        <f t="shared" si="3"/>
        <v>27247.038000000004</v>
      </c>
      <c r="P18" s="488">
        <f t="shared" si="3"/>
        <v>27297.998000000003</v>
      </c>
      <c r="Q18" s="488">
        <f t="shared" si="3"/>
        <v>27348.958000000002</v>
      </c>
      <c r="R18" s="488">
        <f t="shared" si="3"/>
        <v>27399.918000000005</v>
      </c>
      <c r="S18" s="488">
        <f t="shared" si="3"/>
        <v>27450.878000000004</v>
      </c>
      <c r="T18" s="488">
        <f t="shared" si="3"/>
        <v>27501.838000000003</v>
      </c>
      <c r="U18" s="488">
        <f t="shared" si="3"/>
        <v>27552.798000000003</v>
      </c>
      <c r="V18" s="488">
        <f t="shared" si="3"/>
        <v>27603.758000000005</v>
      </c>
      <c r="W18" s="488">
        <f t="shared" si="3"/>
        <v>27654.718000000004</v>
      </c>
      <c r="X18" s="488">
        <f t="shared" si="3"/>
        <v>27705.678000000004</v>
      </c>
      <c r="Y18" s="488">
        <f t="shared" si="3"/>
        <v>27756.638000000003</v>
      </c>
      <c r="Z18" s="488">
        <f t="shared" si="3"/>
        <v>27807.598000000005</v>
      </c>
      <c r="AA18" s="488">
        <f t="shared" si="3"/>
        <v>27858.558000000005</v>
      </c>
      <c r="AB18" s="488">
        <f t="shared" si="3"/>
        <v>27909.518000000004</v>
      </c>
      <c r="AC18" s="488">
        <f t="shared" si="3"/>
        <v>27960.478000000003</v>
      </c>
      <c r="AD18" s="488">
        <f t="shared" si="3"/>
        <v>28011.438000000006</v>
      </c>
      <c r="AE18" s="488">
        <f t="shared" si="3"/>
        <v>28062.398000000005</v>
      </c>
      <c r="AF18" s="488">
        <f t="shared" si="3"/>
        <v>28113.358000000004</v>
      </c>
      <c r="AG18" s="488">
        <f t="shared" si="3"/>
        <v>28164.318000000003</v>
      </c>
      <c r="AH18" s="488">
        <f t="shared" si="3"/>
        <v>28215.278000000006</v>
      </c>
      <c r="AI18" s="488">
        <f t="shared" si="3"/>
        <v>28266.238000000005</v>
      </c>
      <c r="AJ18" s="488">
        <f t="shared" si="3"/>
        <v>28317.198000000004</v>
      </c>
      <c r="AK18" s="488">
        <f t="shared" si="3"/>
        <v>0</v>
      </c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</row>
    <row r="19" spans="1:48" x14ac:dyDescent="0.25">
      <c r="A19" s="487" t="s">
        <v>804</v>
      </c>
      <c r="B19" s="488">
        <f>B16*$O$5</f>
        <v>10203.963000000002</v>
      </c>
      <c r="C19" s="488">
        <f t="shared" ref="C19:AK19" si="4">C16*$O$5</f>
        <v>10223.523000000001</v>
      </c>
      <c r="D19" s="488">
        <f t="shared" si="4"/>
        <v>10243.083000000001</v>
      </c>
      <c r="E19" s="488">
        <f t="shared" si="4"/>
        <v>10262.643</v>
      </c>
      <c r="F19" s="488">
        <f t="shared" si="4"/>
        <v>10282.203000000001</v>
      </c>
      <c r="G19" s="488">
        <f t="shared" si="4"/>
        <v>10301.763000000001</v>
      </c>
      <c r="H19" s="488">
        <f t="shared" si="4"/>
        <v>10321.323</v>
      </c>
      <c r="I19" s="488">
        <f t="shared" si="4"/>
        <v>10340.883</v>
      </c>
      <c r="J19" s="488">
        <f t="shared" si="4"/>
        <v>10360.443000000001</v>
      </c>
      <c r="K19" s="488">
        <f t="shared" si="4"/>
        <v>10380.003000000001</v>
      </c>
      <c r="L19" s="488">
        <f t="shared" si="4"/>
        <v>10399.563</v>
      </c>
      <c r="M19" s="488">
        <f t="shared" si="4"/>
        <v>10419.123000000001</v>
      </c>
      <c r="N19" s="488">
        <f t="shared" si="4"/>
        <v>10438.683000000001</v>
      </c>
      <c r="O19" s="488">
        <f t="shared" si="4"/>
        <v>10458.243</v>
      </c>
      <c r="P19" s="488">
        <f t="shared" si="4"/>
        <v>10477.803</v>
      </c>
      <c r="Q19" s="488">
        <f t="shared" si="4"/>
        <v>10497.363000000001</v>
      </c>
      <c r="R19" s="488">
        <f t="shared" si="4"/>
        <v>10516.923000000001</v>
      </c>
      <c r="S19" s="488">
        <f t="shared" si="4"/>
        <v>10536.483</v>
      </c>
      <c r="T19" s="488">
        <f t="shared" si="4"/>
        <v>10556.043000000001</v>
      </c>
      <c r="U19" s="488">
        <f t="shared" si="4"/>
        <v>10575.603000000001</v>
      </c>
      <c r="V19" s="488">
        <f t="shared" si="4"/>
        <v>10595.163</v>
      </c>
      <c r="W19" s="488">
        <f t="shared" si="4"/>
        <v>10614.723</v>
      </c>
      <c r="X19" s="488">
        <f t="shared" si="4"/>
        <v>10634.283000000001</v>
      </c>
      <c r="Y19" s="488">
        <f t="shared" si="4"/>
        <v>10653.843000000001</v>
      </c>
      <c r="Z19" s="488">
        <f t="shared" si="4"/>
        <v>10673.403</v>
      </c>
      <c r="AA19" s="488">
        <f t="shared" si="4"/>
        <v>10692.963</v>
      </c>
      <c r="AB19" s="488">
        <f t="shared" si="4"/>
        <v>10712.523000000001</v>
      </c>
      <c r="AC19" s="488">
        <f t="shared" si="4"/>
        <v>10732.083000000001</v>
      </c>
      <c r="AD19" s="488">
        <f t="shared" si="4"/>
        <v>10751.643</v>
      </c>
      <c r="AE19" s="488">
        <f t="shared" si="4"/>
        <v>10771.203000000001</v>
      </c>
      <c r="AF19" s="488">
        <f t="shared" si="4"/>
        <v>10790.763000000001</v>
      </c>
      <c r="AG19" s="488">
        <f t="shared" si="4"/>
        <v>10810.323</v>
      </c>
      <c r="AH19" s="488">
        <f t="shared" si="4"/>
        <v>10829.883</v>
      </c>
      <c r="AI19" s="488">
        <f t="shared" si="4"/>
        <v>10849.443000000001</v>
      </c>
      <c r="AJ19" s="488">
        <f t="shared" si="4"/>
        <v>10869.003000000001</v>
      </c>
      <c r="AK19" s="488">
        <f t="shared" si="4"/>
        <v>0</v>
      </c>
    </row>
    <row r="20" spans="1:48" x14ac:dyDescent="0.25">
      <c r="A20" s="487" t="s">
        <v>805</v>
      </c>
      <c r="B20" s="488">
        <f>B16*$P$5</f>
        <v>8602.4207500000011</v>
      </c>
      <c r="C20" s="488">
        <f t="shared" ref="C20:AK20" si="5">C16*$P$5</f>
        <v>8618.9107500000009</v>
      </c>
      <c r="D20" s="488">
        <f t="shared" si="5"/>
        <v>8635.4007500000007</v>
      </c>
      <c r="E20" s="488">
        <f t="shared" si="5"/>
        <v>8651.8907500000005</v>
      </c>
      <c r="F20" s="488">
        <f t="shared" si="5"/>
        <v>8668.3807500000003</v>
      </c>
      <c r="G20" s="488">
        <f t="shared" si="5"/>
        <v>8684.87075</v>
      </c>
      <c r="H20" s="488">
        <f t="shared" si="5"/>
        <v>8701.3607499999998</v>
      </c>
      <c r="I20" s="488">
        <f t="shared" si="5"/>
        <v>8717.8507499999996</v>
      </c>
      <c r="J20" s="488">
        <f t="shared" si="5"/>
        <v>8734.3407499999994</v>
      </c>
      <c r="K20" s="488">
        <f t="shared" si="5"/>
        <v>8750.830750000001</v>
      </c>
      <c r="L20" s="488">
        <f t="shared" si="5"/>
        <v>8767.3207500000008</v>
      </c>
      <c r="M20" s="488">
        <f t="shared" si="5"/>
        <v>8783.8107500000006</v>
      </c>
      <c r="N20" s="488">
        <f t="shared" si="5"/>
        <v>8800.3007500000003</v>
      </c>
      <c r="O20" s="488">
        <f t="shared" si="5"/>
        <v>8816.7907500000001</v>
      </c>
      <c r="P20" s="488">
        <f t="shared" si="5"/>
        <v>8833.2807499999999</v>
      </c>
      <c r="Q20" s="488">
        <f t="shared" si="5"/>
        <v>8849.7707499999997</v>
      </c>
      <c r="R20" s="488">
        <f t="shared" si="5"/>
        <v>8866.2607499999995</v>
      </c>
      <c r="S20" s="488">
        <f t="shared" si="5"/>
        <v>8882.7507500000011</v>
      </c>
      <c r="T20" s="488">
        <f t="shared" si="5"/>
        <v>8899.2407500000008</v>
      </c>
      <c r="U20" s="488">
        <f t="shared" si="5"/>
        <v>8915.7307500000006</v>
      </c>
      <c r="V20" s="488">
        <f t="shared" si="5"/>
        <v>8932.2207500000004</v>
      </c>
      <c r="W20" s="488">
        <f t="shared" si="5"/>
        <v>8948.7107500000002</v>
      </c>
      <c r="X20" s="488">
        <f t="shared" si="5"/>
        <v>8965.20075</v>
      </c>
      <c r="Y20" s="488">
        <f t="shared" si="5"/>
        <v>8981.6907499999998</v>
      </c>
      <c r="Z20" s="488">
        <f t="shared" si="5"/>
        <v>8998.1807499999995</v>
      </c>
      <c r="AA20" s="488">
        <f t="shared" si="5"/>
        <v>9014.6707500000011</v>
      </c>
      <c r="AB20" s="488">
        <f t="shared" si="5"/>
        <v>9031.1607500000009</v>
      </c>
      <c r="AC20" s="488">
        <f t="shared" si="5"/>
        <v>9047.6507500000007</v>
      </c>
      <c r="AD20" s="488">
        <f t="shared" si="5"/>
        <v>9064.1407500000005</v>
      </c>
      <c r="AE20" s="488">
        <f t="shared" si="5"/>
        <v>9080.6307500000003</v>
      </c>
      <c r="AF20" s="488">
        <f t="shared" si="5"/>
        <v>9097.12075</v>
      </c>
      <c r="AG20" s="488">
        <f t="shared" si="5"/>
        <v>9113.6107499999998</v>
      </c>
      <c r="AH20" s="488">
        <f t="shared" si="5"/>
        <v>9130.1007499999996</v>
      </c>
      <c r="AI20" s="488">
        <f t="shared" si="5"/>
        <v>9146.5907499999994</v>
      </c>
      <c r="AJ20" s="488">
        <f t="shared" si="5"/>
        <v>9163.080750000001</v>
      </c>
      <c r="AK20" s="488">
        <f t="shared" si="5"/>
        <v>0</v>
      </c>
    </row>
    <row r="21" spans="1:48" x14ac:dyDescent="0.25">
      <c r="A21" s="487" t="s">
        <v>806</v>
      </c>
      <c r="B21" s="488">
        <f>B16*$Q$5</f>
        <v>1064.2170000000001</v>
      </c>
      <c r="C21" s="488">
        <f t="shared" ref="C21:AK21" si="6">C16*$Q$5</f>
        <v>1066.2570000000001</v>
      </c>
      <c r="D21" s="488">
        <f t="shared" si="6"/>
        <v>1068.2970000000003</v>
      </c>
      <c r="E21" s="488">
        <f t="shared" si="6"/>
        <v>1070.3370000000002</v>
      </c>
      <c r="F21" s="488">
        <f t="shared" si="6"/>
        <v>1072.3770000000002</v>
      </c>
      <c r="G21" s="488">
        <f t="shared" si="6"/>
        <v>1074.4170000000001</v>
      </c>
      <c r="H21" s="488">
        <f t="shared" si="6"/>
        <v>1076.4570000000001</v>
      </c>
      <c r="I21" s="488">
        <f t="shared" si="6"/>
        <v>1078.4970000000001</v>
      </c>
      <c r="J21" s="488">
        <f t="shared" si="6"/>
        <v>1080.5370000000003</v>
      </c>
      <c r="K21" s="488">
        <f t="shared" si="6"/>
        <v>1082.5770000000002</v>
      </c>
      <c r="L21" s="488">
        <f t="shared" si="6"/>
        <v>1084.6170000000002</v>
      </c>
      <c r="M21" s="488">
        <f t="shared" si="6"/>
        <v>1086.6570000000002</v>
      </c>
      <c r="N21" s="488">
        <f t="shared" si="6"/>
        <v>1088.6970000000001</v>
      </c>
      <c r="O21" s="488">
        <f t="shared" si="6"/>
        <v>1090.7370000000001</v>
      </c>
      <c r="P21" s="488">
        <f t="shared" si="6"/>
        <v>1092.7770000000003</v>
      </c>
      <c r="Q21" s="488">
        <f t="shared" si="6"/>
        <v>1094.8170000000002</v>
      </c>
      <c r="R21" s="488">
        <f t="shared" si="6"/>
        <v>1096.8570000000002</v>
      </c>
      <c r="S21" s="488">
        <f t="shared" si="6"/>
        <v>1098.8970000000002</v>
      </c>
      <c r="T21" s="488">
        <f t="shared" si="6"/>
        <v>1100.9370000000001</v>
      </c>
      <c r="U21" s="488">
        <f t="shared" si="6"/>
        <v>1102.9770000000001</v>
      </c>
      <c r="V21" s="488">
        <f t="shared" si="6"/>
        <v>1105.0170000000001</v>
      </c>
      <c r="W21" s="488">
        <f t="shared" si="6"/>
        <v>1107.0570000000002</v>
      </c>
      <c r="X21" s="488">
        <f t="shared" si="6"/>
        <v>1109.0970000000002</v>
      </c>
      <c r="Y21" s="488">
        <f t="shared" si="6"/>
        <v>1111.1370000000002</v>
      </c>
      <c r="Z21" s="488">
        <f t="shared" si="6"/>
        <v>1113.1770000000001</v>
      </c>
      <c r="AA21" s="488">
        <f t="shared" si="6"/>
        <v>1115.2170000000001</v>
      </c>
      <c r="AB21" s="488">
        <f t="shared" si="6"/>
        <v>1117.2570000000001</v>
      </c>
      <c r="AC21" s="488">
        <f t="shared" si="6"/>
        <v>1119.2970000000003</v>
      </c>
      <c r="AD21" s="488">
        <f t="shared" si="6"/>
        <v>1121.3370000000002</v>
      </c>
      <c r="AE21" s="488">
        <f t="shared" si="6"/>
        <v>1123.3770000000002</v>
      </c>
      <c r="AF21" s="488">
        <f t="shared" si="6"/>
        <v>1125.4170000000001</v>
      </c>
      <c r="AG21" s="488">
        <f t="shared" si="6"/>
        <v>1127.4570000000001</v>
      </c>
      <c r="AH21" s="488">
        <f t="shared" si="6"/>
        <v>1129.4970000000001</v>
      </c>
      <c r="AI21" s="488">
        <f t="shared" si="6"/>
        <v>1131.5370000000003</v>
      </c>
      <c r="AJ21" s="488">
        <f t="shared" si="6"/>
        <v>1133.5770000000002</v>
      </c>
      <c r="AK21" s="488">
        <f t="shared" si="6"/>
        <v>0</v>
      </c>
    </row>
    <row r="22" spans="1:48" x14ac:dyDescent="0.25">
      <c r="A22" s="487" t="s">
        <v>807</v>
      </c>
      <c r="B22" s="488">
        <f t="shared" ref="B22:AD22" si="7">MIN(B$18,$C$4)</f>
        <v>26584.558000000005</v>
      </c>
      <c r="C22" s="488">
        <f t="shared" si="7"/>
        <v>26635.518000000004</v>
      </c>
      <c r="D22" s="488">
        <f t="shared" si="7"/>
        <v>26686.478000000003</v>
      </c>
      <c r="E22" s="488">
        <f t="shared" si="7"/>
        <v>26737.438000000006</v>
      </c>
      <c r="F22" s="488">
        <f t="shared" si="7"/>
        <v>26788.398000000005</v>
      </c>
      <c r="G22" s="488">
        <f t="shared" si="7"/>
        <v>26839.358000000004</v>
      </c>
      <c r="H22" s="488">
        <f t="shared" si="7"/>
        <v>26890.318000000003</v>
      </c>
      <c r="I22" s="488">
        <f t="shared" si="7"/>
        <v>26941.278000000006</v>
      </c>
      <c r="J22" s="488">
        <f t="shared" si="7"/>
        <v>26992.238000000005</v>
      </c>
      <c r="K22" s="488">
        <f t="shared" si="7"/>
        <v>26992.238000000005</v>
      </c>
      <c r="L22" s="488">
        <f t="shared" si="7"/>
        <v>26992.238000000005</v>
      </c>
      <c r="M22" s="488">
        <f t="shared" si="7"/>
        <v>26992.238000000005</v>
      </c>
      <c r="N22" s="488">
        <f t="shared" si="7"/>
        <v>26992.238000000005</v>
      </c>
      <c r="O22" s="488">
        <f t="shared" si="7"/>
        <v>26992.238000000005</v>
      </c>
      <c r="P22" s="488">
        <f t="shared" si="7"/>
        <v>26992.238000000005</v>
      </c>
      <c r="Q22" s="488">
        <f t="shared" si="7"/>
        <v>26992.238000000005</v>
      </c>
      <c r="R22" s="488">
        <f t="shared" si="7"/>
        <v>26992.238000000005</v>
      </c>
      <c r="S22" s="488">
        <f t="shared" si="7"/>
        <v>26992.238000000005</v>
      </c>
      <c r="T22" s="488">
        <f t="shared" si="7"/>
        <v>26992.238000000005</v>
      </c>
      <c r="U22" s="488">
        <f t="shared" si="7"/>
        <v>26992.238000000005</v>
      </c>
      <c r="V22" s="488">
        <f t="shared" si="7"/>
        <v>26992.238000000005</v>
      </c>
      <c r="W22" s="488">
        <f t="shared" si="7"/>
        <v>26992.238000000005</v>
      </c>
      <c r="X22" s="488">
        <f t="shared" si="7"/>
        <v>26992.238000000005</v>
      </c>
      <c r="Y22" s="488">
        <f t="shared" si="7"/>
        <v>26992.238000000005</v>
      </c>
      <c r="Z22" s="488">
        <f t="shared" si="7"/>
        <v>26992.238000000005</v>
      </c>
      <c r="AA22" s="488">
        <f t="shared" si="7"/>
        <v>26992.238000000005</v>
      </c>
      <c r="AB22" s="488">
        <f t="shared" si="7"/>
        <v>26992.238000000005</v>
      </c>
      <c r="AC22" s="488">
        <f t="shared" si="7"/>
        <v>26992.238000000005</v>
      </c>
      <c r="AD22" s="488">
        <f t="shared" si="7"/>
        <v>26992.238000000005</v>
      </c>
      <c r="AE22" s="488"/>
      <c r="AF22" s="488"/>
      <c r="AG22" s="488"/>
      <c r="AH22" s="488"/>
      <c r="AI22" s="488"/>
    </row>
    <row r="23" spans="1:48" x14ac:dyDescent="0.25">
      <c r="A23" s="487" t="s">
        <v>808</v>
      </c>
      <c r="B23" s="488">
        <f t="shared" ref="B23:AD23" si="8">MIN(B$19,$C$5)</f>
        <v>10203.963000000002</v>
      </c>
      <c r="C23" s="488">
        <f t="shared" si="8"/>
        <v>10223.523000000001</v>
      </c>
      <c r="D23" s="488">
        <f t="shared" si="8"/>
        <v>10243.083000000001</v>
      </c>
      <c r="E23" s="488">
        <f t="shared" si="8"/>
        <v>10262.643</v>
      </c>
      <c r="F23" s="488">
        <f t="shared" si="8"/>
        <v>10282.203000000001</v>
      </c>
      <c r="G23" s="488">
        <f t="shared" si="8"/>
        <v>10301.763000000001</v>
      </c>
      <c r="H23" s="488">
        <f t="shared" si="8"/>
        <v>10321.323</v>
      </c>
      <c r="I23" s="488">
        <f t="shared" si="8"/>
        <v>10340.883</v>
      </c>
      <c r="J23" s="488">
        <f t="shared" si="8"/>
        <v>10360.443000000001</v>
      </c>
      <c r="K23" s="488">
        <f t="shared" si="8"/>
        <v>10360.443000000001</v>
      </c>
      <c r="L23" s="488">
        <f t="shared" si="8"/>
        <v>10360.443000000001</v>
      </c>
      <c r="M23" s="488">
        <f t="shared" si="8"/>
        <v>10360.443000000001</v>
      </c>
      <c r="N23" s="488">
        <f t="shared" si="8"/>
        <v>10360.443000000001</v>
      </c>
      <c r="O23" s="488">
        <f t="shared" si="8"/>
        <v>10360.443000000001</v>
      </c>
      <c r="P23" s="488">
        <f t="shared" si="8"/>
        <v>10360.443000000001</v>
      </c>
      <c r="Q23" s="488">
        <f t="shared" si="8"/>
        <v>10360.443000000001</v>
      </c>
      <c r="R23" s="488">
        <f t="shared" si="8"/>
        <v>10360.443000000001</v>
      </c>
      <c r="S23" s="488">
        <f t="shared" si="8"/>
        <v>10360.443000000001</v>
      </c>
      <c r="T23" s="488">
        <f t="shared" si="8"/>
        <v>10360.443000000001</v>
      </c>
      <c r="U23" s="488">
        <f t="shared" si="8"/>
        <v>10360.443000000001</v>
      </c>
      <c r="V23" s="488">
        <f t="shared" si="8"/>
        <v>10360.443000000001</v>
      </c>
      <c r="W23" s="488">
        <f t="shared" si="8"/>
        <v>10360.443000000001</v>
      </c>
      <c r="X23" s="488">
        <f t="shared" si="8"/>
        <v>10360.443000000001</v>
      </c>
      <c r="Y23" s="488">
        <f t="shared" si="8"/>
        <v>10360.443000000001</v>
      </c>
      <c r="Z23" s="488">
        <f t="shared" si="8"/>
        <v>10360.443000000001</v>
      </c>
      <c r="AA23" s="488">
        <f t="shared" si="8"/>
        <v>10360.443000000001</v>
      </c>
      <c r="AB23" s="488">
        <f t="shared" si="8"/>
        <v>10360.443000000001</v>
      </c>
      <c r="AC23" s="488">
        <f t="shared" si="8"/>
        <v>10360.443000000001</v>
      </c>
      <c r="AD23" s="488">
        <f t="shared" si="8"/>
        <v>10360.443000000001</v>
      </c>
      <c r="AE23" s="488"/>
      <c r="AF23" s="488"/>
      <c r="AG23" s="488"/>
      <c r="AH23" s="488"/>
      <c r="AI23" s="488"/>
    </row>
    <row r="24" spans="1:48" x14ac:dyDescent="0.25">
      <c r="A24" s="487" t="s">
        <v>809</v>
      </c>
      <c r="B24" s="488">
        <f t="shared" ref="B24:AD24" si="9">MIN(B$20,$C$6)</f>
        <v>8602.4207500000011</v>
      </c>
      <c r="C24" s="488">
        <f t="shared" si="9"/>
        <v>8618.9107500000009</v>
      </c>
      <c r="D24" s="488">
        <f t="shared" si="9"/>
        <v>8635.4007500000007</v>
      </c>
      <c r="E24" s="488">
        <f t="shared" si="9"/>
        <v>8651.8907500000005</v>
      </c>
      <c r="F24" s="488">
        <f t="shared" si="9"/>
        <v>8668.3807500000003</v>
      </c>
      <c r="G24" s="488">
        <f t="shared" si="9"/>
        <v>8684.87075</v>
      </c>
      <c r="H24" s="488">
        <f t="shared" si="9"/>
        <v>8701.3607499999998</v>
      </c>
      <c r="I24" s="488">
        <f t="shared" si="9"/>
        <v>8717.8507499999996</v>
      </c>
      <c r="J24" s="488">
        <f t="shared" si="9"/>
        <v>8734.3407499999994</v>
      </c>
      <c r="K24" s="488">
        <f t="shared" si="9"/>
        <v>8734.3407499999994</v>
      </c>
      <c r="L24" s="488">
        <f t="shared" si="9"/>
        <v>8734.3407499999994</v>
      </c>
      <c r="M24" s="488">
        <f t="shared" si="9"/>
        <v>8734.3407499999994</v>
      </c>
      <c r="N24" s="488">
        <f t="shared" si="9"/>
        <v>8734.3407499999994</v>
      </c>
      <c r="O24" s="488">
        <f t="shared" si="9"/>
        <v>8734.3407499999994</v>
      </c>
      <c r="P24" s="488">
        <f t="shared" si="9"/>
        <v>8734.3407499999994</v>
      </c>
      <c r="Q24" s="488">
        <f t="shared" si="9"/>
        <v>8734.3407499999994</v>
      </c>
      <c r="R24" s="488">
        <f t="shared" si="9"/>
        <v>8734.3407499999994</v>
      </c>
      <c r="S24" s="488">
        <f t="shared" si="9"/>
        <v>8734.3407499999994</v>
      </c>
      <c r="T24" s="488">
        <f t="shared" si="9"/>
        <v>8734.3407499999994</v>
      </c>
      <c r="U24" s="488">
        <f t="shared" si="9"/>
        <v>8734.3407499999994</v>
      </c>
      <c r="V24" s="488">
        <f t="shared" si="9"/>
        <v>8734.3407499999994</v>
      </c>
      <c r="W24" s="488">
        <f t="shared" si="9"/>
        <v>8734.3407499999994</v>
      </c>
      <c r="X24" s="488">
        <f t="shared" si="9"/>
        <v>8734.3407499999994</v>
      </c>
      <c r="Y24" s="488">
        <f t="shared" si="9"/>
        <v>8734.3407499999994</v>
      </c>
      <c r="Z24" s="488">
        <f t="shared" si="9"/>
        <v>8734.3407499999994</v>
      </c>
      <c r="AA24" s="488">
        <f t="shared" si="9"/>
        <v>8734.3407499999994</v>
      </c>
      <c r="AB24" s="488">
        <f t="shared" si="9"/>
        <v>8734.3407499999994</v>
      </c>
      <c r="AC24" s="488">
        <f t="shared" si="9"/>
        <v>8734.3407499999994</v>
      </c>
      <c r="AD24" s="488">
        <f t="shared" si="9"/>
        <v>8734.3407499999994</v>
      </c>
      <c r="AE24" s="488"/>
      <c r="AF24" s="488"/>
      <c r="AG24" s="488"/>
      <c r="AH24" s="488"/>
      <c r="AI24" s="488"/>
    </row>
    <row r="25" spans="1:48" x14ac:dyDescent="0.25">
      <c r="A25" s="487" t="s">
        <v>810</v>
      </c>
      <c r="B25" s="488">
        <f t="shared" ref="B25:AD25" si="10">MIN(B$21,$C$7)</f>
        <v>1064.2170000000001</v>
      </c>
      <c r="C25" s="488">
        <f t="shared" si="10"/>
        <v>1066.2570000000001</v>
      </c>
      <c r="D25" s="488">
        <f t="shared" si="10"/>
        <v>1068.2970000000003</v>
      </c>
      <c r="E25" s="488">
        <f t="shared" si="10"/>
        <v>1070.3370000000002</v>
      </c>
      <c r="F25" s="488">
        <f t="shared" si="10"/>
        <v>1072.3770000000002</v>
      </c>
      <c r="G25" s="488">
        <f t="shared" si="10"/>
        <v>1074.4170000000001</v>
      </c>
      <c r="H25" s="488">
        <f t="shared" si="10"/>
        <v>1076.4570000000001</v>
      </c>
      <c r="I25" s="488">
        <f t="shared" si="10"/>
        <v>1078.4970000000001</v>
      </c>
      <c r="J25" s="488">
        <f t="shared" si="10"/>
        <v>1080.5370000000003</v>
      </c>
      <c r="K25" s="488">
        <f t="shared" si="10"/>
        <v>1080.5370000000003</v>
      </c>
      <c r="L25" s="488">
        <f t="shared" si="10"/>
        <v>1080.5370000000003</v>
      </c>
      <c r="M25" s="488">
        <f t="shared" si="10"/>
        <v>1080.5370000000003</v>
      </c>
      <c r="N25" s="488">
        <f t="shared" si="10"/>
        <v>1080.5370000000003</v>
      </c>
      <c r="O25" s="488">
        <f t="shared" si="10"/>
        <v>1080.5370000000003</v>
      </c>
      <c r="P25" s="488">
        <f t="shared" si="10"/>
        <v>1080.5370000000003</v>
      </c>
      <c r="Q25" s="488">
        <f t="shared" si="10"/>
        <v>1080.5370000000003</v>
      </c>
      <c r="R25" s="488">
        <f t="shared" si="10"/>
        <v>1080.5370000000003</v>
      </c>
      <c r="S25" s="488">
        <f t="shared" si="10"/>
        <v>1080.5370000000003</v>
      </c>
      <c r="T25" s="488">
        <f t="shared" si="10"/>
        <v>1080.5370000000003</v>
      </c>
      <c r="U25" s="488">
        <f t="shared" si="10"/>
        <v>1080.5370000000003</v>
      </c>
      <c r="V25" s="488">
        <f t="shared" si="10"/>
        <v>1080.5370000000003</v>
      </c>
      <c r="W25" s="488">
        <f t="shared" si="10"/>
        <v>1080.5370000000003</v>
      </c>
      <c r="X25" s="488">
        <f t="shared" si="10"/>
        <v>1080.5370000000003</v>
      </c>
      <c r="Y25" s="488">
        <f t="shared" si="10"/>
        <v>1080.5370000000003</v>
      </c>
      <c r="Z25" s="488">
        <f t="shared" si="10"/>
        <v>1080.5370000000003</v>
      </c>
      <c r="AA25" s="488">
        <f t="shared" si="10"/>
        <v>1080.5370000000003</v>
      </c>
      <c r="AB25" s="488">
        <f t="shared" si="10"/>
        <v>1080.5370000000003</v>
      </c>
      <c r="AC25" s="488">
        <f t="shared" si="10"/>
        <v>1080.5370000000003</v>
      </c>
      <c r="AD25" s="488">
        <f t="shared" si="10"/>
        <v>1080.5370000000003</v>
      </c>
      <c r="AE25" s="488"/>
      <c r="AF25" s="488"/>
      <c r="AG25" s="488"/>
      <c r="AH25" s="488"/>
      <c r="AI25" s="488"/>
    </row>
    <row r="26" spans="1:48" x14ac:dyDescent="0.25">
      <c r="A26" s="489" t="s">
        <v>811</v>
      </c>
      <c r="B26" s="490">
        <f>IF(B22&gt;$B$4,(B22-$B$4)*$H$4,0)</f>
        <v>15137.906000000032</v>
      </c>
      <c r="C26" s="490">
        <v>0</v>
      </c>
      <c r="D26" s="490">
        <f>IF(D22&gt;$B$4,(D22-$B$4)*$H$4,0)</f>
        <v>15851.34600000002</v>
      </c>
      <c r="E26" s="490">
        <v>0</v>
      </c>
      <c r="F26" s="490">
        <f>IF(F22&gt;$B$4,(F22-$B$4)*$H$4,0)</f>
        <v>16564.786000000033</v>
      </c>
      <c r="G26" s="490">
        <v>0</v>
      </c>
      <c r="H26" s="490">
        <f>IF(H22&gt;$B$4,(H22-$B$4)*$H$4,0)</f>
        <v>17278.226000000021</v>
      </c>
      <c r="I26" s="490">
        <v>0</v>
      </c>
      <c r="J26" s="490">
        <f>IF(J22&gt;$B$4,(J22-$B$4)*$H$4,0)</f>
        <v>17991.666000000034</v>
      </c>
      <c r="K26" s="490">
        <v>0</v>
      </c>
      <c r="L26" s="490">
        <f>IF(L22&gt;$B$4,(L22-$B$4)*$H$4,0)</f>
        <v>17991.666000000034</v>
      </c>
      <c r="M26" s="490">
        <v>0</v>
      </c>
      <c r="N26" s="490">
        <f>IF(N22&gt;$B$4,(N22-$B$4)*$H$4,0)</f>
        <v>17991.666000000034</v>
      </c>
      <c r="O26" s="490">
        <v>0</v>
      </c>
      <c r="P26" s="490">
        <f>IF(P22&gt;$B$4,(P22-$B$4)*$H$4,0)</f>
        <v>17991.666000000034</v>
      </c>
      <c r="Q26" s="490">
        <v>0</v>
      </c>
      <c r="R26" s="490">
        <f>IF(R22&gt;$B$4,(R22-$B$4)*$H$4,0)</f>
        <v>17991.666000000034</v>
      </c>
      <c r="S26" s="490">
        <v>0</v>
      </c>
      <c r="T26" s="490">
        <f>IF(T22&gt;$B$4,(T22-$B$4)*$H$4,0)</f>
        <v>17991.666000000034</v>
      </c>
      <c r="U26" s="490">
        <v>0</v>
      </c>
      <c r="V26" s="490">
        <f>IF(V22&gt;$B$4,(V22-$B$4)*$H$4,0)</f>
        <v>17991.666000000034</v>
      </c>
      <c r="W26" s="490">
        <v>0</v>
      </c>
      <c r="X26" s="490">
        <f>IF(X22&gt;$B$4,(X22-$B$4)*$H$4,0)</f>
        <v>17991.666000000034</v>
      </c>
      <c r="Y26" s="490">
        <v>0</v>
      </c>
      <c r="Z26" s="490">
        <f>IF(Z22&gt;$B$4,(Z22-$B$4)*$H$4,0)</f>
        <v>17991.666000000034</v>
      </c>
      <c r="AA26" s="490">
        <v>0</v>
      </c>
      <c r="AB26" s="490">
        <f>IF(AB22&gt;$B$4,(AB22-$B$4)*$H$4,0)</f>
        <v>17991.666000000034</v>
      </c>
      <c r="AC26" s="490">
        <v>0</v>
      </c>
      <c r="AD26" s="490">
        <f>IF(AD22&gt;$B$4,(AD22-$B$4)*$H$4,0)</f>
        <v>17991.666000000034</v>
      </c>
      <c r="AE26" s="490">
        <v>0</v>
      </c>
      <c r="AF26" s="490">
        <f>IF(AF22&gt;$B$4,(AF22-$B$4)*$H$4,0)</f>
        <v>0</v>
      </c>
      <c r="AG26" s="490">
        <v>0</v>
      </c>
      <c r="AH26" s="490">
        <f>IF(AH22&gt;$B$4,(AH22-$B$4)*$H$4,0)</f>
        <v>0</v>
      </c>
      <c r="AI26" s="490">
        <v>0</v>
      </c>
      <c r="AJ26" s="490">
        <f>IF(AJ22&gt;$B$4,(AJ22-$B$4)*$H$4,0)</f>
        <v>0</v>
      </c>
      <c r="AK26" s="490">
        <v>0</v>
      </c>
    </row>
    <row r="27" spans="1:48" x14ac:dyDescent="0.25">
      <c r="A27" s="489" t="s">
        <v>812</v>
      </c>
      <c r="B27" s="490">
        <f>IF(B23&gt;$B$5,(B23-$B$5)*$H$5,0)</f>
        <v>8299.6300000000156</v>
      </c>
      <c r="C27" s="490">
        <v>0</v>
      </c>
      <c r="D27" s="490">
        <f>IF(D23&gt;$B$5,(D23-$B$5)*$H$5,0)</f>
        <v>8690.8300000000054</v>
      </c>
      <c r="E27" s="490">
        <v>0</v>
      </c>
      <c r="F27" s="490">
        <f>IF(F23&gt;$B$5,(F23-$B$5)*$H$5,0)</f>
        <v>9082.0300000000134</v>
      </c>
      <c r="G27" s="490">
        <v>0</v>
      </c>
      <c r="H27" s="490">
        <f>IF(H23&gt;$B$5,(H23-$B$5)*$H$5,0)</f>
        <v>9473.2300000000032</v>
      </c>
      <c r="I27" s="490">
        <v>0</v>
      </c>
      <c r="J27" s="490">
        <f>IF(J23&gt;$B$5,(J23-$B$5)*$H$5,0)</f>
        <v>9864.4300000000112</v>
      </c>
      <c r="K27" s="490">
        <v>0</v>
      </c>
      <c r="L27" s="490">
        <f>IF(L23&gt;$B$5,(L23-$B$5)*$H$5,0)</f>
        <v>9864.4300000000112</v>
      </c>
      <c r="M27" s="490">
        <v>0</v>
      </c>
      <c r="N27" s="490">
        <f>IF(N23&gt;$B$5,(N23-$B$5)*$H$5,0)</f>
        <v>9864.4300000000112</v>
      </c>
      <c r="O27" s="490">
        <v>0</v>
      </c>
      <c r="P27" s="490">
        <f>IF(P23&gt;$B$5,(P23-$B$5)*$H$5,0)</f>
        <v>9864.4300000000112</v>
      </c>
      <c r="Q27" s="490">
        <v>0</v>
      </c>
      <c r="R27" s="490">
        <f>IF(R23&gt;$B$5,(R23-$B$5)*$H$5,0)</f>
        <v>9864.4300000000112</v>
      </c>
      <c r="S27" s="490">
        <v>0</v>
      </c>
      <c r="T27" s="490">
        <f>IF(T23&gt;$B$5,(T23-$B$5)*$H$5,0)</f>
        <v>9864.4300000000112</v>
      </c>
      <c r="U27" s="490">
        <v>0</v>
      </c>
      <c r="V27" s="490">
        <f>IF(V23&gt;$B$5,(V23-$B$5)*$H$5,0)</f>
        <v>9864.4300000000112</v>
      </c>
      <c r="W27" s="490">
        <v>0</v>
      </c>
      <c r="X27" s="490">
        <f>IF(X23&gt;$B$5,(X23-$B$5)*$H$5,0)</f>
        <v>9864.4300000000112</v>
      </c>
      <c r="Y27" s="490">
        <v>0</v>
      </c>
      <c r="Z27" s="490">
        <f>IF(Z23&gt;$B$5,(Z23-$B$5)*$H$5,0)</f>
        <v>9864.4300000000112</v>
      </c>
      <c r="AA27" s="490">
        <v>0</v>
      </c>
      <c r="AB27" s="490">
        <f>IF(AB23&gt;$B$5,(AB23-$B$5)*$H$5,0)</f>
        <v>9864.4300000000112</v>
      </c>
      <c r="AC27" s="490">
        <v>0</v>
      </c>
      <c r="AD27" s="490">
        <f>IF(AD23&gt;$B$5,(AD23-$B$5)*$H$5,0)</f>
        <v>9864.4300000000112</v>
      </c>
      <c r="AE27" s="490">
        <v>0</v>
      </c>
      <c r="AF27" s="490">
        <f>IF(AF23&gt;$B$5,(AF23-$B$5)*$H$5,0)</f>
        <v>0</v>
      </c>
      <c r="AG27" s="490">
        <v>0</v>
      </c>
      <c r="AH27" s="490">
        <f>IF(AH23&gt;$B$5,(AH23-$B$5)*$H$5,0)</f>
        <v>0</v>
      </c>
      <c r="AI27" s="490">
        <v>0</v>
      </c>
      <c r="AJ27" s="490">
        <f>IF(AJ23&gt;$B$5,(AJ23-$B$5)*$H$5,0)</f>
        <v>0</v>
      </c>
      <c r="AK27" s="490">
        <v>0</v>
      </c>
    </row>
    <row r="28" spans="1:48" x14ac:dyDescent="0.25">
      <c r="A28" s="489" t="s">
        <v>813</v>
      </c>
      <c r="B28" s="490">
        <f>IF(B24&gt;$B$6,(B24-$B$6)*$H$6,0)</f>
        <v>13307.994250000022</v>
      </c>
      <c r="C28" s="490">
        <v>0</v>
      </c>
      <c r="D28" s="490">
        <f>IF(D24&gt;$B$6,(D24-$B$6)*$H$6,0)</f>
        <v>13934.614250000013</v>
      </c>
      <c r="E28" s="490">
        <v>0</v>
      </c>
      <c r="F28" s="490">
        <f>IF(F24&gt;$B$6,(F24-$B$6)*$H$6,0)</f>
        <v>14561.234250000005</v>
      </c>
      <c r="G28" s="490">
        <v>0</v>
      </c>
      <c r="H28" s="490">
        <f>IF(H24&gt;$B$6,(H24-$B$6)*$H$6,0)</f>
        <v>15187.854249999997</v>
      </c>
      <c r="I28" s="490">
        <v>0</v>
      </c>
      <c r="J28" s="490">
        <f>IF(J24&gt;$B$6,(J24-$B$6)*$H$6,0)</f>
        <v>15814.474249999988</v>
      </c>
      <c r="K28" s="490">
        <v>0</v>
      </c>
      <c r="L28" s="490">
        <f>IF(L24&gt;$B$6,(L24-$B$6)*$H$6,0)</f>
        <v>15814.474249999988</v>
      </c>
      <c r="M28" s="490">
        <v>0</v>
      </c>
      <c r="N28" s="490">
        <f>IF(N24&gt;$B$6,(N24-$B$6)*$H$6,0)</f>
        <v>15814.474249999988</v>
      </c>
      <c r="O28" s="490">
        <v>0</v>
      </c>
      <c r="P28" s="490">
        <f>IF(P24&gt;$B$6,(P24-$B$6)*$H$6,0)</f>
        <v>15814.474249999988</v>
      </c>
      <c r="Q28" s="490">
        <v>0</v>
      </c>
      <c r="R28" s="490">
        <f>IF(R24&gt;$B$6,(R24-$B$6)*$H$6,0)</f>
        <v>15814.474249999988</v>
      </c>
      <c r="S28" s="490">
        <v>0</v>
      </c>
      <c r="T28" s="490">
        <f>IF(T24&gt;$B$6,(T24-$B$6)*$H$6,0)</f>
        <v>15814.474249999988</v>
      </c>
      <c r="U28" s="490">
        <v>0</v>
      </c>
      <c r="V28" s="490">
        <f>IF(V24&gt;$B$6,(V24-$B$6)*$H$6,0)</f>
        <v>15814.474249999988</v>
      </c>
      <c r="W28" s="490">
        <v>0</v>
      </c>
      <c r="X28" s="490">
        <f>IF(X24&gt;$B$6,(X24-$B$6)*$H$6,0)</f>
        <v>15814.474249999988</v>
      </c>
      <c r="Y28" s="490">
        <v>0</v>
      </c>
      <c r="Z28" s="490">
        <f>IF(Z24&gt;$B$6,(Z24-$B$6)*$H$6,0)</f>
        <v>15814.474249999988</v>
      </c>
      <c r="AA28" s="490">
        <v>0</v>
      </c>
      <c r="AB28" s="490">
        <f>IF(AB24&gt;$B$6,(AB24-$B$6)*$H$6,0)</f>
        <v>15814.474249999988</v>
      </c>
      <c r="AC28" s="490">
        <v>0</v>
      </c>
      <c r="AD28" s="490">
        <f>IF(AD24&gt;$B$6,(AD24-$B$6)*$H$6,0)</f>
        <v>15814.474249999988</v>
      </c>
      <c r="AE28" s="490">
        <v>0</v>
      </c>
      <c r="AF28" s="490">
        <f>IF(AF24&gt;$B$6,(AF24-$B$6)*$H$6,0)</f>
        <v>0</v>
      </c>
      <c r="AG28" s="490">
        <v>0</v>
      </c>
      <c r="AH28" s="490">
        <f>IF(AH24&gt;$B$6,(AH24-$B$6)*$H$6,0)</f>
        <v>0</v>
      </c>
      <c r="AI28" s="490">
        <v>0</v>
      </c>
      <c r="AJ28" s="490">
        <f>IF(AJ24&gt;$B$6,(AJ24-$B$6)*$H$6,0)</f>
        <v>0</v>
      </c>
      <c r="AK28" s="490">
        <v>0</v>
      </c>
    </row>
    <row r="29" spans="1:48" x14ac:dyDescent="0.25">
      <c r="A29" s="489" t="s">
        <v>814</v>
      </c>
      <c r="B29" s="490">
        <f>IF(B25&gt;$B$7,(B25-$B$7)*$H$7,0)</f>
        <v>3017.5950000000034</v>
      </c>
      <c r="C29" s="490">
        <v>0</v>
      </c>
      <c r="D29" s="490">
        <f>IF(D25&gt;$B$7,(D25-$B$7)*$H$7,0)</f>
        <v>3160.3950000000086</v>
      </c>
      <c r="E29" s="490">
        <v>0</v>
      </c>
      <c r="F29" s="490">
        <f>IF(F25&gt;$B$7,(F25-$B$7)*$H$7,0)</f>
        <v>3303.1950000000061</v>
      </c>
      <c r="G29" s="490">
        <v>0</v>
      </c>
      <c r="H29" s="490">
        <f>IF(H25&gt;$B$7,(H25-$B$7)*$H$7,0)</f>
        <v>3445.9950000000035</v>
      </c>
      <c r="I29" s="490">
        <v>0</v>
      </c>
      <c r="J29" s="490">
        <f>IF(J25&gt;$B$7,(J25-$B$7)*$H$7,0)</f>
        <v>3588.7950000000092</v>
      </c>
      <c r="K29" s="490">
        <v>0</v>
      </c>
      <c r="L29" s="490">
        <f>IF(L25&gt;$B$7,(L25-$B$7)*$H$7,0)</f>
        <v>3588.7950000000092</v>
      </c>
      <c r="M29" s="490">
        <v>0</v>
      </c>
      <c r="N29" s="490">
        <f>IF(N25&gt;$B$7,(N25-$B$7)*$H$7,0)</f>
        <v>3588.7950000000092</v>
      </c>
      <c r="O29" s="490">
        <v>0</v>
      </c>
      <c r="P29" s="490">
        <f>IF(P25&gt;$B$7,(P25-$B$7)*$H$7,0)</f>
        <v>3588.7950000000092</v>
      </c>
      <c r="Q29" s="490">
        <v>0</v>
      </c>
      <c r="R29" s="490">
        <f>IF(R25&gt;$B$7,(R25-$B$7)*$H$7,0)</f>
        <v>3588.7950000000092</v>
      </c>
      <c r="S29" s="490">
        <v>0</v>
      </c>
      <c r="T29" s="490">
        <f>IF(T25&gt;$B$7,(T25-$B$7)*$H$7,0)</f>
        <v>3588.7950000000092</v>
      </c>
      <c r="U29" s="490">
        <v>0</v>
      </c>
      <c r="V29" s="490">
        <f>IF(V25&gt;$B$7,(V25-$B$7)*$H$7,0)</f>
        <v>3588.7950000000092</v>
      </c>
      <c r="W29" s="490">
        <v>0</v>
      </c>
      <c r="X29" s="490">
        <f>IF(X25&gt;$B$7,(X25-$B$7)*$H$7,0)</f>
        <v>3588.7950000000092</v>
      </c>
      <c r="Y29" s="490">
        <v>0</v>
      </c>
      <c r="Z29" s="490">
        <f>IF(Z25&gt;$B$7,(Z25-$B$7)*$H$7,0)</f>
        <v>3588.7950000000092</v>
      </c>
      <c r="AA29" s="490">
        <v>0</v>
      </c>
      <c r="AB29" s="490">
        <f>IF(AB25&gt;$B$7,(AB25-$B$7)*$H$7,0)</f>
        <v>3588.7950000000092</v>
      </c>
      <c r="AC29" s="490">
        <v>0</v>
      </c>
      <c r="AD29" s="490">
        <f>IF(AD25&gt;$B$7,(AD25-$B$7)*$H$7,0)</f>
        <v>3588.7950000000092</v>
      </c>
      <c r="AE29" s="490">
        <v>0</v>
      </c>
      <c r="AF29" s="490">
        <f>IF(AF25&gt;$B$7,(AF25-$B$7)*$H$7,0)</f>
        <v>0</v>
      </c>
      <c r="AG29" s="490">
        <v>0</v>
      </c>
      <c r="AH29" s="490">
        <f>IF(AH25&gt;$B$7,(AH25-$B$7)*$H$7,0)</f>
        <v>0</v>
      </c>
      <c r="AI29" s="490">
        <v>0</v>
      </c>
      <c r="AJ29" s="490">
        <f>IF(AJ25&gt;$B$7,(AJ25-$B$7)*$H$7,0)</f>
        <v>0</v>
      </c>
      <c r="AK29" s="490">
        <v>0</v>
      </c>
      <c r="AL29" s="375"/>
      <c r="AM29" s="375"/>
      <c r="AN29" s="375"/>
      <c r="AO29" s="375"/>
      <c r="AP29" s="375"/>
      <c r="AQ29" s="375"/>
      <c r="AR29" s="375"/>
      <c r="AS29" s="375"/>
      <c r="AT29" s="375"/>
      <c r="AU29" s="375"/>
      <c r="AV29" s="375"/>
    </row>
    <row r="30" spans="1:48" x14ac:dyDescent="0.25">
      <c r="A30" s="491" t="s">
        <v>815</v>
      </c>
      <c r="B30" s="492">
        <f>G4+G5+G6+G7</f>
        <v>3064.3123500000033</v>
      </c>
      <c r="C30" s="492">
        <f t="shared" ref="C30:AD30" si="11">B30</f>
        <v>3064.3123500000033</v>
      </c>
      <c r="D30" s="492">
        <f t="shared" si="11"/>
        <v>3064.3123500000033</v>
      </c>
      <c r="E30" s="492">
        <f t="shared" si="11"/>
        <v>3064.3123500000033</v>
      </c>
      <c r="F30" s="492">
        <f t="shared" si="11"/>
        <v>3064.3123500000033</v>
      </c>
      <c r="G30" s="492">
        <f t="shared" si="11"/>
        <v>3064.3123500000033</v>
      </c>
      <c r="H30" s="492">
        <f t="shared" si="11"/>
        <v>3064.3123500000033</v>
      </c>
      <c r="I30" s="492">
        <f t="shared" si="11"/>
        <v>3064.3123500000033</v>
      </c>
      <c r="J30" s="492">
        <f t="shared" si="11"/>
        <v>3064.3123500000033</v>
      </c>
      <c r="K30" s="492">
        <f t="shared" si="11"/>
        <v>3064.3123500000033</v>
      </c>
      <c r="L30" s="492">
        <f t="shared" si="11"/>
        <v>3064.3123500000033</v>
      </c>
      <c r="M30" s="492">
        <f t="shared" si="11"/>
        <v>3064.3123500000033</v>
      </c>
      <c r="N30" s="492">
        <f t="shared" si="11"/>
        <v>3064.3123500000033</v>
      </c>
      <c r="O30" s="492">
        <f t="shared" si="11"/>
        <v>3064.3123500000033</v>
      </c>
      <c r="P30" s="492">
        <f t="shared" si="11"/>
        <v>3064.3123500000033</v>
      </c>
      <c r="Q30" s="492">
        <f t="shared" si="11"/>
        <v>3064.3123500000033</v>
      </c>
      <c r="R30" s="492">
        <f t="shared" si="11"/>
        <v>3064.3123500000033</v>
      </c>
      <c r="S30" s="492">
        <f t="shared" si="11"/>
        <v>3064.3123500000033</v>
      </c>
      <c r="T30" s="492">
        <f t="shared" si="11"/>
        <v>3064.3123500000033</v>
      </c>
      <c r="U30" s="492">
        <f t="shared" si="11"/>
        <v>3064.3123500000033</v>
      </c>
      <c r="V30" s="492">
        <f t="shared" si="11"/>
        <v>3064.3123500000033</v>
      </c>
      <c r="W30" s="492">
        <f t="shared" si="11"/>
        <v>3064.3123500000033</v>
      </c>
      <c r="X30" s="492">
        <f t="shared" si="11"/>
        <v>3064.3123500000033</v>
      </c>
      <c r="Y30" s="492">
        <f t="shared" si="11"/>
        <v>3064.3123500000033</v>
      </c>
      <c r="Z30" s="492">
        <f t="shared" si="11"/>
        <v>3064.3123500000033</v>
      </c>
      <c r="AA30" s="492">
        <f t="shared" si="11"/>
        <v>3064.3123500000033</v>
      </c>
      <c r="AB30" s="492">
        <f t="shared" si="11"/>
        <v>3064.3123500000033</v>
      </c>
      <c r="AC30" s="492">
        <f t="shared" si="11"/>
        <v>3064.3123500000033</v>
      </c>
      <c r="AD30" s="492">
        <f t="shared" si="11"/>
        <v>3064.3123500000033</v>
      </c>
      <c r="AE30" s="492"/>
      <c r="AF30" s="492"/>
      <c r="AG30" s="492"/>
      <c r="AH30" s="492"/>
      <c r="AI30" s="492"/>
      <c r="AJ30" s="375"/>
      <c r="AK30" s="375"/>
      <c r="AL30" s="375"/>
      <c r="AM30" s="375"/>
      <c r="AN30" s="375"/>
      <c r="AO30" s="375"/>
      <c r="AP30" s="375"/>
      <c r="AQ30" s="375"/>
      <c r="AR30" s="375"/>
      <c r="AS30" s="375"/>
      <c r="AT30" s="375"/>
      <c r="AU30" s="375"/>
      <c r="AV30" s="375"/>
    </row>
    <row r="31" spans="1:48" x14ac:dyDescent="0.25">
      <c r="A31" s="493" t="s">
        <v>816</v>
      </c>
      <c r="B31" s="494">
        <f t="shared" ref="B31:AD31" si="12">B26+B27+B28+B29-B30</f>
        <v>36698.81290000007</v>
      </c>
      <c r="C31" s="494">
        <f t="shared" si="12"/>
        <v>-3064.3123500000033</v>
      </c>
      <c r="D31" s="494">
        <f t="shared" si="12"/>
        <v>38572.872900000046</v>
      </c>
      <c r="E31" s="494">
        <f t="shared" si="12"/>
        <v>-3064.3123500000033</v>
      </c>
      <c r="F31" s="494">
        <f t="shared" si="12"/>
        <v>40446.932900000058</v>
      </c>
      <c r="G31" s="494">
        <f t="shared" si="12"/>
        <v>-3064.3123500000033</v>
      </c>
      <c r="H31" s="494">
        <f t="shared" si="12"/>
        <v>42320.992900000027</v>
      </c>
      <c r="I31" s="494">
        <f t="shared" si="12"/>
        <v>-3064.3123500000033</v>
      </c>
      <c r="J31" s="494">
        <f t="shared" si="12"/>
        <v>44195.052900000046</v>
      </c>
      <c r="K31" s="494">
        <f t="shared" si="12"/>
        <v>-3064.3123500000033</v>
      </c>
      <c r="L31" s="494">
        <f t="shared" si="12"/>
        <v>44195.052900000046</v>
      </c>
      <c r="M31" s="494">
        <f t="shared" si="12"/>
        <v>-3064.3123500000033</v>
      </c>
      <c r="N31" s="494">
        <f t="shared" si="12"/>
        <v>44195.052900000046</v>
      </c>
      <c r="O31" s="494">
        <f t="shared" si="12"/>
        <v>-3064.3123500000033</v>
      </c>
      <c r="P31" s="494">
        <f t="shared" si="12"/>
        <v>44195.052900000046</v>
      </c>
      <c r="Q31" s="494">
        <f t="shared" si="12"/>
        <v>-3064.3123500000033</v>
      </c>
      <c r="R31" s="494">
        <f t="shared" si="12"/>
        <v>44195.052900000046</v>
      </c>
      <c r="S31" s="494">
        <f t="shared" si="12"/>
        <v>-3064.3123500000033</v>
      </c>
      <c r="T31" s="494">
        <f t="shared" si="12"/>
        <v>44195.052900000046</v>
      </c>
      <c r="U31" s="494">
        <f t="shared" si="12"/>
        <v>-3064.3123500000033</v>
      </c>
      <c r="V31" s="494">
        <f t="shared" si="12"/>
        <v>44195.052900000046</v>
      </c>
      <c r="W31" s="494">
        <f t="shared" si="12"/>
        <v>-3064.3123500000033</v>
      </c>
      <c r="X31" s="494">
        <f t="shared" si="12"/>
        <v>44195.052900000046</v>
      </c>
      <c r="Y31" s="494">
        <f t="shared" si="12"/>
        <v>-3064.3123500000033</v>
      </c>
      <c r="Z31" s="494">
        <f t="shared" si="12"/>
        <v>44195.052900000046</v>
      </c>
      <c r="AA31" s="494">
        <f t="shared" si="12"/>
        <v>-3064.3123500000033</v>
      </c>
      <c r="AB31" s="494">
        <f t="shared" si="12"/>
        <v>44195.052900000046</v>
      </c>
      <c r="AC31" s="494">
        <f t="shared" si="12"/>
        <v>-3064.3123500000033</v>
      </c>
      <c r="AD31" s="494">
        <f t="shared" si="12"/>
        <v>44195.052900000046</v>
      </c>
      <c r="AE31" s="494"/>
      <c r="AF31" s="494"/>
      <c r="AG31" s="494"/>
      <c r="AH31" s="494"/>
      <c r="AI31" s="494"/>
      <c r="AJ31" s="495"/>
      <c r="AK31" s="495"/>
      <c r="AL31" s="495"/>
      <c r="AM31" s="495"/>
      <c r="AN31" s="495"/>
      <c r="AO31" s="495"/>
      <c r="AP31" s="495"/>
      <c r="AQ31" s="495"/>
      <c r="AR31" s="495"/>
      <c r="AS31" s="495"/>
      <c r="AT31" s="495"/>
      <c r="AU31" s="495"/>
      <c r="AV31" s="495"/>
    </row>
    <row r="32" spans="1:48" x14ac:dyDescent="0.25">
      <c r="A32" s="496" t="s">
        <v>817</v>
      </c>
      <c r="B32" s="494">
        <f>-B12-B11+B31</f>
        <v>-268616.88960000029</v>
      </c>
      <c r="C32" s="494">
        <f t="shared" ref="C32:AD32" si="13">B32+C31</f>
        <v>-271681.20195000031</v>
      </c>
      <c r="D32" s="494">
        <f t="shared" si="13"/>
        <v>-233108.32905000026</v>
      </c>
      <c r="E32" s="494">
        <f t="shared" si="13"/>
        <v>-236172.64140000026</v>
      </c>
      <c r="F32" s="494">
        <f t="shared" si="13"/>
        <v>-195725.70850000018</v>
      </c>
      <c r="G32" s="494">
        <f t="shared" si="13"/>
        <v>-198790.02085000018</v>
      </c>
      <c r="H32" s="494">
        <f t="shared" si="13"/>
        <v>-156469.02795000013</v>
      </c>
      <c r="I32" s="494">
        <f t="shared" si="13"/>
        <v>-159533.34030000013</v>
      </c>
      <c r="J32" s="494">
        <f t="shared" si="13"/>
        <v>-115338.28740000009</v>
      </c>
      <c r="K32" s="494">
        <f t="shared" si="13"/>
        <v>-118402.5997500001</v>
      </c>
      <c r="L32" s="494">
        <f t="shared" si="13"/>
        <v>-74207.546850000042</v>
      </c>
      <c r="M32" s="494">
        <f t="shared" si="13"/>
        <v>-77271.85920000005</v>
      </c>
      <c r="N32" s="494">
        <f t="shared" si="13"/>
        <v>-33076.806300000004</v>
      </c>
      <c r="O32" s="494">
        <f t="shared" si="13"/>
        <v>-36141.118650000004</v>
      </c>
      <c r="P32" s="494">
        <f t="shared" si="13"/>
        <v>8053.9342500000421</v>
      </c>
      <c r="Q32" s="494">
        <f t="shared" si="13"/>
        <v>4989.6219000000383</v>
      </c>
      <c r="R32" s="494">
        <f t="shared" si="13"/>
        <v>49184.674800000081</v>
      </c>
      <c r="S32" s="494">
        <f t="shared" si="13"/>
        <v>46120.362450000081</v>
      </c>
      <c r="T32" s="494">
        <f t="shared" si="13"/>
        <v>90315.415350000127</v>
      </c>
      <c r="U32" s="494">
        <f t="shared" si="13"/>
        <v>87251.103000000119</v>
      </c>
      <c r="V32" s="494">
        <f t="shared" si="13"/>
        <v>131446.15590000016</v>
      </c>
      <c r="W32" s="494">
        <f t="shared" si="13"/>
        <v>128381.84355000015</v>
      </c>
      <c r="X32" s="494">
        <f t="shared" si="13"/>
        <v>172576.8964500002</v>
      </c>
      <c r="Y32" s="494">
        <f t="shared" si="13"/>
        <v>169512.58410000021</v>
      </c>
      <c r="Z32" s="494">
        <f t="shared" si="13"/>
        <v>213707.63700000025</v>
      </c>
      <c r="AA32" s="494">
        <f t="shared" si="13"/>
        <v>210643.32465000026</v>
      </c>
      <c r="AB32" s="494">
        <f t="shared" si="13"/>
        <v>254838.3775500003</v>
      </c>
      <c r="AC32" s="494">
        <f t="shared" si="13"/>
        <v>251774.0652000003</v>
      </c>
      <c r="AD32" s="494">
        <f t="shared" si="13"/>
        <v>295969.11810000037</v>
      </c>
      <c r="AE32" s="494"/>
      <c r="AF32" s="494"/>
      <c r="AG32" s="494"/>
      <c r="AH32" s="494"/>
      <c r="AI32" s="494"/>
      <c r="AJ32" s="495"/>
      <c r="AK32" s="495"/>
      <c r="AL32" s="495"/>
      <c r="AM32" s="495"/>
      <c r="AN32" s="495"/>
      <c r="AO32" s="495"/>
      <c r="AP32" s="495"/>
      <c r="AQ32" s="495"/>
      <c r="AR32" s="495"/>
      <c r="AS32" s="495"/>
      <c r="AT32" s="495"/>
      <c r="AU32" s="495"/>
      <c r="AV32" s="495"/>
    </row>
    <row r="33" spans="2:35" x14ac:dyDescent="0.25">
      <c r="B33" s="478">
        <f t="shared" ref="B33:AD33" si="14">B32/$B$13</f>
        <v>-0.87980044066027019</v>
      </c>
      <c r="C33" s="478">
        <f t="shared" si="14"/>
        <v>-0.88983697767722902</v>
      </c>
      <c r="D33" s="478">
        <f t="shared" si="14"/>
        <v>-0.76349931281375871</v>
      </c>
      <c r="E33" s="478">
        <f t="shared" si="14"/>
        <v>-0.77353584983071733</v>
      </c>
      <c r="F33" s="478">
        <f t="shared" si="14"/>
        <v>-0.6410600794435064</v>
      </c>
      <c r="G33" s="478">
        <f t="shared" si="14"/>
        <v>-0.65109661646046502</v>
      </c>
      <c r="H33" s="478">
        <f t="shared" si="14"/>
        <v>-0.51248274054951348</v>
      </c>
      <c r="I33" s="478">
        <f t="shared" si="14"/>
        <v>-0.52251927756647221</v>
      </c>
      <c r="J33" s="478">
        <f t="shared" si="14"/>
        <v>-0.37776729613178001</v>
      </c>
      <c r="K33" s="478">
        <f t="shared" si="14"/>
        <v>-0.38780383314873873</v>
      </c>
      <c r="L33" s="478">
        <f t="shared" si="14"/>
        <v>-0.24305185171404656</v>
      </c>
      <c r="M33" s="478">
        <f t="shared" si="14"/>
        <v>-0.25308838873100525</v>
      </c>
      <c r="N33" s="478">
        <f t="shared" si="14"/>
        <v>-0.10833640729631311</v>
      </c>
      <c r="O33" s="478">
        <f t="shared" si="14"/>
        <v>-0.11837294431327181</v>
      </c>
      <c r="P33" s="478">
        <f t="shared" si="14"/>
        <v>2.637903712142035E-2</v>
      </c>
      <c r="Q33" s="478">
        <f t="shared" si="14"/>
        <v>1.6342500104461651E-2</v>
      </c>
      <c r="R33" s="478">
        <f t="shared" si="14"/>
        <v>0.16109448153915379</v>
      </c>
      <c r="S33" s="478">
        <f t="shared" si="14"/>
        <v>0.15105794452219512</v>
      </c>
      <c r="T33" s="478">
        <f t="shared" si="14"/>
        <v>0.29580992595688727</v>
      </c>
      <c r="U33" s="478">
        <f t="shared" si="14"/>
        <v>0.28577338893992854</v>
      </c>
      <c r="V33" s="478">
        <f t="shared" si="14"/>
        <v>0.43052537037462069</v>
      </c>
      <c r="W33" s="478">
        <f t="shared" si="14"/>
        <v>0.42048883335766196</v>
      </c>
      <c r="X33" s="478">
        <f t="shared" si="14"/>
        <v>0.56524081479235411</v>
      </c>
      <c r="Y33" s="478">
        <f t="shared" si="14"/>
        <v>0.55520427777539549</v>
      </c>
      <c r="Z33" s="478">
        <f t="shared" si="14"/>
        <v>0.69995625921008764</v>
      </c>
      <c r="AA33" s="478">
        <f t="shared" si="14"/>
        <v>0.68991972219312891</v>
      </c>
      <c r="AB33" s="478">
        <f t="shared" si="14"/>
        <v>0.83467170362782106</v>
      </c>
      <c r="AC33" s="478">
        <f t="shared" si="14"/>
        <v>0.82463516661086245</v>
      </c>
      <c r="AD33" s="478">
        <f t="shared" si="14"/>
        <v>0.96938714804555459</v>
      </c>
      <c r="AE33" s="478"/>
      <c r="AF33" s="478"/>
      <c r="AG33" s="478"/>
      <c r="AH33" s="478"/>
      <c r="AI33" s="478"/>
    </row>
    <row r="36" spans="2:35" x14ac:dyDescent="0.25">
      <c r="K36" s="478"/>
    </row>
    <row r="37" spans="2:35" x14ac:dyDescent="0.25">
      <c r="K37" s="478"/>
    </row>
    <row r="38" spans="2:35" x14ac:dyDescent="0.25">
      <c r="K38" s="478"/>
    </row>
  </sheetData>
  <mergeCells count="3">
    <mergeCell ref="D2:E2"/>
    <mergeCell ref="F2:G2"/>
    <mergeCell ref="H2:I2"/>
  </mergeCells>
  <conditionalFormatting sqref="B32:AD32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A1:U76"/>
  <sheetViews>
    <sheetView zoomScale="90" zoomScaleNormal="90" workbookViewId="0">
      <pane ySplit="1" topLeftCell="A2" activePane="bottomLeft" state="frozen"/>
      <selection pane="bottomLeft" activeCell="P13" sqref="P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555" t="s">
        <v>115</v>
      </c>
      <c r="B1" s="555"/>
      <c r="C1" s="555"/>
      <c r="D1" s="555"/>
      <c r="F1" s="10" t="s">
        <v>2</v>
      </c>
      <c r="G1" s="10" t="s">
        <v>3</v>
      </c>
      <c r="H1" s="10" t="s">
        <v>4</v>
      </c>
      <c r="I1" s="30" t="s">
        <v>62</v>
      </c>
      <c r="J1" s="30" t="s">
        <v>6</v>
      </c>
      <c r="K1" s="30" t="s">
        <v>45</v>
      </c>
      <c r="L1" s="30" t="s">
        <v>100</v>
      </c>
      <c r="M1" s="30" t="s">
        <v>180</v>
      </c>
      <c r="N1" s="71" t="s">
        <v>101</v>
      </c>
      <c r="O1" s="71" t="s">
        <v>102</v>
      </c>
      <c r="P1" s="71" t="s">
        <v>175</v>
      </c>
      <c r="Q1" s="71" t="s">
        <v>81</v>
      </c>
      <c r="R1" s="72" t="s">
        <v>103</v>
      </c>
      <c r="S1" s="72" t="s">
        <v>104</v>
      </c>
      <c r="T1" s="72" t="s">
        <v>175</v>
      </c>
      <c r="U1" s="72" t="s">
        <v>81</v>
      </c>
    </row>
    <row r="2" spans="1:21" x14ac:dyDescent="0.25">
      <c r="A2" s="556" t="s">
        <v>116</v>
      </c>
      <c r="B2" s="557" t="s">
        <v>117</v>
      </c>
      <c r="C2" s="557" t="s">
        <v>118</v>
      </c>
      <c r="D2" s="557" t="s">
        <v>119</v>
      </c>
      <c r="F2" s="101" t="s">
        <v>216</v>
      </c>
      <c r="G2">
        <v>36</v>
      </c>
      <c r="H2">
        <v>92</v>
      </c>
      <c r="I2" s="60">
        <v>14.3</v>
      </c>
      <c r="J2" s="61">
        <v>4</v>
      </c>
      <c r="K2" s="49">
        <v>2448</v>
      </c>
      <c r="L2" s="49">
        <v>1000</v>
      </c>
      <c r="M2" s="67">
        <v>3</v>
      </c>
      <c r="N2" s="49">
        <v>325000</v>
      </c>
      <c r="O2" s="49">
        <f>L2+N2</f>
        <v>326000</v>
      </c>
      <c r="P2" s="73">
        <v>6.5</v>
      </c>
      <c r="Q2" s="84">
        <f>O2/P2</f>
        <v>50153.846153846156</v>
      </c>
      <c r="R2" s="49">
        <v>2375000</v>
      </c>
      <c r="S2" s="49">
        <f>R2+L2</f>
        <v>2376000</v>
      </c>
      <c r="T2" s="74">
        <f>P2</f>
        <v>6.5</v>
      </c>
      <c r="U2" s="84">
        <f>S2/T2</f>
        <v>365538.46153846156</v>
      </c>
    </row>
    <row r="3" spans="1:21" x14ac:dyDescent="0.25">
      <c r="A3" s="556"/>
      <c r="B3" s="557"/>
      <c r="C3" s="557"/>
      <c r="D3" s="557"/>
      <c r="F3" s="101" t="s">
        <v>217</v>
      </c>
      <c r="G3">
        <v>40</v>
      </c>
      <c r="H3">
        <v>26</v>
      </c>
      <c r="I3" s="60">
        <v>14.1</v>
      </c>
      <c r="J3" s="61">
        <v>5</v>
      </c>
      <c r="K3" s="49">
        <v>468</v>
      </c>
      <c r="L3" s="49">
        <v>410000</v>
      </c>
      <c r="M3" s="67">
        <v>3</v>
      </c>
      <c r="N3" s="49">
        <v>335000</v>
      </c>
      <c r="O3" s="49">
        <f>L3+N3</f>
        <v>745000</v>
      </c>
      <c r="P3" s="73">
        <v>8</v>
      </c>
      <c r="Q3" s="84">
        <f>O3/P3</f>
        <v>93125</v>
      </c>
      <c r="R3" s="49">
        <v>2390000</v>
      </c>
      <c r="S3" s="49">
        <f>R3+L3</f>
        <v>2800000</v>
      </c>
      <c r="T3" s="74">
        <f>P3</f>
        <v>8</v>
      </c>
      <c r="U3" s="84">
        <f>S3/T3</f>
        <v>350000</v>
      </c>
    </row>
    <row r="4" spans="1:21" x14ac:dyDescent="0.25">
      <c r="A4" s="80" t="s">
        <v>117</v>
      </c>
      <c r="B4" s="81" t="s">
        <v>120</v>
      </c>
      <c r="C4" s="81" t="s">
        <v>121</v>
      </c>
      <c r="D4" s="81" t="s">
        <v>121</v>
      </c>
      <c r="F4" s="101" t="s">
        <v>218</v>
      </c>
      <c r="G4">
        <v>35</v>
      </c>
      <c r="H4">
        <v>85</v>
      </c>
      <c r="I4" s="60">
        <v>18.2</v>
      </c>
      <c r="J4" s="61">
        <v>4</v>
      </c>
      <c r="K4" s="49">
        <v>14808</v>
      </c>
      <c r="L4" s="49">
        <v>1245000</v>
      </c>
      <c r="M4" s="67">
        <v>3</v>
      </c>
      <c r="N4" s="49">
        <v>259000</v>
      </c>
      <c r="O4" s="49">
        <f>L4+N4</f>
        <v>1504000</v>
      </c>
      <c r="P4" s="73">
        <v>6.5</v>
      </c>
      <c r="Q4" s="84">
        <f>O4/P4</f>
        <v>231384.61538461538</v>
      </c>
      <c r="R4" s="49">
        <v>1850000</v>
      </c>
      <c r="S4" s="49">
        <f>R4+L4</f>
        <v>3095000</v>
      </c>
      <c r="T4" s="74">
        <f>P4</f>
        <v>6.5</v>
      </c>
      <c r="U4" s="84">
        <f>S4/T4</f>
        <v>476153.84615384613</v>
      </c>
    </row>
    <row r="5" spans="1:21" x14ac:dyDescent="0.25">
      <c r="A5" s="82" t="s">
        <v>118</v>
      </c>
      <c r="B5" s="83" t="s">
        <v>122</v>
      </c>
      <c r="C5" s="83" t="s">
        <v>123</v>
      </c>
      <c r="D5" s="83" t="s">
        <v>121</v>
      </c>
      <c r="F5" s="101" t="s">
        <v>219</v>
      </c>
      <c r="G5">
        <v>36</v>
      </c>
      <c r="H5">
        <v>97</v>
      </c>
      <c r="I5" s="60">
        <v>14</v>
      </c>
      <c r="J5" s="61">
        <v>5</v>
      </c>
      <c r="K5" s="49">
        <v>4956</v>
      </c>
      <c r="L5" s="49">
        <v>405000</v>
      </c>
      <c r="M5" s="67">
        <v>3</v>
      </c>
      <c r="N5" s="75">
        <v>337500</v>
      </c>
      <c r="O5" s="49">
        <f>L5+N5</f>
        <v>742500</v>
      </c>
      <c r="P5" s="73">
        <v>8</v>
      </c>
      <c r="Q5" s="84">
        <f>O5/P5</f>
        <v>92812.5</v>
      </c>
      <c r="R5" s="49">
        <v>2400000</v>
      </c>
      <c r="S5" s="49">
        <f>R5+L5</f>
        <v>2805000</v>
      </c>
      <c r="T5" s="74">
        <f>P5</f>
        <v>8</v>
      </c>
      <c r="U5" s="84">
        <f>S5/T5</f>
        <v>350625</v>
      </c>
    </row>
    <row r="6" spans="1:21" x14ac:dyDescent="0.25">
      <c r="A6" s="80" t="s">
        <v>119</v>
      </c>
      <c r="B6" s="81" t="s">
        <v>124</v>
      </c>
      <c r="C6" s="81" t="s">
        <v>125</v>
      </c>
      <c r="D6" s="81" t="s">
        <v>126</v>
      </c>
      <c r="F6" s="101" t="s">
        <v>221</v>
      </c>
      <c r="G6">
        <v>40</v>
      </c>
      <c r="H6">
        <v>71</v>
      </c>
      <c r="I6" s="60">
        <v>15.3</v>
      </c>
      <c r="J6" s="61">
        <v>5</v>
      </c>
      <c r="K6" s="49">
        <v>840</v>
      </c>
      <c r="L6" s="49">
        <v>325000</v>
      </c>
      <c r="M6" s="67">
        <v>3</v>
      </c>
      <c r="N6" s="49">
        <v>305000</v>
      </c>
      <c r="O6" s="49">
        <f>L6+N6</f>
        <v>630000</v>
      </c>
      <c r="P6" s="73">
        <v>8</v>
      </c>
      <c r="Q6" s="84">
        <f>O6/P6</f>
        <v>78750</v>
      </c>
      <c r="R6" s="49">
        <v>2200000</v>
      </c>
      <c r="S6" s="49">
        <f>R6+L6</f>
        <v>2525000</v>
      </c>
      <c r="T6" s="74">
        <f>P6</f>
        <v>8</v>
      </c>
      <c r="U6" s="84">
        <f>S6/T6</f>
        <v>315625</v>
      </c>
    </row>
    <row r="7" spans="1:21" x14ac:dyDescent="0.25">
      <c r="A7" s="82" t="s">
        <v>127</v>
      </c>
      <c r="B7" s="83" t="s">
        <v>128</v>
      </c>
      <c r="C7" s="83" t="s">
        <v>129</v>
      </c>
      <c r="D7" s="83" t="s">
        <v>130</v>
      </c>
      <c r="I7" s="60">
        <v>0</v>
      </c>
      <c r="J7" s="61">
        <v>0</v>
      </c>
      <c r="K7" s="49"/>
      <c r="L7" s="49"/>
      <c r="M7" s="67">
        <v>3</v>
      </c>
      <c r="N7" s="49"/>
      <c r="O7" s="49">
        <f t="shared" ref="O7:O14" si="0">L7+N7</f>
        <v>0</v>
      </c>
      <c r="P7" s="73">
        <v>9</v>
      </c>
      <c r="Q7" s="84">
        <f t="shared" ref="Q7:Q14" si="1">O7/P7</f>
        <v>0</v>
      </c>
      <c r="R7" s="49"/>
      <c r="S7" s="49">
        <f t="shared" ref="S7:S14" si="2">R7+L7</f>
        <v>0</v>
      </c>
      <c r="T7" s="74">
        <f t="shared" ref="T7:T14" si="3">P7</f>
        <v>9</v>
      </c>
      <c r="U7" s="84">
        <f t="shared" ref="U7:U14" si="4">S7/T7</f>
        <v>0</v>
      </c>
    </row>
    <row r="8" spans="1:21" x14ac:dyDescent="0.25">
      <c r="A8" s="80" t="s">
        <v>131</v>
      </c>
      <c r="B8" s="81" t="s">
        <v>132</v>
      </c>
      <c r="C8" s="81" t="s">
        <v>133</v>
      </c>
      <c r="D8" s="81" t="s">
        <v>134</v>
      </c>
      <c r="F8" s="101" t="s">
        <v>220</v>
      </c>
      <c r="G8">
        <v>38</v>
      </c>
      <c r="H8">
        <v>105</v>
      </c>
      <c r="I8" s="60">
        <v>17.8</v>
      </c>
      <c r="J8" s="61">
        <v>4</v>
      </c>
      <c r="K8" s="49">
        <v>1080</v>
      </c>
      <c r="L8" s="49">
        <v>320000</v>
      </c>
      <c r="M8" s="67">
        <v>3</v>
      </c>
      <c r="N8" s="49">
        <v>269000</v>
      </c>
      <c r="O8" s="49">
        <f t="shared" si="0"/>
        <v>589000</v>
      </c>
      <c r="P8" s="73">
        <v>6.5</v>
      </c>
      <c r="Q8" s="84">
        <f t="shared" si="1"/>
        <v>90615.38461538461</v>
      </c>
      <c r="R8" s="49">
        <v>1900000</v>
      </c>
      <c r="S8" s="49">
        <f t="shared" si="2"/>
        <v>2220000</v>
      </c>
      <c r="T8" s="74">
        <f t="shared" si="3"/>
        <v>6.5</v>
      </c>
      <c r="U8" s="84">
        <f t="shared" si="4"/>
        <v>341538.46153846156</v>
      </c>
    </row>
    <row r="9" spans="1:21" x14ac:dyDescent="0.25">
      <c r="A9" s="82" t="s">
        <v>135</v>
      </c>
      <c r="B9" s="83" t="s">
        <v>136</v>
      </c>
      <c r="C9" s="83" t="s">
        <v>137</v>
      </c>
      <c r="D9" s="83" t="s">
        <v>138</v>
      </c>
      <c r="F9" s="101" t="s">
        <v>222</v>
      </c>
      <c r="G9">
        <v>40</v>
      </c>
      <c r="H9">
        <v>43</v>
      </c>
      <c r="I9" s="60">
        <v>33.4</v>
      </c>
      <c r="J9" s="61">
        <v>4</v>
      </c>
      <c r="K9" s="49">
        <f>470*1.2</f>
        <v>564</v>
      </c>
      <c r="L9" s="49">
        <v>920000</v>
      </c>
      <c r="M9" s="67">
        <v>3</v>
      </c>
      <c r="N9" s="49">
        <v>125000</v>
      </c>
      <c r="O9" s="49">
        <f t="shared" si="0"/>
        <v>1045000</v>
      </c>
      <c r="P9" s="73">
        <v>6.5</v>
      </c>
      <c r="Q9" s="84">
        <f t="shared" si="1"/>
        <v>160769.23076923078</v>
      </c>
      <c r="R9" s="49">
        <v>1050000</v>
      </c>
      <c r="S9" s="49">
        <f t="shared" si="2"/>
        <v>1970000</v>
      </c>
      <c r="T9" s="74">
        <f t="shared" si="3"/>
        <v>6.5</v>
      </c>
      <c r="U9" s="84">
        <f t="shared" si="4"/>
        <v>303076.92307692306</v>
      </c>
    </row>
    <row r="10" spans="1:21" x14ac:dyDescent="0.25">
      <c r="A10" s="80" t="s">
        <v>139</v>
      </c>
      <c r="B10" s="81" t="s">
        <v>140</v>
      </c>
      <c r="C10" s="81" t="s">
        <v>141</v>
      </c>
      <c r="D10" s="81" t="s">
        <v>142</v>
      </c>
      <c r="F10" s="101" t="s">
        <v>223</v>
      </c>
      <c r="G10">
        <v>38</v>
      </c>
      <c r="H10">
        <v>73</v>
      </c>
      <c r="I10" s="60">
        <v>15.5</v>
      </c>
      <c r="J10" s="61">
        <v>4</v>
      </c>
      <c r="K10" s="49">
        <v>1280</v>
      </c>
      <c r="L10" s="49">
        <v>10000</v>
      </c>
      <c r="M10" s="67">
        <v>3</v>
      </c>
      <c r="N10" s="49">
        <v>305000</v>
      </c>
      <c r="O10" s="49">
        <f t="shared" si="0"/>
        <v>315000</v>
      </c>
      <c r="P10" s="73">
        <v>6.5</v>
      </c>
      <c r="Q10" s="84">
        <f t="shared" si="1"/>
        <v>48461.538461538461</v>
      </c>
      <c r="R10" s="49">
        <v>2200000</v>
      </c>
      <c r="S10" s="49">
        <f t="shared" si="2"/>
        <v>2210000</v>
      </c>
      <c r="T10" s="74">
        <f t="shared" si="3"/>
        <v>6.5</v>
      </c>
      <c r="U10" s="84">
        <f t="shared" si="4"/>
        <v>340000</v>
      </c>
    </row>
    <row r="11" spans="1:21" x14ac:dyDescent="0.25">
      <c r="A11" s="82" t="s">
        <v>143</v>
      </c>
      <c r="B11" s="83" t="s">
        <v>144</v>
      </c>
      <c r="C11" s="83" t="s">
        <v>145</v>
      </c>
      <c r="D11" s="83" t="s">
        <v>146</v>
      </c>
      <c r="F11" s="101" t="s">
        <v>224</v>
      </c>
      <c r="G11">
        <v>38</v>
      </c>
      <c r="H11">
        <v>33</v>
      </c>
      <c r="I11" s="60">
        <v>16.7</v>
      </c>
      <c r="J11" s="61">
        <v>4</v>
      </c>
      <c r="K11" s="49">
        <v>1224</v>
      </c>
      <c r="L11" s="49">
        <v>10000</v>
      </c>
      <c r="M11" s="67">
        <v>3</v>
      </c>
      <c r="N11" s="75">
        <v>283000</v>
      </c>
      <c r="O11" s="49">
        <f t="shared" si="0"/>
        <v>293000</v>
      </c>
      <c r="P11" s="73">
        <v>6.5</v>
      </c>
      <c r="Q11" s="84">
        <f t="shared" si="1"/>
        <v>45076.923076923078</v>
      </c>
      <c r="R11" s="49">
        <v>2005000</v>
      </c>
      <c r="S11" s="49">
        <f t="shared" si="2"/>
        <v>2015000</v>
      </c>
      <c r="T11" s="74">
        <f t="shared" si="3"/>
        <v>6.5</v>
      </c>
      <c r="U11" s="84">
        <f t="shared" si="4"/>
        <v>310000</v>
      </c>
    </row>
    <row r="12" spans="1:21" x14ac:dyDescent="0.25">
      <c r="A12" s="80" t="s">
        <v>147</v>
      </c>
      <c r="B12" s="81" t="s">
        <v>148</v>
      </c>
      <c r="C12" s="81" t="s">
        <v>149</v>
      </c>
      <c r="D12" s="81" t="s">
        <v>150</v>
      </c>
      <c r="F12" s="101" t="s">
        <v>225</v>
      </c>
      <c r="G12">
        <v>38</v>
      </c>
      <c r="H12">
        <v>106</v>
      </c>
      <c r="I12" s="60">
        <v>15.1</v>
      </c>
      <c r="J12" s="61">
        <v>4</v>
      </c>
      <c r="K12" s="49">
        <v>1368</v>
      </c>
      <c r="L12" s="49">
        <v>5000</v>
      </c>
      <c r="M12" s="67">
        <v>3</v>
      </c>
      <c r="N12" s="49">
        <v>315000</v>
      </c>
      <c r="O12" s="49">
        <f t="shared" si="0"/>
        <v>320000</v>
      </c>
      <c r="P12" s="73">
        <v>6.5</v>
      </c>
      <c r="Q12" s="84">
        <f t="shared" si="1"/>
        <v>49230.769230769234</v>
      </c>
      <c r="R12" s="49">
        <v>2242290</v>
      </c>
      <c r="S12" s="49">
        <f t="shared" si="2"/>
        <v>2247290</v>
      </c>
      <c r="T12" s="74">
        <f t="shared" si="3"/>
        <v>6.5</v>
      </c>
      <c r="U12" s="84">
        <f t="shared" si="4"/>
        <v>345736.92307692306</v>
      </c>
    </row>
    <row r="13" spans="1:21" x14ac:dyDescent="0.25">
      <c r="A13" s="82" t="s">
        <v>151</v>
      </c>
      <c r="B13" s="83" t="s">
        <v>152</v>
      </c>
      <c r="C13" s="83" t="s">
        <v>153</v>
      </c>
      <c r="D13" s="83" t="s">
        <v>154</v>
      </c>
      <c r="F13" s="101" t="s">
        <v>227</v>
      </c>
      <c r="G13">
        <v>58</v>
      </c>
      <c r="H13">
        <v>49</v>
      </c>
      <c r="I13" s="60">
        <v>16</v>
      </c>
      <c r="J13" s="61">
        <v>4</v>
      </c>
      <c r="K13" s="49">
        <v>300</v>
      </c>
      <c r="L13" s="49">
        <v>125000</v>
      </c>
      <c r="M13" s="67">
        <v>3</v>
      </c>
      <c r="N13" s="49">
        <v>296000</v>
      </c>
      <c r="O13" s="49">
        <f t="shared" si="0"/>
        <v>421000</v>
      </c>
      <c r="P13" s="73">
        <v>6.5</v>
      </c>
      <c r="Q13" s="84">
        <f t="shared" si="1"/>
        <v>64769.230769230766</v>
      </c>
      <c r="R13" s="49">
        <v>2105000</v>
      </c>
      <c r="S13" s="49">
        <f t="shared" si="2"/>
        <v>2230000</v>
      </c>
      <c r="T13" s="74">
        <f t="shared" si="3"/>
        <v>6.5</v>
      </c>
      <c r="U13" s="84">
        <f t="shared" si="4"/>
        <v>343076.92307692306</v>
      </c>
    </row>
    <row r="14" spans="1:21" x14ac:dyDescent="0.25">
      <c r="A14" s="80" t="s">
        <v>155</v>
      </c>
      <c r="B14" s="81" t="s">
        <v>156</v>
      </c>
      <c r="C14" s="81" t="s">
        <v>157</v>
      </c>
      <c r="D14" s="81" t="s">
        <v>158</v>
      </c>
      <c r="I14" s="60">
        <v>0</v>
      </c>
      <c r="J14" s="61">
        <v>0</v>
      </c>
      <c r="K14" s="49"/>
      <c r="L14" s="49"/>
      <c r="M14" s="67">
        <v>3</v>
      </c>
      <c r="N14" s="49"/>
      <c r="O14" s="49">
        <f t="shared" si="0"/>
        <v>0</v>
      </c>
      <c r="P14" s="73">
        <v>9</v>
      </c>
      <c r="Q14" s="84">
        <f t="shared" si="1"/>
        <v>0</v>
      </c>
      <c r="R14" s="49"/>
      <c r="S14" s="49">
        <f t="shared" si="2"/>
        <v>0</v>
      </c>
      <c r="T14" s="74">
        <f t="shared" si="3"/>
        <v>9</v>
      </c>
      <c r="U14" s="84">
        <f t="shared" si="4"/>
        <v>0</v>
      </c>
    </row>
    <row r="15" spans="1:21" x14ac:dyDescent="0.25">
      <c r="A15" s="82" t="s">
        <v>159</v>
      </c>
      <c r="B15" s="83" t="s">
        <v>160</v>
      </c>
      <c r="C15" s="83" t="s">
        <v>161</v>
      </c>
      <c r="D15" s="83" t="s">
        <v>162</v>
      </c>
      <c r="F15" s="101" t="s">
        <v>328</v>
      </c>
      <c r="G15">
        <v>40</v>
      </c>
      <c r="H15">
        <v>1</v>
      </c>
      <c r="I15" s="60">
        <v>16.100000000000001</v>
      </c>
      <c r="J15" s="61">
        <v>5</v>
      </c>
      <c r="K15" s="49">
        <v>492</v>
      </c>
      <c r="L15" s="49">
        <v>1100000</v>
      </c>
      <c r="M15" s="67">
        <v>2</v>
      </c>
      <c r="N15" s="49">
        <v>296000</v>
      </c>
      <c r="O15" s="49">
        <f t="shared" ref="O15:O46" si="5">L15+N15</f>
        <v>1396000</v>
      </c>
      <c r="P15" s="73">
        <v>8</v>
      </c>
      <c r="Q15" s="84">
        <f t="shared" ref="Q15:Q46" si="6">O15/P15</f>
        <v>174500</v>
      </c>
      <c r="R15" s="49">
        <v>2100000</v>
      </c>
      <c r="S15" s="49">
        <f t="shared" ref="S15:S46" si="7">R15+L15</f>
        <v>3200000</v>
      </c>
      <c r="T15" s="74">
        <f t="shared" ref="T15:T46" si="8">P15</f>
        <v>8</v>
      </c>
      <c r="U15" s="84">
        <f t="shared" ref="U15:U46" si="9">S15/T15</f>
        <v>400000</v>
      </c>
    </row>
    <row r="16" spans="1:21" x14ac:dyDescent="0.25">
      <c r="A16" s="80" t="s">
        <v>163</v>
      </c>
      <c r="B16" s="81" t="s">
        <v>164</v>
      </c>
      <c r="C16" s="81" t="s">
        <v>165</v>
      </c>
      <c r="D16" s="81" t="s">
        <v>166</v>
      </c>
      <c r="F16" s="101" t="s">
        <v>329</v>
      </c>
      <c r="G16">
        <v>36</v>
      </c>
      <c r="H16">
        <v>0</v>
      </c>
      <c r="I16" s="60">
        <v>27</v>
      </c>
      <c r="J16" s="61">
        <v>5</v>
      </c>
      <c r="K16" s="49">
        <v>7812</v>
      </c>
      <c r="L16" s="49">
        <v>3500000</v>
      </c>
      <c r="M16" s="67">
        <v>3</v>
      </c>
      <c r="N16" s="75">
        <v>161800</v>
      </c>
      <c r="O16" s="49">
        <f t="shared" si="5"/>
        <v>3661800</v>
      </c>
      <c r="P16" s="73">
        <v>8</v>
      </c>
      <c r="Q16" s="84">
        <f t="shared" si="6"/>
        <v>457725</v>
      </c>
      <c r="R16" s="49">
        <v>1150800</v>
      </c>
      <c r="S16" s="49">
        <f t="shared" si="7"/>
        <v>4650800</v>
      </c>
      <c r="T16" s="74">
        <f t="shared" si="8"/>
        <v>8</v>
      </c>
      <c r="U16" s="84">
        <f t="shared" si="9"/>
        <v>581350</v>
      </c>
    </row>
    <row r="17" spans="1:21" x14ac:dyDescent="0.25">
      <c r="A17" s="82" t="s">
        <v>167</v>
      </c>
      <c r="B17" s="83" t="s">
        <v>168</v>
      </c>
      <c r="C17" s="83" t="s">
        <v>169</v>
      </c>
      <c r="D17" s="83" t="s">
        <v>170</v>
      </c>
      <c r="F17" s="101" t="s">
        <v>876</v>
      </c>
      <c r="G17">
        <v>39</v>
      </c>
      <c r="H17">
        <v>78</v>
      </c>
      <c r="I17" s="60">
        <v>20.100000000000001</v>
      </c>
      <c r="J17" s="61">
        <v>5</v>
      </c>
      <c r="K17" s="49">
        <v>300</v>
      </c>
      <c r="L17" s="49">
        <v>1475000</v>
      </c>
      <c r="M17" s="67">
        <v>3</v>
      </c>
      <c r="N17" s="49">
        <v>231100</v>
      </c>
      <c r="O17" s="49">
        <f t="shared" si="5"/>
        <v>1706100</v>
      </c>
      <c r="P17" s="73">
        <v>8</v>
      </c>
      <c r="Q17" s="84">
        <f t="shared" si="6"/>
        <v>213262.5</v>
      </c>
      <c r="R17" s="49">
        <v>1643000</v>
      </c>
      <c r="S17" s="49">
        <f t="shared" si="7"/>
        <v>3118000</v>
      </c>
      <c r="T17" s="74">
        <f t="shared" si="8"/>
        <v>8</v>
      </c>
      <c r="U17" s="84">
        <f t="shared" si="9"/>
        <v>389750</v>
      </c>
    </row>
    <row r="18" spans="1:21" x14ac:dyDescent="0.25">
      <c r="A18" s="80" t="s">
        <v>171</v>
      </c>
      <c r="B18" s="81" t="s">
        <v>172</v>
      </c>
      <c r="C18" s="81" t="s">
        <v>173</v>
      </c>
      <c r="D18" s="81" t="s">
        <v>174</v>
      </c>
      <c r="I18" s="60">
        <v>0</v>
      </c>
      <c r="J18" s="61">
        <v>0</v>
      </c>
      <c r="K18" s="49"/>
      <c r="L18" s="49"/>
      <c r="M18" s="67">
        <v>3</v>
      </c>
      <c r="N18" s="49"/>
      <c r="O18" s="49">
        <f t="shared" si="5"/>
        <v>0</v>
      </c>
      <c r="P18" s="73">
        <v>9</v>
      </c>
      <c r="Q18" s="84">
        <f t="shared" si="6"/>
        <v>0</v>
      </c>
      <c r="R18" s="49"/>
      <c r="S18" s="49">
        <f t="shared" si="7"/>
        <v>0</v>
      </c>
      <c r="T18" s="74">
        <f t="shared" si="8"/>
        <v>9</v>
      </c>
      <c r="U18" s="84">
        <f t="shared" si="9"/>
        <v>0</v>
      </c>
    </row>
    <row r="19" spans="1:21" x14ac:dyDescent="0.25">
      <c r="I19" s="60">
        <v>0</v>
      </c>
      <c r="J19" s="61">
        <v>0</v>
      </c>
      <c r="K19" s="49"/>
      <c r="L19" s="49"/>
      <c r="M19" s="67">
        <v>3</v>
      </c>
      <c r="N19" s="49"/>
      <c r="O19" s="49">
        <f t="shared" si="5"/>
        <v>0</v>
      </c>
      <c r="P19" s="73">
        <v>9</v>
      </c>
      <c r="Q19" s="84">
        <f t="shared" si="6"/>
        <v>0</v>
      </c>
      <c r="R19" s="49"/>
      <c r="S19" s="49">
        <f t="shared" si="7"/>
        <v>0</v>
      </c>
      <c r="T19" s="74">
        <f t="shared" si="8"/>
        <v>9</v>
      </c>
      <c r="U19" s="84">
        <f t="shared" si="9"/>
        <v>0</v>
      </c>
    </row>
    <row r="20" spans="1:21" x14ac:dyDescent="0.25">
      <c r="A20" s="10" t="s">
        <v>113</v>
      </c>
      <c r="B20" s="10" t="s">
        <v>114</v>
      </c>
      <c r="I20" s="60">
        <v>0</v>
      </c>
      <c r="J20" s="61">
        <v>0</v>
      </c>
      <c r="K20" s="49"/>
      <c r="L20" s="49"/>
      <c r="M20" s="67">
        <v>3</v>
      </c>
      <c r="N20" s="49"/>
      <c r="O20" s="49">
        <f t="shared" si="5"/>
        <v>0</v>
      </c>
      <c r="P20" s="73">
        <v>9</v>
      </c>
      <c r="Q20" s="84">
        <f t="shared" si="6"/>
        <v>0</v>
      </c>
      <c r="R20" s="49"/>
      <c r="S20" s="49">
        <f t="shared" si="7"/>
        <v>0</v>
      </c>
      <c r="T20" s="74">
        <f t="shared" si="8"/>
        <v>9</v>
      </c>
      <c r="U20" s="84">
        <f t="shared" si="9"/>
        <v>0</v>
      </c>
    </row>
    <row r="21" spans="1:21" x14ac:dyDescent="0.25">
      <c r="A21" s="85" t="s">
        <v>112</v>
      </c>
      <c r="B21" s="85">
        <v>2</v>
      </c>
      <c r="I21" s="60">
        <v>0</v>
      </c>
      <c r="J21" s="61">
        <v>0</v>
      </c>
      <c r="K21" s="49"/>
      <c r="L21" s="49"/>
      <c r="M21" s="67">
        <v>3</v>
      </c>
      <c r="N21" s="75"/>
      <c r="O21" s="49">
        <f t="shared" si="5"/>
        <v>0</v>
      </c>
      <c r="P21" s="73">
        <v>9</v>
      </c>
      <c r="Q21" s="84">
        <f t="shared" si="6"/>
        <v>0</v>
      </c>
      <c r="R21" s="49"/>
      <c r="S21" s="49">
        <f t="shared" si="7"/>
        <v>0</v>
      </c>
      <c r="T21" s="74">
        <f t="shared" si="8"/>
        <v>9</v>
      </c>
      <c r="U21" s="84">
        <f t="shared" si="9"/>
        <v>0</v>
      </c>
    </row>
    <row r="22" spans="1:21" x14ac:dyDescent="0.25">
      <c r="A22" s="85" t="s">
        <v>111</v>
      </c>
      <c r="B22" s="85">
        <v>1.5</v>
      </c>
      <c r="I22" s="60">
        <v>0</v>
      </c>
      <c r="J22" s="61">
        <v>0</v>
      </c>
      <c r="K22" s="49"/>
      <c r="L22" s="49"/>
      <c r="M22" s="67">
        <v>3</v>
      </c>
      <c r="N22" s="49"/>
      <c r="O22" s="49">
        <f t="shared" si="5"/>
        <v>0</v>
      </c>
      <c r="P22" s="73">
        <v>9</v>
      </c>
      <c r="Q22" s="84">
        <f t="shared" si="6"/>
        <v>0</v>
      </c>
      <c r="R22" s="49"/>
      <c r="S22" s="49">
        <f t="shared" si="7"/>
        <v>0</v>
      </c>
      <c r="T22" s="74">
        <f t="shared" si="8"/>
        <v>9</v>
      </c>
      <c r="U22" s="84">
        <f t="shared" si="9"/>
        <v>0</v>
      </c>
    </row>
    <row r="23" spans="1:21" x14ac:dyDescent="0.25">
      <c r="A23" s="85" t="s">
        <v>110</v>
      </c>
      <c r="B23" s="85">
        <v>1.5</v>
      </c>
      <c r="I23" s="60">
        <v>0</v>
      </c>
      <c r="J23" s="61">
        <v>0</v>
      </c>
      <c r="K23" s="49"/>
      <c r="L23" s="49"/>
      <c r="M23" s="67">
        <v>3</v>
      </c>
      <c r="N23" s="49"/>
      <c r="O23" s="49">
        <f t="shared" si="5"/>
        <v>0</v>
      </c>
      <c r="P23" s="73">
        <v>9</v>
      </c>
      <c r="Q23" s="84">
        <f t="shared" si="6"/>
        <v>0</v>
      </c>
      <c r="R23" s="49"/>
      <c r="S23" s="49">
        <f t="shared" si="7"/>
        <v>0</v>
      </c>
      <c r="T23" s="74">
        <f t="shared" si="8"/>
        <v>9</v>
      </c>
      <c r="U23" s="84">
        <f t="shared" si="9"/>
        <v>0</v>
      </c>
    </row>
    <row r="24" spans="1:21" x14ac:dyDescent="0.25">
      <c r="A24" s="85" t="s">
        <v>107</v>
      </c>
      <c r="B24" s="85">
        <v>1.5</v>
      </c>
      <c r="I24" s="60">
        <v>0</v>
      </c>
      <c r="J24" s="61">
        <v>0</v>
      </c>
      <c r="K24" s="49"/>
      <c r="L24" s="49"/>
      <c r="M24" s="67">
        <v>3</v>
      </c>
      <c r="N24" s="49"/>
      <c r="O24" s="49">
        <f t="shared" si="5"/>
        <v>0</v>
      </c>
      <c r="P24" s="73">
        <v>9</v>
      </c>
      <c r="Q24" s="84">
        <f t="shared" si="6"/>
        <v>0</v>
      </c>
      <c r="R24" s="49"/>
      <c r="S24" s="49">
        <f t="shared" si="7"/>
        <v>0</v>
      </c>
      <c r="T24" s="74">
        <f t="shared" si="8"/>
        <v>9</v>
      </c>
      <c r="U24" s="84">
        <f t="shared" si="9"/>
        <v>0</v>
      </c>
    </row>
    <row r="25" spans="1:21" x14ac:dyDescent="0.25">
      <c r="A25" s="85" t="s">
        <v>108</v>
      </c>
      <c r="B25" s="85">
        <v>1.5</v>
      </c>
      <c r="I25" s="60">
        <v>0</v>
      </c>
      <c r="J25" s="61">
        <v>0</v>
      </c>
      <c r="K25" s="49"/>
      <c r="L25" s="49"/>
      <c r="M25" s="67">
        <v>3</v>
      </c>
      <c r="N25" s="49"/>
      <c r="O25" s="49">
        <f t="shared" si="5"/>
        <v>0</v>
      </c>
      <c r="P25" s="73">
        <v>9</v>
      </c>
      <c r="Q25" s="84">
        <f t="shared" si="6"/>
        <v>0</v>
      </c>
      <c r="R25" s="49"/>
      <c r="S25" s="49">
        <f t="shared" si="7"/>
        <v>0</v>
      </c>
      <c r="T25" s="74">
        <f t="shared" si="8"/>
        <v>9</v>
      </c>
      <c r="U25" s="84">
        <f t="shared" si="9"/>
        <v>0</v>
      </c>
    </row>
    <row r="26" spans="1:21" x14ac:dyDescent="0.25">
      <c r="A26" s="85" t="s">
        <v>109</v>
      </c>
      <c r="B26" s="85">
        <v>1.5</v>
      </c>
      <c r="I26" s="60">
        <v>0</v>
      </c>
      <c r="J26" s="61">
        <v>0</v>
      </c>
      <c r="K26" s="49"/>
      <c r="L26" s="49"/>
      <c r="M26" s="67">
        <v>3</v>
      </c>
      <c r="N26" s="75"/>
      <c r="O26" s="49">
        <f t="shared" si="5"/>
        <v>0</v>
      </c>
      <c r="P26" s="73">
        <v>9</v>
      </c>
      <c r="Q26" s="84">
        <f t="shared" si="6"/>
        <v>0</v>
      </c>
      <c r="R26" s="49"/>
      <c r="S26" s="49">
        <f t="shared" si="7"/>
        <v>0</v>
      </c>
      <c r="T26" s="74">
        <f t="shared" si="8"/>
        <v>9</v>
      </c>
      <c r="U26" s="84">
        <f t="shared" si="9"/>
        <v>0</v>
      </c>
    </row>
    <row r="27" spans="1:21" x14ac:dyDescent="0.25">
      <c r="A27" s="85"/>
      <c r="B27" s="85"/>
      <c r="I27" s="60">
        <v>0</v>
      </c>
      <c r="J27" s="61">
        <v>0</v>
      </c>
      <c r="K27" s="49"/>
      <c r="L27" s="49"/>
      <c r="M27" s="67">
        <v>3</v>
      </c>
      <c r="N27" s="49"/>
      <c r="O27" s="49">
        <f t="shared" si="5"/>
        <v>0</v>
      </c>
      <c r="P27" s="73">
        <v>9</v>
      </c>
      <c r="Q27" s="84">
        <f t="shared" si="6"/>
        <v>0</v>
      </c>
      <c r="R27" s="49"/>
      <c r="S27" s="49">
        <f t="shared" si="7"/>
        <v>0</v>
      </c>
      <c r="T27" s="74">
        <f t="shared" si="8"/>
        <v>9</v>
      </c>
      <c r="U27" s="84">
        <f t="shared" si="9"/>
        <v>0</v>
      </c>
    </row>
    <row r="28" spans="1:21" x14ac:dyDescent="0.25">
      <c r="A28" s="10" t="s">
        <v>176</v>
      </c>
      <c r="B28" s="10" t="s">
        <v>177</v>
      </c>
      <c r="I28" s="60">
        <v>0</v>
      </c>
      <c r="J28" s="61">
        <v>0</v>
      </c>
      <c r="K28" s="49"/>
      <c r="L28" s="49"/>
      <c r="M28" s="67">
        <v>3</v>
      </c>
      <c r="N28" s="49"/>
      <c r="O28" s="49">
        <f t="shared" si="5"/>
        <v>0</v>
      </c>
      <c r="P28" s="73">
        <v>9</v>
      </c>
      <c r="Q28" s="84">
        <f t="shared" si="6"/>
        <v>0</v>
      </c>
      <c r="R28" s="49"/>
      <c r="S28" s="49">
        <f t="shared" si="7"/>
        <v>0</v>
      </c>
      <c r="T28" s="74">
        <f t="shared" si="8"/>
        <v>9</v>
      </c>
      <c r="U28" s="84">
        <f t="shared" si="9"/>
        <v>0</v>
      </c>
    </row>
    <row r="29" spans="1:21" x14ac:dyDescent="0.25">
      <c r="A29" s="85" t="s">
        <v>82</v>
      </c>
      <c r="B29" s="33">
        <v>9.5</v>
      </c>
      <c r="I29" s="60">
        <v>0</v>
      </c>
      <c r="J29" s="61">
        <v>0</v>
      </c>
      <c r="K29" s="49"/>
      <c r="L29" s="49"/>
      <c r="M29" s="67">
        <v>3</v>
      </c>
      <c r="N29" s="49"/>
      <c r="O29" s="49">
        <f t="shared" si="5"/>
        <v>0</v>
      </c>
      <c r="P29" s="73">
        <v>9</v>
      </c>
      <c r="Q29" s="84">
        <f t="shared" si="6"/>
        <v>0</v>
      </c>
      <c r="R29" s="49"/>
      <c r="S29" s="49">
        <f t="shared" si="7"/>
        <v>0</v>
      </c>
      <c r="T29" s="74">
        <f t="shared" si="8"/>
        <v>9</v>
      </c>
      <c r="U29" s="84">
        <f t="shared" si="9"/>
        <v>0</v>
      </c>
    </row>
    <row r="30" spans="1:21" x14ac:dyDescent="0.25">
      <c r="A30" s="85" t="s">
        <v>76</v>
      </c>
      <c r="B30" s="33">
        <v>8</v>
      </c>
      <c r="I30" s="60">
        <v>0</v>
      </c>
      <c r="J30" s="61">
        <v>0</v>
      </c>
      <c r="K30" s="49"/>
      <c r="L30" s="49"/>
      <c r="M30" s="67">
        <v>3</v>
      </c>
      <c r="N30" s="49"/>
      <c r="O30" s="49">
        <f t="shared" si="5"/>
        <v>0</v>
      </c>
      <c r="P30" s="73">
        <v>9</v>
      </c>
      <c r="Q30" s="84">
        <f t="shared" si="6"/>
        <v>0</v>
      </c>
      <c r="R30" s="49"/>
      <c r="S30" s="49">
        <f t="shared" si="7"/>
        <v>0</v>
      </c>
      <c r="T30" s="74">
        <f t="shared" si="8"/>
        <v>9</v>
      </c>
      <c r="U30" s="84">
        <f t="shared" si="9"/>
        <v>0</v>
      </c>
    </row>
    <row r="31" spans="1:21" x14ac:dyDescent="0.25">
      <c r="A31" s="85" t="s">
        <v>77</v>
      </c>
      <c r="B31" s="33">
        <f>B30-1.5</f>
        <v>6.5</v>
      </c>
      <c r="I31" s="60">
        <v>0</v>
      </c>
      <c r="J31" s="61">
        <v>0</v>
      </c>
      <c r="K31" s="49"/>
      <c r="L31" s="49"/>
      <c r="M31" s="67">
        <v>3</v>
      </c>
      <c r="N31" s="75"/>
      <c r="O31" s="49">
        <f t="shared" si="5"/>
        <v>0</v>
      </c>
      <c r="P31" s="73">
        <v>9</v>
      </c>
      <c r="Q31" s="84">
        <f t="shared" si="6"/>
        <v>0</v>
      </c>
      <c r="R31" s="49"/>
      <c r="S31" s="49">
        <f t="shared" si="7"/>
        <v>0</v>
      </c>
      <c r="T31" s="74">
        <f t="shared" si="8"/>
        <v>9</v>
      </c>
      <c r="U31" s="84">
        <f t="shared" si="9"/>
        <v>0</v>
      </c>
    </row>
    <row r="32" spans="1:21" x14ac:dyDescent="0.25">
      <c r="A32" s="85" t="s">
        <v>78</v>
      </c>
      <c r="B32" s="33">
        <f>B31-1.5</f>
        <v>5</v>
      </c>
      <c r="I32" s="60">
        <v>0</v>
      </c>
      <c r="J32" s="61">
        <v>0</v>
      </c>
      <c r="K32" s="49"/>
      <c r="L32" s="49"/>
      <c r="M32" s="67">
        <v>3</v>
      </c>
      <c r="N32" s="49"/>
      <c r="O32" s="49">
        <f t="shared" si="5"/>
        <v>0</v>
      </c>
      <c r="P32" s="73">
        <v>9</v>
      </c>
      <c r="Q32" s="84">
        <f t="shared" si="6"/>
        <v>0</v>
      </c>
      <c r="R32" s="49"/>
      <c r="S32" s="49">
        <f t="shared" si="7"/>
        <v>0</v>
      </c>
      <c r="T32" s="74">
        <f t="shared" si="8"/>
        <v>9</v>
      </c>
      <c r="U32" s="84">
        <f t="shared" si="9"/>
        <v>0</v>
      </c>
    </row>
    <row r="33" spans="1:21" x14ac:dyDescent="0.25">
      <c r="A33" s="85" t="s">
        <v>79</v>
      </c>
      <c r="B33" s="33">
        <f>2+1.5</f>
        <v>3.5</v>
      </c>
      <c r="I33" s="60">
        <v>0</v>
      </c>
      <c r="J33" s="61">
        <v>0</v>
      </c>
      <c r="K33" s="49"/>
      <c r="L33" s="49"/>
      <c r="M33" s="67">
        <v>3</v>
      </c>
      <c r="N33" s="49"/>
      <c r="O33" s="49">
        <f t="shared" si="5"/>
        <v>0</v>
      </c>
      <c r="P33" s="73">
        <v>9</v>
      </c>
      <c r="Q33" s="84">
        <f t="shared" si="6"/>
        <v>0</v>
      </c>
      <c r="R33" s="49"/>
      <c r="S33" s="49">
        <f t="shared" si="7"/>
        <v>0</v>
      </c>
      <c r="T33" s="74">
        <f t="shared" si="8"/>
        <v>9</v>
      </c>
      <c r="U33" s="84">
        <f t="shared" si="9"/>
        <v>0</v>
      </c>
    </row>
    <row r="34" spans="1:21" x14ac:dyDescent="0.25">
      <c r="A34" s="85" t="s">
        <v>179</v>
      </c>
      <c r="B34" s="33">
        <v>2</v>
      </c>
      <c r="I34" s="60">
        <v>0</v>
      </c>
      <c r="J34" s="61">
        <v>0</v>
      </c>
      <c r="K34" s="49"/>
      <c r="L34" s="49"/>
      <c r="M34" s="67">
        <v>3</v>
      </c>
      <c r="N34" s="49"/>
      <c r="O34" s="49">
        <f t="shared" si="5"/>
        <v>0</v>
      </c>
      <c r="P34" s="73">
        <v>9</v>
      </c>
      <c r="Q34" s="84">
        <f t="shared" si="6"/>
        <v>0</v>
      </c>
      <c r="R34" s="49"/>
      <c r="S34" s="49">
        <f t="shared" si="7"/>
        <v>0</v>
      </c>
      <c r="T34" s="74">
        <f t="shared" si="8"/>
        <v>9</v>
      </c>
      <c r="U34" s="84">
        <f t="shared" si="9"/>
        <v>0</v>
      </c>
    </row>
    <row r="35" spans="1:21" x14ac:dyDescent="0.25">
      <c r="A35" s="85" t="s">
        <v>178</v>
      </c>
      <c r="B35" s="33">
        <v>1</v>
      </c>
      <c r="I35" s="60">
        <v>0</v>
      </c>
      <c r="J35" s="61">
        <v>0</v>
      </c>
      <c r="K35" s="49"/>
      <c r="L35" s="49"/>
      <c r="M35" s="67">
        <v>3</v>
      </c>
      <c r="N35" s="49"/>
      <c r="O35" s="49">
        <f t="shared" si="5"/>
        <v>0</v>
      </c>
      <c r="P35" s="73">
        <v>9</v>
      </c>
      <c r="Q35" s="84">
        <f t="shared" si="6"/>
        <v>0</v>
      </c>
      <c r="R35" s="49"/>
      <c r="S35" s="49">
        <f t="shared" si="7"/>
        <v>0</v>
      </c>
      <c r="T35" s="74">
        <f t="shared" si="8"/>
        <v>9</v>
      </c>
      <c r="U35" s="84">
        <f t="shared" si="9"/>
        <v>0</v>
      </c>
    </row>
    <row r="36" spans="1:21" x14ac:dyDescent="0.25">
      <c r="I36" s="60">
        <v>0</v>
      </c>
      <c r="J36" s="61">
        <v>0</v>
      </c>
      <c r="K36" s="49"/>
      <c r="L36" s="49"/>
      <c r="M36" s="67">
        <v>3</v>
      </c>
      <c r="N36" s="75"/>
      <c r="O36" s="49">
        <f t="shared" si="5"/>
        <v>0</v>
      </c>
      <c r="P36" s="73">
        <v>9</v>
      </c>
      <c r="Q36" s="84">
        <f t="shared" si="6"/>
        <v>0</v>
      </c>
      <c r="R36" s="49"/>
      <c r="S36" s="49">
        <f t="shared" si="7"/>
        <v>0</v>
      </c>
      <c r="T36" s="74">
        <f t="shared" si="8"/>
        <v>9</v>
      </c>
      <c r="U36" s="84">
        <f t="shared" si="9"/>
        <v>0</v>
      </c>
    </row>
    <row r="37" spans="1:21" x14ac:dyDescent="0.25">
      <c r="I37" s="60">
        <v>0</v>
      </c>
      <c r="J37" s="61">
        <v>0</v>
      </c>
      <c r="K37" s="49"/>
      <c r="L37" s="49"/>
      <c r="M37" s="67">
        <v>3</v>
      </c>
      <c r="N37" s="49"/>
      <c r="O37" s="49">
        <f t="shared" si="5"/>
        <v>0</v>
      </c>
      <c r="P37" s="73">
        <v>9</v>
      </c>
      <c r="Q37" s="84">
        <f t="shared" si="6"/>
        <v>0</v>
      </c>
      <c r="R37" s="49"/>
      <c r="S37" s="49">
        <f t="shared" si="7"/>
        <v>0</v>
      </c>
      <c r="T37" s="74">
        <f t="shared" si="8"/>
        <v>9</v>
      </c>
      <c r="U37" s="84">
        <f t="shared" si="9"/>
        <v>0</v>
      </c>
    </row>
    <row r="38" spans="1:21" x14ac:dyDescent="0.25">
      <c r="I38" s="60">
        <v>0</v>
      </c>
      <c r="J38" s="61">
        <v>0</v>
      </c>
      <c r="K38" s="49"/>
      <c r="L38" s="49"/>
      <c r="M38" s="67">
        <v>3</v>
      </c>
      <c r="N38" s="49"/>
      <c r="O38" s="49">
        <f t="shared" si="5"/>
        <v>0</v>
      </c>
      <c r="P38" s="73">
        <v>9</v>
      </c>
      <c r="Q38" s="84">
        <f t="shared" si="6"/>
        <v>0</v>
      </c>
      <c r="R38" s="49"/>
      <c r="S38" s="49">
        <f t="shared" si="7"/>
        <v>0</v>
      </c>
      <c r="T38" s="74">
        <f t="shared" si="8"/>
        <v>9</v>
      </c>
      <c r="U38" s="84">
        <f t="shared" si="9"/>
        <v>0</v>
      </c>
    </row>
    <row r="39" spans="1:21" x14ac:dyDescent="0.25">
      <c r="I39" s="60">
        <v>0</v>
      </c>
      <c r="J39" s="61">
        <v>0</v>
      </c>
      <c r="K39" s="49"/>
      <c r="L39" s="49"/>
      <c r="M39" s="67">
        <v>3</v>
      </c>
      <c r="N39" s="49"/>
      <c r="O39" s="49">
        <f t="shared" si="5"/>
        <v>0</v>
      </c>
      <c r="P39" s="73">
        <v>9</v>
      </c>
      <c r="Q39" s="84">
        <f t="shared" si="6"/>
        <v>0</v>
      </c>
      <c r="R39" s="49"/>
      <c r="S39" s="49">
        <f t="shared" si="7"/>
        <v>0</v>
      </c>
      <c r="T39" s="74">
        <f t="shared" si="8"/>
        <v>9</v>
      </c>
      <c r="U39" s="84">
        <f t="shared" si="9"/>
        <v>0</v>
      </c>
    </row>
    <row r="40" spans="1:21" x14ac:dyDescent="0.25">
      <c r="I40" s="60">
        <v>0</v>
      </c>
      <c r="J40" s="61">
        <v>0</v>
      </c>
      <c r="K40" s="49"/>
      <c r="L40" s="49"/>
      <c r="M40" s="67">
        <v>3</v>
      </c>
      <c r="N40" s="49"/>
      <c r="O40" s="49">
        <f t="shared" si="5"/>
        <v>0</v>
      </c>
      <c r="P40" s="73">
        <v>9</v>
      </c>
      <c r="Q40" s="84">
        <f t="shared" si="6"/>
        <v>0</v>
      </c>
      <c r="R40" s="49"/>
      <c r="S40" s="49">
        <f t="shared" si="7"/>
        <v>0</v>
      </c>
      <c r="T40" s="74">
        <f t="shared" si="8"/>
        <v>9</v>
      </c>
      <c r="U40" s="84">
        <f t="shared" si="9"/>
        <v>0</v>
      </c>
    </row>
    <row r="41" spans="1:21" x14ac:dyDescent="0.25">
      <c r="I41" s="60">
        <v>0</v>
      </c>
      <c r="J41" s="61">
        <v>0</v>
      </c>
      <c r="K41" s="49"/>
      <c r="L41" s="49"/>
      <c r="M41" s="67">
        <v>3</v>
      </c>
      <c r="N41" s="75"/>
      <c r="O41" s="49">
        <f t="shared" si="5"/>
        <v>0</v>
      </c>
      <c r="P41" s="73">
        <v>9</v>
      </c>
      <c r="Q41" s="84">
        <f t="shared" si="6"/>
        <v>0</v>
      </c>
      <c r="R41" s="49"/>
      <c r="S41" s="49">
        <f t="shared" si="7"/>
        <v>0</v>
      </c>
      <c r="T41" s="74">
        <f t="shared" si="8"/>
        <v>9</v>
      </c>
      <c r="U41" s="84">
        <f t="shared" si="9"/>
        <v>0</v>
      </c>
    </row>
    <row r="42" spans="1:21" x14ac:dyDescent="0.25">
      <c r="I42" s="60">
        <v>0</v>
      </c>
      <c r="J42" s="61">
        <v>0</v>
      </c>
      <c r="K42" s="49"/>
      <c r="L42" s="49"/>
      <c r="M42" s="67">
        <v>3</v>
      </c>
      <c r="N42" s="49"/>
      <c r="O42" s="49">
        <f t="shared" si="5"/>
        <v>0</v>
      </c>
      <c r="P42" s="73">
        <v>9</v>
      </c>
      <c r="Q42" s="84">
        <f t="shared" si="6"/>
        <v>0</v>
      </c>
      <c r="R42" s="49"/>
      <c r="S42" s="49">
        <f t="shared" si="7"/>
        <v>0</v>
      </c>
      <c r="T42" s="74">
        <f t="shared" si="8"/>
        <v>9</v>
      </c>
      <c r="U42" s="84">
        <f t="shared" si="9"/>
        <v>0</v>
      </c>
    </row>
    <row r="43" spans="1:21" x14ac:dyDescent="0.25">
      <c r="I43" s="60">
        <v>0</v>
      </c>
      <c r="J43" s="61">
        <v>0</v>
      </c>
      <c r="K43" s="49"/>
      <c r="L43" s="49"/>
      <c r="M43" s="67">
        <v>3</v>
      </c>
      <c r="N43" s="49"/>
      <c r="O43" s="49">
        <f t="shared" si="5"/>
        <v>0</v>
      </c>
      <c r="P43" s="73">
        <v>9</v>
      </c>
      <c r="Q43" s="84">
        <f t="shared" si="6"/>
        <v>0</v>
      </c>
      <c r="R43" s="49"/>
      <c r="S43" s="49">
        <f t="shared" si="7"/>
        <v>0</v>
      </c>
      <c r="T43" s="74">
        <f t="shared" si="8"/>
        <v>9</v>
      </c>
      <c r="U43" s="84">
        <f t="shared" si="9"/>
        <v>0</v>
      </c>
    </row>
    <row r="44" spans="1:21" x14ac:dyDescent="0.25">
      <c r="I44" s="60">
        <v>0</v>
      </c>
      <c r="J44" s="61">
        <v>0</v>
      </c>
      <c r="K44" s="49"/>
      <c r="L44" s="49"/>
      <c r="M44" s="67">
        <v>3</v>
      </c>
      <c r="N44" s="49"/>
      <c r="O44" s="49">
        <f t="shared" si="5"/>
        <v>0</v>
      </c>
      <c r="P44" s="73">
        <v>9</v>
      </c>
      <c r="Q44" s="84">
        <f t="shared" si="6"/>
        <v>0</v>
      </c>
      <c r="R44" s="49"/>
      <c r="S44" s="49">
        <f t="shared" si="7"/>
        <v>0</v>
      </c>
      <c r="T44" s="74">
        <f t="shared" si="8"/>
        <v>9</v>
      </c>
      <c r="U44" s="84">
        <f t="shared" si="9"/>
        <v>0</v>
      </c>
    </row>
    <row r="45" spans="1:21" x14ac:dyDescent="0.25">
      <c r="I45" s="60">
        <v>0</v>
      </c>
      <c r="J45" s="61">
        <v>0</v>
      </c>
      <c r="K45" s="49"/>
      <c r="L45" s="49"/>
      <c r="M45" s="67">
        <v>3</v>
      </c>
      <c r="N45" s="49"/>
      <c r="O45" s="49">
        <f t="shared" si="5"/>
        <v>0</v>
      </c>
      <c r="P45" s="73">
        <v>9</v>
      </c>
      <c r="Q45" s="84">
        <f t="shared" si="6"/>
        <v>0</v>
      </c>
      <c r="R45" s="49"/>
      <c r="S45" s="49">
        <f t="shared" si="7"/>
        <v>0</v>
      </c>
      <c r="T45" s="74">
        <f t="shared" si="8"/>
        <v>9</v>
      </c>
      <c r="U45" s="84">
        <f t="shared" si="9"/>
        <v>0</v>
      </c>
    </row>
    <row r="46" spans="1:21" x14ac:dyDescent="0.25">
      <c r="I46" s="60">
        <v>0</v>
      </c>
      <c r="J46" s="61">
        <v>0</v>
      </c>
      <c r="K46" s="49"/>
      <c r="L46" s="49"/>
      <c r="M46" s="67">
        <v>3</v>
      </c>
      <c r="N46" s="49"/>
      <c r="O46" s="49">
        <f t="shared" si="5"/>
        <v>0</v>
      </c>
      <c r="P46" s="73">
        <v>9</v>
      </c>
      <c r="Q46" s="84">
        <f t="shared" si="6"/>
        <v>0</v>
      </c>
      <c r="R46" s="49"/>
      <c r="S46" s="49">
        <f t="shared" si="7"/>
        <v>0</v>
      </c>
      <c r="T46" s="74">
        <f t="shared" si="8"/>
        <v>9</v>
      </c>
      <c r="U46" s="84">
        <f t="shared" si="9"/>
        <v>0</v>
      </c>
    </row>
    <row r="47" spans="1:21" x14ac:dyDescent="0.25">
      <c r="I47" s="60">
        <v>0</v>
      </c>
      <c r="J47" s="61">
        <v>0</v>
      </c>
      <c r="K47" s="49"/>
      <c r="L47" s="49"/>
      <c r="M47" s="67">
        <v>3</v>
      </c>
      <c r="N47" s="75"/>
      <c r="O47" s="49">
        <f t="shared" ref="O47:O76" si="10">L47+N47</f>
        <v>0</v>
      </c>
      <c r="P47" s="73">
        <v>9</v>
      </c>
      <c r="Q47" s="84">
        <f t="shared" ref="Q47:Q76" si="11">O47/P47</f>
        <v>0</v>
      </c>
      <c r="R47" s="49"/>
      <c r="S47" s="49">
        <f t="shared" ref="S47:S76" si="12">R47+L47</f>
        <v>0</v>
      </c>
      <c r="T47" s="74">
        <f t="shared" ref="T47:T76" si="13">P47</f>
        <v>9</v>
      </c>
      <c r="U47" s="84">
        <f t="shared" ref="U47:U76" si="14">S47/T47</f>
        <v>0</v>
      </c>
    </row>
    <row r="48" spans="1:21" x14ac:dyDescent="0.25">
      <c r="I48" s="60">
        <v>0</v>
      </c>
      <c r="J48" s="61">
        <v>0</v>
      </c>
      <c r="K48" s="49"/>
      <c r="L48" s="49"/>
      <c r="M48" s="67">
        <v>3</v>
      </c>
      <c r="N48" s="49"/>
      <c r="O48" s="49">
        <f t="shared" si="10"/>
        <v>0</v>
      </c>
      <c r="P48" s="73">
        <v>9</v>
      </c>
      <c r="Q48" s="84">
        <f t="shared" si="11"/>
        <v>0</v>
      </c>
      <c r="R48" s="49"/>
      <c r="S48" s="49">
        <f t="shared" si="12"/>
        <v>0</v>
      </c>
      <c r="T48" s="74">
        <f t="shared" si="13"/>
        <v>9</v>
      </c>
      <c r="U48" s="84">
        <f t="shared" si="14"/>
        <v>0</v>
      </c>
    </row>
    <row r="49" spans="1:21" x14ac:dyDescent="0.25">
      <c r="I49" s="60">
        <v>0</v>
      </c>
      <c r="J49" s="61">
        <v>0</v>
      </c>
      <c r="K49" s="49"/>
      <c r="L49" s="49"/>
      <c r="M49" s="67">
        <v>3</v>
      </c>
      <c r="N49" s="49"/>
      <c r="O49" s="49">
        <f t="shared" si="10"/>
        <v>0</v>
      </c>
      <c r="P49" s="73">
        <v>9</v>
      </c>
      <c r="Q49" s="84">
        <f t="shared" si="11"/>
        <v>0</v>
      </c>
      <c r="R49" s="49"/>
      <c r="S49" s="49">
        <f t="shared" si="12"/>
        <v>0</v>
      </c>
      <c r="T49" s="74">
        <f t="shared" si="13"/>
        <v>9</v>
      </c>
      <c r="U49" s="84">
        <f t="shared" si="14"/>
        <v>0</v>
      </c>
    </row>
    <row r="50" spans="1:21" x14ac:dyDescent="0.25">
      <c r="A50" s="27"/>
      <c r="I50" s="60">
        <v>0</v>
      </c>
      <c r="J50" s="61">
        <v>0</v>
      </c>
      <c r="K50" s="49"/>
      <c r="L50" s="49"/>
      <c r="M50" s="67">
        <v>3</v>
      </c>
      <c r="N50" s="49"/>
      <c r="O50" s="49">
        <f t="shared" si="10"/>
        <v>0</v>
      </c>
      <c r="P50" s="73">
        <v>9</v>
      </c>
      <c r="Q50" s="84">
        <f t="shared" si="11"/>
        <v>0</v>
      </c>
      <c r="R50" s="49"/>
      <c r="S50" s="49">
        <f t="shared" si="12"/>
        <v>0</v>
      </c>
      <c r="T50" s="74">
        <f t="shared" si="13"/>
        <v>9</v>
      </c>
      <c r="U50" s="84">
        <f t="shared" si="14"/>
        <v>0</v>
      </c>
    </row>
    <row r="51" spans="1:21" x14ac:dyDescent="0.25">
      <c r="A51" s="27"/>
      <c r="I51" s="60">
        <v>0</v>
      </c>
      <c r="J51" s="61">
        <v>0</v>
      </c>
      <c r="K51" s="49"/>
      <c r="L51" s="49"/>
      <c r="M51" s="67">
        <v>3</v>
      </c>
      <c r="N51" s="49"/>
      <c r="O51" s="49">
        <f t="shared" si="10"/>
        <v>0</v>
      </c>
      <c r="P51" s="73">
        <v>9</v>
      </c>
      <c r="Q51" s="84">
        <f t="shared" si="11"/>
        <v>0</v>
      </c>
      <c r="R51" s="49"/>
      <c r="S51" s="49">
        <f t="shared" si="12"/>
        <v>0</v>
      </c>
      <c r="T51" s="74">
        <f t="shared" si="13"/>
        <v>9</v>
      </c>
      <c r="U51" s="84">
        <f t="shared" si="14"/>
        <v>0</v>
      </c>
    </row>
    <row r="52" spans="1:21" x14ac:dyDescent="0.25">
      <c r="A52" s="27"/>
      <c r="I52" s="60">
        <v>0</v>
      </c>
      <c r="J52" s="61">
        <v>0</v>
      </c>
      <c r="K52" s="49"/>
      <c r="L52" s="49"/>
      <c r="M52" s="67">
        <v>3</v>
      </c>
      <c r="N52" s="75"/>
      <c r="O52" s="49">
        <f t="shared" si="10"/>
        <v>0</v>
      </c>
      <c r="P52" s="73">
        <v>9</v>
      </c>
      <c r="Q52" s="84">
        <f t="shared" si="11"/>
        <v>0</v>
      </c>
      <c r="R52" s="49"/>
      <c r="S52" s="49">
        <f t="shared" si="12"/>
        <v>0</v>
      </c>
      <c r="T52" s="74">
        <f t="shared" si="13"/>
        <v>9</v>
      </c>
      <c r="U52" s="84">
        <f t="shared" si="14"/>
        <v>0</v>
      </c>
    </row>
    <row r="53" spans="1:21" x14ac:dyDescent="0.25">
      <c r="I53" s="60">
        <v>0</v>
      </c>
      <c r="J53" s="61">
        <v>0</v>
      </c>
      <c r="K53" s="49"/>
      <c r="L53" s="49"/>
      <c r="M53" s="67">
        <v>3</v>
      </c>
      <c r="N53" s="49"/>
      <c r="O53" s="49">
        <f t="shared" si="10"/>
        <v>0</v>
      </c>
      <c r="P53" s="73">
        <v>9</v>
      </c>
      <c r="Q53" s="84">
        <f t="shared" si="11"/>
        <v>0</v>
      </c>
      <c r="R53" s="49"/>
      <c r="S53" s="49">
        <f t="shared" si="12"/>
        <v>0</v>
      </c>
      <c r="T53" s="74">
        <f t="shared" si="13"/>
        <v>9</v>
      </c>
      <c r="U53" s="84">
        <f t="shared" si="14"/>
        <v>0</v>
      </c>
    </row>
    <row r="54" spans="1:21" x14ac:dyDescent="0.25">
      <c r="I54" s="60">
        <v>0</v>
      </c>
      <c r="J54" s="61">
        <v>0</v>
      </c>
      <c r="K54" s="49"/>
      <c r="L54" s="49"/>
      <c r="M54" s="67">
        <v>3</v>
      </c>
      <c r="N54" s="49"/>
      <c r="O54" s="49">
        <f t="shared" si="10"/>
        <v>0</v>
      </c>
      <c r="P54" s="73">
        <v>9</v>
      </c>
      <c r="Q54" s="84">
        <f t="shared" si="11"/>
        <v>0</v>
      </c>
      <c r="R54" s="49"/>
      <c r="S54" s="49">
        <f t="shared" si="12"/>
        <v>0</v>
      </c>
      <c r="T54" s="74">
        <f t="shared" si="13"/>
        <v>9</v>
      </c>
      <c r="U54" s="84">
        <f t="shared" si="14"/>
        <v>0</v>
      </c>
    </row>
    <row r="55" spans="1:21" x14ac:dyDescent="0.25">
      <c r="I55" s="60">
        <v>0</v>
      </c>
      <c r="J55" s="61">
        <v>0</v>
      </c>
      <c r="K55" s="49"/>
      <c r="L55" s="49"/>
      <c r="M55" s="67">
        <v>3</v>
      </c>
      <c r="N55" s="49"/>
      <c r="O55" s="49">
        <f t="shared" si="10"/>
        <v>0</v>
      </c>
      <c r="P55" s="73">
        <v>9</v>
      </c>
      <c r="Q55" s="84">
        <f t="shared" si="11"/>
        <v>0</v>
      </c>
      <c r="R55" s="49"/>
      <c r="S55" s="49">
        <f t="shared" si="12"/>
        <v>0</v>
      </c>
      <c r="T55" s="74">
        <f t="shared" si="13"/>
        <v>9</v>
      </c>
      <c r="U55" s="84">
        <f t="shared" si="14"/>
        <v>0</v>
      </c>
    </row>
    <row r="56" spans="1:21" x14ac:dyDescent="0.25">
      <c r="I56" s="60">
        <v>0</v>
      </c>
      <c r="J56" s="61">
        <v>0</v>
      </c>
      <c r="K56" s="49"/>
      <c r="L56" s="49"/>
      <c r="M56" s="67">
        <v>3</v>
      </c>
      <c r="N56" s="49"/>
      <c r="O56" s="49">
        <f t="shared" si="10"/>
        <v>0</v>
      </c>
      <c r="P56" s="73">
        <v>9</v>
      </c>
      <c r="Q56" s="84">
        <f t="shared" si="11"/>
        <v>0</v>
      </c>
      <c r="R56" s="49"/>
      <c r="S56" s="49">
        <f t="shared" si="12"/>
        <v>0</v>
      </c>
      <c r="T56" s="74">
        <f t="shared" si="13"/>
        <v>9</v>
      </c>
      <c r="U56" s="84">
        <f t="shared" si="14"/>
        <v>0</v>
      </c>
    </row>
    <row r="57" spans="1:21" x14ac:dyDescent="0.25">
      <c r="A57" s="27"/>
      <c r="I57" s="60">
        <v>0</v>
      </c>
      <c r="J57" s="61">
        <v>0</v>
      </c>
      <c r="K57" s="49"/>
      <c r="L57" s="49"/>
      <c r="M57" s="67">
        <v>3</v>
      </c>
      <c r="N57" s="49"/>
      <c r="O57" s="49">
        <f t="shared" si="10"/>
        <v>0</v>
      </c>
      <c r="P57" s="73">
        <v>9</v>
      </c>
      <c r="Q57" s="84">
        <f t="shared" si="11"/>
        <v>0</v>
      </c>
      <c r="R57" s="49"/>
      <c r="S57" s="49">
        <f t="shared" si="12"/>
        <v>0</v>
      </c>
      <c r="T57" s="74">
        <f t="shared" si="13"/>
        <v>9</v>
      </c>
      <c r="U57" s="84">
        <f t="shared" si="14"/>
        <v>0</v>
      </c>
    </row>
    <row r="58" spans="1:21" x14ac:dyDescent="0.25">
      <c r="A58" s="27"/>
      <c r="I58" s="60">
        <v>0</v>
      </c>
      <c r="J58" s="61">
        <v>0</v>
      </c>
      <c r="K58" s="49"/>
      <c r="L58" s="49"/>
      <c r="M58" s="67">
        <v>3</v>
      </c>
      <c r="N58" s="75"/>
      <c r="O58" s="49">
        <f t="shared" si="10"/>
        <v>0</v>
      </c>
      <c r="P58" s="73">
        <v>9</v>
      </c>
      <c r="Q58" s="84">
        <f t="shared" si="11"/>
        <v>0</v>
      </c>
      <c r="R58" s="49"/>
      <c r="S58" s="49">
        <f t="shared" si="12"/>
        <v>0</v>
      </c>
      <c r="T58" s="74">
        <f t="shared" si="13"/>
        <v>9</v>
      </c>
      <c r="U58" s="84">
        <f t="shared" si="14"/>
        <v>0</v>
      </c>
    </row>
    <row r="59" spans="1:21" x14ac:dyDescent="0.25">
      <c r="A59" s="27"/>
      <c r="I59" s="60">
        <v>0</v>
      </c>
      <c r="J59" s="61">
        <v>0</v>
      </c>
      <c r="K59" s="49"/>
      <c r="L59" s="49"/>
      <c r="M59" s="67">
        <v>3</v>
      </c>
      <c r="N59" s="49"/>
      <c r="O59" s="49">
        <f t="shared" si="10"/>
        <v>0</v>
      </c>
      <c r="P59" s="73">
        <v>9</v>
      </c>
      <c r="Q59" s="84">
        <f t="shared" si="11"/>
        <v>0</v>
      </c>
      <c r="R59" s="49"/>
      <c r="S59" s="49">
        <f t="shared" si="12"/>
        <v>0</v>
      </c>
      <c r="T59" s="74">
        <f t="shared" si="13"/>
        <v>9</v>
      </c>
      <c r="U59" s="84">
        <f t="shared" si="14"/>
        <v>0</v>
      </c>
    </row>
    <row r="60" spans="1:21" x14ac:dyDescent="0.25">
      <c r="I60" s="60">
        <v>0</v>
      </c>
      <c r="J60" s="61">
        <v>0</v>
      </c>
      <c r="K60" s="49"/>
      <c r="L60" s="49"/>
      <c r="M60" s="67">
        <v>3</v>
      </c>
      <c r="N60" s="49"/>
      <c r="O60" s="49">
        <f t="shared" si="10"/>
        <v>0</v>
      </c>
      <c r="P60" s="73">
        <v>9</v>
      </c>
      <c r="Q60" s="84">
        <f t="shared" si="11"/>
        <v>0</v>
      </c>
      <c r="R60" s="49"/>
      <c r="S60" s="49">
        <f t="shared" si="12"/>
        <v>0</v>
      </c>
      <c r="T60" s="74">
        <f t="shared" si="13"/>
        <v>9</v>
      </c>
      <c r="U60" s="84">
        <f t="shared" si="14"/>
        <v>0</v>
      </c>
    </row>
    <row r="61" spans="1:21" x14ac:dyDescent="0.25">
      <c r="I61" s="60">
        <v>0</v>
      </c>
      <c r="J61" s="61">
        <v>0</v>
      </c>
      <c r="K61" s="49"/>
      <c r="L61" s="49"/>
      <c r="M61" s="67">
        <v>3</v>
      </c>
      <c r="N61" s="49"/>
      <c r="O61" s="49">
        <f t="shared" si="10"/>
        <v>0</v>
      </c>
      <c r="P61" s="73">
        <v>9</v>
      </c>
      <c r="Q61" s="84">
        <f t="shared" si="11"/>
        <v>0</v>
      </c>
      <c r="R61" s="49"/>
      <c r="S61" s="49">
        <f t="shared" si="12"/>
        <v>0</v>
      </c>
      <c r="T61" s="74">
        <f t="shared" si="13"/>
        <v>9</v>
      </c>
      <c r="U61" s="84">
        <f t="shared" si="14"/>
        <v>0</v>
      </c>
    </row>
    <row r="62" spans="1:21" x14ac:dyDescent="0.25">
      <c r="I62" s="60">
        <v>0</v>
      </c>
      <c r="J62" s="61">
        <v>0</v>
      </c>
      <c r="K62" s="49"/>
      <c r="L62" s="49"/>
      <c r="M62" s="67">
        <v>3</v>
      </c>
      <c r="N62" s="49"/>
      <c r="O62" s="49">
        <f t="shared" si="10"/>
        <v>0</v>
      </c>
      <c r="P62" s="73">
        <v>9</v>
      </c>
      <c r="Q62" s="84">
        <f t="shared" si="11"/>
        <v>0</v>
      </c>
      <c r="R62" s="49"/>
      <c r="S62" s="49">
        <f t="shared" si="12"/>
        <v>0</v>
      </c>
      <c r="T62" s="74">
        <f t="shared" si="13"/>
        <v>9</v>
      </c>
      <c r="U62" s="84">
        <f t="shared" si="14"/>
        <v>0</v>
      </c>
    </row>
    <row r="63" spans="1:21" x14ac:dyDescent="0.25">
      <c r="I63" s="60">
        <v>0</v>
      </c>
      <c r="J63" s="61">
        <v>0</v>
      </c>
      <c r="K63" s="49"/>
      <c r="L63" s="49"/>
      <c r="M63" s="67">
        <v>3</v>
      </c>
      <c r="N63" s="75"/>
      <c r="O63" s="49">
        <f t="shared" si="10"/>
        <v>0</v>
      </c>
      <c r="P63" s="73">
        <v>9</v>
      </c>
      <c r="Q63" s="84">
        <f t="shared" si="11"/>
        <v>0</v>
      </c>
      <c r="R63" s="49"/>
      <c r="S63" s="49">
        <f t="shared" si="12"/>
        <v>0</v>
      </c>
      <c r="T63" s="74">
        <f t="shared" si="13"/>
        <v>9</v>
      </c>
      <c r="U63" s="84">
        <f t="shared" si="14"/>
        <v>0</v>
      </c>
    </row>
    <row r="64" spans="1:21" x14ac:dyDescent="0.25">
      <c r="I64" s="60">
        <v>0</v>
      </c>
      <c r="J64" s="61">
        <v>0</v>
      </c>
      <c r="K64" s="49"/>
      <c r="L64" s="49"/>
      <c r="M64" s="67">
        <v>3</v>
      </c>
      <c r="N64" s="49"/>
      <c r="O64" s="49">
        <f t="shared" si="10"/>
        <v>0</v>
      </c>
      <c r="P64" s="73">
        <v>9</v>
      </c>
      <c r="Q64" s="84">
        <f t="shared" si="11"/>
        <v>0</v>
      </c>
      <c r="R64" s="49"/>
      <c r="S64" s="49">
        <f t="shared" si="12"/>
        <v>0</v>
      </c>
      <c r="T64" s="74">
        <f t="shared" si="13"/>
        <v>9</v>
      </c>
      <c r="U64" s="84">
        <f t="shared" si="14"/>
        <v>0</v>
      </c>
    </row>
    <row r="65" spans="9:21" x14ac:dyDescent="0.25">
      <c r="I65" s="60">
        <v>0</v>
      </c>
      <c r="J65" s="61">
        <v>0</v>
      </c>
      <c r="K65" s="49"/>
      <c r="L65" s="49"/>
      <c r="M65" s="67">
        <v>3</v>
      </c>
      <c r="N65" s="49"/>
      <c r="O65" s="49">
        <f t="shared" si="10"/>
        <v>0</v>
      </c>
      <c r="P65" s="73">
        <v>9</v>
      </c>
      <c r="Q65" s="84">
        <f t="shared" si="11"/>
        <v>0</v>
      </c>
      <c r="R65" s="49"/>
      <c r="S65" s="49">
        <f t="shared" si="12"/>
        <v>0</v>
      </c>
      <c r="T65" s="74">
        <f t="shared" si="13"/>
        <v>9</v>
      </c>
      <c r="U65" s="84">
        <f t="shared" si="14"/>
        <v>0</v>
      </c>
    </row>
    <row r="66" spans="9:21" x14ac:dyDescent="0.25">
      <c r="I66" s="60">
        <v>0</v>
      </c>
      <c r="J66" s="61">
        <v>0</v>
      </c>
      <c r="K66" s="49"/>
      <c r="L66" s="49"/>
      <c r="M66" s="67">
        <v>3</v>
      </c>
      <c r="N66" s="49"/>
      <c r="O66" s="49">
        <f t="shared" si="10"/>
        <v>0</v>
      </c>
      <c r="P66" s="73">
        <v>9</v>
      </c>
      <c r="Q66" s="84">
        <f t="shared" si="11"/>
        <v>0</v>
      </c>
      <c r="R66" s="49"/>
      <c r="S66" s="49">
        <f t="shared" si="12"/>
        <v>0</v>
      </c>
      <c r="T66" s="74">
        <f t="shared" si="13"/>
        <v>9</v>
      </c>
      <c r="U66" s="84">
        <f t="shared" si="14"/>
        <v>0</v>
      </c>
    </row>
    <row r="67" spans="9:21" x14ac:dyDescent="0.25">
      <c r="I67" s="60">
        <v>0</v>
      </c>
      <c r="J67" s="61">
        <v>0</v>
      </c>
      <c r="K67" s="49"/>
      <c r="L67" s="49"/>
      <c r="M67" s="67">
        <v>3</v>
      </c>
      <c r="N67" s="49"/>
      <c r="O67" s="49">
        <f t="shared" si="10"/>
        <v>0</v>
      </c>
      <c r="P67" s="73">
        <v>9</v>
      </c>
      <c r="Q67" s="84">
        <f t="shared" si="11"/>
        <v>0</v>
      </c>
      <c r="R67" s="49"/>
      <c r="S67" s="49">
        <f t="shared" si="12"/>
        <v>0</v>
      </c>
      <c r="T67" s="74">
        <f t="shared" si="13"/>
        <v>9</v>
      </c>
      <c r="U67" s="84">
        <f t="shared" si="14"/>
        <v>0</v>
      </c>
    </row>
    <row r="68" spans="9:21" x14ac:dyDescent="0.25">
      <c r="I68" s="60">
        <v>0</v>
      </c>
      <c r="J68" s="61">
        <v>0</v>
      </c>
      <c r="K68" s="49"/>
      <c r="L68" s="49"/>
      <c r="M68" s="67">
        <v>3</v>
      </c>
      <c r="N68" s="49"/>
      <c r="O68" s="49">
        <f t="shared" si="10"/>
        <v>0</v>
      </c>
      <c r="P68" s="73">
        <v>9</v>
      </c>
      <c r="Q68" s="84">
        <f t="shared" si="11"/>
        <v>0</v>
      </c>
      <c r="R68" s="49"/>
      <c r="S68" s="49">
        <f t="shared" si="12"/>
        <v>0</v>
      </c>
      <c r="T68" s="74">
        <f t="shared" si="13"/>
        <v>9</v>
      </c>
      <c r="U68" s="84">
        <f t="shared" si="14"/>
        <v>0</v>
      </c>
    </row>
    <row r="69" spans="9:21" x14ac:dyDescent="0.25">
      <c r="I69" s="60">
        <v>0</v>
      </c>
      <c r="J69" s="61">
        <v>0</v>
      </c>
      <c r="K69" s="49"/>
      <c r="L69" s="49"/>
      <c r="M69" s="67">
        <v>3</v>
      </c>
      <c r="N69" s="75"/>
      <c r="O69" s="49">
        <f t="shared" si="10"/>
        <v>0</v>
      </c>
      <c r="P69" s="73">
        <v>9</v>
      </c>
      <c r="Q69" s="84">
        <f t="shared" si="11"/>
        <v>0</v>
      </c>
      <c r="R69" s="49"/>
      <c r="S69" s="49">
        <f t="shared" si="12"/>
        <v>0</v>
      </c>
      <c r="T69" s="74">
        <f t="shared" si="13"/>
        <v>9</v>
      </c>
      <c r="U69" s="84">
        <f t="shared" si="14"/>
        <v>0</v>
      </c>
    </row>
    <row r="70" spans="9:21" x14ac:dyDescent="0.25">
      <c r="I70" s="60">
        <v>0</v>
      </c>
      <c r="J70" s="61">
        <v>0</v>
      </c>
      <c r="K70" s="49"/>
      <c r="L70" s="49"/>
      <c r="M70" s="67">
        <v>3</v>
      </c>
      <c r="N70" s="49"/>
      <c r="O70" s="49">
        <f t="shared" si="10"/>
        <v>0</v>
      </c>
      <c r="P70" s="73">
        <v>9</v>
      </c>
      <c r="Q70" s="84">
        <f t="shared" si="11"/>
        <v>0</v>
      </c>
      <c r="R70" s="49"/>
      <c r="S70" s="49">
        <f t="shared" si="12"/>
        <v>0</v>
      </c>
      <c r="T70" s="74">
        <f t="shared" si="13"/>
        <v>9</v>
      </c>
      <c r="U70" s="84">
        <f t="shared" si="14"/>
        <v>0</v>
      </c>
    </row>
    <row r="71" spans="9:21" x14ac:dyDescent="0.25">
      <c r="I71" s="60">
        <v>0</v>
      </c>
      <c r="J71" s="61">
        <v>0</v>
      </c>
      <c r="K71" s="49"/>
      <c r="L71" s="49"/>
      <c r="M71" s="67">
        <v>3</v>
      </c>
      <c r="N71" s="49"/>
      <c r="O71" s="49">
        <f t="shared" si="10"/>
        <v>0</v>
      </c>
      <c r="P71" s="73">
        <v>9</v>
      </c>
      <c r="Q71" s="84">
        <f t="shared" si="11"/>
        <v>0</v>
      </c>
      <c r="R71" s="49"/>
      <c r="S71" s="49">
        <f t="shared" si="12"/>
        <v>0</v>
      </c>
      <c r="T71" s="74">
        <f t="shared" si="13"/>
        <v>9</v>
      </c>
      <c r="U71" s="84">
        <f t="shared" si="14"/>
        <v>0</v>
      </c>
    </row>
    <row r="72" spans="9:21" x14ac:dyDescent="0.25">
      <c r="I72" s="60">
        <v>0</v>
      </c>
      <c r="J72" s="61">
        <v>0</v>
      </c>
      <c r="K72" s="49"/>
      <c r="L72" s="49"/>
      <c r="M72" s="67">
        <v>3</v>
      </c>
      <c r="N72" s="49"/>
      <c r="O72" s="49">
        <f t="shared" si="10"/>
        <v>0</v>
      </c>
      <c r="P72" s="73">
        <v>9</v>
      </c>
      <c r="Q72" s="84">
        <f t="shared" si="11"/>
        <v>0</v>
      </c>
      <c r="R72" s="49"/>
      <c r="S72" s="49">
        <f t="shared" si="12"/>
        <v>0</v>
      </c>
      <c r="T72" s="74">
        <f t="shared" si="13"/>
        <v>9</v>
      </c>
      <c r="U72" s="84">
        <f t="shared" si="14"/>
        <v>0</v>
      </c>
    </row>
    <row r="73" spans="9:21" x14ac:dyDescent="0.25">
      <c r="I73" s="60">
        <v>0</v>
      </c>
      <c r="J73" s="61">
        <v>0</v>
      </c>
      <c r="K73" s="49"/>
      <c r="L73" s="49"/>
      <c r="M73" s="67">
        <v>3</v>
      </c>
      <c r="N73" s="49"/>
      <c r="O73" s="49">
        <f t="shared" si="10"/>
        <v>0</v>
      </c>
      <c r="P73" s="73">
        <v>9</v>
      </c>
      <c r="Q73" s="84">
        <f t="shared" si="11"/>
        <v>0</v>
      </c>
      <c r="R73" s="49"/>
      <c r="S73" s="49">
        <f t="shared" si="12"/>
        <v>0</v>
      </c>
      <c r="T73" s="74">
        <f t="shared" si="13"/>
        <v>9</v>
      </c>
      <c r="U73" s="84">
        <f t="shared" si="14"/>
        <v>0</v>
      </c>
    </row>
    <row r="74" spans="9:21" x14ac:dyDescent="0.25">
      <c r="I74" s="60">
        <v>0</v>
      </c>
      <c r="J74" s="61">
        <v>0</v>
      </c>
      <c r="K74" s="49"/>
      <c r="L74" s="49"/>
      <c r="M74" s="67">
        <v>3</v>
      </c>
      <c r="N74" s="75"/>
      <c r="O74" s="49">
        <f t="shared" si="10"/>
        <v>0</v>
      </c>
      <c r="P74" s="73">
        <v>9</v>
      </c>
      <c r="Q74" s="84">
        <f t="shared" si="11"/>
        <v>0</v>
      </c>
      <c r="R74" s="49"/>
      <c r="S74" s="49">
        <f t="shared" si="12"/>
        <v>0</v>
      </c>
      <c r="T74" s="74">
        <f t="shared" si="13"/>
        <v>9</v>
      </c>
      <c r="U74" s="84">
        <f t="shared" si="14"/>
        <v>0</v>
      </c>
    </row>
    <row r="75" spans="9:21" x14ac:dyDescent="0.25">
      <c r="I75" s="60">
        <v>0</v>
      </c>
      <c r="J75" s="61">
        <v>0</v>
      </c>
      <c r="K75" s="49"/>
      <c r="L75" s="49"/>
      <c r="M75" s="67">
        <v>3</v>
      </c>
      <c r="N75" s="49"/>
      <c r="O75" s="49">
        <f t="shared" si="10"/>
        <v>0</v>
      </c>
      <c r="P75" s="73">
        <v>9</v>
      </c>
      <c r="Q75" s="84">
        <f t="shared" si="11"/>
        <v>0</v>
      </c>
      <c r="R75" s="49"/>
      <c r="S75" s="49">
        <f t="shared" si="12"/>
        <v>0</v>
      </c>
      <c r="T75" s="74">
        <f t="shared" si="13"/>
        <v>9</v>
      </c>
      <c r="U75" s="84">
        <f t="shared" si="14"/>
        <v>0</v>
      </c>
    </row>
    <row r="76" spans="9:21" x14ac:dyDescent="0.25">
      <c r="I76" s="60">
        <v>0</v>
      </c>
      <c r="J76" s="61">
        <v>0</v>
      </c>
      <c r="K76" s="49"/>
      <c r="L76" s="49"/>
      <c r="M76" s="67">
        <v>3</v>
      </c>
      <c r="N76" s="49"/>
      <c r="O76" s="49">
        <f t="shared" si="10"/>
        <v>0</v>
      </c>
      <c r="P76" s="73">
        <v>9</v>
      </c>
      <c r="Q76" s="84">
        <f t="shared" si="11"/>
        <v>0</v>
      </c>
      <c r="R76" s="49"/>
      <c r="S76" s="49">
        <f t="shared" si="12"/>
        <v>0</v>
      </c>
      <c r="T76" s="74">
        <f t="shared" si="13"/>
        <v>9</v>
      </c>
      <c r="U76" s="84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F513-A4FE-49EB-9958-6A87DFE2D368}">
  <sheetPr>
    <tabColor theme="5" tint="0.39997558519241921"/>
  </sheetPr>
  <dimension ref="A26"/>
  <sheetViews>
    <sheetView workbookViewId="0">
      <selection activeCell="A26" sqref="A26"/>
    </sheetView>
  </sheetViews>
  <sheetFormatPr baseColWidth="10" defaultRowHeight="15" x14ac:dyDescent="0.25"/>
  <sheetData>
    <row r="26" spans="1:1" x14ac:dyDescent="0.25">
      <c r="A26" s="27">
        <v>43733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theme="8" tint="0.59999389629810485"/>
  </sheetPr>
  <dimension ref="A1:CE28"/>
  <sheetViews>
    <sheetView workbookViewId="0">
      <pane xSplit="9" ySplit="2" topLeftCell="BT3" activePane="bottomRight" state="frozen"/>
      <selection pane="topRight" activeCell="J1" sqref="J1"/>
      <selection pane="bottomLeft" activeCell="A3" sqref="A3"/>
      <selection pane="bottomRight" activeCell="CO3" sqref="CO3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6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7"/>
      <c r="W1" t="s">
        <v>47</v>
      </c>
      <c r="Z1" t="s">
        <v>48</v>
      </c>
      <c r="AD1" t="s">
        <v>49</v>
      </c>
      <c r="AH1" t="s">
        <v>50</v>
      </c>
      <c r="AL1" t="s">
        <v>51</v>
      </c>
      <c r="AP1" t="s">
        <v>52</v>
      </c>
      <c r="AW1" t="s">
        <v>53</v>
      </c>
      <c r="BD1" t="s">
        <v>42</v>
      </c>
      <c r="BI1" t="s">
        <v>54</v>
      </c>
      <c r="BN1" t="s">
        <v>55</v>
      </c>
      <c r="BS1" t="s">
        <v>56</v>
      </c>
      <c r="BX1" t="s">
        <v>57</v>
      </c>
      <c r="CB1" t="s">
        <v>39</v>
      </c>
    </row>
    <row r="2" spans="1:83" x14ac:dyDescent="0.25">
      <c r="A2" s="35" t="s">
        <v>2</v>
      </c>
      <c r="B2" s="35" t="s">
        <v>58</v>
      </c>
      <c r="C2" s="35" t="s">
        <v>4</v>
      </c>
      <c r="D2" s="56" t="s">
        <v>59</v>
      </c>
      <c r="E2" s="35" t="s">
        <v>60</v>
      </c>
      <c r="F2" s="43" t="s">
        <v>61</v>
      </c>
      <c r="G2" s="43" t="s">
        <v>73</v>
      </c>
      <c r="H2" s="43" t="s">
        <v>74</v>
      </c>
      <c r="I2" s="44" t="s">
        <v>75</v>
      </c>
      <c r="J2" s="36" t="s">
        <v>62</v>
      </c>
      <c r="K2" s="36" t="s">
        <v>24</v>
      </c>
      <c r="L2" s="36" t="s">
        <v>26</v>
      </c>
      <c r="M2" s="36" t="s">
        <v>63</v>
      </c>
      <c r="N2" s="36" t="s">
        <v>46</v>
      </c>
      <c r="O2" s="36" t="s">
        <v>64</v>
      </c>
      <c r="P2" s="36" t="s">
        <v>65</v>
      </c>
      <c r="Q2" s="36" t="s">
        <v>41</v>
      </c>
      <c r="R2" s="37" t="s">
        <v>20</v>
      </c>
      <c r="S2" s="37" t="s">
        <v>66</v>
      </c>
      <c r="T2" s="37" t="s">
        <v>67</v>
      </c>
      <c r="U2" s="37" t="s">
        <v>22</v>
      </c>
      <c r="V2" s="37" t="s">
        <v>23</v>
      </c>
      <c r="W2" s="38" t="s">
        <v>68</v>
      </c>
      <c r="X2" s="38" t="s">
        <v>69</v>
      </c>
      <c r="Y2" s="38" t="s">
        <v>68</v>
      </c>
      <c r="Z2" s="39" t="s">
        <v>68</v>
      </c>
      <c r="AA2" s="39" t="s">
        <v>69</v>
      </c>
      <c r="AB2" s="39" t="s">
        <v>68</v>
      </c>
      <c r="AC2" s="39" t="s">
        <v>70</v>
      </c>
      <c r="AD2" s="39" t="s">
        <v>68</v>
      </c>
      <c r="AE2" s="39" t="s">
        <v>69</v>
      </c>
      <c r="AF2" s="39" t="s">
        <v>68</v>
      </c>
      <c r="AG2" s="39" t="s">
        <v>70</v>
      </c>
      <c r="AH2" s="38" t="s">
        <v>68</v>
      </c>
      <c r="AI2" s="38" t="s">
        <v>69</v>
      </c>
      <c r="AJ2" s="38" t="s">
        <v>70</v>
      </c>
      <c r="AK2" s="38" t="s">
        <v>71</v>
      </c>
      <c r="AL2" s="38" t="s">
        <v>68</v>
      </c>
      <c r="AM2" s="38" t="s">
        <v>69</v>
      </c>
      <c r="AN2" s="38" t="s">
        <v>70</v>
      </c>
      <c r="AO2" s="38" t="s">
        <v>71</v>
      </c>
      <c r="AP2" s="38" t="s">
        <v>68</v>
      </c>
      <c r="AQ2" s="38" t="s">
        <v>69</v>
      </c>
      <c r="AR2" s="38" t="s">
        <v>68</v>
      </c>
      <c r="AS2" s="38" t="s">
        <v>70</v>
      </c>
      <c r="AT2" s="38" t="s">
        <v>71</v>
      </c>
      <c r="AU2" s="38" t="s">
        <v>72</v>
      </c>
      <c r="AV2" s="38" t="s">
        <v>71</v>
      </c>
      <c r="AW2" s="38" t="s">
        <v>68</v>
      </c>
      <c r="AX2" s="38" t="s">
        <v>69</v>
      </c>
      <c r="AY2" s="38" t="s">
        <v>68</v>
      </c>
      <c r="AZ2" s="38" t="s">
        <v>70</v>
      </c>
      <c r="BA2" s="38" t="s">
        <v>71</v>
      </c>
      <c r="BB2" s="38" t="s">
        <v>72</v>
      </c>
      <c r="BC2" s="38" t="s">
        <v>71</v>
      </c>
      <c r="BD2" s="39" t="s">
        <v>68</v>
      </c>
      <c r="BE2" s="39" t="s">
        <v>69</v>
      </c>
      <c r="BF2" s="39" t="s">
        <v>70</v>
      </c>
      <c r="BG2" s="39" t="s">
        <v>71</v>
      </c>
      <c r="BH2" s="39" t="s">
        <v>72</v>
      </c>
      <c r="BI2" s="39" t="s">
        <v>68</v>
      </c>
      <c r="BJ2" s="39" t="s">
        <v>69</v>
      </c>
      <c r="BK2" s="39" t="s">
        <v>70</v>
      </c>
      <c r="BL2" s="39" t="s">
        <v>71</v>
      </c>
      <c r="BM2" s="39" t="s">
        <v>72</v>
      </c>
      <c r="BN2" s="38" t="s">
        <v>68</v>
      </c>
      <c r="BO2" s="38" t="s">
        <v>69</v>
      </c>
      <c r="BP2" s="38" t="s">
        <v>70</v>
      </c>
      <c r="BQ2" s="38" t="s">
        <v>71</v>
      </c>
      <c r="BR2" s="38" t="s">
        <v>72</v>
      </c>
      <c r="BS2" s="38" t="s">
        <v>68</v>
      </c>
      <c r="BT2" s="38" t="s">
        <v>69</v>
      </c>
      <c r="BU2" s="38" t="s">
        <v>70</v>
      </c>
      <c r="BV2" s="38" t="s">
        <v>71</v>
      </c>
      <c r="BW2" s="38" t="s">
        <v>72</v>
      </c>
      <c r="BX2" s="39" t="s">
        <v>70</v>
      </c>
      <c r="BY2" s="39" t="s">
        <v>71</v>
      </c>
      <c r="BZ2" s="39" t="s">
        <v>72</v>
      </c>
      <c r="CA2" s="39" t="s">
        <v>71</v>
      </c>
      <c r="CB2" s="38" t="s">
        <v>71</v>
      </c>
      <c r="CC2" s="38" t="s">
        <v>72</v>
      </c>
      <c r="CD2" s="38" t="s">
        <v>71</v>
      </c>
      <c r="CE2" s="38" t="s">
        <v>70</v>
      </c>
    </row>
    <row r="3" spans="1:83" x14ac:dyDescent="0.25">
      <c r="A3" t="str">
        <f>Plantilla!D4</f>
        <v>Cosme Fonteboa</v>
      </c>
      <c r="B3">
        <f>Plantilla!E4</f>
        <v>23</v>
      </c>
      <c r="C3" s="29">
        <f ca="1">Plantilla!F4</f>
        <v>60</v>
      </c>
      <c r="D3" s="109">
        <f>Plantilla!G4</f>
        <v>0</v>
      </c>
      <c r="E3" s="27">
        <f>Plantilla!M4</f>
        <v>43415</v>
      </c>
      <c r="F3" s="41">
        <f>Plantilla!Q4</f>
        <v>6</v>
      </c>
      <c r="G3" s="42">
        <f t="shared" ref="G3" si="0">(F3/7)^0.5</f>
        <v>0.92582009977255142</v>
      </c>
      <c r="H3" s="42">
        <f t="shared" ref="H3" si="1">IF(F3=7,1,((F3+0.99)/7)^0.5)</f>
        <v>0.99928545900129484</v>
      </c>
      <c r="I3" s="131">
        <f ca="1">Plantilla!N4</f>
        <v>1</v>
      </c>
      <c r="J3" s="33">
        <f>Plantilla!I4</f>
        <v>5.4</v>
      </c>
      <c r="K3" s="40">
        <f>Plantilla!X4</f>
        <v>15</v>
      </c>
      <c r="L3" s="40">
        <f>Plantilla!Y4</f>
        <v>12.1</v>
      </c>
      <c r="M3" s="40">
        <f>Plantilla!Z4</f>
        <v>0</v>
      </c>
      <c r="N3" s="40">
        <f>Plantilla!AA4</f>
        <v>0</v>
      </c>
      <c r="O3" s="40">
        <f>Plantilla!AB4</f>
        <v>0</v>
      </c>
      <c r="P3" s="40">
        <f>Plantilla!AC4</f>
        <v>1</v>
      </c>
      <c r="Q3" s="40">
        <f>Plantilla!AD4</f>
        <v>1</v>
      </c>
      <c r="R3" s="40">
        <f t="shared" ref="R3" si="2">((2*(O3+1))+(L3+1))/8</f>
        <v>1.8875</v>
      </c>
      <c r="S3" s="40">
        <f t="shared" ref="S3" si="3">(0.5*P3+ 0.3*Q3)/10</f>
        <v>0.08</v>
      </c>
      <c r="T3" s="40">
        <f t="shared" ref="T3" si="4">(0.4*L3+0.3*Q3)/10</f>
        <v>0.51400000000000001</v>
      </c>
      <c r="U3" s="40">
        <f t="shared" ref="U3" ca="1" si="5">(Q3+I3+(LOG(J3)*4/3))*(F3/7)^0.5</f>
        <v>2.7557266846012292</v>
      </c>
      <c r="V3" s="40">
        <f t="shared" ref="V3" ca="1" si="6">IF(F3=7,U3,(Q3+I3+(LOG(J3)*4/3))*((F3+0.99)/7)^0.5)</f>
        <v>2.9743981639417618</v>
      </c>
      <c r="W3" s="31">
        <f t="shared" ref="W3" ca="1" si="7">((K3+I3+(LOG(J3)*4/3))*0.597)+((L3+I3+(LOG(J3)*4/3))*0.276)</f>
        <v>14.020106336433935</v>
      </c>
      <c r="X3" s="31">
        <f t="shared" ref="X3" ca="1" si="8">((K3+I3+(LOG(J3)*4/3))*0.866)+((L3+I3+(LOG(J3)*4/3))*0.425)</f>
        <v>20.684193791908601</v>
      </c>
      <c r="Y3" s="31">
        <f t="shared" ref="Y3" ca="1" si="9">W3</f>
        <v>14.020106336433935</v>
      </c>
      <c r="Z3" s="31">
        <f t="shared" ref="Z3" ca="1" si="10">((L3+I3+(LOG(J3)*4/3))*0.516)</f>
        <v>7.2634869067582022</v>
      </c>
      <c r="AA3" s="31">
        <f t="shared" ref="AA3" ca="1" si="11">((L3+I3+(LOG(J3)*4/3))*1)</f>
        <v>14.076525013097291</v>
      </c>
      <c r="AB3" s="31">
        <f t="shared" ref="AB3" ca="1" si="12">Z3/2</f>
        <v>3.6317434533791011</v>
      </c>
      <c r="AC3" s="31">
        <f t="shared" ref="AC3" ca="1" si="13">((M3+I3+(LOG(J3)*4/3))*0.238)</f>
        <v>0.47041295311715531</v>
      </c>
      <c r="AD3" s="31">
        <f t="shared" ref="AD3" ca="1" si="14">((L3+I3+(LOG(J3)*4/3))*0.378)</f>
        <v>5.3209264549507758</v>
      </c>
      <c r="AE3" s="31">
        <f t="shared" ref="AE3" ca="1" si="15">((L3+I3+(LOG(J3)*4/3))*0.723)</f>
        <v>10.17732758446934</v>
      </c>
      <c r="AF3" s="31">
        <f t="shared" ref="AF3" ca="1" si="16">AD3/2</f>
        <v>2.6604632274753879</v>
      </c>
      <c r="AG3" s="31">
        <f t="shared" ref="AG3" ca="1" si="17">((M3+I3+(LOG(J3)*4/3))*0.385)</f>
        <v>0.76096213004245716</v>
      </c>
      <c r="AH3" s="31">
        <f t="shared" ref="AH3" ca="1" si="18">((L3+I3+(LOG(J3)*4/3))*0.92)</f>
        <v>12.950403012049508</v>
      </c>
      <c r="AI3" s="31">
        <f t="shared" ref="AI3" ca="1" si="19">((L3+I3+(LOG(J3)*4/3))*0.414)</f>
        <v>5.8276813554222784</v>
      </c>
      <c r="AJ3" s="31">
        <f t="shared" ref="AJ3" ca="1" si="20">((M3+I3+(LOG(J3)*4/3))*0.167)</f>
        <v>0.33007967718724768</v>
      </c>
      <c r="AK3" s="31">
        <f t="shared" ref="AK3" ca="1" si="21">((N3+I3+(LOG(J3)*4/3))*0.588)</f>
        <v>1.1621967077012072</v>
      </c>
      <c r="AL3" s="31">
        <f t="shared" ref="AL3" ca="1" si="22">((L3+I3+(LOG(J3)*4/3))*0.754)</f>
        <v>10.613699859875357</v>
      </c>
      <c r="AM3" s="31">
        <f t="shared" ref="AM3" ca="1" si="23">((L3+I3+(LOG(J3)*4/3))*0.708)</f>
        <v>9.9661797092728808</v>
      </c>
      <c r="AN3" s="31">
        <f t="shared" ref="AN3" ca="1" si="24">((Q3+I3+(LOG(J3)*4/3))*0.167)</f>
        <v>0.49707967718724766</v>
      </c>
      <c r="AO3" s="31">
        <f t="shared" ref="AO3" ca="1" si="25">((R3+I3+(LOG(J3)*4/3))*0.288)</f>
        <v>1.1128392037720198</v>
      </c>
      <c r="AP3" s="31">
        <f t="shared" ref="AP3" ca="1" si="26">((L3+I3+(LOG(J3)*4/3))*0.27)</f>
        <v>3.8006617535362688</v>
      </c>
      <c r="AQ3" s="31">
        <f t="shared" ref="AQ3" ca="1" si="27">((L3+I3+(LOG(J3)*4/3))*0.594)</f>
        <v>8.3614558577797897</v>
      </c>
      <c r="AR3" s="31">
        <f t="shared" ref="AR3" ca="1" si="28">AP3/2</f>
        <v>1.9003308767681344</v>
      </c>
      <c r="AS3" s="31">
        <f t="shared" ref="AS3" ca="1" si="29">((M3+I3+(LOG(J3)*4/3))*0.944)</f>
        <v>1.865839612363843</v>
      </c>
      <c r="AT3" s="31">
        <f t="shared" ref="AT3" ca="1" si="30">((O3+I3+(LOG(J3)*4/3))*0.13)</f>
        <v>0.2569482517026479</v>
      </c>
      <c r="AU3" s="31">
        <f t="shared" ref="AU3" ca="1" si="31">((P3+I3+(LOG(J3)*4/3))*0.173)+((O3+I3+(LOG(J3)*4/3))*0.12)</f>
        <v>0.75212182883750633</v>
      </c>
      <c r="AV3" s="31">
        <f t="shared" ref="AV3" ca="1" si="32">AT3/2</f>
        <v>0.12847412585132395</v>
      </c>
      <c r="AW3" s="31">
        <f t="shared" ref="AW3" ca="1" si="33">((L3+I3+(LOG(J3)*4/3))*0.189)</f>
        <v>2.6604632274753879</v>
      </c>
      <c r="AX3" s="31">
        <f t="shared" ref="AX3" ca="1" si="34">((L3+I3+(LOG(J3)*4/3))*0.4)</f>
        <v>5.6306100052389167</v>
      </c>
      <c r="AY3" s="31">
        <f t="shared" ref="AY3" ca="1" si="35">AW3/2</f>
        <v>1.3302316137376939</v>
      </c>
      <c r="AZ3" s="31">
        <f t="shared" ref="AZ3" ca="1" si="36">((M3+I3+(LOG(J3)*4/3))*1)</f>
        <v>1.9765250130972913</v>
      </c>
      <c r="BA3" s="31">
        <f t="shared" ref="BA3" ca="1" si="37">((O3+I3+(LOG(J3)*4/3))*0.253)</f>
        <v>0.50006082831361476</v>
      </c>
      <c r="BB3" s="31">
        <f t="shared" ref="BB3" ca="1" si="38">((P3+I3+(LOG(J3)*4/3))*0.21)+((O3+I3+(LOG(J3)*4/3))*0.341)</f>
        <v>1.2990652822166076</v>
      </c>
      <c r="BC3" s="31">
        <f t="shared" ref="BC3" ca="1" si="39">BA3/2</f>
        <v>0.25003041415680738</v>
      </c>
      <c r="BD3" s="31">
        <f t="shared" ref="BD3" ca="1" si="40">((L3+I3+(LOG(J3)*4/3))*0.291)</f>
        <v>4.0962687788113117</v>
      </c>
      <c r="BE3" s="31">
        <f t="shared" ref="BE3" ca="1" si="41">((L3+I3+(LOG(J3)*4/3))*0.348)</f>
        <v>4.8986307045578572</v>
      </c>
      <c r="BF3" s="31">
        <f t="shared" ref="BF3" ca="1" si="42">((M3+I3+(LOG(J3)*4/3))*0.881)</f>
        <v>1.7413185365387136</v>
      </c>
      <c r="BG3" s="31">
        <f t="shared" ref="BG3" ca="1" si="43">((N3+I3+(LOG(J3)*4/3))*0.574)+((O3+I3+(LOG(J3)*4/3))*0.315)</f>
        <v>1.7571307366434918</v>
      </c>
      <c r="BH3" s="31">
        <f t="shared" ref="BH3" ca="1" si="44">((O3+I3+(LOG(J3)*4/3))*0.241)</f>
        <v>0.47634252815644718</v>
      </c>
      <c r="BI3" s="31">
        <f t="shared" ref="BI3" ca="1" si="45">((L3+I3+(LOG(J3)*4/3))*0.485)</f>
        <v>6.8271146313521855</v>
      </c>
      <c r="BJ3" s="31">
        <f t="shared" ref="BJ3" ca="1" si="46">((L3+I3+(LOG(J3)*4/3))*0.264)</f>
        <v>3.7162026034576847</v>
      </c>
      <c r="BK3" s="31">
        <f t="shared" ref="BK3" ca="1" si="47">((M3+I3+(LOG(J3)*4/3))*0.381)</f>
        <v>0.75305602999006804</v>
      </c>
      <c r="BL3" s="31">
        <f t="shared" ref="BL3" ca="1" si="48">((N3+I3+(LOG(J3)*4/3))*0.673)+((O3+I3+(LOG(J3)*4/3))*0.201)</f>
        <v>1.7274828614470328</v>
      </c>
      <c r="BM3" s="31">
        <f t="shared" ref="BM3" ca="1" si="49">((O3+I3+(LOG(J3)*4/3))*0.052)</f>
        <v>0.10277930068105914</v>
      </c>
      <c r="BN3" s="31">
        <f t="shared" ref="BN3" ca="1" si="50">((L3+I3+(LOG(J3)*4/3))*0.18)</f>
        <v>2.5337745023575122</v>
      </c>
      <c r="BO3" s="31">
        <f t="shared" ref="BO3" ca="1" si="51">((L3+I3+(LOG(J3)*4/3))*0.068)</f>
        <v>0.95720370089061579</v>
      </c>
      <c r="BP3" s="31">
        <f t="shared" ref="BP3" ca="1" si="52">((M3+I3+(LOG(J3)*4/3))*0.305)</f>
        <v>0.60284012899467387</v>
      </c>
      <c r="BQ3" s="31">
        <f t="shared" ref="BQ3" ca="1" si="53">((N3+I3+(LOG(J3)*4/3))*1)+((O3+I3+(LOG(J3)*4/3))*0.286)</f>
        <v>2.5418111668431167</v>
      </c>
      <c r="BR3" s="31">
        <f t="shared" ref="BR3" ca="1" si="54">((O3+I3+(LOG(J3)*4/3))*0.135)</f>
        <v>0.26683087676813433</v>
      </c>
      <c r="BS3" s="31">
        <f t="shared" ref="BS3" ca="1" si="55">((L3+I3+(LOG(J3)*4/3))*0.284)</f>
        <v>3.99773310371963</v>
      </c>
      <c r="BT3" s="31">
        <f t="shared" ref="BT3" ca="1" si="56">((L3+I3+(LOG(J3)*4/3))*0.244)</f>
        <v>3.434672103195739</v>
      </c>
      <c r="BU3" s="31">
        <f t="shared" ref="BU3" ca="1" si="57">((M3+I3+(LOG(J3)*4/3))*0.631)</f>
        <v>1.2471872832643909</v>
      </c>
      <c r="BV3" s="31">
        <f t="shared" ref="BV3" ca="1" si="58">((N3+I3+(LOG(J3)*4/3))*0.702)+((O3+I3+(LOG(J3)*4/3))*0.193)</f>
        <v>1.7689898867220757</v>
      </c>
      <c r="BW3" s="31">
        <f t="shared" ref="BW3" ca="1" si="59">((O3+I3+(LOG(J3)*4/3))*0.148)</f>
        <v>0.29252570193839911</v>
      </c>
      <c r="BX3" s="31">
        <f t="shared" ref="BX3" ca="1" si="60">((M3+I3+(LOG(J3)*4/3))*0.406)</f>
        <v>0.80246915531750029</v>
      </c>
      <c r="BY3" s="31">
        <f t="shared" ref="BY3" ca="1" si="61">IF(D3="TEC",((N3+I3+(LOG(J3)*4/3))*0.15)+((O3+I3+(LOG(J3)*4/3))*0.324)+((P3+I3+(LOG(J3)*4/3))*0.127),((N3+I3+(LOG(J3)*4/3))*0.144)+((O3+I3+(LOG(J3)*4/3))*0.25)+((P3+I3+(LOG(J3)*4/3))*0.127))</f>
        <v>1.1567695318236888</v>
      </c>
      <c r="BZ3" s="31">
        <f t="shared" ref="BZ3" ca="1" si="62">IF(D3="TEC",((O3+I3+(LOG(J3)*4/3))*0.543)+((P3+I3+(LOG(J3)*4/3))*0.583),((O3+I3+(LOG(J3)*4/3))*0.543)+((P3+I3+(LOG(J3)*4/3))*0.583))</f>
        <v>2.8085671647475499</v>
      </c>
      <c r="CA3" s="31">
        <f t="shared" ref="CA3" ca="1" si="63">BY3</f>
        <v>1.1567695318236888</v>
      </c>
      <c r="CB3" s="31">
        <f t="shared" ref="CB3" ca="1" si="64">((P3+I3+(LOG(J3)*4/3))*0.26)+((N3+I3+(LOG(J3)*4/3))*0.221)+((O3+I3+(LOG(J3)*4/3))*0.142)</f>
        <v>1.4913750831596126</v>
      </c>
      <c r="CC3" s="31">
        <f t="shared" ref="CC3" ca="1" si="65">((P3+I3+(LOG(J3)*4/3))*1)+((O3+I3+(LOG(J3)*4/3))*0.369)</f>
        <v>3.7058627429301918</v>
      </c>
      <c r="CD3" s="31">
        <f t="shared" ref="CD3" ca="1" si="66">CB3</f>
        <v>1.4913750831596126</v>
      </c>
      <c r="CE3" s="31">
        <f t="shared" ref="CE3" ca="1" si="67">((M3+I3+(LOG(J3)*4/3))*0.25)</f>
        <v>0.49413125327432283</v>
      </c>
    </row>
    <row r="4" spans="1:83" x14ac:dyDescent="0.25">
      <c r="A4" t="str">
        <f>Plantilla!D5</f>
        <v>Nicolae Hornet</v>
      </c>
      <c r="B4">
        <f>Plantilla!E5</f>
        <v>23</v>
      </c>
      <c r="C4" s="29">
        <f ca="1">Plantilla!F5</f>
        <v>85</v>
      </c>
      <c r="D4" s="125">
        <f>Plantilla!G5</f>
        <v>0</v>
      </c>
      <c r="E4" s="27">
        <f>Plantilla!M5</f>
        <v>43190</v>
      </c>
      <c r="F4" s="41">
        <f>Plantilla!Q5</f>
        <v>6</v>
      </c>
      <c r="G4" s="42">
        <f t="shared" ref="G4:G17" si="68">(F4/7)^0.5</f>
        <v>0.92582009977255142</v>
      </c>
      <c r="H4" s="42">
        <f t="shared" ref="H4:H17" si="69">IF(F4=7,1,((F4+0.99)/7)^0.5)</f>
        <v>0.99928545900129484</v>
      </c>
      <c r="I4" s="131">
        <f ca="1">Plantilla!N5</f>
        <v>1</v>
      </c>
      <c r="J4" s="33">
        <f>Plantilla!I5</f>
        <v>1.4</v>
      </c>
      <c r="K4" s="40">
        <f>Plantilla!X5</f>
        <v>6</v>
      </c>
      <c r="L4" s="40">
        <f>Plantilla!Y5</f>
        <v>5.4</v>
      </c>
      <c r="M4" s="40">
        <f>Plantilla!Z5</f>
        <v>0</v>
      </c>
      <c r="N4" s="40">
        <f>Plantilla!AA5</f>
        <v>3</v>
      </c>
      <c r="O4" s="40">
        <f>Plantilla!AB5</f>
        <v>0</v>
      </c>
      <c r="P4" s="40">
        <f>Plantilla!AC5</f>
        <v>1</v>
      </c>
      <c r="Q4" s="40">
        <f>Plantilla!AD5</f>
        <v>1</v>
      </c>
      <c r="R4" s="40">
        <f t="shared" ref="R4:R19" si="70">((2*(O4+1))+(L4+1))/8</f>
        <v>1.05</v>
      </c>
      <c r="S4" s="40">
        <f t="shared" ref="S4:S19" si="71">(0.5*P4+ 0.3*Q4)/10</f>
        <v>0.08</v>
      </c>
      <c r="T4" s="40">
        <f t="shared" ref="T4:T19" si="72">(0.4*L4+0.3*Q4)/10</f>
        <v>0.246</v>
      </c>
      <c r="U4" s="40">
        <f t="shared" ref="U4:U19" ca="1" si="73">(Q4+I4+(LOG(J4)*4/3))*(F4/7)^0.5</f>
        <v>2.0320245629733606</v>
      </c>
      <c r="V4" s="40">
        <f t="shared" ref="V4:V19" ca="1" si="74">IF(F4=7,U4,(Q4+I4+(LOG(J4)*4/3))*((F4+0.99)/7)^0.5)</f>
        <v>2.1932690796101708</v>
      </c>
      <c r="W4" s="31">
        <f t="shared" ref="W4:W19" ca="1" si="75">((K4+I4+(LOG(J4)*4/3))*0.597)+((L4+I4+(LOG(J4)*4/3))*0.276)</f>
        <v>6.1154930335294697</v>
      </c>
      <c r="X4" s="31">
        <f t="shared" ref="X4:X19" ca="1" si="76">((K4+I4+(LOG(J4)*4/3))*0.866)+((L4+I4+(LOG(J4)*4/3))*0.425)</f>
        <v>9.033535058747475</v>
      </c>
      <c r="Y4" s="31">
        <f t="shared" ref="Y4:Y19" ca="1" si="77">W4</f>
        <v>6.1154930335294697</v>
      </c>
      <c r="Z4" s="31">
        <f t="shared" ref="Z4:Z19" ca="1" si="78">((L4+I4+(LOG(J4)*4/3))*0.516)</f>
        <v>3.4029360885466282</v>
      </c>
      <c r="AA4" s="31">
        <f t="shared" ref="AA4:AA19" ca="1" si="79">((L4+I4+(LOG(J4)*4/3))*1)</f>
        <v>6.5948373809043179</v>
      </c>
      <c r="AB4" s="31">
        <f t="shared" ref="AB4:AB19" ca="1" si="80">Z4/2</f>
        <v>1.7014680442733141</v>
      </c>
      <c r="AC4" s="31">
        <f t="shared" ref="AC4:AC19" ca="1" si="81">((M4+I4+(LOG(J4)*4/3))*0.238)</f>
        <v>0.28437129665522753</v>
      </c>
      <c r="AD4" s="31">
        <f t="shared" ref="AD4:AD19" ca="1" si="82">((L4+I4+(LOG(J4)*4/3))*0.378)</f>
        <v>2.4928485299818322</v>
      </c>
      <c r="AE4" s="31">
        <f t="shared" ref="AE4:AE19" ca="1" si="83">((L4+I4+(LOG(J4)*4/3))*0.723)</f>
        <v>4.7680674263938219</v>
      </c>
      <c r="AF4" s="31">
        <f t="shared" ref="AF4:AF19" ca="1" si="84">AD4/2</f>
        <v>1.2464242649909161</v>
      </c>
      <c r="AG4" s="31">
        <f t="shared" ref="AG4:AG19" ca="1" si="85">((M4+I4+(LOG(J4)*4/3))*0.385)</f>
        <v>0.46001239164816221</v>
      </c>
      <c r="AH4" s="31">
        <f t="shared" ref="AH4:AH19" ca="1" si="86">((L4+I4+(LOG(J4)*4/3))*0.92)</f>
        <v>6.0672503904319726</v>
      </c>
      <c r="AI4" s="31">
        <f t="shared" ref="AI4:AI19" ca="1" si="87">((L4+I4+(LOG(J4)*4/3))*0.414)</f>
        <v>2.7302626756943873</v>
      </c>
      <c r="AJ4" s="31">
        <f t="shared" ref="AJ4:AJ19" ca="1" si="88">((M4+I4+(LOG(J4)*4/3))*0.167)</f>
        <v>0.199537842611021</v>
      </c>
      <c r="AK4" s="31">
        <f t="shared" ref="AK4:AK19" ca="1" si="89">((N4+I4+(LOG(J4)*4/3))*0.588)</f>
        <v>2.4665643799717385</v>
      </c>
      <c r="AL4" s="31">
        <f t="shared" ref="AL4:AL19" ca="1" si="90">((L4+I4+(LOG(J4)*4/3))*0.754)</f>
        <v>4.9725073852018555</v>
      </c>
      <c r="AM4" s="31">
        <f t="shared" ref="AM4:AM19" ca="1" si="91">((L4+I4+(LOG(J4)*4/3))*0.708)</f>
        <v>4.6691448656802566</v>
      </c>
      <c r="AN4" s="31">
        <f t="shared" ref="AN4:AN19" ca="1" si="92">((Q4+I4+(LOG(J4)*4/3))*0.167)</f>
        <v>0.36653784261102107</v>
      </c>
      <c r="AO4" s="31">
        <f t="shared" ref="AO4:AO19" ca="1" si="93">((R4+I4+(LOG(J4)*4/3))*0.288)</f>
        <v>0.64651316570044337</v>
      </c>
      <c r="AP4" s="31">
        <f t="shared" ref="AP4:AP19" ca="1" si="94">((L4+I4+(LOG(J4)*4/3))*0.27)</f>
        <v>1.780606092844166</v>
      </c>
      <c r="AQ4" s="31">
        <f t="shared" ref="AQ4:AQ19" ca="1" si="95">((L4+I4+(LOG(J4)*4/3))*0.594)</f>
        <v>3.9173334042571648</v>
      </c>
      <c r="AR4" s="31">
        <f t="shared" ref="AR4:AR19" ca="1" si="96">AP4/2</f>
        <v>0.89030304642208302</v>
      </c>
      <c r="AS4" s="31">
        <f t="shared" ref="AS4:AS19" ca="1" si="97">((M4+I4+(LOG(J4)*4/3))*0.944)</f>
        <v>1.1279264875736754</v>
      </c>
      <c r="AT4" s="31">
        <f t="shared" ref="AT4:AT19" ca="1" si="98">((O4+I4+(LOG(J4)*4/3))*0.13)</f>
        <v>0.15532885951756126</v>
      </c>
      <c r="AU4" s="31">
        <f t="shared" ref="AU4:AU19" ca="1" si="99">((P4+I4+(LOG(J4)*4/3))*0.173)+((O4+I4+(LOG(J4)*4/3))*0.12)</f>
        <v>0.52308735260496497</v>
      </c>
      <c r="AV4" s="31">
        <f t="shared" ref="AV4:AV19" ca="1" si="100">AT4/2</f>
        <v>7.7664429758780629E-2</v>
      </c>
      <c r="AW4" s="31">
        <f t="shared" ref="AW4:AW19" ca="1" si="101">((L4+I4+(LOG(J4)*4/3))*0.189)</f>
        <v>1.2464242649909161</v>
      </c>
      <c r="AX4" s="31">
        <f t="shared" ref="AX4:AX19" ca="1" si="102">((L4+I4+(LOG(J4)*4/3))*0.4)</f>
        <v>2.6379349523617273</v>
      </c>
      <c r="AY4" s="31">
        <f t="shared" ref="AY4:AY19" ca="1" si="103">AW4/2</f>
        <v>0.62321213249545804</v>
      </c>
      <c r="AZ4" s="31">
        <f t="shared" ref="AZ4:AZ19" ca="1" si="104">((M4+I4+(LOG(J4)*4/3))*1)</f>
        <v>1.1948373809043173</v>
      </c>
      <c r="BA4" s="31">
        <f t="shared" ref="BA4:BA19" ca="1" si="105">((O4+I4+(LOG(J4)*4/3))*0.253)</f>
        <v>0.30229385736879227</v>
      </c>
      <c r="BB4" s="31">
        <f t="shared" ref="BB4:BB19" ca="1" si="106">((P4+I4+(LOG(J4)*4/3))*0.21)+((O4+I4+(LOG(J4)*4/3))*0.341)</f>
        <v>0.8683553968782789</v>
      </c>
      <c r="BC4" s="31">
        <f t="shared" ref="BC4:BC19" ca="1" si="107">BA4/2</f>
        <v>0.15114692868439614</v>
      </c>
      <c r="BD4" s="31">
        <f t="shared" ref="BD4:BD19" ca="1" si="108">((L4+I4+(LOG(J4)*4/3))*0.291)</f>
        <v>1.9190976778431563</v>
      </c>
      <c r="BE4" s="31">
        <f t="shared" ref="BE4:BE19" ca="1" si="109">((L4+I4+(LOG(J4)*4/3))*0.348)</f>
        <v>2.2950034085547024</v>
      </c>
      <c r="BF4" s="31">
        <f t="shared" ref="BF4:BF19" ca="1" si="110">((M4+I4+(LOG(J4)*4/3))*0.881)</f>
        <v>1.0526517325767035</v>
      </c>
      <c r="BG4" s="31">
        <f t="shared" ref="BG4:BG19" ca="1" si="111">((N4+I4+(LOG(J4)*4/3))*0.574)+((O4+I4+(LOG(J4)*4/3))*0.315)</f>
        <v>2.7842104316239382</v>
      </c>
      <c r="BH4" s="31">
        <f t="shared" ref="BH4:BH19" ca="1" si="112">((O4+I4+(LOG(J4)*4/3))*0.241)</f>
        <v>0.28795580879794047</v>
      </c>
      <c r="BI4" s="31">
        <f t="shared" ref="BI4:BI19" ca="1" si="113">((L4+I4+(LOG(J4)*4/3))*0.485)</f>
        <v>3.1984961297385941</v>
      </c>
      <c r="BJ4" s="31">
        <f t="shared" ref="BJ4:BJ19" ca="1" si="114">((L4+I4+(LOG(J4)*4/3))*0.264)</f>
        <v>1.74103706855874</v>
      </c>
      <c r="BK4" s="31">
        <f t="shared" ref="BK4:BK19" ca="1" si="115">((M4+I4+(LOG(J4)*4/3))*0.381)</f>
        <v>0.45523304212454491</v>
      </c>
      <c r="BL4" s="31">
        <f t="shared" ref="BL4:BL19" ca="1" si="116">((N4+I4+(LOG(J4)*4/3))*0.673)+((O4+I4+(LOG(J4)*4/3))*0.201)</f>
        <v>3.0632878709103739</v>
      </c>
      <c r="BM4" s="31">
        <f t="shared" ref="BM4:BM19" ca="1" si="117">((O4+I4+(LOG(J4)*4/3))*0.052)</f>
        <v>6.21315438070245E-2</v>
      </c>
      <c r="BN4" s="31">
        <f t="shared" ref="BN4:BN19" ca="1" si="118">((L4+I4+(LOG(J4)*4/3))*0.18)</f>
        <v>1.1870707285627773</v>
      </c>
      <c r="BO4" s="31">
        <f t="shared" ref="BO4:BO19" ca="1" si="119">((L4+I4+(LOG(J4)*4/3))*0.068)</f>
        <v>0.44844894190149365</v>
      </c>
      <c r="BP4" s="31">
        <f t="shared" ref="BP4:BP19" ca="1" si="120">((M4+I4+(LOG(J4)*4/3))*0.305)</f>
        <v>0.36442540117581679</v>
      </c>
      <c r="BQ4" s="31">
        <f t="shared" ref="BQ4:BQ19" ca="1" si="121">((N4+I4+(LOG(J4)*4/3))*1)+((O4+I4+(LOG(J4)*4/3))*0.286)</f>
        <v>4.5365608718429522</v>
      </c>
      <c r="BR4" s="31">
        <f t="shared" ref="BR4:BR19" ca="1" si="122">((O4+I4+(LOG(J4)*4/3))*0.135)</f>
        <v>0.16130304642208285</v>
      </c>
      <c r="BS4" s="31">
        <f t="shared" ref="BS4:BS19" ca="1" si="123">((L4+I4+(LOG(J4)*4/3))*0.284)</f>
        <v>1.8729338161768261</v>
      </c>
      <c r="BT4" s="31">
        <f t="shared" ref="BT4:BT19" ca="1" si="124">((L4+I4+(LOG(J4)*4/3))*0.244)</f>
        <v>1.6091403209406536</v>
      </c>
      <c r="BU4" s="31">
        <f t="shared" ref="BU4:BU19" ca="1" si="125">((M4+I4+(LOG(J4)*4/3))*0.631)</f>
        <v>0.75394238735062424</v>
      </c>
      <c r="BV4" s="31">
        <f t="shared" ref="BV4:BV19" ca="1" si="126">((N4+I4+(LOG(J4)*4/3))*0.702)+((O4+I4+(LOG(J4)*4/3))*0.193)</f>
        <v>3.175379455909364</v>
      </c>
      <c r="BW4" s="31">
        <f t="shared" ref="BW4:BW19" ca="1" si="127">((O4+I4+(LOG(J4)*4/3))*0.148)</f>
        <v>0.17683593237383896</v>
      </c>
      <c r="BX4" s="31">
        <f t="shared" ref="BX4:BX19" ca="1" si="128">((M4+I4+(LOG(J4)*4/3))*0.406)</f>
        <v>0.48510397664715288</v>
      </c>
      <c r="BY4" s="31">
        <f t="shared" ref="BY4:BY19" ca="1" si="129">IF(D4="TEC",((N4+I4+(LOG(J4)*4/3))*0.15)+((O4+I4+(LOG(J4)*4/3))*0.324)+((P4+I4+(LOG(J4)*4/3))*0.127),((N4+I4+(LOG(J4)*4/3))*0.144)+((O4+I4+(LOG(J4)*4/3))*0.25)+((P4+I4+(LOG(J4)*4/3))*0.127))</f>
        <v>1.1815102754511493</v>
      </c>
      <c r="BZ4" s="31">
        <f t="shared" ref="BZ4:BZ19" ca="1" si="130">IF(D4="TEC",((O4+I4+(LOG(J4)*4/3))*0.543)+((P4+I4+(LOG(J4)*4/3))*0.583),((O4+I4+(LOG(J4)*4/3))*0.543)+((P4+I4+(LOG(J4)*4/3))*0.583))</f>
        <v>1.9283868908982615</v>
      </c>
      <c r="CA4" s="31">
        <f t="shared" ref="CA4:CA19" ca="1" si="131">BY4</f>
        <v>1.1815102754511493</v>
      </c>
      <c r="CB4" s="31">
        <f t="shared" ref="CB4:CB19" ca="1" si="132">((P4+I4+(LOG(J4)*4/3))*0.26)+((N4+I4+(LOG(J4)*4/3))*0.221)+((O4+I4+(LOG(J4)*4/3))*0.142)</f>
        <v>1.6673836883033897</v>
      </c>
      <c r="CC4" s="31">
        <f t="shared" ref="CC4:CC19" ca="1" si="133">((P4+I4+(LOG(J4)*4/3))*1)+((O4+I4+(LOG(J4)*4/3))*0.369)</f>
        <v>2.6357323744580108</v>
      </c>
      <c r="CD4" s="31">
        <f t="shared" ref="CD4:CD19" ca="1" si="134">CB4</f>
        <v>1.6673836883033897</v>
      </c>
      <c r="CE4" s="31">
        <f t="shared" ref="CE4:CE19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29">
        <f ca="1">Plantilla!F6</f>
        <v>57</v>
      </c>
      <c r="D5" s="125">
        <f>Plantilla!G6</f>
        <v>0</v>
      </c>
      <c r="E5" s="27">
        <f>Plantilla!M6</f>
        <v>43395</v>
      </c>
      <c r="F5" s="41">
        <f>Plantilla!Q6</f>
        <v>5</v>
      </c>
      <c r="G5" s="42">
        <f t="shared" si="68"/>
        <v>0.84515425472851657</v>
      </c>
      <c r="H5" s="42">
        <f t="shared" si="69"/>
        <v>0.92504826128926143</v>
      </c>
      <c r="I5" s="131">
        <f ca="1">Plantilla!N6</f>
        <v>1</v>
      </c>
      <c r="J5" s="33">
        <f>Plantilla!I6</f>
        <v>2.9</v>
      </c>
      <c r="K5" s="40">
        <f>Plantilla!X6</f>
        <v>0</v>
      </c>
      <c r="L5" s="40">
        <f>Plantilla!Y6</f>
        <v>15.340972222222222</v>
      </c>
      <c r="M5" s="40">
        <f>Plantilla!Z6</f>
        <v>5</v>
      </c>
      <c r="N5" s="40">
        <f>Plantilla!AA6</f>
        <v>5.4</v>
      </c>
      <c r="O5" s="40">
        <f>Plantilla!AB6</f>
        <v>6</v>
      </c>
      <c r="P5" s="40">
        <f>Plantilla!AC6</f>
        <v>2</v>
      </c>
      <c r="Q5" s="40">
        <f>Plantilla!AD6</f>
        <v>1</v>
      </c>
      <c r="R5" s="40">
        <f t="shared" si="70"/>
        <v>3.7926215277777775</v>
      </c>
      <c r="S5" s="40">
        <f t="shared" si="71"/>
        <v>0.13</v>
      </c>
      <c r="T5" s="40">
        <f t="shared" si="72"/>
        <v>0.64363888888888887</v>
      </c>
      <c r="U5" s="40">
        <f t="shared" ca="1" si="73"/>
        <v>2.2113720231933671</v>
      </c>
      <c r="V5" s="40">
        <f t="shared" ca="1" si="74"/>
        <v>2.4204171412186093</v>
      </c>
      <c r="W5" s="31">
        <f t="shared" ca="1" si="75"/>
        <v>5.6453396028877183</v>
      </c>
      <c r="X5" s="31">
        <f t="shared" ca="1" si="76"/>
        <v>8.6068542814945133</v>
      </c>
      <c r="Y5" s="31">
        <f t="shared" ca="1" si="77"/>
        <v>5.6453396028877183</v>
      </c>
      <c r="Z5" s="31">
        <f t="shared" ca="1" si="78"/>
        <v>8.7500714892211491</v>
      </c>
      <c r="AA5" s="31">
        <f t="shared" ca="1" si="79"/>
        <v>16.957502886087497</v>
      </c>
      <c r="AB5" s="31">
        <f t="shared" ca="1" si="80"/>
        <v>4.3750357446105745</v>
      </c>
      <c r="AC5" s="31">
        <f t="shared" ca="1" si="81"/>
        <v>1.5747342979999353</v>
      </c>
      <c r="AD5" s="31">
        <f t="shared" ca="1" si="82"/>
        <v>6.4099360909410734</v>
      </c>
      <c r="AE5" s="31">
        <f t="shared" ca="1" si="83"/>
        <v>12.260274586641259</v>
      </c>
      <c r="AF5" s="31">
        <f t="shared" ca="1" si="84"/>
        <v>3.2049680454705367</v>
      </c>
      <c r="AG5" s="31">
        <f t="shared" ca="1" si="85"/>
        <v>2.5473643055881308</v>
      </c>
      <c r="AH5" s="31">
        <f t="shared" ca="1" si="86"/>
        <v>15.600902655200498</v>
      </c>
      <c r="AI5" s="31">
        <f t="shared" ca="1" si="87"/>
        <v>7.0204061948402234</v>
      </c>
      <c r="AJ5" s="31">
        <f t="shared" ca="1" si="88"/>
        <v>1.104960620865501</v>
      </c>
      <c r="AK5" s="31">
        <f t="shared" ca="1" si="89"/>
        <v>4.1257200303527819</v>
      </c>
      <c r="AL5" s="31">
        <f t="shared" ca="1" si="90"/>
        <v>12.785957176109973</v>
      </c>
      <c r="AM5" s="31">
        <f t="shared" ca="1" si="91"/>
        <v>12.005912043349946</v>
      </c>
      <c r="AN5" s="31">
        <f t="shared" ca="1" si="92"/>
        <v>0.43696062086550091</v>
      </c>
      <c r="AO5" s="31">
        <f t="shared" ca="1" si="93"/>
        <v>1.557835831193199</v>
      </c>
      <c r="AP5" s="31">
        <f t="shared" ca="1" si="94"/>
        <v>4.5785257792436242</v>
      </c>
      <c r="AQ5" s="31">
        <f t="shared" ca="1" si="95"/>
        <v>10.072756714335972</v>
      </c>
      <c r="AR5" s="31">
        <f t="shared" ca="1" si="96"/>
        <v>2.2892628896218121</v>
      </c>
      <c r="AS5" s="31">
        <f t="shared" ca="1" si="97"/>
        <v>6.246004946688819</v>
      </c>
      <c r="AT5" s="31">
        <f t="shared" ca="1" si="98"/>
        <v>0.99014898630248571</v>
      </c>
      <c r="AU5" s="31">
        <f t="shared" ca="1" si="99"/>
        <v>1.5396434845125255</v>
      </c>
      <c r="AV5" s="31">
        <f t="shared" ca="1" si="100"/>
        <v>0.49507449315124286</v>
      </c>
      <c r="AW5" s="31">
        <f t="shared" ca="1" si="101"/>
        <v>3.2049680454705367</v>
      </c>
      <c r="AX5" s="31">
        <f t="shared" ca="1" si="102"/>
        <v>6.7830011544349986</v>
      </c>
      <c r="AY5" s="31">
        <f t="shared" ca="1" si="103"/>
        <v>1.6024840227352684</v>
      </c>
      <c r="AZ5" s="31">
        <f t="shared" ca="1" si="104"/>
        <v>6.6165306638652748</v>
      </c>
      <c r="BA5" s="31">
        <f t="shared" ca="1" si="105"/>
        <v>1.9269822579579146</v>
      </c>
      <c r="BB5" s="31">
        <f t="shared" ca="1" si="106"/>
        <v>3.3567083957897665</v>
      </c>
      <c r="BC5" s="31">
        <f t="shared" ca="1" si="107"/>
        <v>0.96349112897895728</v>
      </c>
      <c r="BD5" s="31">
        <f t="shared" ca="1" si="108"/>
        <v>4.9346333398514615</v>
      </c>
      <c r="BE5" s="31">
        <f t="shared" ca="1" si="109"/>
        <v>5.9012110043584487</v>
      </c>
      <c r="BF5" s="31">
        <f t="shared" ca="1" si="110"/>
        <v>5.8291635148653071</v>
      </c>
      <c r="BG5" s="31">
        <f t="shared" ca="1" si="111"/>
        <v>6.4266957601762291</v>
      </c>
      <c r="BH5" s="31">
        <f t="shared" ca="1" si="112"/>
        <v>1.8355838899915311</v>
      </c>
      <c r="BI5" s="31">
        <f t="shared" ca="1" si="113"/>
        <v>8.2243888997524355</v>
      </c>
      <c r="BJ5" s="31">
        <f t="shared" ca="1" si="114"/>
        <v>4.476780761927099</v>
      </c>
      <c r="BK5" s="31">
        <f t="shared" ca="1" si="115"/>
        <v>2.5208981829326698</v>
      </c>
      <c r="BL5" s="31">
        <f t="shared" ca="1" si="116"/>
        <v>6.2530478002182512</v>
      </c>
      <c r="BM5" s="31">
        <f t="shared" ca="1" si="117"/>
        <v>0.39605959452099426</v>
      </c>
      <c r="BN5" s="31">
        <f t="shared" ca="1" si="118"/>
        <v>3.0523505194957492</v>
      </c>
      <c r="BO5" s="31">
        <f t="shared" ca="1" si="119"/>
        <v>1.1531101962539498</v>
      </c>
      <c r="BP5" s="31">
        <f t="shared" ca="1" si="120"/>
        <v>2.0180418524789085</v>
      </c>
      <c r="BQ5" s="31">
        <f t="shared" ca="1" si="121"/>
        <v>9.1948584337307437</v>
      </c>
      <c r="BR5" s="31">
        <f t="shared" ca="1" si="122"/>
        <v>1.0282316396218121</v>
      </c>
      <c r="BS5" s="31">
        <f t="shared" ca="1" si="123"/>
        <v>4.8159308196488482</v>
      </c>
      <c r="BT5" s="31">
        <f t="shared" ca="1" si="124"/>
        <v>4.1376307042053488</v>
      </c>
      <c r="BU5" s="31">
        <f t="shared" ca="1" si="125"/>
        <v>4.175030848898988</v>
      </c>
      <c r="BV5" s="31">
        <f t="shared" ca="1" si="126"/>
        <v>6.3955949441594209</v>
      </c>
      <c r="BW5" s="31">
        <f t="shared" ca="1" si="127"/>
        <v>1.1272465382520607</v>
      </c>
      <c r="BX5" s="31">
        <f t="shared" ca="1" si="128"/>
        <v>2.6863114495293017</v>
      </c>
      <c r="BY5" s="31">
        <f t="shared" ca="1" si="129"/>
        <v>3.3738124758738084</v>
      </c>
      <c r="BZ5" s="31">
        <f t="shared" ca="1" si="130"/>
        <v>6.244213527512299</v>
      </c>
      <c r="CA5" s="31">
        <f t="shared" ca="1" si="131"/>
        <v>3.3738124758738084</v>
      </c>
      <c r="CB5" s="31">
        <f t="shared" ca="1" si="132"/>
        <v>3.5724986035880661</v>
      </c>
      <c r="CC5" s="31">
        <f t="shared" ca="1" si="133"/>
        <v>6.4270304788315613</v>
      </c>
      <c r="CD5" s="31">
        <f t="shared" ca="1" si="134"/>
        <v>3.5724986035880661</v>
      </c>
      <c r="CE5" s="31">
        <f t="shared" ca="1" si="135"/>
        <v>1.6541326659663187</v>
      </c>
    </row>
    <row r="6" spans="1:83" x14ac:dyDescent="0.25">
      <c r="A6" t="str">
        <f>Plantilla!D7</f>
        <v>Iván Real Figueroa</v>
      </c>
      <c r="B6">
        <f>Plantilla!E7</f>
        <v>23</v>
      </c>
      <c r="C6" s="29">
        <f ca="1">Plantilla!F7</f>
        <v>38</v>
      </c>
      <c r="D6" s="125">
        <f>Plantilla!G7</f>
        <v>0</v>
      </c>
      <c r="E6" s="27">
        <f>Plantilla!M7</f>
        <v>43410</v>
      </c>
      <c r="F6" s="41">
        <f>Plantilla!Q7</f>
        <v>3</v>
      </c>
      <c r="G6" s="42">
        <f t="shared" si="68"/>
        <v>0.65465367070797709</v>
      </c>
      <c r="H6" s="42">
        <f t="shared" si="69"/>
        <v>0.75498344352707503</v>
      </c>
      <c r="I6" s="131">
        <f ca="1">Plantilla!N7</f>
        <v>1</v>
      </c>
      <c r="J6" s="33">
        <f>Plantilla!I7</f>
        <v>4.0999999999999996</v>
      </c>
      <c r="K6" s="40">
        <f>Plantilla!X7</f>
        <v>0</v>
      </c>
      <c r="L6" s="40">
        <f>Plantilla!Y7</f>
        <v>15.3125</v>
      </c>
      <c r="M6" s="40">
        <f>Plantilla!Z7</f>
        <v>5</v>
      </c>
      <c r="N6" s="40">
        <f>Plantilla!AA7</f>
        <v>7</v>
      </c>
      <c r="O6" s="40">
        <f>Plantilla!AB7</f>
        <v>5.25</v>
      </c>
      <c r="P6" s="40">
        <f>Plantilla!AC7</f>
        <v>1</v>
      </c>
      <c r="Q6" s="40">
        <f>Plantilla!AD7</f>
        <v>0</v>
      </c>
      <c r="R6" s="40">
        <f t="shared" si="70"/>
        <v>3.6015625</v>
      </c>
      <c r="S6" s="40">
        <f t="shared" si="71"/>
        <v>0.05</v>
      </c>
      <c r="T6" s="40">
        <f t="shared" si="72"/>
        <v>0.61250000000000004</v>
      </c>
      <c r="U6" s="40">
        <f t="shared" ca="1" si="73"/>
        <v>1.1895352722441983</v>
      </c>
      <c r="V6" s="40">
        <f t="shared" ca="1" si="74"/>
        <v>1.3718389985724986</v>
      </c>
      <c r="W6" s="31">
        <f t="shared" ca="1" si="75"/>
        <v>5.8125304092217718</v>
      </c>
      <c r="X6" s="31">
        <f t="shared" ca="1" si="76"/>
        <v>8.8536177787002384</v>
      </c>
      <c r="Y6" s="31">
        <f t="shared" ca="1" si="77"/>
        <v>5.8125304092217718</v>
      </c>
      <c r="Z6" s="31">
        <f t="shared" ca="1" si="78"/>
        <v>8.8388452934231783</v>
      </c>
      <c r="AA6" s="31">
        <f t="shared" ca="1" si="79"/>
        <v>17.129545142292979</v>
      </c>
      <c r="AB6" s="31">
        <f t="shared" ca="1" si="80"/>
        <v>4.4194226467115891</v>
      </c>
      <c r="AC6" s="31">
        <f t="shared" ca="1" si="81"/>
        <v>1.6224567438657291</v>
      </c>
      <c r="AD6" s="31">
        <f t="shared" ca="1" si="82"/>
        <v>6.4749680637867462</v>
      </c>
      <c r="AE6" s="31">
        <f t="shared" ca="1" si="83"/>
        <v>12.384661137877824</v>
      </c>
      <c r="AF6" s="31">
        <f t="shared" ca="1" si="84"/>
        <v>3.2374840318933731</v>
      </c>
      <c r="AG6" s="31">
        <f t="shared" ca="1" si="85"/>
        <v>2.6245623797827973</v>
      </c>
      <c r="AH6" s="31">
        <f t="shared" ca="1" si="86"/>
        <v>15.759181530909542</v>
      </c>
      <c r="AI6" s="31">
        <f t="shared" ca="1" si="87"/>
        <v>7.0916316889092927</v>
      </c>
      <c r="AJ6" s="31">
        <f t="shared" ca="1" si="88"/>
        <v>1.1384465387629277</v>
      </c>
      <c r="AK6" s="31">
        <f t="shared" ca="1" si="89"/>
        <v>5.1844225436682727</v>
      </c>
      <c r="AL6" s="31">
        <f t="shared" ca="1" si="90"/>
        <v>12.915677037288907</v>
      </c>
      <c r="AM6" s="31">
        <f t="shared" ca="1" si="91"/>
        <v>12.127717960743428</v>
      </c>
      <c r="AN6" s="31">
        <f t="shared" ca="1" si="92"/>
        <v>0.30344653876292782</v>
      </c>
      <c r="AO6" s="31">
        <f t="shared" ca="1" si="93"/>
        <v>1.5605590009803783</v>
      </c>
      <c r="AP6" s="31">
        <f t="shared" ca="1" si="94"/>
        <v>4.6249771884191047</v>
      </c>
      <c r="AQ6" s="31">
        <f t="shared" ca="1" si="95"/>
        <v>10.17494981452203</v>
      </c>
      <c r="AR6" s="31">
        <f t="shared" ca="1" si="96"/>
        <v>2.3124885942095523</v>
      </c>
      <c r="AS6" s="31">
        <f t="shared" ca="1" si="97"/>
        <v>6.4352906143245727</v>
      </c>
      <c r="AT6" s="31">
        <f t="shared" ca="1" si="98"/>
        <v>0.91871586849808751</v>
      </c>
      <c r="AU6" s="31">
        <f t="shared" ca="1" si="99"/>
        <v>1.3353942266918433</v>
      </c>
      <c r="AV6" s="31">
        <f t="shared" ca="1" si="100"/>
        <v>0.45935793424904375</v>
      </c>
      <c r="AW6" s="31">
        <f t="shared" ca="1" si="101"/>
        <v>3.2374840318933731</v>
      </c>
      <c r="AX6" s="31">
        <f t="shared" ca="1" si="102"/>
        <v>6.8518180569171925</v>
      </c>
      <c r="AY6" s="31">
        <f t="shared" ca="1" si="103"/>
        <v>1.6187420159466865</v>
      </c>
      <c r="AZ6" s="31">
        <f t="shared" ca="1" si="104"/>
        <v>6.8170451422929803</v>
      </c>
      <c r="BA6" s="31">
        <f t="shared" ca="1" si="105"/>
        <v>1.7879624210001241</v>
      </c>
      <c r="BB6" s="31">
        <f t="shared" ca="1" si="106"/>
        <v>3.0014418734034325</v>
      </c>
      <c r="BC6" s="31">
        <f t="shared" ca="1" si="107"/>
        <v>0.89398121050006207</v>
      </c>
      <c r="BD6" s="31">
        <f t="shared" ca="1" si="108"/>
        <v>4.9846976364072564</v>
      </c>
      <c r="BE6" s="31">
        <f t="shared" ca="1" si="109"/>
        <v>5.9610817095179565</v>
      </c>
      <c r="BF6" s="31">
        <f t="shared" ca="1" si="110"/>
        <v>6.0058167703601155</v>
      </c>
      <c r="BG6" s="31">
        <f t="shared" ca="1" si="111"/>
        <v>7.2871031314984602</v>
      </c>
      <c r="BH6" s="31">
        <f t="shared" ca="1" si="112"/>
        <v>1.7031578792926081</v>
      </c>
      <c r="BI6" s="31">
        <f t="shared" ca="1" si="113"/>
        <v>8.307829394012094</v>
      </c>
      <c r="BJ6" s="31">
        <f t="shared" ca="1" si="114"/>
        <v>4.5221999175653469</v>
      </c>
      <c r="BK6" s="31">
        <f t="shared" ca="1" si="115"/>
        <v>2.5972941992136254</v>
      </c>
      <c r="BL6" s="31">
        <f t="shared" ca="1" si="116"/>
        <v>7.3543474543640652</v>
      </c>
      <c r="BM6" s="31">
        <f t="shared" ca="1" si="117"/>
        <v>0.36748634739923497</v>
      </c>
      <c r="BN6" s="31">
        <f t="shared" ca="1" si="118"/>
        <v>3.083318125612736</v>
      </c>
      <c r="BO6" s="31">
        <f t="shared" ca="1" si="119"/>
        <v>1.1648090696759228</v>
      </c>
      <c r="BP6" s="31">
        <f t="shared" ca="1" si="120"/>
        <v>2.0791987683993591</v>
      </c>
      <c r="BQ6" s="31">
        <f t="shared" ca="1" si="121"/>
        <v>10.838220052988774</v>
      </c>
      <c r="BR6" s="31">
        <f t="shared" ca="1" si="122"/>
        <v>0.95405109420955236</v>
      </c>
      <c r="BS6" s="31">
        <f t="shared" ca="1" si="123"/>
        <v>4.8647908204112058</v>
      </c>
      <c r="BT6" s="31">
        <f t="shared" ca="1" si="124"/>
        <v>4.1796090147194871</v>
      </c>
      <c r="BU6" s="31">
        <f t="shared" ca="1" si="125"/>
        <v>4.3015554847868707</v>
      </c>
      <c r="BV6" s="31">
        <f t="shared" ca="1" si="126"/>
        <v>7.5535054023522177</v>
      </c>
      <c r="BW6" s="31">
        <f t="shared" ca="1" si="127"/>
        <v>1.0459226810593609</v>
      </c>
      <c r="BX6" s="31">
        <f t="shared" ca="1" si="128"/>
        <v>2.7677203277709501</v>
      </c>
      <c r="BY6" s="31">
        <f t="shared" ca="1" si="129"/>
        <v>3.3941805191346428</v>
      </c>
      <c r="BZ6" s="31">
        <f t="shared" ca="1" si="130"/>
        <v>5.4797428302218965</v>
      </c>
      <c r="CA6" s="31">
        <f t="shared" ca="1" si="131"/>
        <v>3.3941805191346428</v>
      </c>
      <c r="CB6" s="31">
        <f t="shared" ca="1" si="132"/>
        <v>3.6845191236485269</v>
      </c>
      <c r="CC6" s="31">
        <f t="shared" ca="1" si="133"/>
        <v>5.4247847997990899</v>
      </c>
      <c r="CD6" s="31">
        <f t="shared" ca="1" si="134"/>
        <v>3.6845191236485269</v>
      </c>
      <c r="CE6" s="31">
        <f t="shared" ca="1" si="135"/>
        <v>1.7042612855732451</v>
      </c>
    </row>
    <row r="7" spans="1:83" x14ac:dyDescent="0.25">
      <c r="A7" t="str">
        <f>Plantilla!D8</f>
        <v>Berto Abandero</v>
      </c>
      <c r="B7">
        <f>Plantilla!E8</f>
        <v>23</v>
      </c>
      <c r="C7" s="29">
        <f ca="1">Plantilla!F8</f>
        <v>88</v>
      </c>
      <c r="D7" s="125">
        <f>Plantilla!G8</f>
        <v>0</v>
      </c>
      <c r="E7" s="27">
        <f>Plantilla!M8</f>
        <v>43383</v>
      </c>
      <c r="F7" s="41">
        <f>Plantilla!Q8</f>
        <v>6</v>
      </c>
      <c r="G7" s="42">
        <f t="shared" si="68"/>
        <v>0.92582009977255142</v>
      </c>
      <c r="H7" s="42">
        <f t="shared" si="69"/>
        <v>0.99928545900129484</v>
      </c>
      <c r="I7" s="131">
        <f ca="1">Plantilla!N8</f>
        <v>1</v>
      </c>
      <c r="J7" s="33">
        <f>Plantilla!I8</f>
        <v>4.4000000000000004</v>
      </c>
      <c r="K7" s="40">
        <f>Plantilla!X8</f>
        <v>0</v>
      </c>
      <c r="L7" s="40">
        <f>Plantilla!Y8</f>
        <v>13.833333333333334</v>
      </c>
      <c r="M7" s="40">
        <f>Plantilla!Z8</f>
        <v>3</v>
      </c>
      <c r="N7" s="40">
        <f>Plantilla!AA8</f>
        <v>7.1999999999999993</v>
      </c>
      <c r="O7" s="40">
        <f>Plantilla!AB8</f>
        <v>10.125</v>
      </c>
      <c r="P7" s="40">
        <f>Plantilla!AC8</f>
        <v>3</v>
      </c>
      <c r="Q7" s="40">
        <f>Plantilla!AD8</f>
        <v>2</v>
      </c>
      <c r="R7" s="40">
        <f t="shared" si="70"/>
        <v>4.635416666666667</v>
      </c>
      <c r="S7" s="40">
        <f t="shared" si="71"/>
        <v>0.21000000000000002</v>
      </c>
      <c r="T7" s="40">
        <f t="shared" si="72"/>
        <v>0.6133333333333334</v>
      </c>
      <c r="U7" s="40">
        <f t="shared" ca="1" si="73"/>
        <v>3.5717555275087971</v>
      </c>
      <c r="V7" s="40">
        <f t="shared" ca="1" si="74"/>
        <v>3.8551802478946997</v>
      </c>
      <c r="W7" s="31">
        <f t="shared" ca="1" si="75"/>
        <v>5.439978915429923</v>
      </c>
      <c r="X7" s="31">
        <f t="shared" ca="1" si="76"/>
        <v>8.2777632071248917</v>
      </c>
      <c r="Y7" s="31">
        <f t="shared" ca="1" si="77"/>
        <v>5.439978915429923</v>
      </c>
      <c r="Z7" s="31">
        <f t="shared" ca="1" si="78"/>
        <v>8.0966954414224972</v>
      </c>
      <c r="AA7" s="31">
        <f t="shared" ca="1" si="79"/>
        <v>15.691270235314917</v>
      </c>
      <c r="AB7" s="31">
        <f t="shared" ca="1" si="80"/>
        <v>4.0483477207112486</v>
      </c>
      <c r="AC7" s="31">
        <f t="shared" ca="1" si="81"/>
        <v>1.1561889826716167</v>
      </c>
      <c r="AD7" s="31">
        <f t="shared" ca="1" si="82"/>
        <v>5.9313001489490391</v>
      </c>
      <c r="AE7" s="31">
        <f t="shared" ca="1" si="83"/>
        <v>11.344788380132684</v>
      </c>
      <c r="AF7" s="31">
        <f t="shared" ca="1" si="84"/>
        <v>2.9656500744745196</v>
      </c>
      <c r="AG7" s="31">
        <f t="shared" ca="1" si="85"/>
        <v>1.8703057072629097</v>
      </c>
      <c r="AH7" s="31">
        <f t="shared" ca="1" si="86"/>
        <v>14.435968616489724</v>
      </c>
      <c r="AI7" s="31">
        <f t="shared" ca="1" si="87"/>
        <v>6.4961858774203751</v>
      </c>
      <c r="AJ7" s="31">
        <f t="shared" ca="1" si="88"/>
        <v>0.81127546263092443</v>
      </c>
      <c r="AK7" s="31">
        <f t="shared" ca="1" si="89"/>
        <v>5.3260668983651707</v>
      </c>
      <c r="AL7" s="31">
        <f t="shared" ca="1" si="90"/>
        <v>11.831217757427448</v>
      </c>
      <c r="AM7" s="31">
        <f t="shared" ca="1" si="91"/>
        <v>11.109419326602961</v>
      </c>
      <c r="AN7" s="31">
        <f t="shared" ca="1" si="92"/>
        <v>0.64427546263092439</v>
      </c>
      <c r="AO7" s="31">
        <f t="shared" ca="1" si="93"/>
        <v>1.870085827770696</v>
      </c>
      <c r="AP7" s="31">
        <f t="shared" ca="1" si="94"/>
        <v>4.2366429635350276</v>
      </c>
      <c r="AQ7" s="31">
        <f t="shared" ca="1" si="95"/>
        <v>9.3206145197770596</v>
      </c>
      <c r="AR7" s="31">
        <f t="shared" ca="1" si="96"/>
        <v>2.1183214817675138</v>
      </c>
      <c r="AS7" s="31">
        <f t="shared" ca="1" si="97"/>
        <v>4.5858924354706145</v>
      </c>
      <c r="AT7" s="31">
        <f t="shared" ca="1" si="98"/>
        <v>1.5577817972576058</v>
      </c>
      <c r="AU7" s="31">
        <f t="shared" ca="1" si="99"/>
        <v>2.2783755122806038</v>
      </c>
      <c r="AV7" s="31">
        <f t="shared" ca="1" si="100"/>
        <v>0.7788908986288029</v>
      </c>
      <c r="AW7" s="31">
        <f t="shared" ca="1" si="101"/>
        <v>2.9656500744745196</v>
      </c>
      <c r="AX7" s="31">
        <f t="shared" ca="1" si="102"/>
        <v>6.2765080941259672</v>
      </c>
      <c r="AY7" s="31">
        <f t="shared" ca="1" si="103"/>
        <v>1.4828250372372598</v>
      </c>
      <c r="AZ7" s="31">
        <f t="shared" ca="1" si="104"/>
        <v>4.8579369019815832</v>
      </c>
      <c r="BA7" s="31">
        <f t="shared" ca="1" si="105"/>
        <v>3.0316830362013407</v>
      </c>
      <c r="BB7" s="31">
        <f t="shared" ca="1" si="106"/>
        <v>5.1063482329918521</v>
      </c>
      <c r="BC7" s="31">
        <f t="shared" ca="1" si="107"/>
        <v>1.5158415181006704</v>
      </c>
      <c r="BD7" s="31">
        <f t="shared" ca="1" si="108"/>
        <v>4.5661596384766403</v>
      </c>
      <c r="BE7" s="31">
        <f t="shared" ca="1" si="109"/>
        <v>5.4605620418895908</v>
      </c>
      <c r="BF7" s="31">
        <f t="shared" ca="1" si="110"/>
        <v>4.2798424106457746</v>
      </c>
      <c r="BG7" s="31">
        <f t="shared" ca="1" si="111"/>
        <v>8.9738809058616269</v>
      </c>
      <c r="BH7" s="31">
        <f t="shared" ca="1" si="112"/>
        <v>2.8878877933775615</v>
      </c>
      <c r="BI7" s="31">
        <f t="shared" ca="1" si="113"/>
        <v>7.6102660641277344</v>
      </c>
      <c r="BJ7" s="31">
        <f t="shared" ca="1" si="114"/>
        <v>4.1424953421231381</v>
      </c>
      <c r="BK7" s="31">
        <f t="shared" ca="1" si="115"/>
        <v>1.8508739596549832</v>
      </c>
      <c r="BL7" s="31">
        <f t="shared" ca="1" si="116"/>
        <v>8.5045618523319035</v>
      </c>
      <c r="BM7" s="31">
        <f t="shared" ca="1" si="117"/>
        <v>0.62311271890304232</v>
      </c>
      <c r="BN7" s="31">
        <f t="shared" ca="1" si="118"/>
        <v>2.8244286423566849</v>
      </c>
      <c r="BO7" s="31">
        <f t="shared" ca="1" si="119"/>
        <v>1.0670063760014143</v>
      </c>
      <c r="BP7" s="31">
        <f t="shared" ca="1" si="120"/>
        <v>1.4816707551043828</v>
      </c>
      <c r="BQ7" s="31">
        <f t="shared" ca="1" si="121"/>
        <v>12.485056855948315</v>
      </c>
      <c r="BR7" s="31">
        <f t="shared" ca="1" si="122"/>
        <v>1.6176964817675139</v>
      </c>
      <c r="BS7" s="31">
        <f t="shared" ca="1" si="123"/>
        <v>4.4563207468294364</v>
      </c>
      <c r="BT7" s="31">
        <f t="shared" ca="1" si="124"/>
        <v>3.8286699374168398</v>
      </c>
      <c r="BU7" s="31">
        <f t="shared" ca="1" si="125"/>
        <v>3.0653581851503788</v>
      </c>
      <c r="BV7" s="31">
        <f t="shared" ca="1" si="126"/>
        <v>8.6713785272735162</v>
      </c>
      <c r="BW7" s="31">
        <f t="shared" ca="1" si="127"/>
        <v>1.7734746614932742</v>
      </c>
      <c r="BX7" s="31">
        <f t="shared" ca="1" si="128"/>
        <v>1.9723223822045228</v>
      </c>
      <c r="BY7" s="31">
        <f t="shared" ca="1" si="129"/>
        <v>4.9170351259324043</v>
      </c>
      <c r="BZ7" s="31">
        <f t="shared" ca="1" si="130"/>
        <v>9.338911951631264</v>
      </c>
      <c r="CA7" s="31">
        <f t="shared" ca="1" si="131"/>
        <v>4.9170351259324043</v>
      </c>
      <c r="CB7" s="31">
        <f t="shared" ca="1" si="132"/>
        <v>4.9664446899345265</v>
      </c>
      <c r="CC7" s="31">
        <f t="shared" ca="1" si="133"/>
        <v>9.2796406188127882</v>
      </c>
      <c r="CD7" s="31">
        <f t="shared" ca="1" si="134"/>
        <v>4.9664446899345265</v>
      </c>
      <c r="CE7" s="31">
        <f t="shared" ca="1" si="135"/>
        <v>1.2144842254953958</v>
      </c>
    </row>
    <row r="8" spans="1:83" x14ac:dyDescent="0.25">
      <c r="A8" t="str">
        <f>Plantilla!D9</f>
        <v>Guillermo Pedrajas</v>
      </c>
      <c r="B8">
        <f>Plantilla!E9</f>
        <v>23</v>
      </c>
      <c r="C8" s="29">
        <f ca="1">Plantilla!F9</f>
        <v>73</v>
      </c>
      <c r="D8" s="125">
        <f>Plantilla!G9</f>
        <v>0</v>
      </c>
      <c r="E8" s="27">
        <f>Plantilla!M9</f>
        <v>43419</v>
      </c>
      <c r="F8" s="41">
        <f>Plantilla!Q9</f>
        <v>3</v>
      </c>
      <c r="G8" s="42">
        <f t="shared" si="68"/>
        <v>0.65465367070797709</v>
      </c>
      <c r="H8" s="42">
        <f t="shared" si="69"/>
        <v>0.75498344352707503</v>
      </c>
      <c r="I8" s="131">
        <f ca="1">Plantilla!N9</f>
        <v>1</v>
      </c>
      <c r="J8" s="33">
        <f>Plantilla!I9</f>
        <v>4.9000000000000004</v>
      </c>
      <c r="K8" s="40">
        <f>Plantilla!X9</f>
        <v>0</v>
      </c>
      <c r="L8" s="40">
        <f>Plantilla!Y9</f>
        <v>12.090909090909092</v>
      </c>
      <c r="M8" s="40">
        <f>Plantilla!Z9</f>
        <v>11</v>
      </c>
      <c r="N8" s="40">
        <f>Plantilla!AA9</f>
        <v>4</v>
      </c>
      <c r="O8" s="40">
        <f>Plantilla!AB9</f>
        <v>9.1428571428571423</v>
      </c>
      <c r="P8" s="40">
        <f>Plantilla!AC9</f>
        <v>4</v>
      </c>
      <c r="Q8" s="40">
        <f>Plantilla!AD9</f>
        <v>1</v>
      </c>
      <c r="R8" s="40">
        <f t="shared" si="70"/>
        <v>4.1720779220779223</v>
      </c>
      <c r="S8" s="40">
        <f t="shared" si="71"/>
        <v>0.22999999999999998</v>
      </c>
      <c r="T8" s="40">
        <f t="shared" si="72"/>
        <v>0.51363636363636367</v>
      </c>
      <c r="U8" s="40">
        <f t="shared" ca="1" si="73"/>
        <v>1.9117598711478518</v>
      </c>
      <c r="V8" s="40">
        <f t="shared" ca="1" si="74"/>
        <v>2.204749037999238</v>
      </c>
      <c r="W8" s="31">
        <f t="shared" ca="1" si="75"/>
        <v>5.0134791462440997</v>
      </c>
      <c r="X8" s="31">
        <f t="shared" ca="1" si="76"/>
        <v>7.6176938827254457</v>
      </c>
      <c r="Y8" s="31">
        <f t="shared" ca="1" si="77"/>
        <v>5.0134791462440997</v>
      </c>
      <c r="Z8" s="31">
        <f t="shared" ca="1" si="78"/>
        <v>7.2297639939687093</v>
      </c>
      <c r="AA8" s="31">
        <f t="shared" ca="1" si="79"/>
        <v>14.01117053094711</v>
      </c>
      <c r="AB8" s="31">
        <f t="shared" ca="1" si="80"/>
        <v>3.6148819969843546</v>
      </c>
      <c r="AC8" s="31">
        <f t="shared" ca="1" si="81"/>
        <v>3.0750222227290482</v>
      </c>
      <c r="AD8" s="31">
        <f t="shared" ca="1" si="82"/>
        <v>5.2962224606980079</v>
      </c>
      <c r="AE8" s="31">
        <f t="shared" ca="1" si="83"/>
        <v>10.13007629387476</v>
      </c>
      <c r="AF8" s="31">
        <f t="shared" ca="1" si="84"/>
        <v>2.648111230349004</v>
      </c>
      <c r="AG8" s="31">
        <f t="shared" ca="1" si="85"/>
        <v>4.9743006544146375</v>
      </c>
      <c r="AH8" s="31">
        <f t="shared" ca="1" si="86"/>
        <v>12.890276888471343</v>
      </c>
      <c r="AI8" s="31">
        <f t="shared" ca="1" si="87"/>
        <v>5.8006245998121031</v>
      </c>
      <c r="AJ8" s="31">
        <f t="shared" ca="1" si="88"/>
        <v>2.1576836604863492</v>
      </c>
      <c r="AK8" s="31">
        <f t="shared" ca="1" si="89"/>
        <v>3.4811137267423549</v>
      </c>
      <c r="AL8" s="31">
        <f t="shared" ca="1" si="90"/>
        <v>10.564422580334121</v>
      </c>
      <c r="AM8" s="31">
        <f t="shared" ca="1" si="91"/>
        <v>9.9199087359105533</v>
      </c>
      <c r="AN8" s="31">
        <f t="shared" ca="1" si="92"/>
        <v>0.48768366048634909</v>
      </c>
      <c r="AO8" s="31">
        <f t="shared" ca="1" si="93"/>
        <v>1.7545937362893909</v>
      </c>
      <c r="AP8" s="31">
        <f t="shared" ca="1" si="94"/>
        <v>3.7830160433557198</v>
      </c>
      <c r="AQ8" s="31">
        <f t="shared" ca="1" si="95"/>
        <v>8.3226352953825824</v>
      </c>
      <c r="AR8" s="31">
        <f t="shared" ca="1" si="96"/>
        <v>1.8915080216778599</v>
      </c>
      <c r="AS8" s="31">
        <f t="shared" ca="1" si="97"/>
        <v>12.196726799395888</v>
      </c>
      <c r="AT8" s="31">
        <f t="shared" ca="1" si="98"/>
        <v>1.4382054157763711</v>
      </c>
      <c r="AU8" s="31">
        <f t="shared" ca="1" si="99"/>
        <v>2.3517794590739962</v>
      </c>
      <c r="AV8" s="31">
        <f t="shared" ca="1" si="100"/>
        <v>0.71910270788818553</v>
      </c>
      <c r="AW8" s="31">
        <f t="shared" ca="1" si="101"/>
        <v>2.648111230349004</v>
      </c>
      <c r="AX8" s="31">
        <f t="shared" ca="1" si="102"/>
        <v>5.6044682123788441</v>
      </c>
      <c r="AY8" s="31">
        <f t="shared" ca="1" si="103"/>
        <v>1.324055615174502</v>
      </c>
      <c r="AZ8" s="31">
        <f t="shared" ca="1" si="104"/>
        <v>12.920261440038018</v>
      </c>
      <c r="BA8" s="31">
        <f t="shared" ca="1" si="105"/>
        <v>2.7989690014724755</v>
      </c>
      <c r="BB8" s="31">
        <f t="shared" ca="1" si="106"/>
        <v>5.0157783391752337</v>
      </c>
      <c r="BC8" s="31">
        <f t="shared" ca="1" si="107"/>
        <v>1.3994845007362378</v>
      </c>
      <c r="BD8" s="31">
        <f t="shared" ca="1" si="108"/>
        <v>4.0772506245056084</v>
      </c>
      <c r="BE8" s="31">
        <f t="shared" ca="1" si="109"/>
        <v>4.8758873447695938</v>
      </c>
      <c r="BF8" s="31">
        <f t="shared" ca="1" si="110"/>
        <v>11.382750328673493</v>
      </c>
      <c r="BG8" s="31">
        <f t="shared" ca="1" si="111"/>
        <v>6.8831124201937977</v>
      </c>
      <c r="BH8" s="31">
        <f t="shared" ca="1" si="112"/>
        <v>2.6662115784777338</v>
      </c>
      <c r="BI8" s="31">
        <f t="shared" ca="1" si="113"/>
        <v>6.7954177075093485</v>
      </c>
      <c r="BJ8" s="31">
        <f t="shared" ca="1" si="114"/>
        <v>3.6989490201700375</v>
      </c>
      <c r="BK8" s="31">
        <f t="shared" ca="1" si="115"/>
        <v>4.9226196086544851</v>
      </c>
      <c r="BL8" s="31">
        <f t="shared" ca="1" si="116"/>
        <v>6.2080227843075146</v>
      </c>
      <c r="BM8" s="31">
        <f t="shared" ca="1" si="117"/>
        <v>0.57528216631054829</v>
      </c>
      <c r="BN8" s="31">
        <f t="shared" ca="1" si="118"/>
        <v>2.5220106955704797</v>
      </c>
      <c r="BO8" s="31">
        <f t="shared" ca="1" si="119"/>
        <v>0.95275959610440353</v>
      </c>
      <c r="BP8" s="31">
        <f t="shared" ca="1" si="120"/>
        <v>3.9406797392115958</v>
      </c>
      <c r="BQ8" s="31">
        <f t="shared" ca="1" si="121"/>
        <v>9.0843133547460333</v>
      </c>
      <c r="BR8" s="31">
        <f t="shared" ca="1" si="122"/>
        <v>1.4935210086908468</v>
      </c>
      <c r="BS8" s="31">
        <f t="shared" ca="1" si="123"/>
        <v>3.9791724307889789</v>
      </c>
      <c r="BT8" s="31">
        <f t="shared" ca="1" si="124"/>
        <v>3.4187256095510947</v>
      </c>
      <c r="BU8" s="31">
        <f t="shared" ca="1" si="125"/>
        <v>8.1526849686639888</v>
      </c>
      <c r="BV8" s="31">
        <f t="shared" ca="1" si="126"/>
        <v>6.2912054174054548</v>
      </c>
      <c r="BW8" s="31">
        <f t="shared" ca="1" si="127"/>
        <v>1.6373415502684838</v>
      </c>
      <c r="BX8" s="31">
        <f t="shared" ca="1" si="128"/>
        <v>5.2456261446554358</v>
      </c>
      <c r="BY8" s="31">
        <f t="shared" ca="1" si="129"/>
        <v>4.3701704959740937</v>
      </c>
      <c r="BZ8" s="31">
        <f t="shared" ca="1" si="130"/>
        <v>9.4587858100542377</v>
      </c>
      <c r="CA8" s="31">
        <f t="shared" ca="1" si="131"/>
        <v>4.3701704959740937</v>
      </c>
      <c r="CB8" s="31">
        <f t="shared" ca="1" si="132"/>
        <v>4.4186085914293995</v>
      </c>
      <c r="CC8" s="31">
        <f t="shared" ca="1" si="133"/>
        <v>10.002552197126333</v>
      </c>
      <c r="CD8" s="31">
        <f t="shared" ca="1" si="134"/>
        <v>4.4186085914293995</v>
      </c>
      <c r="CE8" s="31">
        <f t="shared" ca="1" si="135"/>
        <v>3.2300653600095046</v>
      </c>
    </row>
    <row r="9" spans="1:83" x14ac:dyDescent="0.25">
      <c r="A9" t="str">
        <f>Plantilla!D10</f>
        <v>Venanci Oset</v>
      </c>
      <c r="B9">
        <f>Plantilla!E10</f>
        <v>24</v>
      </c>
      <c r="C9" s="29">
        <f ca="1">Plantilla!F10</f>
        <v>4</v>
      </c>
      <c r="D9" s="125">
        <f>Plantilla!G10</f>
        <v>0</v>
      </c>
      <c r="E9" s="27">
        <f>Plantilla!M10</f>
        <v>43706</v>
      </c>
      <c r="F9" s="41">
        <f>Plantilla!Q10</f>
        <v>6</v>
      </c>
      <c r="G9" s="42">
        <f t="shared" si="68"/>
        <v>0.92582009977255142</v>
      </c>
      <c r="H9" s="42">
        <f t="shared" si="69"/>
        <v>0.99928545900129484</v>
      </c>
      <c r="I9" s="131">
        <f ca="1">Plantilla!N10</f>
        <v>0.31403277993421796</v>
      </c>
      <c r="J9" s="33">
        <f>Plantilla!I10</f>
        <v>4.8</v>
      </c>
      <c r="K9" s="40">
        <f>Plantilla!X10</f>
        <v>0</v>
      </c>
      <c r="L9" s="40">
        <f>Plantilla!Y10</f>
        <v>13.75</v>
      </c>
      <c r="M9" s="40">
        <f>Plantilla!Z10</f>
        <v>5</v>
      </c>
      <c r="N9" s="40">
        <f>Plantilla!AA10</f>
        <v>2</v>
      </c>
      <c r="O9" s="40">
        <f>Plantilla!AB10</f>
        <v>10</v>
      </c>
      <c r="P9" s="40">
        <f>Plantilla!AC10</f>
        <v>6</v>
      </c>
      <c r="Q9" s="40">
        <f>Plantilla!AD10</f>
        <v>0</v>
      </c>
      <c r="R9" s="40">
        <f t="shared" si="70"/>
        <v>4.59375</v>
      </c>
      <c r="S9" s="40">
        <f t="shared" si="71"/>
        <v>0.3</v>
      </c>
      <c r="T9" s="40">
        <f t="shared" si="72"/>
        <v>0.55000000000000004</v>
      </c>
      <c r="U9" s="40">
        <f t="shared" ca="1" si="73"/>
        <v>1.1316803001255393</v>
      </c>
      <c r="V9" s="40">
        <f t="shared" ca="1" si="74"/>
        <v>1.2214810074133158</v>
      </c>
      <c r="W9" s="31">
        <f t="shared" ca="1" si="75"/>
        <v>4.8621154171877556</v>
      </c>
      <c r="X9" s="31">
        <f t="shared" ca="1" si="76"/>
        <v>7.4218095688309189</v>
      </c>
      <c r="Y9" s="31">
        <f t="shared" ca="1" si="77"/>
        <v>4.8621154171877556</v>
      </c>
      <c r="Z9" s="31">
        <f t="shared" ca="1" si="78"/>
        <v>7.7257348857604606</v>
      </c>
      <c r="AA9" s="31">
        <f t="shared" ca="1" si="79"/>
        <v>14.972354429768334</v>
      </c>
      <c r="AB9" s="31">
        <f t="shared" ca="1" si="80"/>
        <v>3.8628674428802303</v>
      </c>
      <c r="AC9" s="31">
        <f t="shared" ca="1" si="81"/>
        <v>1.4809203542848635</v>
      </c>
      <c r="AD9" s="31">
        <f t="shared" ca="1" si="82"/>
        <v>5.65954997445243</v>
      </c>
      <c r="AE9" s="31">
        <f t="shared" ca="1" si="83"/>
        <v>10.825012252722505</v>
      </c>
      <c r="AF9" s="31">
        <f t="shared" ca="1" si="84"/>
        <v>2.829774987226215</v>
      </c>
      <c r="AG9" s="31">
        <f t="shared" ca="1" si="85"/>
        <v>2.3956064554608085</v>
      </c>
      <c r="AH9" s="31">
        <f t="shared" ca="1" si="86"/>
        <v>13.774566075386868</v>
      </c>
      <c r="AI9" s="31">
        <f t="shared" ca="1" si="87"/>
        <v>6.1985547339240901</v>
      </c>
      <c r="AJ9" s="31">
        <f t="shared" ca="1" si="88"/>
        <v>1.0391331897713119</v>
      </c>
      <c r="AK9" s="31">
        <f t="shared" ca="1" si="89"/>
        <v>1.8947444047037802</v>
      </c>
      <c r="AL9" s="31">
        <f t="shared" ca="1" si="90"/>
        <v>11.289155240045323</v>
      </c>
      <c r="AM9" s="31">
        <f t="shared" ca="1" si="91"/>
        <v>10.60042693627598</v>
      </c>
      <c r="AN9" s="31">
        <f t="shared" ca="1" si="92"/>
        <v>0.20413318977131181</v>
      </c>
      <c r="AO9" s="31">
        <f t="shared" ca="1" si="93"/>
        <v>1.6750380757732801</v>
      </c>
      <c r="AP9" s="31">
        <f t="shared" ca="1" si="94"/>
        <v>4.0425356960374508</v>
      </c>
      <c r="AQ9" s="31">
        <f t="shared" ca="1" si="95"/>
        <v>8.8935785312823903</v>
      </c>
      <c r="AR9" s="31">
        <f t="shared" ca="1" si="96"/>
        <v>2.0212678480187254</v>
      </c>
      <c r="AS9" s="31">
        <f t="shared" ca="1" si="97"/>
        <v>5.8739025817013069</v>
      </c>
      <c r="AT9" s="31">
        <f t="shared" ca="1" si="98"/>
        <v>1.4589060758698835</v>
      </c>
      <c r="AU9" s="31">
        <f t="shared" ca="1" si="99"/>
        <v>2.5961498479221214</v>
      </c>
      <c r="AV9" s="31">
        <f t="shared" ca="1" si="100"/>
        <v>0.72945303793494176</v>
      </c>
      <c r="AW9" s="31">
        <f t="shared" ca="1" si="101"/>
        <v>2.829774987226215</v>
      </c>
      <c r="AX9" s="31">
        <f t="shared" ca="1" si="102"/>
        <v>5.9889417719073341</v>
      </c>
      <c r="AY9" s="31">
        <f t="shared" ca="1" si="103"/>
        <v>1.4148874936131075</v>
      </c>
      <c r="AZ9" s="31">
        <f t="shared" ca="1" si="104"/>
        <v>6.222354429768334</v>
      </c>
      <c r="BA9" s="31">
        <f t="shared" ca="1" si="105"/>
        <v>2.8392556707313887</v>
      </c>
      <c r="BB9" s="31">
        <f t="shared" ca="1" si="106"/>
        <v>5.3435172908023523</v>
      </c>
      <c r="BC9" s="31">
        <f t="shared" ca="1" si="107"/>
        <v>1.4196278353656944</v>
      </c>
      <c r="BD9" s="31">
        <f t="shared" ca="1" si="108"/>
        <v>4.3569551390625847</v>
      </c>
      <c r="BE9" s="31">
        <f t="shared" ca="1" si="109"/>
        <v>5.2103793415593795</v>
      </c>
      <c r="BF9" s="31">
        <f t="shared" ca="1" si="110"/>
        <v>5.481894252625902</v>
      </c>
      <c r="BG9" s="31">
        <f t="shared" ca="1" si="111"/>
        <v>5.3846730880640488</v>
      </c>
      <c r="BH9" s="31">
        <f t="shared" ca="1" si="112"/>
        <v>2.7045874175741682</v>
      </c>
      <c r="BI9" s="31">
        <f t="shared" ca="1" si="113"/>
        <v>7.2615918984376417</v>
      </c>
      <c r="BJ9" s="31">
        <f t="shared" ca="1" si="114"/>
        <v>3.9527015694588403</v>
      </c>
      <c r="BK9" s="31">
        <f t="shared" ca="1" si="115"/>
        <v>2.3707170377417355</v>
      </c>
      <c r="BL9" s="31">
        <f t="shared" ca="1" si="116"/>
        <v>4.4243377716175241</v>
      </c>
      <c r="BM9" s="31">
        <f t="shared" ca="1" si="117"/>
        <v>0.5835624303479533</v>
      </c>
      <c r="BN9" s="31">
        <f t="shared" ca="1" si="118"/>
        <v>2.6950237973583002</v>
      </c>
      <c r="BO9" s="31">
        <f t="shared" ca="1" si="119"/>
        <v>1.0181201012242467</v>
      </c>
      <c r="BP9" s="31">
        <f t="shared" ca="1" si="120"/>
        <v>1.8978181010793418</v>
      </c>
      <c r="BQ9" s="31">
        <f t="shared" ca="1" si="121"/>
        <v>6.4319477966820777</v>
      </c>
      <c r="BR9" s="31">
        <f t="shared" ca="1" si="122"/>
        <v>1.5150178480187251</v>
      </c>
      <c r="BS9" s="31">
        <f t="shared" ca="1" si="123"/>
        <v>4.2521486580542067</v>
      </c>
      <c r="BT9" s="31">
        <f t="shared" ca="1" si="124"/>
        <v>3.6532544808634735</v>
      </c>
      <c r="BU9" s="31">
        <f t="shared" ca="1" si="125"/>
        <v>3.926305645183819</v>
      </c>
      <c r="BV9" s="31">
        <f t="shared" ca="1" si="126"/>
        <v>4.4280072146426583</v>
      </c>
      <c r="BW9" s="31">
        <f t="shared" ca="1" si="127"/>
        <v>1.6609084556057134</v>
      </c>
      <c r="BX9" s="31">
        <f t="shared" ca="1" si="128"/>
        <v>2.5262758984859439</v>
      </c>
      <c r="BY9" s="31">
        <f t="shared" ca="1" si="129"/>
        <v>4.1868466579093022</v>
      </c>
      <c r="BZ9" s="31">
        <f t="shared" ca="1" si="130"/>
        <v>10.304371087919144</v>
      </c>
      <c r="CA9" s="31">
        <f t="shared" ca="1" si="131"/>
        <v>4.1868466579093022</v>
      </c>
      <c r="CB9" s="31">
        <f t="shared" ca="1" si="132"/>
        <v>4.1835268097456719</v>
      </c>
      <c r="CC9" s="31">
        <f t="shared" ca="1" si="133"/>
        <v>11.36340321435285</v>
      </c>
      <c r="CD9" s="31">
        <f t="shared" ca="1" si="134"/>
        <v>4.1835268097456719</v>
      </c>
      <c r="CE9" s="31">
        <f t="shared" ca="1" si="135"/>
        <v>1.5555886074420835</v>
      </c>
    </row>
    <row r="10" spans="1:83" x14ac:dyDescent="0.25">
      <c r="A10" t="str">
        <f>Plantilla!D11</f>
        <v>Francesc Añigas</v>
      </c>
      <c r="B10">
        <f>Plantilla!E11</f>
        <v>23</v>
      </c>
      <c r="C10" s="29">
        <f ca="1">Plantilla!F11</f>
        <v>53</v>
      </c>
      <c r="D10" s="125" t="str">
        <f>Plantilla!G11</f>
        <v>IMP</v>
      </c>
      <c r="E10" s="27">
        <f>Plantilla!M11</f>
        <v>43137</v>
      </c>
      <c r="F10" s="41">
        <f>Plantilla!Q11</f>
        <v>6</v>
      </c>
      <c r="G10" s="42">
        <f t="shared" si="68"/>
        <v>0.92582009977255142</v>
      </c>
      <c r="H10" s="42">
        <f t="shared" si="69"/>
        <v>0.99928545900129484</v>
      </c>
      <c r="I10" s="131">
        <f ca="1">Plantilla!N11</f>
        <v>1</v>
      </c>
      <c r="J10" s="33">
        <f>Plantilla!I11</f>
        <v>4.8</v>
      </c>
      <c r="K10" s="40">
        <f>Plantilla!X11</f>
        <v>0</v>
      </c>
      <c r="L10" s="40">
        <f>Plantilla!Y11</f>
        <v>13.25</v>
      </c>
      <c r="M10" s="40">
        <f>Plantilla!Z11</f>
        <v>4</v>
      </c>
      <c r="N10" s="40">
        <f>Plantilla!AA11</f>
        <v>12.666666666666666</v>
      </c>
      <c r="O10" s="40">
        <f>Plantilla!AB11</f>
        <v>4.5</v>
      </c>
      <c r="P10" s="40">
        <f>Plantilla!AC11</f>
        <v>7</v>
      </c>
      <c r="Q10" s="40">
        <f>Plantilla!AD11</f>
        <v>3</v>
      </c>
      <c r="R10" s="40">
        <f t="shared" si="70"/>
        <v>3.15625</v>
      </c>
      <c r="S10" s="40">
        <f t="shared" si="71"/>
        <v>0.44000000000000006</v>
      </c>
      <c r="T10" s="40">
        <f t="shared" si="72"/>
        <v>0.62000000000000011</v>
      </c>
      <c r="U10" s="40">
        <f t="shared" ca="1" si="73"/>
        <v>4.5442228395651956</v>
      </c>
      <c r="V10" s="40">
        <f t="shared" ca="1" si="74"/>
        <v>4.904814452780478</v>
      </c>
      <c r="W10" s="31">
        <f t="shared" ca="1" si="75"/>
        <v>5.3229648003051837</v>
      </c>
      <c r="X10" s="31">
        <f t="shared" ca="1" si="76"/>
        <v>8.0948932499358435</v>
      </c>
      <c r="Y10" s="31">
        <f t="shared" ca="1" si="77"/>
        <v>5.3229648003051837</v>
      </c>
      <c r="Z10" s="31">
        <f t="shared" ca="1" si="78"/>
        <v>7.8216939713144038</v>
      </c>
      <c r="AA10" s="31">
        <f t="shared" ca="1" si="79"/>
        <v>15.158321649834116</v>
      </c>
      <c r="AB10" s="31">
        <f t="shared" ca="1" si="80"/>
        <v>3.9108469856572019</v>
      </c>
      <c r="AC10" s="31">
        <f t="shared" ca="1" si="81"/>
        <v>1.4061805526605196</v>
      </c>
      <c r="AD10" s="31">
        <f t="shared" ca="1" si="82"/>
        <v>5.7298455836372959</v>
      </c>
      <c r="AE10" s="31">
        <f t="shared" ca="1" si="83"/>
        <v>10.959466552830065</v>
      </c>
      <c r="AF10" s="31">
        <f t="shared" ca="1" si="84"/>
        <v>2.864922791818648</v>
      </c>
      <c r="AG10" s="31">
        <f t="shared" ca="1" si="85"/>
        <v>2.2747038351861346</v>
      </c>
      <c r="AH10" s="31">
        <f t="shared" ca="1" si="86"/>
        <v>13.945655917847388</v>
      </c>
      <c r="AI10" s="31">
        <f t="shared" ca="1" si="87"/>
        <v>6.2755451630313237</v>
      </c>
      <c r="AJ10" s="31">
        <f t="shared" ca="1" si="88"/>
        <v>0.98668971552229745</v>
      </c>
      <c r="AK10" s="31">
        <f t="shared" ca="1" si="89"/>
        <v>8.5700931301024603</v>
      </c>
      <c r="AL10" s="31">
        <f t="shared" ca="1" si="90"/>
        <v>11.429374523974923</v>
      </c>
      <c r="AM10" s="31">
        <f t="shared" ca="1" si="91"/>
        <v>10.732091728082553</v>
      </c>
      <c r="AN10" s="31">
        <f t="shared" ca="1" si="92"/>
        <v>0.81968971552229741</v>
      </c>
      <c r="AO10" s="31">
        <f t="shared" ca="1" si="93"/>
        <v>1.4585966351522253</v>
      </c>
      <c r="AP10" s="31">
        <f t="shared" ca="1" si="94"/>
        <v>4.0927468454552116</v>
      </c>
      <c r="AQ10" s="31">
        <f t="shared" ca="1" si="95"/>
        <v>9.0040430600014645</v>
      </c>
      <c r="AR10" s="31">
        <f t="shared" ca="1" si="96"/>
        <v>2.0463734227276058</v>
      </c>
      <c r="AS10" s="31">
        <f t="shared" ca="1" si="97"/>
        <v>5.5774556374434052</v>
      </c>
      <c r="AT10" s="31">
        <f t="shared" ca="1" si="98"/>
        <v>0.8330818144784351</v>
      </c>
      <c r="AU10" s="31">
        <f t="shared" ca="1" si="99"/>
        <v>2.3101382434013962</v>
      </c>
      <c r="AV10" s="31">
        <f t="shared" ca="1" si="100"/>
        <v>0.41654090723921755</v>
      </c>
      <c r="AW10" s="31">
        <f t="shared" ca="1" si="101"/>
        <v>2.864922791818648</v>
      </c>
      <c r="AX10" s="31">
        <f t="shared" ca="1" si="102"/>
        <v>6.0633286599336467</v>
      </c>
      <c r="AY10" s="31">
        <f t="shared" ca="1" si="103"/>
        <v>1.432461395909324</v>
      </c>
      <c r="AZ10" s="31">
        <f t="shared" ca="1" si="104"/>
        <v>5.9083216498341162</v>
      </c>
      <c r="BA10" s="31">
        <f t="shared" ca="1" si="105"/>
        <v>1.6213053774080315</v>
      </c>
      <c r="BB10" s="31">
        <f t="shared" ca="1" si="106"/>
        <v>4.0559852290585976</v>
      </c>
      <c r="BC10" s="31">
        <f t="shared" ca="1" si="107"/>
        <v>0.81065268870401574</v>
      </c>
      <c r="BD10" s="31">
        <f t="shared" ca="1" si="108"/>
        <v>4.4110716001017272</v>
      </c>
      <c r="BE10" s="31">
        <f t="shared" ca="1" si="109"/>
        <v>5.2750959341422723</v>
      </c>
      <c r="BF10" s="31">
        <f t="shared" ca="1" si="110"/>
        <v>5.2052313735038567</v>
      </c>
      <c r="BG10" s="31">
        <f t="shared" ca="1" si="111"/>
        <v>10.384664613369194</v>
      </c>
      <c r="BH10" s="31">
        <f t="shared" ca="1" si="112"/>
        <v>1.544405517610022</v>
      </c>
      <c r="BI10" s="31">
        <f t="shared" ca="1" si="113"/>
        <v>7.3517860001695459</v>
      </c>
      <c r="BJ10" s="31">
        <f t="shared" ca="1" si="114"/>
        <v>4.0017969155562065</v>
      </c>
      <c r="BK10" s="31">
        <f t="shared" ca="1" si="115"/>
        <v>2.2510705485867981</v>
      </c>
      <c r="BL10" s="31">
        <f t="shared" ca="1" si="116"/>
        <v>11.097039788621684</v>
      </c>
      <c r="BM10" s="31">
        <f t="shared" ca="1" si="117"/>
        <v>0.33323272579137403</v>
      </c>
      <c r="BN10" s="31">
        <f t="shared" ca="1" si="118"/>
        <v>2.7284978969701408</v>
      </c>
      <c r="BO10" s="31">
        <f t="shared" ca="1" si="119"/>
        <v>1.0307658721887201</v>
      </c>
      <c r="BP10" s="31">
        <f t="shared" ca="1" si="120"/>
        <v>1.8020381031994055</v>
      </c>
      <c r="BQ10" s="31">
        <f t="shared" ca="1" si="121"/>
        <v>16.40776830835334</v>
      </c>
      <c r="BR10" s="31">
        <f t="shared" ca="1" si="122"/>
        <v>0.86512342272760578</v>
      </c>
      <c r="BS10" s="31">
        <f t="shared" ca="1" si="123"/>
        <v>4.3049633485528886</v>
      </c>
      <c r="BT10" s="31">
        <f t="shared" ca="1" si="124"/>
        <v>3.6986304825595244</v>
      </c>
      <c r="BU10" s="31">
        <f t="shared" ca="1" si="125"/>
        <v>3.7281509610453272</v>
      </c>
      <c r="BV10" s="31">
        <f t="shared" ca="1" si="126"/>
        <v>11.468447876601534</v>
      </c>
      <c r="BW10" s="31">
        <f t="shared" ca="1" si="127"/>
        <v>0.94843160417544914</v>
      </c>
      <c r="BX10" s="31">
        <f t="shared" ca="1" si="128"/>
        <v>2.3987785898326512</v>
      </c>
      <c r="BY10" s="31">
        <f t="shared" ca="1" si="129"/>
        <v>4.8322355795635747</v>
      </c>
      <c r="BZ10" s="31">
        <f t="shared" ca="1" si="130"/>
        <v>8.6732701777132153</v>
      </c>
      <c r="CA10" s="31">
        <f t="shared" ca="1" si="131"/>
        <v>4.8322355795635747</v>
      </c>
      <c r="CB10" s="31">
        <f t="shared" ca="1" si="132"/>
        <v>6.447217721179987</v>
      </c>
      <c r="CC10" s="31">
        <f t="shared" ca="1" si="133"/>
        <v>11.272992338622906</v>
      </c>
      <c r="CD10" s="31">
        <f t="shared" ca="1" si="134"/>
        <v>6.447217721179987</v>
      </c>
      <c r="CE10" s="31">
        <f t="shared" ca="1" si="135"/>
        <v>1.4770804124585291</v>
      </c>
    </row>
    <row r="11" spans="1:83" x14ac:dyDescent="0.25">
      <c r="A11" t="str">
        <f>Plantilla!D12</f>
        <v>Will Duffill</v>
      </c>
      <c r="B11">
        <f>Plantilla!E12</f>
        <v>23</v>
      </c>
      <c r="C11" s="29">
        <f ca="1">Plantilla!F12</f>
        <v>14</v>
      </c>
      <c r="D11" s="125" t="str">
        <f>Plantilla!G12</f>
        <v>RAP</v>
      </c>
      <c r="E11" s="27">
        <f>Plantilla!M12</f>
        <v>43122</v>
      </c>
      <c r="F11" s="41">
        <f>Plantilla!Q12</f>
        <v>5</v>
      </c>
      <c r="G11" s="42">
        <f t="shared" si="68"/>
        <v>0.84515425472851657</v>
      </c>
      <c r="H11" s="42">
        <f t="shared" si="69"/>
        <v>0.92504826128926143</v>
      </c>
      <c r="I11" s="131">
        <f ca="1">Plantilla!N12</f>
        <v>1</v>
      </c>
      <c r="J11" s="33">
        <f>Plantilla!I12</f>
        <v>4.9000000000000004</v>
      </c>
      <c r="K11" s="40">
        <f>Plantilla!X12</f>
        <v>0</v>
      </c>
      <c r="L11" s="40">
        <f>Plantilla!Y12</f>
        <v>12.5</v>
      </c>
      <c r="M11" s="40">
        <f>Plantilla!Z12</f>
        <v>3</v>
      </c>
      <c r="N11" s="40">
        <f>Plantilla!AA12</f>
        <v>13</v>
      </c>
      <c r="O11" s="40">
        <f>Plantilla!AB12</f>
        <v>7.25</v>
      </c>
      <c r="P11" s="40">
        <f>Plantilla!AC12</f>
        <v>7</v>
      </c>
      <c r="Q11" s="40">
        <f>Plantilla!AD12</f>
        <v>3</v>
      </c>
      <c r="R11" s="40">
        <f t="shared" si="70"/>
        <v>3.75</v>
      </c>
      <c r="S11" s="40">
        <f t="shared" si="71"/>
        <v>0.44000000000000006</v>
      </c>
      <c r="T11" s="40">
        <f t="shared" si="72"/>
        <v>0.59000000000000008</v>
      </c>
      <c r="U11" s="40">
        <f t="shared" ca="1" si="73"/>
        <v>4.1583798904247891</v>
      </c>
      <c r="V11" s="40">
        <f t="shared" ca="1" si="74"/>
        <v>4.5514792901957666</v>
      </c>
      <c r="W11" s="31">
        <f t="shared" ca="1" si="75"/>
        <v>5.1263882371531899</v>
      </c>
      <c r="X11" s="31">
        <f t="shared" ca="1" si="76"/>
        <v>7.791557519089082</v>
      </c>
      <c r="Y11" s="31">
        <f t="shared" ca="1" si="77"/>
        <v>5.1263882371531899</v>
      </c>
      <c r="Z11" s="31">
        <f t="shared" ca="1" si="78"/>
        <v>7.4408549030596181</v>
      </c>
      <c r="AA11" s="31">
        <f t="shared" ca="1" si="79"/>
        <v>14.420261440038018</v>
      </c>
      <c r="AB11" s="31">
        <f t="shared" ca="1" si="80"/>
        <v>3.720427451529809</v>
      </c>
      <c r="AC11" s="31">
        <f t="shared" ca="1" si="81"/>
        <v>1.1710222227290483</v>
      </c>
      <c r="AD11" s="31">
        <f t="shared" ca="1" si="82"/>
        <v>5.4508588243343707</v>
      </c>
      <c r="AE11" s="31">
        <f t="shared" ca="1" si="83"/>
        <v>10.425849021147487</v>
      </c>
      <c r="AF11" s="31">
        <f t="shared" ca="1" si="84"/>
        <v>2.7254294121671854</v>
      </c>
      <c r="AG11" s="31">
        <f t="shared" ca="1" si="85"/>
        <v>1.8943006544146372</v>
      </c>
      <c r="AH11" s="31">
        <f t="shared" ca="1" si="86"/>
        <v>13.266640524834978</v>
      </c>
      <c r="AI11" s="31">
        <f t="shared" ca="1" si="87"/>
        <v>5.9699882361757393</v>
      </c>
      <c r="AJ11" s="31">
        <f t="shared" ca="1" si="88"/>
        <v>0.82168366048634911</v>
      </c>
      <c r="AK11" s="31">
        <f t="shared" ca="1" si="89"/>
        <v>8.7731137267423538</v>
      </c>
      <c r="AL11" s="31">
        <f t="shared" ca="1" si="90"/>
        <v>10.872877125788666</v>
      </c>
      <c r="AM11" s="31">
        <f t="shared" ca="1" si="91"/>
        <v>10.209545099546917</v>
      </c>
      <c r="AN11" s="31">
        <f t="shared" ca="1" si="92"/>
        <v>0.82168366048634911</v>
      </c>
      <c r="AO11" s="31">
        <f t="shared" ca="1" si="93"/>
        <v>1.6330352947309492</v>
      </c>
      <c r="AP11" s="31">
        <f t="shared" ca="1" si="94"/>
        <v>3.8934705888102652</v>
      </c>
      <c r="AQ11" s="31">
        <f t="shared" ca="1" si="95"/>
        <v>8.5656352953825827</v>
      </c>
      <c r="AR11" s="31">
        <f t="shared" ca="1" si="96"/>
        <v>1.9467352944051326</v>
      </c>
      <c r="AS11" s="31">
        <f t="shared" ca="1" si="97"/>
        <v>4.6447267993958894</v>
      </c>
      <c r="AT11" s="31">
        <f t="shared" ca="1" si="98"/>
        <v>1.1921339872049423</v>
      </c>
      <c r="AU11" s="31">
        <f t="shared" ca="1" si="99"/>
        <v>2.6436366019311395</v>
      </c>
      <c r="AV11" s="31">
        <f t="shared" ca="1" si="100"/>
        <v>0.59606699360247117</v>
      </c>
      <c r="AW11" s="31">
        <f t="shared" ca="1" si="101"/>
        <v>2.7254294121671854</v>
      </c>
      <c r="AX11" s="31">
        <f t="shared" ca="1" si="102"/>
        <v>5.7681045760152081</v>
      </c>
      <c r="AY11" s="31">
        <f t="shared" ca="1" si="103"/>
        <v>1.3627147060835927</v>
      </c>
      <c r="AZ11" s="31">
        <f t="shared" ca="1" si="104"/>
        <v>4.9202614400380185</v>
      </c>
      <c r="BA11" s="31">
        <f t="shared" ca="1" si="105"/>
        <v>2.3200761443296187</v>
      </c>
      <c r="BB11" s="31">
        <f t="shared" ca="1" si="106"/>
        <v>5.000314053460948</v>
      </c>
      <c r="BC11" s="31">
        <f t="shared" ca="1" si="107"/>
        <v>1.1600380721648094</v>
      </c>
      <c r="BD11" s="31">
        <f t="shared" ca="1" si="108"/>
        <v>4.1962960790510628</v>
      </c>
      <c r="BE11" s="31">
        <f t="shared" ca="1" si="109"/>
        <v>5.0182509811332299</v>
      </c>
      <c r="BF11" s="31">
        <f t="shared" ca="1" si="110"/>
        <v>4.3347503286734943</v>
      </c>
      <c r="BG11" s="31">
        <f t="shared" ca="1" si="111"/>
        <v>11.452862420193798</v>
      </c>
      <c r="BH11" s="31">
        <f t="shared" ca="1" si="112"/>
        <v>2.2100330070491623</v>
      </c>
      <c r="BI11" s="31">
        <f t="shared" ca="1" si="113"/>
        <v>6.9938267984184384</v>
      </c>
      <c r="BJ11" s="31">
        <f t="shared" ca="1" si="114"/>
        <v>3.8069490201700371</v>
      </c>
      <c r="BK11" s="31">
        <f t="shared" ca="1" si="115"/>
        <v>1.8746196086544851</v>
      </c>
      <c r="BL11" s="31">
        <f t="shared" ca="1" si="116"/>
        <v>11.884558498593229</v>
      </c>
      <c r="BM11" s="31">
        <f t="shared" ca="1" si="117"/>
        <v>0.47685359488197693</v>
      </c>
      <c r="BN11" s="31">
        <f t="shared" ca="1" si="118"/>
        <v>2.595647059206843</v>
      </c>
      <c r="BO11" s="31">
        <f t="shared" ca="1" si="119"/>
        <v>0.98057777792258538</v>
      </c>
      <c r="BP11" s="31">
        <f t="shared" ca="1" si="120"/>
        <v>1.5006797392115956</v>
      </c>
      <c r="BQ11" s="31">
        <f t="shared" ca="1" si="121"/>
        <v>17.542956211888892</v>
      </c>
      <c r="BR11" s="31">
        <f t="shared" ca="1" si="122"/>
        <v>1.2379852944051326</v>
      </c>
      <c r="BS11" s="31">
        <f t="shared" ca="1" si="123"/>
        <v>4.0953542489707973</v>
      </c>
      <c r="BT11" s="31">
        <f t="shared" ca="1" si="124"/>
        <v>3.5185437913692765</v>
      </c>
      <c r="BU11" s="31">
        <f t="shared" ca="1" si="125"/>
        <v>3.1046849686639897</v>
      </c>
      <c r="BV11" s="31">
        <f t="shared" ca="1" si="126"/>
        <v>12.243883988834027</v>
      </c>
      <c r="BW11" s="31">
        <f t="shared" ca="1" si="127"/>
        <v>1.3571986931256266</v>
      </c>
      <c r="BX11" s="31">
        <f t="shared" ca="1" si="128"/>
        <v>1.9976261446554355</v>
      </c>
      <c r="BY11" s="31">
        <f t="shared" ca="1" si="129"/>
        <v>5.5739562102598077</v>
      </c>
      <c r="BZ11" s="31">
        <f t="shared" ca="1" si="130"/>
        <v>10.179964381482808</v>
      </c>
      <c r="CA11" s="31">
        <f t="shared" ca="1" si="131"/>
        <v>5.5739562102598077</v>
      </c>
      <c r="CB11" s="31">
        <f t="shared" ca="1" si="132"/>
        <v>6.9188228771436853</v>
      </c>
      <c r="CC11" s="31">
        <f t="shared" ca="1" si="133"/>
        <v>12.304087911412047</v>
      </c>
      <c r="CD11" s="31">
        <f t="shared" ca="1" si="134"/>
        <v>6.9188228771436853</v>
      </c>
      <c r="CE11" s="31">
        <f t="shared" ca="1" si="135"/>
        <v>1.2300653600095046</v>
      </c>
    </row>
    <row r="12" spans="1:83" x14ac:dyDescent="0.25">
      <c r="A12" t="str">
        <f>Plantilla!D13</f>
        <v>Valeri Gomis</v>
      </c>
      <c r="B12">
        <f>Plantilla!E13</f>
        <v>23</v>
      </c>
      <c r="C12" s="29">
        <f ca="1">Plantilla!F13</f>
        <v>53</v>
      </c>
      <c r="D12" s="125" t="str">
        <f>Plantilla!G13</f>
        <v>IMP</v>
      </c>
      <c r="E12" s="27">
        <f>Plantilla!M13</f>
        <v>43051</v>
      </c>
      <c r="F12" s="41">
        <f>Plantilla!Q13</f>
        <v>5</v>
      </c>
      <c r="G12" s="42">
        <f t="shared" si="68"/>
        <v>0.84515425472851657</v>
      </c>
      <c r="H12" s="42">
        <f t="shared" si="69"/>
        <v>0.92504826128926143</v>
      </c>
      <c r="I12" s="131">
        <f ca="1">Plantilla!N13</f>
        <v>1</v>
      </c>
      <c r="J12" s="33">
        <f>Plantilla!I13</f>
        <v>4.8</v>
      </c>
      <c r="K12" s="40">
        <f>Plantilla!X13</f>
        <v>0</v>
      </c>
      <c r="L12" s="40">
        <f>Plantilla!Y13</f>
        <v>12</v>
      </c>
      <c r="M12" s="40">
        <f>Plantilla!Z13</f>
        <v>3</v>
      </c>
      <c r="N12" s="40">
        <f>Plantilla!AA13</f>
        <v>12</v>
      </c>
      <c r="O12" s="40">
        <f>Plantilla!AB13</f>
        <v>6.2000000000000011</v>
      </c>
      <c r="P12" s="40">
        <f>Plantilla!AC13</f>
        <v>7.25</v>
      </c>
      <c r="Q12" s="40">
        <f>Plantilla!AD13</f>
        <v>3</v>
      </c>
      <c r="R12" s="40">
        <f t="shared" si="70"/>
        <v>3.4250000000000003</v>
      </c>
      <c r="S12" s="40">
        <f t="shared" si="71"/>
        <v>0.45250000000000001</v>
      </c>
      <c r="T12" s="40">
        <f t="shared" si="72"/>
        <v>0.57000000000000006</v>
      </c>
      <c r="U12" s="40">
        <f t="shared" ca="1" si="73"/>
        <v>4.1482889259333957</v>
      </c>
      <c r="V12" s="40">
        <f t="shared" ca="1" si="74"/>
        <v>4.5404344080274885</v>
      </c>
      <c r="W12" s="31">
        <f t="shared" ca="1" si="75"/>
        <v>4.977964800305184</v>
      </c>
      <c r="X12" s="31">
        <f t="shared" ca="1" si="76"/>
        <v>7.5636432499358444</v>
      </c>
      <c r="Y12" s="31">
        <f t="shared" ca="1" si="77"/>
        <v>4.977964800305184</v>
      </c>
      <c r="Z12" s="31">
        <f t="shared" ca="1" si="78"/>
        <v>7.1766939713144042</v>
      </c>
      <c r="AA12" s="31">
        <f t="shared" ca="1" si="79"/>
        <v>13.908321649834116</v>
      </c>
      <c r="AB12" s="31">
        <f t="shared" ca="1" si="80"/>
        <v>3.5883469856572021</v>
      </c>
      <c r="AC12" s="31">
        <f t="shared" ca="1" si="81"/>
        <v>1.1681805526605196</v>
      </c>
      <c r="AD12" s="31">
        <f t="shared" ca="1" si="82"/>
        <v>5.2573455836372958</v>
      </c>
      <c r="AE12" s="31">
        <f t="shared" ca="1" si="83"/>
        <v>10.055716552830066</v>
      </c>
      <c r="AF12" s="31">
        <f t="shared" ca="1" si="84"/>
        <v>2.6286727918186479</v>
      </c>
      <c r="AG12" s="31">
        <f t="shared" ca="1" si="85"/>
        <v>1.8897038351861348</v>
      </c>
      <c r="AH12" s="31">
        <f t="shared" ca="1" si="86"/>
        <v>12.795655917847387</v>
      </c>
      <c r="AI12" s="31">
        <f t="shared" ca="1" si="87"/>
        <v>5.7580451630313236</v>
      </c>
      <c r="AJ12" s="31">
        <f t="shared" ca="1" si="88"/>
        <v>0.81968971552229741</v>
      </c>
      <c r="AK12" s="31">
        <f t="shared" ca="1" si="89"/>
        <v>8.1780931301024591</v>
      </c>
      <c r="AL12" s="31">
        <f t="shared" ca="1" si="90"/>
        <v>10.486874523974924</v>
      </c>
      <c r="AM12" s="31">
        <f t="shared" ca="1" si="91"/>
        <v>9.8470917280825532</v>
      </c>
      <c r="AN12" s="31">
        <f t="shared" ca="1" si="92"/>
        <v>0.81968971552229741</v>
      </c>
      <c r="AO12" s="31">
        <f t="shared" ca="1" si="93"/>
        <v>1.5359966351522256</v>
      </c>
      <c r="AP12" s="31">
        <f t="shared" ca="1" si="94"/>
        <v>3.7552468454552117</v>
      </c>
      <c r="AQ12" s="31">
        <f t="shared" ca="1" si="95"/>
        <v>8.2615430600014648</v>
      </c>
      <c r="AR12" s="31">
        <f t="shared" ca="1" si="96"/>
        <v>1.8776234227276059</v>
      </c>
      <c r="AS12" s="31">
        <f t="shared" ca="1" si="97"/>
        <v>4.6334556374434053</v>
      </c>
      <c r="AT12" s="31">
        <f t="shared" ca="1" si="98"/>
        <v>1.0540818144784352</v>
      </c>
      <c r="AU12" s="31">
        <f t="shared" ca="1" si="99"/>
        <v>2.5573882434013959</v>
      </c>
      <c r="AV12" s="31">
        <f t="shared" ca="1" si="100"/>
        <v>0.52704090723921759</v>
      </c>
      <c r="AW12" s="31">
        <f t="shared" ca="1" si="101"/>
        <v>2.6286727918186479</v>
      </c>
      <c r="AX12" s="31">
        <f t="shared" ca="1" si="102"/>
        <v>5.5633286599336467</v>
      </c>
      <c r="AY12" s="31">
        <f t="shared" ca="1" si="103"/>
        <v>1.3143363959093239</v>
      </c>
      <c r="AZ12" s="31">
        <f t="shared" ca="1" si="104"/>
        <v>4.9083216498341162</v>
      </c>
      <c r="BA12" s="31">
        <f t="shared" ca="1" si="105"/>
        <v>2.0514053774080319</v>
      </c>
      <c r="BB12" s="31">
        <f t="shared" ca="1" si="106"/>
        <v>4.6881852290585986</v>
      </c>
      <c r="BC12" s="31">
        <f t="shared" ca="1" si="107"/>
        <v>1.0257026887040159</v>
      </c>
      <c r="BD12" s="31">
        <f t="shared" ca="1" si="108"/>
        <v>4.0473216001017276</v>
      </c>
      <c r="BE12" s="31">
        <f t="shared" ca="1" si="109"/>
        <v>4.8400959341422718</v>
      </c>
      <c r="BF12" s="31">
        <f t="shared" ca="1" si="110"/>
        <v>4.3242313735038564</v>
      </c>
      <c r="BG12" s="31">
        <f t="shared" ca="1" si="111"/>
        <v>10.53749794670253</v>
      </c>
      <c r="BH12" s="31">
        <f t="shared" ca="1" si="112"/>
        <v>1.9541055176100222</v>
      </c>
      <c r="BI12" s="31">
        <f t="shared" ca="1" si="113"/>
        <v>6.7455360001695466</v>
      </c>
      <c r="BJ12" s="31">
        <f t="shared" ca="1" si="114"/>
        <v>3.6717969155562069</v>
      </c>
      <c r="BK12" s="31">
        <f t="shared" ca="1" si="115"/>
        <v>1.8700705485867983</v>
      </c>
      <c r="BL12" s="31">
        <f t="shared" ca="1" si="116"/>
        <v>10.990073121955019</v>
      </c>
      <c r="BM12" s="31">
        <f t="shared" ca="1" si="117"/>
        <v>0.42163272579137406</v>
      </c>
      <c r="BN12" s="31">
        <f t="shared" ca="1" si="118"/>
        <v>2.5034978969701407</v>
      </c>
      <c r="BO12" s="31">
        <f t="shared" ca="1" si="119"/>
        <v>0.94576587218871999</v>
      </c>
      <c r="BP12" s="31">
        <f t="shared" ca="1" si="120"/>
        <v>1.4970381031994053</v>
      </c>
      <c r="BQ12" s="31">
        <f t="shared" ca="1" si="121"/>
        <v>16.227301641686672</v>
      </c>
      <c r="BR12" s="31">
        <f t="shared" ca="1" si="122"/>
        <v>1.0946234227276059</v>
      </c>
      <c r="BS12" s="31">
        <f t="shared" ca="1" si="123"/>
        <v>3.9499633485528887</v>
      </c>
      <c r="BT12" s="31">
        <f t="shared" ca="1" si="124"/>
        <v>3.3936304825595243</v>
      </c>
      <c r="BU12" s="31">
        <f t="shared" ca="1" si="125"/>
        <v>3.0971509610453274</v>
      </c>
      <c r="BV12" s="31">
        <f t="shared" ca="1" si="126"/>
        <v>11.328547876601533</v>
      </c>
      <c r="BW12" s="31">
        <f t="shared" ca="1" si="127"/>
        <v>1.2000316041754493</v>
      </c>
      <c r="BX12" s="31">
        <f t="shared" ca="1" si="128"/>
        <v>1.9927785898326513</v>
      </c>
      <c r="BY12" s="31">
        <f t="shared" ca="1" si="129"/>
        <v>5.1929855795635742</v>
      </c>
      <c r="BZ12" s="31">
        <f t="shared" ca="1" si="130"/>
        <v>9.7421201777132147</v>
      </c>
      <c r="CA12" s="31">
        <f t="shared" ca="1" si="131"/>
        <v>5.1929855795635742</v>
      </c>
      <c r="CB12" s="31">
        <f t="shared" ca="1" si="132"/>
        <v>6.6062843878466539</v>
      </c>
      <c r="CC12" s="31">
        <f t="shared" ca="1" si="133"/>
        <v>12.150292338622906</v>
      </c>
      <c r="CD12" s="31">
        <f t="shared" ca="1" si="134"/>
        <v>6.6062843878466539</v>
      </c>
      <c r="CE12" s="31">
        <f t="shared" ca="1" si="135"/>
        <v>1.2270804124585291</v>
      </c>
    </row>
    <row r="13" spans="1:83" x14ac:dyDescent="0.25">
      <c r="A13" t="str">
        <f>Plantilla!D14</f>
        <v>Enrique Cubas</v>
      </c>
      <c r="B13">
        <f>Plantilla!E14</f>
        <v>23</v>
      </c>
      <c r="C13" s="29">
        <f ca="1">Plantilla!F14</f>
        <v>49</v>
      </c>
      <c r="D13" s="125" t="str">
        <f>Plantilla!G14</f>
        <v>RAP</v>
      </c>
      <c r="E13" s="27">
        <f>Plantilla!M14</f>
        <v>43046</v>
      </c>
      <c r="F13" s="41">
        <f>Plantilla!Q14</f>
        <v>6</v>
      </c>
      <c r="G13" s="42">
        <f t="shared" si="68"/>
        <v>0.92582009977255142</v>
      </c>
      <c r="H13" s="42">
        <f t="shared" si="69"/>
        <v>0.99928545900129484</v>
      </c>
      <c r="I13" s="131">
        <f>Plantilla!N14</f>
        <v>1.5</v>
      </c>
      <c r="J13" s="33">
        <f>Plantilla!I14</f>
        <v>5.4</v>
      </c>
      <c r="K13" s="40">
        <f>Plantilla!X14</f>
        <v>0</v>
      </c>
      <c r="L13" s="40">
        <f>Plantilla!Y14</f>
        <v>11</v>
      </c>
      <c r="M13" s="40">
        <f>Plantilla!Z14</f>
        <v>5.7</v>
      </c>
      <c r="N13" s="40">
        <f>Plantilla!AA14</f>
        <v>14.124999999999996</v>
      </c>
      <c r="O13" s="40">
        <f>Plantilla!AB14</f>
        <v>6.2</v>
      </c>
      <c r="P13" s="40">
        <f>Plantilla!AC14</f>
        <v>7.5</v>
      </c>
      <c r="Q13" s="40">
        <f>Plantilla!AD14</f>
        <v>5</v>
      </c>
      <c r="R13" s="40">
        <f t="shared" si="70"/>
        <v>3.3</v>
      </c>
      <c r="S13" s="40">
        <f t="shared" si="71"/>
        <v>0.52500000000000002</v>
      </c>
      <c r="T13" s="40">
        <f t="shared" si="72"/>
        <v>0.59000000000000008</v>
      </c>
      <c r="U13" s="40">
        <f t="shared" si="73"/>
        <v>6.9219171335777103</v>
      </c>
      <c r="V13" s="40">
        <f t="shared" si="74"/>
        <v>7.4711827294475883</v>
      </c>
      <c r="W13" s="31">
        <f t="shared" si="75"/>
        <v>5.1980063364339353</v>
      </c>
      <c r="X13" s="31">
        <f t="shared" si="76"/>
        <v>7.8721937919086029</v>
      </c>
      <c r="Y13" s="31">
        <f t="shared" si="77"/>
        <v>5.1980063364339353</v>
      </c>
      <c r="Z13" s="31">
        <f t="shared" si="78"/>
        <v>6.9538869067582025</v>
      </c>
      <c r="AA13" s="31">
        <f t="shared" si="79"/>
        <v>13.476525013097291</v>
      </c>
      <c r="AB13" s="31">
        <f t="shared" si="80"/>
        <v>3.4769434533791013</v>
      </c>
      <c r="AC13" s="31">
        <f t="shared" si="81"/>
        <v>1.9460129531171555</v>
      </c>
      <c r="AD13" s="31">
        <f t="shared" si="82"/>
        <v>5.0941264549507759</v>
      </c>
      <c r="AE13" s="31">
        <f t="shared" si="83"/>
        <v>9.7435275844693408</v>
      </c>
      <c r="AF13" s="31">
        <f t="shared" si="84"/>
        <v>2.5470632274753879</v>
      </c>
      <c r="AG13" s="31">
        <f t="shared" si="85"/>
        <v>3.1479621300424574</v>
      </c>
      <c r="AH13" s="31">
        <f t="shared" si="86"/>
        <v>12.398403012049508</v>
      </c>
      <c r="AI13" s="31">
        <f t="shared" si="87"/>
        <v>5.5792813554222782</v>
      </c>
      <c r="AJ13" s="31">
        <f t="shared" si="88"/>
        <v>1.3654796771872479</v>
      </c>
      <c r="AK13" s="31">
        <f t="shared" si="89"/>
        <v>9.7616967077012049</v>
      </c>
      <c r="AL13" s="31">
        <f t="shared" si="90"/>
        <v>10.161299859875358</v>
      </c>
      <c r="AM13" s="31">
        <f t="shared" si="91"/>
        <v>9.5413797092728814</v>
      </c>
      <c r="AN13" s="31">
        <f t="shared" si="92"/>
        <v>1.2485796771872477</v>
      </c>
      <c r="AO13" s="31">
        <f t="shared" si="93"/>
        <v>1.6636392037720198</v>
      </c>
      <c r="AP13" s="31">
        <f t="shared" si="94"/>
        <v>3.6386617535362689</v>
      </c>
      <c r="AQ13" s="31">
        <f t="shared" si="95"/>
        <v>8.0050558577797908</v>
      </c>
      <c r="AR13" s="31">
        <f t="shared" si="96"/>
        <v>1.8193308767681344</v>
      </c>
      <c r="AS13" s="31">
        <f t="shared" si="97"/>
        <v>7.7186396123638428</v>
      </c>
      <c r="AT13" s="31">
        <f t="shared" si="98"/>
        <v>1.127948251702648</v>
      </c>
      <c r="AU13" s="31">
        <f t="shared" si="99"/>
        <v>2.7671218288375061</v>
      </c>
      <c r="AV13" s="31">
        <f t="shared" si="100"/>
        <v>0.563974125851324</v>
      </c>
      <c r="AW13" s="31">
        <f t="shared" si="101"/>
        <v>2.5470632274753879</v>
      </c>
      <c r="AX13" s="31">
        <f t="shared" si="102"/>
        <v>5.3906100052389165</v>
      </c>
      <c r="AY13" s="31">
        <f t="shared" si="103"/>
        <v>1.273531613737694</v>
      </c>
      <c r="AZ13" s="31">
        <f t="shared" si="104"/>
        <v>8.176525013097292</v>
      </c>
      <c r="BA13" s="31">
        <f t="shared" si="105"/>
        <v>2.195160828313615</v>
      </c>
      <c r="BB13" s="31">
        <f t="shared" si="106"/>
        <v>5.0537652822166077</v>
      </c>
      <c r="BC13" s="31">
        <f t="shared" si="107"/>
        <v>1.0975804141568075</v>
      </c>
      <c r="BD13" s="31">
        <f t="shared" si="108"/>
        <v>3.9216687788113114</v>
      </c>
      <c r="BE13" s="31">
        <f t="shared" si="109"/>
        <v>4.6898307045578571</v>
      </c>
      <c r="BF13" s="31">
        <f t="shared" si="110"/>
        <v>7.2035185365387147</v>
      </c>
      <c r="BG13" s="31">
        <f t="shared" si="111"/>
        <v>12.26238073664349</v>
      </c>
      <c r="BH13" s="31">
        <f t="shared" si="112"/>
        <v>2.0910425281564473</v>
      </c>
      <c r="BI13" s="31">
        <f t="shared" si="113"/>
        <v>6.5361146313521861</v>
      </c>
      <c r="BJ13" s="31">
        <f t="shared" si="114"/>
        <v>3.5578026034576848</v>
      </c>
      <c r="BK13" s="31">
        <f t="shared" si="115"/>
        <v>3.1152560299900682</v>
      </c>
      <c r="BL13" s="31">
        <f t="shared" si="116"/>
        <v>12.916807861447031</v>
      </c>
      <c r="BM13" s="31">
        <f t="shared" si="117"/>
        <v>0.45117930068105916</v>
      </c>
      <c r="BN13" s="31">
        <f t="shared" si="118"/>
        <v>2.4257745023575121</v>
      </c>
      <c r="BO13" s="31">
        <f t="shared" si="119"/>
        <v>0.91640370089061585</v>
      </c>
      <c r="BP13" s="31">
        <f t="shared" si="120"/>
        <v>2.4938401289946741</v>
      </c>
      <c r="BQ13" s="31">
        <f t="shared" si="121"/>
        <v>19.083011166843114</v>
      </c>
      <c r="BR13" s="31">
        <f t="shared" si="122"/>
        <v>1.1713308767681345</v>
      </c>
      <c r="BS13" s="31">
        <f t="shared" si="123"/>
        <v>3.8273331037196301</v>
      </c>
      <c r="BT13" s="31">
        <f t="shared" si="124"/>
        <v>3.2882721031957387</v>
      </c>
      <c r="BU13" s="31">
        <f t="shared" si="125"/>
        <v>5.1593872832643912</v>
      </c>
      <c r="BV13" s="31">
        <f t="shared" si="126"/>
        <v>13.328839886722072</v>
      </c>
      <c r="BW13" s="31">
        <f t="shared" si="127"/>
        <v>1.2841257019383991</v>
      </c>
      <c r="BX13" s="31">
        <f t="shared" si="128"/>
        <v>3.3196691553175008</v>
      </c>
      <c r="BY13" s="31">
        <f t="shared" si="129"/>
        <v>5.8267695318236878</v>
      </c>
      <c r="BZ13" s="31">
        <f t="shared" si="130"/>
        <v>10.52766716474755</v>
      </c>
      <c r="CA13" s="31">
        <f t="shared" si="131"/>
        <v>5.8267695318236878</v>
      </c>
      <c r="CB13" s="31">
        <f t="shared" si="132"/>
        <v>7.4949000831596111</v>
      </c>
      <c r="CC13" s="31">
        <f t="shared" si="133"/>
        <v>13.178162742930191</v>
      </c>
      <c r="CD13" s="31">
        <f t="shared" si="134"/>
        <v>7.4949000831596111</v>
      </c>
      <c r="CE13" s="31">
        <f t="shared" si="135"/>
        <v>2.044131253274323</v>
      </c>
    </row>
    <row r="14" spans="1:83" x14ac:dyDescent="0.25">
      <c r="A14" t="str">
        <f>Plantilla!D15</f>
        <v>J. G. Peñuela</v>
      </c>
      <c r="B14">
        <f>Plantilla!E15</f>
        <v>23</v>
      </c>
      <c r="C14" s="29">
        <f ca="1">Plantilla!F15</f>
        <v>49</v>
      </c>
      <c r="D14" s="125" t="str">
        <f>Plantilla!G15</f>
        <v>IMP</v>
      </c>
      <c r="E14" s="27">
        <f>Plantilla!M15</f>
        <v>43054</v>
      </c>
      <c r="F14" s="41">
        <f>Plantilla!Q15</f>
        <v>4</v>
      </c>
      <c r="G14" s="42">
        <f t="shared" si="68"/>
        <v>0.7559289460184544</v>
      </c>
      <c r="H14" s="42">
        <f t="shared" si="69"/>
        <v>0.84430867747355465</v>
      </c>
      <c r="I14" s="131">
        <f ca="1">Plantilla!N15</f>
        <v>1</v>
      </c>
      <c r="J14" s="33">
        <f>Plantilla!I15</f>
        <v>4.7</v>
      </c>
      <c r="K14" s="40">
        <f>Plantilla!X15</f>
        <v>0</v>
      </c>
      <c r="L14" s="40">
        <f>Plantilla!Y15</f>
        <v>11.4</v>
      </c>
      <c r="M14" s="40">
        <f>Plantilla!Z15</f>
        <v>5</v>
      </c>
      <c r="N14" s="40">
        <f>Plantilla!AA15</f>
        <v>13.19</v>
      </c>
      <c r="O14" s="40">
        <f>Plantilla!AB15</f>
        <v>5.25</v>
      </c>
      <c r="P14" s="40">
        <f>Plantilla!AC15</f>
        <v>7.8016666666666676</v>
      </c>
      <c r="Q14" s="40">
        <f>Plantilla!AD15</f>
        <v>3</v>
      </c>
      <c r="R14" s="40">
        <f t="shared" si="70"/>
        <v>3.1124999999999998</v>
      </c>
      <c r="S14" s="40">
        <f t="shared" si="71"/>
        <v>0.48008333333333331</v>
      </c>
      <c r="T14" s="40">
        <f t="shared" si="72"/>
        <v>0.54600000000000004</v>
      </c>
      <c r="U14" s="40">
        <f t="shared" ca="1" si="73"/>
        <v>3.7011267512346278</v>
      </c>
      <c r="V14" s="40">
        <f t="shared" ca="1" si="74"/>
        <v>4.133845447982905</v>
      </c>
      <c r="W14" s="31">
        <f t="shared" ca="1" si="75"/>
        <v>4.8017219066371757</v>
      </c>
      <c r="X14" s="31">
        <f t="shared" ca="1" si="76"/>
        <v>7.2929044461266823</v>
      </c>
      <c r="Y14" s="31">
        <f t="shared" ca="1" si="77"/>
        <v>4.8017219066371757</v>
      </c>
      <c r="Z14" s="31">
        <f t="shared" ca="1" si="78"/>
        <v>6.8608033262597745</v>
      </c>
      <c r="AA14" s="31">
        <f t="shared" ca="1" si="79"/>
        <v>13.296130477247624</v>
      </c>
      <c r="AB14" s="31">
        <f t="shared" ca="1" si="80"/>
        <v>3.4304016631298873</v>
      </c>
      <c r="AC14" s="31">
        <f t="shared" ca="1" si="81"/>
        <v>1.6412790535849342</v>
      </c>
      <c r="AD14" s="31">
        <f t="shared" ca="1" si="82"/>
        <v>5.0259373203996018</v>
      </c>
      <c r="AE14" s="31">
        <f t="shared" ca="1" si="83"/>
        <v>9.6131023350500318</v>
      </c>
      <c r="AF14" s="31">
        <f t="shared" ca="1" si="84"/>
        <v>2.5129686601998009</v>
      </c>
      <c r="AG14" s="31">
        <f t="shared" ca="1" si="85"/>
        <v>2.655010233740335</v>
      </c>
      <c r="AH14" s="31">
        <f t="shared" ca="1" si="86"/>
        <v>12.232440039067814</v>
      </c>
      <c r="AI14" s="31">
        <f t="shared" ca="1" si="87"/>
        <v>5.5045980175805163</v>
      </c>
      <c r="AJ14" s="31">
        <f t="shared" ca="1" si="88"/>
        <v>1.1516537897003531</v>
      </c>
      <c r="AK14" s="31">
        <f t="shared" ca="1" si="89"/>
        <v>8.8706447206216019</v>
      </c>
      <c r="AL14" s="31">
        <f t="shared" ca="1" si="90"/>
        <v>10.025282379844709</v>
      </c>
      <c r="AM14" s="31">
        <f t="shared" ca="1" si="91"/>
        <v>9.4136603778913184</v>
      </c>
      <c r="AN14" s="31">
        <f t="shared" ca="1" si="92"/>
        <v>0.81765378970035307</v>
      </c>
      <c r="AO14" s="31">
        <f t="shared" ca="1" si="93"/>
        <v>1.4424855774473153</v>
      </c>
      <c r="AP14" s="31">
        <f t="shared" ca="1" si="94"/>
        <v>3.5899552288568586</v>
      </c>
      <c r="AQ14" s="31">
        <f t="shared" ca="1" si="95"/>
        <v>7.8979015034850883</v>
      </c>
      <c r="AR14" s="31">
        <f t="shared" ca="1" si="96"/>
        <v>1.7949776144284293</v>
      </c>
      <c r="AS14" s="31">
        <f t="shared" ca="1" si="97"/>
        <v>6.5099471705217562</v>
      </c>
      <c r="AT14" s="31">
        <f t="shared" ca="1" si="98"/>
        <v>0.92899696204219107</v>
      </c>
      <c r="AU14" s="31">
        <f t="shared" ca="1" si="99"/>
        <v>2.535254563166887</v>
      </c>
      <c r="AV14" s="31">
        <f t="shared" ca="1" si="100"/>
        <v>0.46449848102109553</v>
      </c>
      <c r="AW14" s="31">
        <f t="shared" ca="1" si="101"/>
        <v>2.5129686601998009</v>
      </c>
      <c r="AX14" s="31">
        <f t="shared" ca="1" si="102"/>
        <v>5.3184521908990501</v>
      </c>
      <c r="AY14" s="31">
        <f t="shared" ca="1" si="103"/>
        <v>1.2564843300999005</v>
      </c>
      <c r="AZ14" s="31">
        <f t="shared" ca="1" si="104"/>
        <v>6.8961304772476231</v>
      </c>
      <c r="BA14" s="31">
        <f t="shared" ca="1" si="105"/>
        <v>1.8079710107436486</v>
      </c>
      <c r="BB14" s="31">
        <f t="shared" ca="1" si="106"/>
        <v>4.4733678929634415</v>
      </c>
      <c r="BC14" s="31">
        <f t="shared" ca="1" si="107"/>
        <v>0.90398550537182432</v>
      </c>
      <c r="BD14" s="31">
        <f t="shared" ca="1" si="108"/>
        <v>3.8691739688790583</v>
      </c>
      <c r="BE14" s="31">
        <f t="shared" ca="1" si="109"/>
        <v>4.6270534060821733</v>
      </c>
      <c r="BF14" s="31">
        <f t="shared" ca="1" si="110"/>
        <v>6.0754909504551557</v>
      </c>
      <c r="BG14" s="31">
        <f t="shared" ca="1" si="111"/>
        <v>10.910469994273138</v>
      </c>
      <c r="BH14" s="31">
        <f t="shared" ca="1" si="112"/>
        <v>1.7222174450166772</v>
      </c>
      <c r="BI14" s="31">
        <f t="shared" ca="1" si="113"/>
        <v>6.4486232814650979</v>
      </c>
      <c r="BJ14" s="31">
        <f t="shared" ca="1" si="114"/>
        <v>3.5101784459933731</v>
      </c>
      <c r="BK14" s="31">
        <f t="shared" ca="1" si="115"/>
        <v>2.6274257118313442</v>
      </c>
      <c r="BL14" s="31">
        <f t="shared" ca="1" si="116"/>
        <v>11.589338037114423</v>
      </c>
      <c r="BM14" s="31">
        <f t="shared" ca="1" si="117"/>
        <v>0.37159878481687636</v>
      </c>
      <c r="BN14" s="31">
        <f t="shared" ca="1" si="118"/>
        <v>2.3933034859045721</v>
      </c>
      <c r="BO14" s="31">
        <f t="shared" ca="1" si="119"/>
        <v>0.90413687245283847</v>
      </c>
      <c r="BP14" s="31">
        <f t="shared" ca="1" si="120"/>
        <v>2.103319795560525</v>
      </c>
      <c r="BQ14" s="31">
        <f t="shared" ca="1" si="121"/>
        <v>17.129923793740442</v>
      </c>
      <c r="BR14" s="31">
        <f t="shared" ca="1" si="122"/>
        <v>0.96472761442842914</v>
      </c>
      <c r="BS14" s="31">
        <f t="shared" ca="1" si="123"/>
        <v>3.7761010555383248</v>
      </c>
      <c r="BT14" s="31">
        <f t="shared" ca="1" si="124"/>
        <v>3.2442558364484202</v>
      </c>
      <c r="BU14" s="31">
        <f t="shared" ca="1" si="125"/>
        <v>4.3514583311432498</v>
      </c>
      <c r="BV14" s="31">
        <f t="shared" ca="1" si="126"/>
        <v>11.969666777136622</v>
      </c>
      <c r="BW14" s="31">
        <f t="shared" ca="1" si="127"/>
        <v>1.0576273106326481</v>
      </c>
      <c r="BX14" s="31">
        <f t="shared" ca="1" si="128"/>
        <v>2.7998289737625353</v>
      </c>
      <c r="BY14" s="31">
        <f t="shared" ca="1" si="129"/>
        <v>5.1905556453126778</v>
      </c>
      <c r="BZ14" s="31">
        <f t="shared" ca="1" si="130"/>
        <v>9.5341645840474918</v>
      </c>
      <c r="CA14" s="31">
        <f t="shared" ca="1" si="131"/>
        <v>5.1905556453126778</v>
      </c>
      <c r="CB14" s="31">
        <f t="shared" ca="1" si="132"/>
        <v>6.8702126206586041</v>
      </c>
      <c r="CC14" s="31">
        <f t="shared" ca="1" si="133"/>
        <v>12.334719290018665</v>
      </c>
      <c r="CD14" s="31">
        <f t="shared" ca="1" si="134"/>
        <v>6.8702126206586041</v>
      </c>
      <c r="CE14" s="31">
        <f t="shared" ca="1" si="135"/>
        <v>1.7240326193119058</v>
      </c>
    </row>
    <row r="15" spans="1:83" x14ac:dyDescent="0.25">
      <c r="A15" t="str">
        <f>Plantilla!D17</f>
        <v>David Garcia-Spiess</v>
      </c>
      <c r="B15">
        <f>Plantilla!E17</f>
        <v>31</v>
      </c>
      <c r="C15" s="29">
        <f ca="1">Plantilla!F17</f>
        <v>18</v>
      </c>
      <c r="D15" s="125" t="str">
        <f>Plantilla!G17</f>
        <v>POT</v>
      </c>
      <c r="E15" s="27">
        <f>Plantilla!M17</f>
        <v>43591</v>
      </c>
      <c r="F15" s="41">
        <f>Plantilla!Q17</f>
        <v>6</v>
      </c>
      <c r="G15" s="42">
        <f t="shared" si="68"/>
        <v>0.92582009977255142</v>
      </c>
      <c r="H15" s="42">
        <f t="shared" si="69"/>
        <v>0.99928545900129484</v>
      </c>
      <c r="I15" s="131">
        <f ca="1">Plantilla!N17</f>
        <v>0.64659176949813191</v>
      </c>
      <c r="J15" s="33">
        <f>Plantilla!I17</f>
        <v>7.8</v>
      </c>
      <c r="K15" s="40">
        <f>Plantilla!X17</f>
        <v>0</v>
      </c>
      <c r="L15" s="40">
        <f>Plantilla!Y17</f>
        <v>10</v>
      </c>
      <c r="M15" s="40">
        <f>Plantilla!Z17</f>
        <v>13</v>
      </c>
      <c r="N15" s="40">
        <f>Plantilla!AA17</f>
        <v>6</v>
      </c>
      <c r="O15" s="40">
        <f>Plantilla!AB17</f>
        <v>7.1428571428571432</v>
      </c>
      <c r="P15" s="40">
        <f>Plantilla!AC17</f>
        <v>7</v>
      </c>
      <c r="Q15" s="40">
        <f>Plantilla!AD17</f>
        <v>17</v>
      </c>
      <c r="R15" s="40">
        <f t="shared" si="70"/>
        <v>3.4107142857142856</v>
      </c>
      <c r="S15" s="40">
        <f t="shared" si="71"/>
        <v>0.86</v>
      </c>
      <c r="T15" s="40">
        <f t="shared" si="72"/>
        <v>0.90999999999999992</v>
      </c>
      <c r="U15" s="40">
        <f t="shared" ca="1" si="73"/>
        <v>17.438794838108187</v>
      </c>
      <c r="V15" s="40">
        <f t="shared" ca="1" si="74"/>
        <v>18.822592108887594</v>
      </c>
      <c r="W15" s="31">
        <f t="shared" ca="1" si="75"/>
        <v>4.3628727323035879</v>
      </c>
      <c r="X15" s="31">
        <f t="shared" ca="1" si="76"/>
        <v>6.620342150519968</v>
      </c>
      <c r="Y15" s="31">
        <f t="shared" ca="1" si="77"/>
        <v>4.3628727323035879</v>
      </c>
      <c r="Z15" s="31">
        <f t="shared" ca="1" si="78"/>
        <v>6.1074024397120867</v>
      </c>
      <c r="AA15" s="31">
        <f t="shared" ca="1" si="79"/>
        <v>11.836051239752106</v>
      </c>
      <c r="AB15" s="31">
        <f t="shared" ca="1" si="80"/>
        <v>3.0537012198560434</v>
      </c>
      <c r="AC15" s="31">
        <f t="shared" ca="1" si="81"/>
        <v>3.5309801950610011</v>
      </c>
      <c r="AD15" s="31">
        <f t="shared" ca="1" si="82"/>
        <v>4.4740273686262961</v>
      </c>
      <c r="AE15" s="31">
        <f t="shared" ca="1" si="83"/>
        <v>8.5574650463407718</v>
      </c>
      <c r="AF15" s="31">
        <f t="shared" ca="1" si="84"/>
        <v>2.2370136843131481</v>
      </c>
      <c r="AG15" s="31">
        <f t="shared" ca="1" si="85"/>
        <v>5.7118797273045612</v>
      </c>
      <c r="AH15" s="31">
        <f t="shared" ca="1" si="86"/>
        <v>10.889167140571937</v>
      </c>
      <c r="AI15" s="31">
        <f t="shared" ca="1" si="87"/>
        <v>4.9001252132573718</v>
      </c>
      <c r="AJ15" s="31">
        <f t="shared" ca="1" si="88"/>
        <v>2.4776205570386018</v>
      </c>
      <c r="AK15" s="31">
        <f t="shared" ca="1" si="89"/>
        <v>4.6075981289742378</v>
      </c>
      <c r="AL15" s="31">
        <f t="shared" ca="1" si="90"/>
        <v>8.924382634773087</v>
      </c>
      <c r="AM15" s="31">
        <f t="shared" ca="1" si="91"/>
        <v>8.3799242777444896</v>
      </c>
      <c r="AN15" s="31">
        <f t="shared" ca="1" si="92"/>
        <v>3.1456205570386024</v>
      </c>
      <c r="AO15" s="31">
        <f t="shared" ca="1" si="93"/>
        <v>1.5110684713343205</v>
      </c>
      <c r="AP15" s="31">
        <f t="shared" ca="1" si="94"/>
        <v>3.1957338347330686</v>
      </c>
      <c r="AQ15" s="31">
        <f t="shared" ca="1" si="95"/>
        <v>7.0306144364127503</v>
      </c>
      <c r="AR15" s="31">
        <f t="shared" ca="1" si="96"/>
        <v>1.5978669173665343</v>
      </c>
      <c r="AS15" s="31">
        <f t="shared" ca="1" si="97"/>
        <v>14.005232370325986</v>
      </c>
      <c r="AT15" s="31">
        <f t="shared" ca="1" si="98"/>
        <v>1.1672580897392022</v>
      </c>
      <c r="AU15" s="31">
        <f t="shared" ca="1" si="99"/>
        <v>2.6061058703902242</v>
      </c>
      <c r="AV15" s="31">
        <f t="shared" ca="1" si="100"/>
        <v>0.5836290448696011</v>
      </c>
      <c r="AW15" s="31">
        <f t="shared" ca="1" si="101"/>
        <v>2.2370136843131481</v>
      </c>
      <c r="AX15" s="31">
        <f t="shared" ca="1" si="102"/>
        <v>4.7344204959008422</v>
      </c>
      <c r="AY15" s="31">
        <f t="shared" ca="1" si="103"/>
        <v>1.118506842156574</v>
      </c>
      <c r="AZ15" s="31">
        <f t="shared" ca="1" si="104"/>
        <v>14.836051239752106</v>
      </c>
      <c r="BA15" s="31">
        <f t="shared" ca="1" si="105"/>
        <v>2.2716638208001396</v>
      </c>
      <c r="BB15" s="31">
        <f t="shared" ca="1" si="106"/>
        <v>4.9173785188176957</v>
      </c>
      <c r="BC15" s="31">
        <f t="shared" ca="1" si="107"/>
        <v>1.1358319104000698</v>
      </c>
      <c r="BD15" s="31">
        <f t="shared" ca="1" si="108"/>
        <v>3.4442909107678625</v>
      </c>
      <c r="BE15" s="31">
        <f t="shared" ca="1" si="109"/>
        <v>4.1189458314337326</v>
      </c>
      <c r="BF15" s="31">
        <f t="shared" ca="1" si="110"/>
        <v>13.070561142221605</v>
      </c>
      <c r="BG15" s="31">
        <f t="shared" ca="1" si="111"/>
        <v>7.3262495521396218</v>
      </c>
      <c r="BH15" s="31">
        <f t="shared" ca="1" si="112"/>
        <v>2.1639169202088286</v>
      </c>
      <c r="BI15" s="31">
        <f t="shared" ca="1" si="113"/>
        <v>5.7404848512797715</v>
      </c>
      <c r="BJ15" s="31">
        <f t="shared" ca="1" si="114"/>
        <v>3.124717527294556</v>
      </c>
      <c r="BK15" s="31">
        <f t="shared" ca="1" si="115"/>
        <v>5.652535522345552</v>
      </c>
      <c r="BL15" s="31">
        <f t="shared" ca="1" si="116"/>
        <v>7.0784230692576262</v>
      </c>
      <c r="BM15" s="31">
        <f t="shared" ca="1" si="117"/>
        <v>0.46690323589568089</v>
      </c>
      <c r="BN15" s="31">
        <f t="shared" ca="1" si="118"/>
        <v>2.1304892231553789</v>
      </c>
      <c r="BO15" s="31">
        <f t="shared" ca="1" si="119"/>
        <v>0.80485148430314324</v>
      </c>
      <c r="BP15" s="31">
        <f t="shared" ca="1" si="120"/>
        <v>4.5249956281243922</v>
      </c>
      <c r="BQ15" s="31">
        <f t="shared" ca="1" si="121"/>
        <v>10.404019037178351</v>
      </c>
      <c r="BR15" s="31">
        <f t="shared" ca="1" si="122"/>
        <v>1.2121526316522486</v>
      </c>
      <c r="BS15" s="31">
        <f t="shared" ca="1" si="123"/>
        <v>3.3614385520895977</v>
      </c>
      <c r="BT15" s="31">
        <f t="shared" ca="1" si="124"/>
        <v>2.8879965024995138</v>
      </c>
      <c r="BU15" s="31">
        <f t="shared" ca="1" si="125"/>
        <v>9.3615483322835793</v>
      </c>
      <c r="BV15" s="31">
        <f t="shared" ca="1" si="126"/>
        <v>7.2338372881495623</v>
      </c>
      <c r="BW15" s="31">
        <f t="shared" ca="1" si="127"/>
        <v>1.3288784406261687</v>
      </c>
      <c r="BX15" s="31">
        <f t="shared" ca="1" si="128"/>
        <v>6.0234368033393553</v>
      </c>
      <c r="BY15" s="31">
        <f t="shared" ca="1" si="129"/>
        <v>4.4952969816251329</v>
      </c>
      <c r="BZ15" s="31">
        <f t="shared" ca="1" si="130"/>
        <v>10.0269651245323</v>
      </c>
      <c r="CA15" s="31">
        <f t="shared" ca="1" si="131"/>
        <v>4.4952969816251329</v>
      </c>
      <c r="CB15" s="31">
        <f t="shared" ca="1" si="132"/>
        <v>5.3041456366512758</v>
      </c>
      <c r="CC15" s="31">
        <f t="shared" ca="1" si="133"/>
        <v>12.149268432934917</v>
      </c>
      <c r="CD15" s="31">
        <f t="shared" ca="1" si="134"/>
        <v>5.3041456366512758</v>
      </c>
      <c r="CE15" s="31">
        <f t="shared" ca="1" si="135"/>
        <v>3.7090128099380264</v>
      </c>
    </row>
    <row r="16" spans="1:83" x14ac:dyDescent="0.25">
      <c r="A16" t="str">
        <f>Plantilla!D18</f>
        <v>Fabien Fabre</v>
      </c>
      <c r="B16">
        <f>Plantilla!E18</f>
        <v>32</v>
      </c>
      <c r="C16" s="29">
        <f ca="1">Plantilla!F18</f>
        <v>23</v>
      </c>
      <c r="D16" s="125" t="str">
        <f>Plantilla!G18</f>
        <v>IMP</v>
      </c>
      <c r="E16" s="27">
        <f>Plantilla!M18</f>
        <v>43415</v>
      </c>
      <c r="F16" s="41">
        <f>Plantilla!Q18</f>
        <v>6</v>
      </c>
      <c r="G16" s="42">
        <f t="shared" si="68"/>
        <v>0.92582009977255142</v>
      </c>
      <c r="H16" s="42">
        <f t="shared" si="69"/>
        <v>0.99928545900129484</v>
      </c>
      <c r="I16" s="131">
        <f ca="1">Plantilla!N18</f>
        <v>1</v>
      </c>
      <c r="J16" s="33">
        <f>Plantilla!I18</f>
        <v>5.0999999999999996</v>
      </c>
      <c r="K16" s="40">
        <f>Plantilla!X18</f>
        <v>0</v>
      </c>
      <c r="L16" s="40">
        <f>Plantilla!Y18</f>
        <v>6</v>
      </c>
      <c r="M16" s="40">
        <f>Plantilla!Z18</f>
        <v>11</v>
      </c>
      <c r="N16" s="40">
        <f>Plantilla!AA18</f>
        <v>2</v>
      </c>
      <c r="O16" s="40">
        <f>Plantilla!AB18</f>
        <v>4.041666666666667</v>
      </c>
      <c r="P16" s="40">
        <f>Plantilla!AC18</f>
        <v>5</v>
      </c>
      <c r="Q16" s="40">
        <f>Plantilla!AD18</f>
        <v>12</v>
      </c>
      <c r="R16" s="40">
        <f t="shared" si="70"/>
        <v>2.135416666666667</v>
      </c>
      <c r="S16" s="40">
        <f t="shared" si="71"/>
        <v>0.61</v>
      </c>
      <c r="T16" s="40">
        <f t="shared" si="72"/>
        <v>0.6</v>
      </c>
      <c r="U16" s="40">
        <f t="shared" ca="1" si="73"/>
        <v>12.9091048850846</v>
      </c>
      <c r="V16" s="40">
        <f t="shared" ca="1" si="74"/>
        <v>13.933463751280371</v>
      </c>
      <c r="W16" s="31">
        <f t="shared" ca="1" si="75"/>
        <v>3.3526116849779983</v>
      </c>
      <c r="X16" s="31">
        <f t="shared" ca="1" si="76"/>
        <v>5.0589641297899144</v>
      </c>
      <c r="Y16" s="31">
        <f t="shared" ca="1" si="77"/>
        <v>3.3526116849779983</v>
      </c>
      <c r="Z16" s="31">
        <f t="shared" ca="1" si="78"/>
        <v>4.0988082811553808</v>
      </c>
      <c r="AA16" s="31">
        <f t="shared" ca="1" si="79"/>
        <v>7.9434269014639156</v>
      </c>
      <c r="AB16" s="31">
        <f t="shared" ca="1" si="80"/>
        <v>2.0494041405776904</v>
      </c>
      <c r="AC16" s="31">
        <f t="shared" ca="1" si="81"/>
        <v>3.0805356025484119</v>
      </c>
      <c r="AD16" s="31">
        <f t="shared" ca="1" si="82"/>
        <v>3.0026153687533603</v>
      </c>
      <c r="AE16" s="31">
        <f t="shared" ca="1" si="83"/>
        <v>5.7430976497584112</v>
      </c>
      <c r="AF16" s="31">
        <f t="shared" ca="1" si="84"/>
        <v>1.5013076843766802</v>
      </c>
      <c r="AG16" s="31">
        <f t="shared" ca="1" si="85"/>
        <v>4.9832193570636072</v>
      </c>
      <c r="AH16" s="31">
        <f t="shared" ca="1" si="86"/>
        <v>7.3079527493468026</v>
      </c>
      <c r="AI16" s="31">
        <f t="shared" ca="1" si="87"/>
        <v>3.2885787372060609</v>
      </c>
      <c r="AJ16" s="31">
        <f t="shared" ca="1" si="88"/>
        <v>2.1615522925444739</v>
      </c>
      <c r="AK16" s="31">
        <f t="shared" ca="1" si="89"/>
        <v>2.318735018060782</v>
      </c>
      <c r="AL16" s="31">
        <f t="shared" ca="1" si="90"/>
        <v>5.9893438837037927</v>
      </c>
      <c r="AM16" s="31">
        <f t="shared" ca="1" si="91"/>
        <v>5.6239462462364518</v>
      </c>
      <c r="AN16" s="31">
        <f t="shared" ca="1" si="92"/>
        <v>2.3285522925444742</v>
      </c>
      <c r="AO16" s="31">
        <f t="shared" ca="1" si="93"/>
        <v>1.1747069476216074</v>
      </c>
      <c r="AP16" s="31">
        <f t="shared" ca="1" si="94"/>
        <v>2.1447252633952574</v>
      </c>
      <c r="AQ16" s="31">
        <f t="shared" ca="1" si="95"/>
        <v>4.7183955794695658</v>
      </c>
      <c r="AR16" s="31">
        <f t="shared" ca="1" si="96"/>
        <v>1.0723626316976287</v>
      </c>
      <c r="AS16" s="31">
        <f t="shared" ca="1" si="97"/>
        <v>12.218594994981936</v>
      </c>
      <c r="AT16" s="31">
        <f t="shared" ca="1" si="98"/>
        <v>0.77806216385697569</v>
      </c>
      <c r="AU16" s="31">
        <f t="shared" ca="1" si="99"/>
        <v>1.919424082128927</v>
      </c>
      <c r="AV16" s="31">
        <f t="shared" ca="1" si="100"/>
        <v>0.38903108192848784</v>
      </c>
      <c r="AW16" s="31">
        <f t="shared" ca="1" si="101"/>
        <v>1.5013076843766802</v>
      </c>
      <c r="AX16" s="31">
        <f t="shared" ca="1" si="102"/>
        <v>3.1773707605855663</v>
      </c>
      <c r="AY16" s="31">
        <f t="shared" ca="1" si="103"/>
        <v>0.75065384218834008</v>
      </c>
      <c r="AZ16" s="31">
        <f t="shared" ca="1" si="104"/>
        <v>12.943426901463916</v>
      </c>
      <c r="BA16" s="31">
        <f t="shared" ca="1" si="105"/>
        <v>1.5142286727370371</v>
      </c>
      <c r="BB16" s="31">
        <f t="shared" ca="1" si="106"/>
        <v>3.4990365560399503</v>
      </c>
      <c r="BC16" s="31">
        <f t="shared" ca="1" si="107"/>
        <v>0.75711433636851855</v>
      </c>
      <c r="BD16" s="31">
        <f t="shared" ca="1" si="108"/>
        <v>2.3115372283259994</v>
      </c>
      <c r="BE16" s="31">
        <f t="shared" ca="1" si="109"/>
        <v>2.7643125617094424</v>
      </c>
      <c r="BF16" s="31">
        <f t="shared" ca="1" si="110"/>
        <v>11.403159100189709</v>
      </c>
      <c r="BG16" s="31">
        <f t="shared" ca="1" si="111"/>
        <v>4.1488315154014206</v>
      </c>
      <c r="BH16" s="31">
        <f t="shared" ca="1" si="112"/>
        <v>1.4424075499194702</v>
      </c>
      <c r="BI16" s="31">
        <f t="shared" ca="1" si="113"/>
        <v>3.8525620472099988</v>
      </c>
      <c r="BJ16" s="31">
        <f t="shared" ca="1" si="114"/>
        <v>2.0970647019864739</v>
      </c>
      <c r="BK16" s="31">
        <f t="shared" ca="1" si="115"/>
        <v>4.9314456494577517</v>
      </c>
      <c r="BL16" s="31">
        <f t="shared" ca="1" si="116"/>
        <v>3.8569301118794623</v>
      </c>
      <c r="BM16" s="31">
        <f t="shared" ca="1" si="117"/>
        <v>0.31122486554279022</v>
      </c>
      <c r="BN16" s="31">
        <f t="shared" ca="1" si="118"/>
        <v>1.4298168422635047</v>
      </c>
      <c r="BO16" s="31">
        <f t="shared" ca="1" si="119"/>
        <v>0.54015302929954634</v>
      </c>
      <c r="BP16" s="31">
        <f t="shared" ca="1" si="120"/>
        <v>3.9477452049464943</v>
      </c>
      <c r="BQ16" s="31">
        <f t="shared" ca="1" si="121"/>
        <v>5.6551636619492616</v>
      </c>
      <c r="BR16" s="31">
        <f t="shared" ca="1" si="122"/>
        <v>0.80798763169762855</v>
      </c>
      <c r="BS16" s="31">
        <f t="shared" ca="1" si="123"/>
        <v>2.2559332400157519</v>
      </c>
      <c r="BT16" s="31">
        <f t="shared" ca="1" si="124"/>
        <v>1.9381961639571954</v>
      </c>
      <c r="BU16" s="31">
        <f t="shared" ca="1" si="125"/>
        <v>8.1673023748237306</v>
      </c>
      <c r="BV16" s="31">
        <f t="shared" ca="1" si="126"/>
        <v>3.9234087434768705</v>
      </c>
      <c r="BW16" s="31">
        <f t="shared" ca="1" si="127"/>
        <v>0.88579384808332606</v>
      </c>
      <c r="BX16" s="31">
        <f t="shared" ca="1" si="128"/>
        <v>5.2550313219943501</v>
      </c>
      <c r="BY16" s="31">
        <f t="shared" ca="1" si="129"/>
        <v>2.9459420823293665</v>
      </c>
      <c r="BZ16" s="31">
        <f t="shared" ca="1" si="130"/>
        <v>7.2979236910483678</v>
      </c>
      <c r="CA16" s="31">
        <f t="shared" ca="1" si="131"/>
        <v>2.9459420823293665</v>
      </c>
      <c r="CB16" s="31">
        <f t="shared" ca="1" si="132"/>
        <v>3.5266716262786857</v>
      </c>
      <c r="CC16" s="31">
        <f t="shared" ca="1" si="133"/>
        <v>9.1519264281041011</v>
      </c>
      <c r="CD16" s="31">
        <f t="shared" ca="1" si="134"/>
        <v>3.5266716262786857</v>
      </c>
      <c r="CE16" s="31">
        <f t="shared" ca="1" si="135"/>
        <v>3.2358567253659789</v>
      </c>
    </row>
    <row r="17" spans="1:83" x14ac:dyDescent="0.25">
      <c r="A17" t="str">
        <f>Plantilla!D19</f>
        <v>Stanisław Zdankiewicz</v>
      </c>
      <c r="B17">
        <f>Plantilla!E19</f>
        <v>30</v>
      </c>
      <c r="C17" s="29">
        <f ca="1">Plantilla!F19</f>
        <v>12</v>
      </c>
      <c r="D17" s="125" t="str">
        <f>Plantilla!G19</f>
        <v>IMP</v>
      </c>
      <c r="E17" s="27">
        <f>Plantilla!M19</f>
        <v>43687</v>
      </c>
      <c r="F17" s="41">
        <f>Plantilla!Q19</f>
        <v>6</v>
      </c>
      <c r="G17" s="42">
        <f t="shared" si="68"/>
        <v>0.92582009977255142</v>
      </c>
      <c r="H17" s="42">
        <f t="shared" si="69"/>
        <v>0.99928545900129484</v>
      </c>
      <c r="I17" s="131">
        <f ca="1">Plantilla!N19</f>
        <v>0.37970923784073518</v>
      </c>
      <c r="J17" s="33">
        <f>Plantilla!I19</f>
        <v>8.9</v>
      </c>
      <c r="K17" s="40">
        <f>Plantilla!X19</f>
        <v>0</v>
      </c>
      <c r="L17" s="40">
        <f>Plantilla!Y19</f>
        <v>1</v>
      </c>
      <c r="M17" s="40">
        <f>Plantilla!Z19</f>
        <v>6</v>
      </c>
      <c r="N17" s="40">
        <f>Plantilla!AA19</f>
        <v>3</v>
      </c>
      <c r="O17" s="40">
        <f>Plantilla!AB19</f>
        <v>7</v>
      </c>
      <c r="P17" s="40">
        <f>Plantilla!AC19</f>
        <v>12</v>
      </c>
      <c r="Q17" s="40">
        <f>Plantilla!AD19</f>
        <v>0</v>
      </c>
      <c r="R17" s="40">
        <f t="shared" si="70"/>
        <v>2.25</v>
      </c>
      <c r="S17" s="40">
        <f t="shared" si="71"/>
        <v>0.6</v>
      </c>
      <c r="T17" s="40">
        <f t="shared" si="72"/>
        <v>0.04</v>
      </c>
      <c r="U17" s="40">
        <f t="shared" ca="1" si="73"/>
        <v>1.5234949120290107</v>
      </c>
      <c r="V17" s="40">
        <f t="shared" ca="1" si="74"/>
        <v>1.6443867581045828</v>
      </c>
      <c r="W17" s="31">
        <f t="shared" ca="1" si="75"/>
        <v>1.7125761323696405</v>
      </c>
      <c r="X17" s="31">
        <f t="shared" ca="1" si="76"/>
        <v>2.5494212908238323</v>
      </c>
      <c r="Y17" s="31">
        <f t="shared" ca="1" si="77"/>
        <v>1.7125761323696405</v>
      </c>
      <c r="Z17" s="31">
        <f t="shared" ca="1" si="78"/>
        <v>1.3651102912975195</v>
      </c>
      <c r="AA17" s="31">
        <f t="shared" ca="1" si="79"/>
        <v>2.6455625800339524</v>
      </c>
      <c r="AB17" s="31">
        <f t="shared" ca="1" si="80"/>
        <v>0.68255514564875974</v>
      </c>
      <c r="AC17" s="31">
        <f t="shared" ca="1" si="81"/>
        <v>1.8196438940480806</v>
      </c>
      <c r="AD17" s="31">
        <f t="shared" ca="1" si="82"/>
        <v>1.000022655252834</v>
      </c>
      <c r="AE17" s="31">
        <f t="shared" ca="1" si="83"/>
        <v>1.9127417453645474</v>
      </c>
      <c r="AF17" s="31">
        <f t="shared" ca="1" si="84"/>
        <v>0.50001132762641698</v>
      </c>
      <c r="AG17" s="31">
        <f t="shared" ca="1" si="85"/>
        <v>2.9435415933130717</v>
      </c>
      <c r="AH17" s="31">
        <f t="shared" ca="1" si="86"/>
        <v>2.4339175736312364</v>
      </c>
      <c r="AI17" s="31">
        <f t="shared" ca="1" si="87"/>
        <v>1.0952629081340561</v>
      </c>
      <c r="AJ17" s="31">
        <f t="shared" ca="1" si="88"/>
        <v>1.2768089508656701</v>
      </c>
      <c r="AK17" s="31">
        <f t="shared" ca="1" si="89"/>
        <v>2.731590797059964</v>
      </c>
      <c r="AL17" s="31">
        <f t="shared" ca="1" si="90"/>
        <v>1.9947541853456001</v>
      </c>
      <c r="AM17" s="31">
        <f t="shared" ca="1" si="91"/>
        <v>1.8730583066640383</v>
      </c>
      <c r="AN17" s="31">
        <f t="shared" ca="1" si="92"/>
        <v>0.27480895086567003</v>
      </c>
      <c r="AO17" s="31">
        <f t="shared" ca="1" si="93"/>
        <v>1.1219220230497782</v>
      </c>
      <c r="AP17" s="31">
        <f t="shared" ca="1" si="94"/>
        <v>0.71430189660916721</v>
      </c>
      <c r="AQ17" s="31">
        <f t="shared" ca="1" si="95"/>
        <v>1.5714641725401677</v>
      </c>
      <c r="AR17" s="31">
        <f t="shared" ca="1" si="96"/>
        <v>0.3571509483045836</v>
      </c>
      <c r="AS17" s="31">
        <f t="shared" ca="1" si="97"/>
        <v>7.2174110755520511</v>
      </c>
      <c r="AT17" s="31">
        <f t="shared" ca="1" si="98"/>
        <v>1.1239231354044139</v>
      </c>
      <c r="AU17" s="31">
        <f t="shared" ca="1" si="99"/>
        <v>3.398149835949948</v>
      </c>
      <c r="AV17" s="31">
        <f t="shared" ca="1" si="100"/>
        <v>0.56196156770220695</v>
      </c>
      <c r="AW17" s="31">
        <f t="shared" ca="1" si="101"/>
        <v>0.50001132762641698</v>
      </c>
      <c r="AX17" s="31">
        <f t="shared" ca="1" si="102"/>
        <v>1.0582250320135811</v>
      </c>
      <c r="AY17" s="31">
        <f t="shared" ca="1" si="103"/>
        <v>0.25000566381320849</v>
      </c>
      <c r="AZ17" s="31">
        <f t="shared" ca="1" si="104"/>
        <v>7.6455625800339524</v>
      </c>
      <c r="BA17" s="31">
        <f t="shared" ca="1" si="105"/>
        <v>2.1873273327485903</v>
      </c>
      <c r="BB17" s="31">
        <f t="shared" ca="1" si="106"/>
        <v>5.8137049815987085</v>
      </c>
      <c r="BC17" s="31">
        <f t="shared" ca="1" si="107"/>
        <v>1.0936636663742951</v>
      </c>
      <c r="BD17" s="31">
        <f t="shared" ca="1" si="108"/>
        <v>0.76985871078988011</v>
      </c>
      <c r="BE17" s="31">
        <f t="shared" ca="1" si="109"/>
        <v>0.9206557778518154</v>
      </c>
      <c r="BF17" s="31">
        <f t="shared" ca="1" si="110"/>
        <v>6.7357406330099119</v>
      </c>
      <c r="BG17" s="31">
        <f t="shared" ca="1" si="111"/>
        <v>5.389905133650184</v>
      </c>
      <c r="BH17" s="31">
        <f t="shared" ca="1" si="112"/>
        <v>2.0835805817881825</v>
      </c>
      <c r="BI17" s="31">
        <f t="shared" ca="1" si="113"/>
        <v>1.2830978513164668</v>
      </c>
      <c r="BJ17" s="31">
        <f t="shared" ca="1" si="114"/>
        <v>0.69842852112896348</v>
      </c>
      <c r="BK17" s="31">
        <f t="shared" ca="1" si="115"/>
        <v>2.9129593429929357</v>
      </c>
      <c r="BL17" s="31">
        <f t="shared" ca="1" si="116"/>
        <v>4.8642216949496753</v>
      </c>
      <c r="BM17" s="31">
        <f t="shared" ca="1" si="117"/>
        <v>0.44956925416176557</v>
      </c>
      <c r="BN17" s="31">
        <f t="shared" ca="1" si="118"/>
        <v>0.47620126440611144</v>
      </c>
      <c r="BO17" s="31">
        <f t="shared" ca="1" si="119"/>
        <v>0.17989825544230878</v>
      </c>
      <c r="BP17" s="31">
        <f t="shared" ca="1" si="120"/>
        <v>2.3318965869103554</v>
      </c>
      <c r="BQ17" s="31">
        <f t="shared" ca="1" si="121"/>
        <v>7.1181934779236631</v>
      </c>
      <c r="BR17" s="31">
        <f t="shared" ca="1" si="122"/>
        <v>1.1671509483045839</v>
      </c>
      <c r="BS17" s="31">
        <f t="shared" ca="1" si="123"/>
        <v>0.75133977272964236</v>
      </c>
      <c r="BT17" s="31">
        <f t="shared" ca="1" si="124"/>
        <v>0.64551726952828437</v>
      </c>
      <c r="BU17" s="31">
        <f t="shared" ca="1" si="125"/>
        <v>4.8243499880014236</v>
      </c>
      <c r="BV17" s="31">
        <f t="shared" ca="1" si="126"/>
        <v>4.9297785091303874</v>
      </c>
      <c r="BW17" s="31">
        <f t="shared" ca="1" si="127"/>
        <v>1.2795432618450251</v>
      </c>
      <c r="BX17" s="31">
        <f t="shared" ca="1" si="128"/>
        <v>3.104098407493785</v>
      </c>
      <c r="BY17" s="31">
        <f t="shared" ca="1" si="129"/>
        <v>4.5633381041976895</v>
      </c>
      <c r="BZ17" s="31">
        <f t="shared" ca="1" si="130"/>
        <v>12.649903465118232</v>
      </c>
      <c r="CA17" s="31">
        <f t="shared" ca="1" si="131"/>
        <v>4.5633381041976895</v>
      </c>
      <c r="CB17" s="31">
        <f t="shared" ca="1" si="132"/>
        <v>5.8021854873611529</v>
      </c>
      <c r="CC17" s="31">
        <f t="shared" ca="1" si="133"/>
        <v>16.835775172066484</v>
      </c>
      <c r="CD17" s="31">
        <f t="shared" ca="1" si="134"/>
        <v>5.8021854873611529</v>
      </c>
      <c r="CE17" s="31">
        <f t="shared" ca="1" si="135"/>
        <v>1.9113906450084881</v>
      </c>
    </row>
    <row r="18" spans="1:83" x14ac:dyDescent="0.25">
      <c r="A18" t="str">
        <f>Plantilla!D20</f>
        <v>Tommaso Niscola</v>
      </c>
      <c r="B18">
        <f>Plantilla!E20</f>
        <v>29</v>
      </c>
      <c r="C18" s="29">
        <f ca="1">Plantilla!F20</f>
        <v>24</v>
      </c>
      <c r="D18" s="125" t="str">
        <f>Plantilla!G20</f>
        <v>IMP</v>
      </c>
      <c r="E18" s="27">
        <f>Plantilla!M20</f>
        <v>43761</v>
      </c>
      <c r="F18" s="41">
        <f>Plantilla!Q20</f>
        <v>7</v>
      </c>
      <c r="G18" s="42">
        <f t="shared" ref="G18" si="136">(F18/7)^0.5</f>
        <v>1</v>
      </c>
      <c r="H18" s="42">
        <f t="shared" ref="H18" si="137">IF(F18=7,1,((F18+0.99)/7)^0.5)</f>
        <v>1</v>
      </c>
      <c r="I18" s="131">
        <f ca="1">Plantilla!N20</f>
        <v>0</v>
      </c>
      <c r="J18" s="33">
        <f>Plantilla!I20</f>
        <v>7.1</v>
      </c>
      <c r="K18" s="40">
        <f>Plantilla!X20</f>
        <v>0</v>
      </c>
      <c r="L18" s="40">
        <f>Plantilla!Y20</f>
        <v>3</v>
      </c>
      <c r="M18" s="40">
        <f>Plantilla!Z20</f>
        <v>9</v>
      </c>
      <c r="N18" s="40">
        <f>Plantilla!AA20</f>
        <v>2</v>
      </c>
      <c r="O18" s="40">
        <f>Plantilla!AB20</f>
        <v>13</v>
      </c>
      <c r="P18" s="40">
        <f>Plantilla!AC20</f>
        <v>12</v>
      </c>
      <c r="Q18" s="40">
        <f>Plantilla!AD20</f>
        <v>17</v>
      </c>
      <c r="R18" s="40">
        <f t="shared" si="70"/>
        <v>4</v>
      </c>
      <c r="S18" s="40">
        <f t="shared" si="71"/>
        <v>1.1099999999999999</v>
      </c>
      <c r="T18" s="40">
        <f t="shared" si="72"/>
        <v>0.63</v>
      </c>
      <c r="U18" s="40">
        <f t="shared" ca="1" si="73"/>
        <v>18.135011131625433</v>
      </c>
      <c r="V18" s="40">
        <f t="shared" ca="1" si="74"/>
        <v>18.135011131625433</v>
      </c>
      <c r="W18" s="31">
        <f t="shared" ca="1" si="75"/>
        <v>1.8188647179090034</v>
      </c>
      <c r="X18" s="31">
        <f t="shared" ca="1" si="76"/>
        <v>2.7402993709284349</v>
      </c>
      <c r="Y18" s="31">
        <f t="shared" ca="1" si="77"/>
        <v>1.8188647179090034</v>
      </c>
      <c r="Z18" s="31">
        <f t="shared" ca="1" si="78"/>
        <v>2.1336657439187237</v>
      </c>
      <c r="AA18" s="31">
        <f t="shared" ca="1" si="79"/>
        <v>4.1350111316254337</v>
      </c>
      <c r="AB18" s="31">
        <f t="shared" ca="1" si="80"/>
        <v>1.0668328719593618</v>
      </c>
      <c r="AC18" s="31">
        <f t="shared" ca="1" si="81"/>
        <v>2.4121326493268529</v>
      </c>
      <c r="AD18" s="31">
        <f t="shared" ca="1" si="82"/>
        <v>1.5630342077544139</v>
      </c>
      <c r="AE18" s="31">
        <f t="shared" ca="1" si="83"/>
        <v>2.9896130481651886</v>
      </c>
      <c r="AF18" s="31">
        <f t="shared" ca="1" si="84"/>
        <v>0.78151710387720696</v>
      </c>
      <c r="AG18" s="31">
        <f t="shared" ca="1" si="85"/>
        <v>3.9019792856757918</v>
      </c>
      <c r="AH18" s="31">
        <f t="shared" ca="1" si="86"/>
        <v>3.8042102410953991</v>
      </c>
      <c r="AI18" s="31">
        <f t="shared" ca="1" si="87"/>
        <v>1.7118946084929294</v>
      </c>
      <c r="AJ18" s="31">
        <f t="shared" ca="1" si="88"/>
        <v>1.6925468589814474</v>
      </c>
      <c r="AK18" s="31">
        <f t="shared" ca="1" si="89"/>
        <v>1.843386545395755</v>
      </c>
      <c r="AL18" s="31">
        <f t="shared" ca="1" si="90"/>
        <v>3.1177983932455771</v>
      </c>
      <c r="AM18" s="31">
        <f t="shared" ca="1" si="91"/>
        <v>2.9275878811908069</v>
      </c>
      <c r="AN18" s="31">
        <f t="shared" ca="1" si="92"/>
        <v>3.0285468589814473</v>
      </c>
      <c r="AO18" s="31">
        <f t="shared" ca="1" si="93"/>
        <v>1.4788832059081247</v>
      </c>
      <c r="AP18" s="31">
        <f t="shared" ca="1" si="94"/>
        <v>1.1164530055388671</v>
      </c>
      <c r="AQ18" s="31">
        <f t="shared" ca="1" si="95"/>
        <v>2.4561966121855074</v>
      </c>
      <c r="AR18" s="31">
        <f t="shared" ca="1" si="96"/>
        <v>0.55822650276943353</v>
      </c>
      <c r="AS18" s="31">
        <f t="shared" ca="1" si="97"/>
        <v>9.5674505082544083</v>
      </c>
      <c r="AT18" s="31">
        <f t="shared" ca="1" si="98"/>
        <v>1.8375514471113064</v>
      </c>
      <c r="AU18" s="31">
        <f t="shared" ca="1" si="99"/>
        <v>3.9685582615662511</v>
      </c>
      <c r="AV18" s="31">
        <f t="shared" ca="1" si="100"/>
        <v>0.91877572355565318</v>
      </c>
      <c r="AW18" s="31">
        <f t="shared" ca="1" si="101"/>
        <v>0.78151710387720696</v>
      </c>
      <c r="AX18" s="31">
        <f t="shared" ca="1" si="102"/>
        <v>1.6540044526501736</v>
      </c>
      <c r="AY18" s="31">
        <f t="shared" ca="1" si="103"/>
        <v>0.39075855193860348</v>
      </c>
      <c r="AZ18" s="31">
        <f t="shared" ca="1" si="104"/>
        <v>10.135011131625433</v>
      </c>
      <c r="BA18" s="31">
        <f t="shared" ca="1" si="105"/>
        <v>3.5761578163012344</v>
      </c>
      <c r="BB18" s="31">
        <f t="shared" ca="1" si="106"/>
        <v>7.5783911335256136</v>
      </c>
      <c r="BC18" s="31">
        <f t="shared" ca="1" si="107"/>
        <v>1.7880789081506172</v>
      </c>
      <c r="BD18" s="31">
        <f t="shared" ca="1" si="108"/>
        <v>1.2032882393030011</v>
      </c>
      <c r="BE18" s="31">
        <f t="shared" ca="1" si="109"/>
        <v>1.4389838738056508</v>
      </c>
      <c r="BF18" s="31">
        <f t="shared" ca="1" si="110"/>
        <v>8.9289448069620061</v>
      </c>
      <c r="BG18" s="31">
        <f t="shared" ca="1" si="111"/>
        <v>6.2520248960150102</v>
      </c>
      <c r="BH18" s="31">
        <f t="shared" ca="1" si="112"/>
        <v>3.4065376827217291</v>
      </c>
      <c r="BI18" s="31">
        <f t="shared" ca="1" si="113"/>
        <v>2.0054803988383352</v>
      </c>
      <c r="BJ18" s="31">
        <f t="shared" ca="1" si="114"/>
        <v>1.0916429387491144</v>
      </c>
      <c r="BK18" s="31">
        <f t="shared" ca="1" si="115"/>
        <v>3.8614392411492902</v>
      </c>
      <c r="BL18" s="31">
        <f t="shared" ca="1" si="116"/>
        <v>4.9509997290406291</v>
      </c>
      <c r="BM18" s="31">
        <f t="shared" ca="1" si="117"/>
        <v>0.73502057884452243</v>
      </c>
      <c r="BN18" s="31">
        <f t="shared" ca="1" si="118"/>
        <v>0.74430200369257804</v>
      </c>
      <c r="BO18" s="31">
        <f t="shared" ca="1" si="119"/>
        <v>0.28118075695052952</v>
      </c>
      <c r="BP18" s="31">
        <f t="shared" ca="1" si="120"/>
        <v>3.0911783951457568</v>
      </c>
      <c r="BQ18" s="31">
        <f t="shared" ca="1" si="121"/>
        <v>7.1776243152703074</v>
      </c>
      <c r="BR18" s="31">
        <f t="shared" ca="1" si="122"/>
        <v>1.9082265027694336</v>
      </c>
      <c r="BS18" s="31">
        <f t="shared" ca="1" si="123"/>
        <v>1.1743431613816231</v>
      </c>
      <c r="BT18" s="31">
        <f t="shared" ca="1" si="124"/>
        <v>1.0089427161166058</v>
      </c>
      <c r="BU18" s="31">
        <f t="shared" ca="1" si="125"/>
        <v>6.3951920240556479</v>
      </c>
      <c r="BV18" s="31">
        <f t="shared" ca="1" si="126"/>
        <v>4.9288349628047623</v>
      </c>
      <c r="BW18" s="31">
        <f t="shared" ca="1" si="127"/>
        <v>2.0919816474805639</v>
      </c>
      <c r="BX18" s="31">
        <f t="shared" ca="1" si="128"/>
        <v>4.1148145194399257</v>
      </c>
      <c r="BY18" s="31">
        <f t="shared" ca="1" si="129"/>
        <v>5.653340799576851</v>
      </c>
      <c r="BZ18" s="31">
        <f t="shared" ca="1" si="130"/>
        <v>15.333022534210237</v>
      </c>
      <c r="CA18" s="31">
        <f t="shared" ca="1" si="131"/>
        <v>5.653340799576851</v>
      </c>
      <c r="CB18" s="31">
        <f t="shared" ca="1" si="132"/>
        <v>6.1151119350026448</v>
      </c>
      <c r="CC18" s="31">
        <f t="shared" ca="1" si="133"/>
        <v>18.350830239195218</v>
      </c>
      <c r="CD18" s="31">
        <f t="shared" ca="1" si="134"/>
        <v>6.1151119350026448</v>
      </c>
      <c r="CE18" s="31">
        <f t="shared" ca="1" si="135"/>
        <v>2.5337527829063582</v>
      </c>
    </row>
    <row r="19" spans="1:83" x14ac:dyDescent="0.25">
      <c r="A19" t="str">
        <f>Plantilla!D21</f>
        <v>Leo Hilpinen</v>
      </c>
      <c r="B19">
        <f>Plantilla!E21</f>
        <v>31</v>
      </c>
      <c r="C19" s="29">
        <f ca="1">Plantilla!F21</f>
        <v>28</v>
      </c>
      <c r="D19" s="125" t="str">
        <f>Plantilla!G21</f>
        <v>CAB</v>
      </c>
      <c r="E19" s="27">
        <f>Plantilla!M21</f>
        <v>43590</v>
      </c>
      <c r="F19" s="41">
        <f>Plantilla!Q21</f>
        <v>6</v>
      </c>
      <c r="G19" s="42">
        <f t="shared" ref="G19" si="138">(F19/7)^0.5</f>
        <v>0.92582009977255142</v>
      </c>
      <c r="H19" s="42">
        <f t="shared" ref="H19" si="139">IF(F19=7,1,((F19+0.99)/7)^0.5)</f>
        <v>0.99928545900129484</v>
      </c>
      <c r="I19" s="131">
        <f ca="1">Plantilla!N21</f>
        <v>0.64902342676788549</v>
      </c>
      <c r="J19" s="33">
        <f>Plantilla!I21</f>
        <v>6.5</v>
      </c>
      <c r="K19" s="40">
        <f>Plantilla!X21</f>
        <v>0</v>
      </c>
      <c r="L19" s="40">
        <f>Plantilla!Y21</f>
        <v>5</v>
      </c>
      <c r="M19" s="40">
        <f>Plantilla!Z21</f>
        <v>6</v>
      </c>
      <c r="N19" s="40">
        <f>Plantilla!AA21</f>
        <v>5</v>
      </c>
      <c r="O19" s="40">
        <f>Plantilla!AB21</f>
        <v>9.1428571428571423</v>
      </c>
      <c r="P19" s="40">
        <f>Plantilla!AC21</f>
        <v>11.95</v>
      </c>
      <c r="Q19" s="40">
        <f>Plantilla!AD21</f>
        <v>0</v>
      </c>
      <c r="R19" s="40">
        <f t="shared" si="70"/>
        <v>3.2857142857142856</v>
      </c>
      <c r="S19" s="40">
        <f t="shared" si="71"/>
        <v>0.59749999999999992</v>
      </c>
      <c r="T19" s="40">
        <f t="shared" si="72"/>
        <v>0.2</v>
      </c>
      <c r="U19" s="40">
        <f t="shared" ca="1" si="73"/>
        <v>1.6043609669963379</v>
      </c>
      <c r="V19" s="40">
        <f t="shared" ca="1" si="74"/>
        <v>1.7316696685485253</v>
      </c>
      <c r="W19" s="31">
        <f t="shared" ca="1" si="75"/>
        <v>2.8928285987006479</v>
      </c>
      <c r="X19" s="31">
        <f t="shared" ca="1" si="76"/>
        <v>4.3621841018585759</v>
      </c>
      <c r="Y19" s="31">
        <f t="shared" ca="1" si="77"/>
        <v>2.8928285987006479</v>
      </c>
      <c r="Z19" s="31">
        <f t="shared" ca="1" si="78"/>
        <v>3.4741804775825136</v>
      </c>
      <c r="AA19" s="31">
        <f t="shared" ca="1" si="79"/>
        <v>6.7329079022916929</v>
      </c>
      <c r="AB19" s="31">
        <f t="shared" ca="1" si="80"/>
        <v>1.7370902387912568</v>
      </c>
      <c r="AC19" s="31">
        <f t="shared" ca="1" si="81"/>
        <v>1.8404320807454229</v>
      </c>
      <c r="AD19" s="31">
        <f t="shared" ca="1" si="82"/>
        <v>2.5450391870662599</v>
      </c>
      <c r="AE19" s="31">
        <f t="shared" ca="1" si="83"/>
        <v>4.8678924133568939</v>
      </c>
      <c r="AF19" s="31">
        <f t="shared" ca="1" si="84"/>
        <v>1.2725195935331299</v>
      </c>
      <c r="AG19" s="31">
        <f t="shared" ca="1" si="85"/>
        <v>2.9771695423823017</v>
      </c>
      <c r="AH19" s="31">
        <f t="shared" ca="1" si="86"/>
        <v>6.1942752701083581</v>
      </c>
      <c r="AI19" s="31">
        <f t="shared" ca="1" si="87"/>
        <v>2.7874238715487607</v>
      </c>
      <c r="AJ19" s="31">
        <f t="shared" ca="1" si="88"/>
        <v>1.2913956196827128</v>
      </c>
      <c r="AK19" s="31">
        <f t="shared" ca="1" si="89"/>
        <v>3.9589498465475152</v>
      </c>
      <c r="AL19" s="31">
        <f t="shared" ca="1" si="90"/>
        <v>5.0766125583279367</v>
      </c>
      <c r="AM19" s="31">
        <f t="shared" ca="1" si="91"/>
        <v>4.7668987948225183</v>
      </c>
      <c r="AN19" s="31">
        <f t="shared" ca="1" si="92"/>
        <v>0.28939561968271271</v>
      </c>
      <c r="AO19" s="31">
        <f t="shared" ca="1" si="93"/>
        <v>1.4453631901457218</v>
      </c>
      <c r="AP19" s="31">
        <f t="shared" ca="1" si="94"/>
        <v>1.8178851336187571</v>
      </c>
      <c r="AQ19" s="31">
        <f t="shared" ca="1" si="95"/>
        <v>3.9993472939612653</v>
      </c>
      <c r="AR19" s="31">
        <f t="shared" ca="1" si="96"/>
        <v>0.90894256680937857</v>
      </c>
      <c r="AS19" s="31">
        <f t="shared" ca="1" si="97"/>
        <v>7.2998650597633574</v>
      </c>
      <c r="AT19" s="31">
        <f t="shared" ca="1" si="98"/>
        <v>1.4138494558693486</v>
      </c>
      <c r="AU19" s="31">
        <f t="shared" ca="1" si="99"/>
        <v>3.6722348725143226</v>
      </c>
      <c r="AV19" s="31">
        <f t="shared" ca="1" si="100"/>
        <v>0.70692472793467431</v>
      </c>
      <c r="AW19" s="31">
        <f t="shared" ca="1" si="101"/>
        <v>1.2725195935331299</v>
      </c>
      <c r="AX19" s="31">
        <f t="shared" ca="1" si="102"/>
        <v>2.6931631609166775</v>
      </c>
      <c r="AY19" s="31">
        <f t="shared" ca="1" si="103"/>
        <v>0.63625979676656497</v>
      </c>
      <c r="AZ19" s="31">
        <f t="shared" ca="1" si="104"/>
        <v>7.7329079022916929</v>
      </c>
      <c r="BA19" s="31">
        <f t="shared" ca="1" si="105"/>
        <v>2.7515685564226553</v>
      </c>
      <c r="BB19" s="31">
        <f t="shared" ca="1" si="106"/>
        <v>6.5820465398770081</v>
      </c>
      <c r="BC19" s="31">
        <f t="shared" ca="1" si="107"/>
        <v>1.3757842782113276</v>
      </c>
      <c r="BD19" s="31">
        <f t="shared" ca="1" si="108"/>
        <v>1.9592761995668826</v>
      </c>
      <c r="BE19" s="31">
        <f t="shared" ca="1" si="109"/>
        <v>2.3430519499975091</v>
      </c>
      <c r="BF19" s="31">
        <f t="shared" ca="1" si="110"/>
        <v>6.8126918619189816</v>
      </c>
      <c r="BG19" s="31">
        <f t="shared" ca="1" si="111"/>
        <v>7.2905551251373151</v>
      </c>
      <c r="BH19" s="31">
        <f t="shared" ca="1" si="112"/>
        <v>2.6210593758808693</v>
      </c>
      <c r="BI19" s="31">
        <f t="shared" ca="1" si="113"/>
        <v>3.2654603326114708</v>
      </c>
      <c r="BJ19" s="31">
        <f t="shared" ca="1" si="114"/>
        <v>1.7774876862050071</v>
      </c>
      <c r="BK19" s="31">
        <f t="shared" ca="1" si="115"/>
        <v>2.9462379107731351</v>
      </c>
      <c r="BL19" s="31">
        <f t="shared" ca="1" si="116"/>
        <v>6.7172757923172259</v>
      </c>
      <c r="BM19" s="31">
        <f t="shared" ca="1" si="117"/>
        <v>0.56553978234773938</v>
      </c>
      <c r="BN19" s="31">
        <f t="shared" ca="1" si="118"/>
        <v>1.2119234224125046</v>
      </c>
      <c r="BO19" s="31">
        <f t="shared" ca="1" si="119"/>
        <v>0.45783773735583516</v>
      </c>
      <c r="BP19" s="31">
        <f t="shared" ca="1" si="120"/>
        <v>2.3585369101989664</v>
      </c>
      <c r="BQ19" s="31">
        <f t="shared" ca="1" si="121"/>
        <v>9.8433767052042604</v>
      </c>
      <c r="BR19" s="31">
        <f t="shared" ca="1" si="122"/>
        <v>1.4682282810950928</v>
      </c>
      <c r="BS19" s="31">
        <f t="shared" ca="1" si="123"/>
        <v>1.9121458442508406</v>
      </c>
      <c r="BT19" s="31">
        <f t="shared" ca="1" si="124"/>
        <v>1.6428295281591729</v>
      </c>
      <c r="BU19" s="31">
        <f t="shared" ca="1" si="125"/>
        <v>4.8794648863460583</v>
      </c>
      <c r="BV19" s="31">
        <f t="shared" ca="1" si="126"/>
        <v>6.8255240011224938</v>
      </c>
      <c r="BW19" s="31">
        <f t="shared" ca="1" si="127"/>
        <v>1.6096132266820276</v>
      </c>
      <c r="BX19" s="31">
        <f t="shared" ca="1" si="128"/>
        <v>3.1395606083304277</v>
      </c>
      <c r="BY19" s="31">
        <f t="shared" ca="1" si="129"/>
        <v>5.4262093028082576</v>
      </c>
      <c r="BZ19" s="31">
        <f t="shared" ca="1" si="130"/>
        <v>13.882675726551874</v>
      </c>
      <c r="CA19" s="31">
        <f t="shared" ca="1" si="131"/>
        <v>5.4262093028082576</v>
      </c>
      <c r="CB19" s="31">
        <f t="shared" ca="1" si="132"/>
        <v>6.5898873374134386</v>
      </c>
      <c r="CC19" s="31">
        <f t="shared" ca="1" si="133"/>
        <v>17.696065203951612</v>
      </c>
      <c r="CD19" s="31">
        <f t="shared" ca="1" si="134"/>
        <v>6.5898873374134386</v>
      </c>
      <c r="CE19" s="31">
        <f t="shared" ca="1" si="135"/>
        <v>1.9332269755729232</v>
      </c>
    </row>
    <row r="20" spans="1:83" x14ac:dyDescent="0.25">
      <c r="M20" s="31"/>
      <c r="N20" s="31"/>
      <c r="AH20" s="31"/>
      <c r="AI20" s="31"/>
    </row>
    <row r="21" spans="1:83" ht="18.75" x14ac:dyDescent="0.3">
      <c r="A21" s="52" t="s">
        <v>83</v>
      </c>
      <c r="B21" s="52" t="s">
        <v>84</v>
      </c>
      <c r="C21" s="52"/>
      <c r="D21" s="53"/>
      <c r="Z21" s="31"/>
      <c r="AA21" s="31"/>
      <c r="BV21" s="31"/>
      <c r="BW21" s="31"/>
    </row>
    <row r="22" spans="1:83" x14ac:dyDescent="0.25">
      <c r="A22" s="54" t="s">
        <v>85</v>
      </c>
      <c r="B22" s="55">
        <v>1</v>
      </c>
      <c r="C22" s="57">
        <v>0.624</v>
      </c>
      <c r="D22" s="58">
        <v>0.245</v>
      </c>
      <c r="AH22" s="31"/>
      <c r="AI22" s="31"/>
    </row>
    <row r="23" spans="1:83" x14ac:dyDescent="0.25">
      <c r="A23" s="54" t="s">
        <v>86</v>
      </c>
      <c r="B23" s="55">
        <v>1</v>
      </c>
      <c r="C23" s="57">
        <v>1.002</v>
      </c>
      <c r="D23" s="58">
        <v>0.34</v>
      </c>
      <c r="AG23" s="63"/>
      <c r="AH23" s="64"/>
    </row>
    <row r="24" spans="1:83" x14ac:dyDescent="0.25">
      <c r="A24" s="54" t="s">
        <v>87</v>
      </c>
      <c r="B24" s="55">
        <v>1</v>
      </c>
      <c r="C24" s="57">
        <v>0.46800000000000003</v>
      </c>
      <c r="D24" s="58">
        <v>0.125</v>
      </c>
      <c r="Z24" s="31"/>
      <c r="AA24" s="31"/>
      <c r="AH24" s="65"/>
      <c r="AI24" s="65"/>
      <c r="BV24" s="31"/>
      <c r="BW24" s="31"/>
    </row>
    <row r="25" spans="1:83" x14ac:dyDescent="0.25">
      <c r="A25" s="54" t="s">
        <v>88</v>
      </c>
      <c r="B25" s="55">
        <v>1</v>
      </c>
      <c r="C25" s="57">
        <v>0.877</v>
      </c>
      <c r="D25" s="58">
        <v>0.25</v>
      </c>
      <c r="W25" s="64"/>
    </row>
    <row r="26" spans="1:83" x14ac:dyDescent="0.25">
      <c r="A26" s="54" t="s">
        <v>89</v>
      </c>
      <c r="B26" s="55">
        <v>1</v>
      </c>
      <c r="C26" s="57">
        <v>0.59299999999999997</v>
      </c>
      <c r="D26" s="58">
        <v>0.19</v>
      </c>
      <c r="W26" s="64"/>
    </row>
    <row r="28" spans="1:83" x14ac:dyDescent="0.25">
      <c r="Z28" s="64"/>
      <c r="AA28" s="64"/>
      <c r="BV28" s="64"/>
      <c r="BW28" s="64"/>
    </row>
  </sheetData>
  <conditionalFormatting sqref="U3:V19">
    <cfRule type="cellIs" dxfId="9" priority="20" operator="greaterThan">
      <formula>15</formula>
    </cfRule>
  </conditionalFormatting>
  <conditionalFormatting sqref="R3:R19">
    <cfRule type="cellIs" dxfId="8" priority="19" operator="greaterThan">
      <formula>3.2</formula>
    </cfRule>
  </conditionalFormatting>
  <conditionalFormatting sqref="S3:T19">
    <cfRule type="cellIs" dxfId="7" priority="18" operator="greaterThan">
      <formula>0.6</formula>
    </cfRule>
  </conditionalFormatting>
  <conditionalFormatting sqref="W3:AI19 AK3:AM19 AO3:BD19 BF3:CE19">
    <cfRule type="cellIs" dxfId="6" priority="17" operator="greaterThan">
      <formula>12.5</formula>
    </cfRule>
  </conditionalFormatting>
  <conditionalFormatting sqref="J3:J19">
    <cfRule type="cellIs" dxfId="5" priority="14" operator="greaterThan">
      <formula>7</formula>
    </cfRule>
  </conditionalFormatting>
  <conditionalFormatting sqref="K3:Q19">
    <cfRule type="colorScale" priority="587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N19" sqref="N19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354</v>
      </c>
      <c r="L1" s="125"/>
      <c r="M1" s="125"/>
      <c r="N1" s="125"/>
      <c r="W1" s="46"/>
    </row>
    <row r="2" spans="1:23" x14ac:dyDescent="0.25">
      <c r="B2" s="27">
        <v>43636</v>
      </c>
      <c r="L2" s="125"/>
      <c r="M2" s="125"/>
      <c r="N2" s="125"/>
      <c r="U2" s="132"/>
      <c r="W2" s="46"/>
    </row>
    <row r="3" spans="1:23" x14ac:dyDescent="0.25">
      <c r="A3" s="10" t="s">
        <v>355</v>
      </c>
      <c r="B3" s="10" t="s">
        <v>2</v>
      </c>
      <c r="C3" s="10" t="s">
        <v>58</v>
      </c>
      <c r="D3" s="10" t="s">
        <v>4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3">
        <v>1</v>
      </c>
      <c r="M3" s="133">
        <v>0.5</v>
      </c>
      <c r="N3" s="10" t="s">
        <v>356</v>
      </c>
      <c r="O3" s="135" t="s">
        <v>357</v>
      </c>
      <c r="P3" s="135" t="s">
        <v>358</v>
      </c>
      <c r="Q3" s="135" t="s">
        <v>42</v>
      </c>
      <c r="R3" s="135" t="s">
        <v>359</v>
      </c>
      <c r="S3" s="134" t="s">
        <v>57</v>
      </c>
      <c r="T3" s="140" t="s">
        <v>360</v>
      </c>
      <c r="U3" s="71" t="s">
        <v>80</v>
      </c>
      <c r="W3" s="46"/>
    </row>
    <row r="4" spans="1:23" x14ac:dyDescent="0.25">
      <c r="A4" s="136" t="str">
        <f>Plantilla!A4</f>
        <v>#1</v>
      </c>
      <c r="B4" s="137" t="str">
        <f>Plantilla!D4</f>
        <v>Cosme Fonteboa</v>
      </c>
      <c r="C4" s="136">
        <f>Plantilla!E4</f>
        <v>23</v>
      </c>
      <c r="D4" s="139">
        <f ca="1">Plantilla!F4</f>
        <v>60</v>
      </c>
      <c r="E4" s="40">
        <f>Plantilla!X4</f>
        <v>15</v>
      </c>
      <c r="F4" s="40">
        <f>Plantilla!Y4</f>
        <v>12.1</v>
      </c>
      <c r="G4" s="40">
        <f>Plantilla!Z4</f>
        <v>0</v>
      </c>
      <c r="H4" s="40">
        <f>Plantilla!AA4</f>
        <v>0</v>
      </c>
      <c r="I4" s="40">
        <f>Plantilla!AB4</f>
        <v>0</v>
      </c>
      <c r="J4" s="40">
        <f>Plantilla!AC4</f>
        <v>1</v>
      </c>
      <c r="K4" s="40">
        <f>Plantilla!AD4</f>
        <v>1</v>
      </c>
      <c r="L4" s="138"/>
      <c r="M4" s="138"/>
      <c r="N4" s="138"/>
      <c r="O4" s="66"/>
      <c r="P4" s="66"/>
      <c r="Q4" s="66"/>
      <c r="R4" s="66"/>
      <c r="S4" s="66"/>
      <c r="T4" s="66"/>
      <c r="U4" s="66"/>
      <c r="W4" s="46"/>
    </row>
    <row r="5" spans="1:23" x14ac:dyDescent="0.25">
      <c r="A5" s="136" t="str">
        <f>Plantilla!A5</f>
        <v>#17</v>
      </c>
      <c r="B5" s="137" t="str">
        <f>Plantilla!D5</f>
        <v>Nicolae Hornet</v>
      </c>
      <c r="C5" s="136">
        <f>Plantilla!E5</f>
        <v>23</v>
      </c>
      <c r="D5" s="139">
        <f ca="1">Plantilla!F5</f>
        <v>85</v>
      </c>
      <c r="E5" s="40">
        <f>Plantilla!X5</f>
        <v>6</v>
      </c>
      <c r="F5" s="40">
        <f>Plantilla!Y5</f>
        <v>5.4</v>
      </c>
      <c r="G5" s="40">
        <f>Plantilla!Z5</f>
        <v>0</v>
      </c>
      <c r="H5" s="40">
        <f>Plantilla!AA5</f>
        <v>3</v>
      </c>
      <c r="I5" s="40">
        <f>Plantilla!AB5</f>
        <v>0</v>
      </c>
      <c r="J5" s="40">
        <f>Plantilla!AC5</f>
        <v>1</v>
      </c>
      <c r="K5" s="40">
        <f>Plantilla!AD5</f>
        <v>1</v>
      </c>
      <c r="L5" s="138"/>
      <c r="M5" s="138"/>
      <c r="N5" s="138"/>
      <c r="O5" s="66"/>
      <c r="P5" s="66"/>
      <c r="Q5" s="66"/>
      <c r="R5" s="66"/>
      <c r="S5" s="66"/>
      <c r="T5" s="66"/>
      <c r="U5" s="66"/>
      <c r="W5" s="46"/>
    </row>
    <row r="6" spans="1:23" x14ac:dyDescent="0.25">
      <c r="A6" s="136" t="str">
        <f>Plantilla!A6</f>
        <v>#2</v>
      </c>
      <c r="B6" s="137" t="str">
        <f>Plantilla!D6</f>
        <v>Miguel Fernández</v>
      </c>
      <c r="C6" s="136">
        <f>Plantilla!E6</f>
        <v>23</v>
      </c>
      <c r="D6" s="139">
        <f ca="1">Plantilla!F6</f>
        <v>57</v>
      </c>
      <c r="E6" s="40">
        <f>Plantilla!X6</f>
        <v>0</v>
      </c>
      <c r="F6" s="40">
        <f>Plantilla!Y6</f>
        <v>15.340972222222222</v>
      </c>
      <c r="G6" s="40">
        <f>Plantilla!Z6</f>
        <v>5</v>
      </c>
      <c r="H6" s="40">
        <f>Plantilla!AA6</f>
        <v>5.4</v>
      </c>
      <c r="I6" s="40">
        <f>Plantilla!AB6</f>
        <v>6</v>
      </c>
      <c r="J6" s="40">
        <f>Plantilla!AC6</f>
        <v>2</v>
      </c>
      <c r="K6" s="40">
        <f>Plantilla!AD6</f>
        <v>1</v>
      </c>
      <c r="L6" s="138">
        <f>1/3</f>
        <v>0.33333333333333331</v>
      </c>
      <c r="M6" s="138">
        <f t="shared" ref="M6:M15" si="0">L6/2</f>
        <v>0.16666666666666666</v>
      </c>
      <c r="N6" s="138">
        <f t="shared" ref="N6:N15" si="1">L6/8</f>
        <v>4.1666666666666664E-2</v>
      </c>
      <c r="O6" s="66">
        <f>L6*0.286</f>
        <v>9.5333333333333325E-2</v>
      </c>
      <c r="P6" s="66"/>
      <c r="Q6" s="66"/>
      <c r="R6" s="66"/>
      <c r="S6" s="66"/>
      <c r="T6" s="66"/>
      <c r="U6" s="66">
        <f t="shared" ref="U6:U9" si="2">MAX(O6:T6)</f>
        <v>9.5333333333333325E-2</v>
      </c>
      <c r="W6" s="46"/>
    </row>
    <row r="7" spans="1:23" x14ac:dyDescent="0.25">
      <c r="A7" s="136" t="str">
        <f>Plantilla!A7</f>
        <v>#13</v>
      </c>
      <c r="B7" s="137" t="str">
        <f>Plantilla!D7</f>
        <v>Iván Real Figueroa</v>
      </c>
      <c r="C7" s="136">
        <f>Plantilla!E7</f>
        <v>23</v>
      </c>
      <c r="D7" s="139">
        <f ca="1">Plantilla!F7</f>
        <v>38</v>
      </c>
      <c r="E7" s="40">
        <f>Plantilla!X7</f>
        <v>0</v>
      </c>
      <c r="F7" s="40">
        <f>Plantilla!Y7</f>
        <v>15.3125</v>
      </c>
      <c r="G7" s="40">
        <f>Plantilla!Z7</f>
        <v>5</v>
      </c>
      <c r="H7" s="40">
        <f>Plantilla!AA7</f>
        <v>7</v>
      </c>
      <c r="I7" s="40">
        <f>Plantilla!AB7</f>
        <v>5.25</v>
      </c>
      <c r="J7" s="40">
        <f>Plantilla!AC7</f>
        <v>1</v>
      </c>
      <c r="K7" s="40">
        <f>Plantilla!AD7</f>
        <v>0</v>
      </c>
      <c r="L7" s="138">
        <f>1/4</f>
        <v>0.25</v>
      </c>
      <c r="M7" s="138">
        <f t="shared" si="0"/>
        <v>0.125</v>
      </c>
      <c r="N7" s="138">
        <f t="shared" si="1"/>
        <v>3.125E-2</v>
      </c>
      <c r="O7" s="66">
        <f>L7*0.286</f>
        <v>7.1499999999999994E-2</v>
      </c>
      <c r="P7" s="66"/>
      <c r="Q7" s="66"/>
      <c r="R7" s="66"/>
      <c r="S7" s="66"/>
      <c r="T7" s="66"/>
      <c r="U7" s="66">
        <f t="shared" si="2"/>
        <v>7.1499999999999994E-2</v>
      </c>
      <c r="W7" s="46"/>
    </row>
    <row r="8" spans="1:23" x14ac:dyDescent="0.25">
      <c r="A8" s="136" t="str">
        <f>Plantilla!A8</f>
        <v>#4</v>
      </c>
      <c r="B8" s="137" t="str">
        <f>Plantilla!D8</f>
        <v>Berto Abandero</v>
      </c>
      <c r="C8" s="136">
        <f>Plantilla!E8</f>
        <v>23</v>
      </c>
      <c r="D8" s="139">
        <f ca="1">Plantilla!F8</f>
        <v>88</v>
      </c>
      <c r="E8" s="40">
        <f>Plantilla!X8</f>
        <v>0</v>
      </c>
      <c r="F8" s="40">
        <f>Plantilla!Y8</f>
        <v>13.833333333333334</v>
      </c>
      <c r="G8" s="40">
        <f>Plantilla!Z8</f>
        <v>3</v>
      </c>
      <c r="H8" s="40">
        <f>Plantilla!AA8</f>
        <v>7.1999999999999993</v>
      </c>
      <c r="I8" s="40">
        <f>Plantilla!AB8</f>
        <v>10.125</v>
      </c>
      <c r="J8" s="40">
        <f>Plantilla!AC8</f>
        <v>3</v>
      </c>
      <c r="K8" s="40">
        <f>Plantilla!AD8</f>
        <v>2</v>
      </c>
      <c r="L8" s="138">
        <f>1/4</f>
        <v>0.25</v>
      </c>
      <c r="M8" s="138">
        <f t="shared" si="0"/>
        <v>0.125</v>
      </c>
      <c r="N8" s="138">
        <f t="shared" si="1"/>
        <v>3.125E-2</v>
      </c>
      <c r="O8" s="66">
        <f>L8*0.286</f>
        <v>7.1499999999999994E-2</v>
      </c>
      <c r="P8" s="66"/>
      <c r="Q8" s="66"/>
      <c r="R8" s="66"/>
      <c r="S8" s="66"/>
      <c r="T8" s="66"/>
      <c r="U8" s="66">
        <f t="shared" si="2"/>
        <v>7.1499999999999994E-2</v>
      </c>
      <c r="W8" s="46"/>
    </row>
    <row r="9" spans="1:23" x14ac:dyDescent="0.25">
      <c r="A9" s="136" t="str">
        <f>Plantilla!A9</f>
        <v>#14</v>
      </c>
      <c r="B9" s="137" t="str">
        <f>Plantilla!D9</f>
        <v>Guillermo Pedrajas</v>
      </c>
      <c r="C9" s="136">
        <f>Plantilla!E9</f>
        <v>23</v>
      </c>
      <c r="D9" s="139">
        <f ca="1">Plantilla!F9</f>
        <v>73</v>
      </c>
      <c r="E9" s="40">
        <f>Plantilla!X9</f>
        <v>0</v>
      </c>
      <c r="F9" s="40">
        <f>Plantilla!Y9</f>
        <v>12.090909090909092</v>
      </c>
      <c r="G9" s="40">
        <f>Plantilla!Z9</f>
        <v>11</v>
      </c>
      <c r="H9" s="40">
        <f>Plantilla!AA9</f>
        <v>4</v>
      </c>
      <c r="I9" s="40">
        <f>Plantilla!AB9</f>
        <v>9.1428571428571423</v>
      </c>
      <c r="J9" s="40">
        <f>Plantilla!AC9</f>
        <v>4</v>
      </c>
      <c r="K9" s="40">
        <f>Plantilla!AD9</f>
        <v>1</v>
      </c>
      <c r="L9" s="138">
        <f>1/3</f>
        <v>0.33333333333333331</v>
      </c>
      <c r="M9" s="138">
        <f t="shared" si="0"/>
        <v>0.16666666666666666</v>
      </c>
      <c r="N9" s="138">
        <f t="shared" si="1"/>
        <v>4.1666666666666664E-2</v>
      </c>
      <c r="O9" s="66"/>
      <c r="P9" s="66"/>
      <c r="Q9" s="66"/>
      <c r="R9" s="66"/>
      <c r="S9" s="66"/>
      <c r="T9" s="66"/>
      <c r="U9" s="66">
        <f t="shared" si="2"/>
        <v>0</v>
      </c>
      <c r="W9" s="46"/>
    </row>
    <row r="10" spans="1:23" x14ac:dyDescent="0.25">
      <c r="A10" s="136" t="str">
        <f>Plantilla!A10</f>
        <v>#7</v>
      </c>
      <c r="B10" s="137" t="str">
        <f>Plantilla!D10</f>
        <v>Venanci Oset</v>
      </c>
      <c r="C10" s="136">
        <f>Plantilla!E10</f>
        <v>24</v>
      </c>
      <c r="D10" s="139">
        <f ca="1">Plantilla!F10</f>
        <v>4</v>
      </c>
      <c r="E10" s="40">
        <f>Plantilla!X10</f>
        <v>0</v>
      </c>
      <c r="F10" s="40">
        <f>Plantilla!Y10</f>
        <v>13.75</v>
      </c>
      <c r="G10" s="40">
        <f>Plantilla!Z10</f>
        <v>5</v>
      </c>
      <c r="H10" s="40">
        <f>Plantilla!AA10</f>
        <v>2</v>
      </c>
      <c r="I10" s="40">
        <f>Plantilla!AB10</f>
        <v>10</v>
      </c>
      <c r="J10" s="40">
        <f>Plantilla!AC10</f>
        <v>6</v>
      </c>
      <c r="K10" s="40">
        <f>Plantilla!AD10</f>
        <v>0</v>
      </c>
      <c r="L10" s="138"/>
      <c r="M10" s="138"/>
      <c r="N10" s="138"/>
      <c r="O10" s="66"/>
      <c r="P10" s="66"/>
      <c r="Q10" s="66"/>
      <c r="R10" s="66"/>
      <c r="S10" s="66"/>
      <c r="T10" s="66"/>
      <c r="U10" s="66"/>
      <c r="W10" s="46"/>
    </row>
    <row r="11" spans="1:23" x14ac:dyDescent="0.25">
      <c r="A11" s="136" t="str">
        <f>Plantilla!A11</f>
        <v>#9</v>
      </c>
      <c r="B11" s="137" t="str">
        <f>Plantilla!D11</f>
        <v>Francesc Añigas</v>
      </c>
      <c r="C11" s="136">
        <f>Plantilla!E11</f>
        <v>23</v>
      </c>
      <c r="D11" s="139">
        <f ca="1">Plantilla!F11</f>
        <v>53</v>
      </c>
      <c r="E11" s="40">
        <f>Plantilla!X11</f>
        <v>0</v>
      </c>
      <c r="F11" s="40">
        <f>Plantilla!Y11</f>
        <v>13.25</v>
      </c>
      <c r="G11" s="40">
        <f>Plantilla!Z11</f>
        <v>4</v>
      </c>
      <c r="H11" s="40">
        <f>Plantilla!AA11</f>
        <v>12.666666666666666</v>
      </c>
      <c r="I11" s="40">
        <f>Plantilla!AB11</f>
        <v>4.5</v>
      </c>
      <c r="J11" s="40">
        <f>Plantilla!AC11</f>
        <v>7</v>
      </c>
      <c r="K11" s="40">
        <f>Plantilla!AD11</f>
        <v>3</v>
      </c>
      <c r="L11" s="138">
        <f>1/7</f>
        <v>0.14285714285714285</v>
      </c>
      <c r="M11" s="138">
        <f t="shared" si="0"/>
        <v>7.1428571428571425E-2</v>
      </c>
      <c r="N11" s="138">
        <f t="shared" si="1"/>
        <v>1.7857142857142856E-2</v>
      </c>
      <c r="O11" s="66">
        <f>L11*0.286</f>
        <v>4.0857142857142849E-2</v>
      </c>
      <c r="P11" s="66">
        <f>L11*(0.588)</f>
        <v>8.3999999999999991E-2</v>
      </c>
      <c r="Q11" s="66">
        <f>L11*(0.574)</f>
        <v>8.199999999999999E-2</v>
      </c>
      <c r="R11" s="66">
        <f>L11*(0.864)</f>
        <v>0.12342857142857142</v>
      </c>
      <c r="S11" s="66">
        <f>L11*(0.144)</f>
        <v>2.057142857142857E-2</v>
      </c>
      <c r="T11" s="66">
        <f>L11*(0.607)</f>
        <v>8.6714285714285702E-2</v>
      </c>
      <c r="U11" s="66">
        <f>MAX(O11:T11)</f>
        <v>0.12342857142857142</v>
      </c>
      <c r="W11" s="46"/>
    </row>
    <row r="12" spans="1:23" x14ac:dyDescent="0.25">
      <c r="A12" s="136" t="str">
        <f>Plantilla!A12</f>
        <v>#3</v>
      </c>
      <c r="B12" s="137" t="str">
        <f>Plantilla!D12</f>
        <v>Will Duffill</v>
      </c>
      <c r="C12" s="136">
        <f>Plantilla!E12</f>
        <v>23</v>
      </c>
      <c r="D12" s="139">
        <f ca="1">Plantilla!F12</f>
        <v>14</v>
      </c>
      <c r="E12" s="40">
        <f>Plantilla!X12</f>
        <v>0</v>
      </c>
      <c r="F12" s="40">
        <f>Plantilla!Y12</f>
        <v>12.5</v>
      </c>
      <c r="G12" s="40">
        <f>Plantilla!Z12</f>
        <v>3</v>
      </c>
      <c r="H12" s="40">
        <f>Plantilla!AA12</f>
        <v>13</v>
      </c>
      <c r="I12" s="40">
        <f>Plantilla!AB12</f>
        <v>7.25</v>
      </c>
      <c r="J12" s="40">
        <f>Plantilla!AC12</f>
        <v>7</v>
      </c>
      <c r="K12" s="40">
        <f>Plantilla!AD12</f>
        <v>3</v>
      </c>
      <c r="L12" s="138">
        <f>1/8</f>
        <v>0.125</v>
      </c>
      <c r="M12" s="138">
        <f t="shared" si="0"/>
        <v>6.25E-2</v>
      </c>
      <c r="N12" s="138">
        <f t="shared" si="1"/>
        <v>1.5625E-2</v>
      </c>
      <c r="O12" s="66">
        <f>L12*0.286</f>
        <v>3.5749999999999997E-2</v>
      </c>
      <c r="P12" s="66">
        <f t="shared" ref="P12:P15" si="3">L12*(0.588)</f>
        <v>7.3499999999999996E-2</v>
      </c>
      <c r="Q12" s="66">
        <f t="shared" ref="Q12:Q15" si="4">L12*(0.574)</f>
        <v>7.1749999999999994E-2</v>
      </c>
      <c r="R12" s="66">
        <f t="shared" ref="R12:R15" si="5">L12*(0.864)</f>
        <v>0.108</v>
      </c>
      <c r="S12" s="66">
        <f t="shared" ref="S12:S15" si="6">L12*(0.144)</f>
        <v>1.7999999999999999E-2</v>
      </c>
      <c r="T12" s="66">
        <f t="shared" ref="T12:T15" si="7">L12*(0.607)</f>
        <v>7.5874999999999998E-2</v>
      </c>
      <c r="U12" s="66">
        <f t="shared" ref="U12:U15" si="8">MAX(O12:T12)</f>
        <v>0.108</v>
      </c>
      <c r="W12" s="46"/>
    </row>
    <row r="13" spans="1:23" x14ac:dyDescent="0.25">
      <c r="A13" s="136" t="str">
        <f>Plantilla!A13</f>
        <v>#5</v>
      </c>
      <c r="B13" s="137" t="str">
        <f>Plantilla!D13</f>
        <v>Valeri Gomis</v>
      </c>
      <c r="C13" s="136">
        <f>Plantilla!E13</f>
        <v>23</v>
      </c>
      <c r="D13" s="139">
        <f ca="1">Plantilla!F13</f>
        <v>53</v>
      </c>
      <c r="E13" s="40">
        <f>Plantilla!X13</f>
        <v>0</v>
      </c>
      <c r="F13" s="40">
        <f>Plantilla!Y13</f>
        <v>12</v>
      </c>
      <c r="G13" s="40">
        <f>Plantilla!Z13</f>
        <v>3</v>
      </c>
      <c r="H13" s="40">
        <f>Plantilla!AA13</f>
        <v>12</v>
      </c>
      <c r="I13" s="40">
        <f>Plantilla!AB13</f>
        <v>6.2000000000000011</v>
      </c>
      <c r="J13" s="40">
        <f>Plantilla!AC13</f>
        <v>7.25</v>
      </c>
      <c r="K13" s="40">
        <f>Plantilla!AD13</f>
        <v>3</v>
      </c>
      <c r="L13" s="138">
        <f>1/7</f>
        <v>0.14285714285714285</v>
      </c>
      <c r="M13" s="138">
        <f t="shared" si="0"/>
        <v>7.1428571428571425E-2</v>
      </c>
      <c r="N13" s="138">
        <f t="shared" si="1"/>
        <v>1.7857142857142856E-2</v>
      </c>
      <c r="O13" s="66">
        <f>L13*0.286</f>
        <v>4.0857142857142849E-2</v>
      </c>
      <c r="P13" s="66">
        <f t="shared" si="3"/>
        <v>8.3999999999999991E-2</v>
      </c>
      <c r="Q13" s="66">
        <f t="shared" si="4"/>
        <v>8.199999999999999E-2</v>
      </c>
      <c r="R13" s="66">
        <f t="shared" si="5"/>
        <v>0.12342857142857142</v>
      </c>
      <c r="S13" s="66">
        <f t="shared" si="6"/>
        <v>2.057142857142857E-2</v>
      </c>
      <c r="T13" s="66">
        <f t="shared" si="7"/>
        <v>8.6714285714285702E-2</v>
      </c>
      <c r="U13" s="66">
        <f t="shared" si="8"/>
        <v>0.12342857142857142</v>
      </c>
      <c r="W13" s="46"/>
    </row>
    <row r="14" spans="1:23" x14ac:dyDescent="0.25">
      <c r="A14" s="136" t="str">
        <f>Plantilla!A14</f>
        <v>#8</v>
      </c>
      <c r="B14" s="137" t="str">
        <f>Plantilla!D14</f>
        <v>Enrique Cubas</v>
      </c>
      <c r="C14" s="136">
        <f>Plantilla!E14</f>
        <v>23</v>
      </c>
      <c r="D14" s="139">
        <f ca="1">Plantilla!F14</f>
        <v>49</v>
      </c>
      <c r="E14" s="40">
        <f>Plantilla!X14</f>
        <v>0</v>
      </c>
      <c r="F14" s="40">
        <f>Plantilla!Y14</f>
        <v>11</v>
      </c>
      <c r="G14" s="40">
        <f>Plantilla!Z14</f>
        <v>5.7</v>
      </c>
      <c r="H14" s="40">
        <f>Plantilla!AA14</f>
        <v>14.124999999999996</v>
      </c>
      <c r="I14" s="40">
        <f>Plantilla!AB14</f>
        <v>6.2</v>
      </c>
      <c r="J14" s="40">
        <f>Plantilla!AC14</f>
        <v>7.5</v>
      </c>
      <c r="K14" s="40">
        <f>Plantilla!AD14</f>
        <v>5</v>
      </c>
      <c r="L14" s="138">
        <f>1/9</f>
        <v>0.1111111111111111</v>
      </c>
      <c r="M14" s="138">
        <f t="shared" si="0"/>
        <v>5.5555555555555552E-2</v>
      </c>
      <c r="N14" s="138">
        <f t="shared" si="1"/>
        <v>1.3888888888888888E-2</v>
      </c>
      <c r="O14" s="66">
        <f>L14*0.286</f>
        <v>3.1777777777777773E-2</v>
      </c>
      <c r="P14" s="66">
        <f t="shared" si="3"/>
        <v>6.5333333333333327E-2</v>
      </c>
      <c r="Q14" s="66">
        <f t="shared" si="4"/>
        <v>6.3777777777777767E-2</v>
      </c>
      <c r="R14" s="66">
        <f t="shared" si="5"/>
        <v>9.5999999999999988E-2</v>
      </c>
      <c r="S14" s="66">
        <f t="shared" si="6"/>
        <v>1.5999999999999997E-2</v>
      </c>
      <c r="T14" s="66">
        <f t="shared" si="7"/>
        <v>6.7444444444444446E-2</v>
      </c>
      <c r="U14" s="66">
        <f t="shared" si="8"/>
        <v>9.5999999999999988E-2</v>
      </c>
      <c r="W14" s="46"/>
    </row>
    <row r="15" spans="1:23" x14ac:dyDescent="0.25">
      <c r="A15" s="136" t="str">
        <f>Plantilla!A15</f>
        <v>#11</v>
      </c>
      <c r="B15" s="137" t="str">
        <f>Plantilla!D15</f>
        <v>J. G. Peñuela</v>
      </c>
      <c r="C15" s="136">
        <f>Plantilla!E15</f>
        <v>23</v>
      </c>
      <c r="D15" s="139">
        <f ca="1">Plantilla!F15</f>
        <v>49</v>
      </c>
      <c r="E15" s="40">
        <f>Plantilla!X15</f>
        <v>0</v>
      </c>
      <c r="F15" s="40">
        <f>Plantilla!Y15</f>
        <v>11.4</v>
      </c>
      <c r="G15" s="40">
        <f>Plantilla!Z15</f>
        <v>5</v>
      </c>
      <c r="H15" s="40">
        <f>Plantilla!AA15</f>
        <v>13.19</v>
      </c>
      <c r="I15" s="40">
        <f>Plantilla!AB15</f>
        <v>5.25</v>
      </c>
      <c r="J15" s="40">
        <f>Plantilla!AC15</f>
        <v>7.8016666666666676</v>
      </c>
      <c r="K15" s="40">
        <f>Plantilla!AD15</f>
        <v>3</v>
      </c>
      <c r="L15" s="138">
        <f>1/8</f>
        <v>0.125</v>
      </c>
      <c r="M15" s="138">
        <f t="shared" si="0"/>
        <v>6.25E-2</v>
      </c>
      <c r="N15" s="138">
        <f t="shared" si="1"/>
        <v>1.5625E-2</v>
      </c>
      <c r="O15" s="66">
        <f>L15*0.286</f>
        <v>3.5749999999999997E-2</v>
      </c>
      <c r="P15" s="66">
        <f t="shared" si="3"/>
        <v>7.3499999999999996E-2</v>
      </c>
      <c r="Q15" s="66">
        <f t="shared" si="4"/>
        <v>7.1749999999999994E-2</v>
      </c>
      <c r="R15" s="66">
        <f t="shared" si="5"/>
        <v>0.108</v>
      </c>
      <c r="S15" s="66">
        <f t="shared" si="6"/>
        <v>1.7999999999999999E-2</v>
      </c>
      <c r="T15" s="66">
        <f t="shared" si="7"/>
        <v>7.5874999999999998E-2</v>
      </c>
      <c r="U15" s="66">
        <f t="shared" si="8"/>
        <v>0.108</v>
      </c>
      <c r="W15" s="46"/>
    </row>
    <row r="16" spans="1:23" x14ac:dyDescent="0.25">
      <c r="A16" s="136" t="str">
        <f>Plantilla!A17</f>
        <v>#12</v>
      </c>
      <c r="B16" s="137" t="str">
        <f>Plantilla!D17</f>
        <v>David Garcia-Spiess</v>
      </c>
      <c r="C16" s="136">
        <f>Plantilla!E17</f>
        <v>31</v>
      </c>
      <c r="D16" s="139">
        <f ca="1">Plantilla!F17</f>
        <v>18</v>
      </c>
      <c r="E16" s="40">
        <f>Plantilla!X17</f>
        <v>0</v>
      </c>
      <c r="F16" s="40">
        <f>Plantilla!Y17</f>
        <v>10</v>
      </c>
      <c r="G16" s="40">
        <f>Plantilla!Z17</f>
        <v>13</v>
      </c>
      <c r="H16" s="40">
        <f>Plantilla!AA17</f>
        <v>6</v>
      </c>
      <c r="I16" s="40">
        <f>Plantilla!AB17</f>
        <v>7.1428571428571432</v>
      </c>
      <c r="J16" s="40">
        <f>Plantilla!AC17</f>
        <v>7</v>
      </c>
      <c r="K16" s="40">
        <f>Plantilla!AD17</f>
        <v>17</v>
      </c>
      <c r="L16" s="138"/>
      <c r="M16" s="138"/>
      <c r="N16" s="138"/>
      <c r="O16" s="66"/>
      <c r="P16" s="66"/>
      <c r="Q16" s="66"/>
      <c r="R16" s="66"/>
      <c r="S16" s="66"/>
      <c r="T16" s="66"/>
      <c r="U16" s="66"/>
      <c r="W16" s="46"/>
    </row>
    <row r="17" spans="1:23" x14ac:dyDescent="0.25">
      <c r="A17" s="136" t="str">
        <f>Plantilla!A18</f>
        <v>#16</v>
      </c>
      <c r="B17" s="137" t="str">
        <f>Plantilla!D18</f>
        <v>Fabien Fabre</v>
      </c>
      <c r="C17" s="136">
        <f>Plantilla!E18</f>
        <v>32</v>
      </c>
      <c r="D17" s="139">
        <f ca="1">Plantilla!F18</f>
        <v>23</v>
      </c>
      <c r="E17" s="40">
        <f>Plantilla!X18</f>
        <v>0</v>
      </c>
      <c r="F17" s="40">
        <f>Plantilla!Y18</f>
        <v>6</v>
      </c>
      <c r="G17" s="40">
        <f>Plantilla!Z18</f>
        <v>11</v>
      </c>
      <c r="H17" s="40">
        <f>Plantilla!AA18</f>
        <v>2</v>
      </c>
      <c r="I17" s="40">
        <f>Plantilla!AB18</f>
        <v>4.041666666666667</v>
      </c>
      <c r="J17" s="40">
        <f>Plantilla!AC18</f>
        <v>5</v>
      </c>
      <c r="K17" s="40">
        <f>Plantilla!AD18</f>
        <v>12</v>
      </c>
      <c r="L17" s="138"/>
      <c r="M17" s="138"/>
      <c r="N17" s="138"/>
      <c r="O17" s="66"/>
      <c r="P17" s="66"/>
      <c r="Q17" s="66"/>
      <c r="R17" s="66"/>
      <c r="S17" s="66"/>
      <c r="T17" s="66"/>
      <c r="U17" s="66"/>
      <c r="W17" s="46"/>
    </row>
    <row r="18" spans="1:23" x14ac:dyDescent="0.25">
      <c r="A18" s="136" t="e">
        <f>Plantilla!#REF!</f>
        <v>#REF!</v>
      </c>
      <c r="B18" s="137" t="e">
        <f>Plantilla!#REF!</f>
        <v>#REF!</v>
      </c>
      <c r="C18" s="136" t="e">
        <f>Plantilla!#REF!</f>
        <v>#REF!</v>
      </c>
      <c r="D18" s="139" t="e">
        <f>Plantilla!#REF!</f>
        <v>#REF!</v>
      </c>
      <c r="E18" s="40" t="e">
        <f>Plantilla!#REF!</f>
        <v>#REF!</v>
      </c>
      <c r="F18" s="40" t="e">
        <f>Plantilla!#REF!</f>
        <v>#REF!</v>
      </c>
      <c r="G18" s="40" t="e">
        <f>Plantilla!#REF!</f>
        <v>#REF!</v>
      </c>
      <c r="H18" s="40" t="e">
        <f>Plantilla!#REF!</f>
        <v>#REF!</v>
      </c>
      <c r="I18" s="40" t="e">
        <f>Plantilla!#REF!</f>
        <v>#REF!</v>
      </c>
      <c r="J18" s="40" t="e">
        <f>Plantilla!#REF!</f>
        <v>#REF!</v>
      </c>
      <c r="K18" s="40" t="e">
        <f>Plantilla!#REF!</f>
        <v>#REF!</v>
      </c>
      <c r="L18" s="138"/>
      <c r="M18" s="138"/>
      <c r="N18" s="138"/>
      <c r="O18" s="66"/>
      <c r="P18" s="66"/>
      <c r="Q18" s="66"/>
      <c r="R18" s="66"/>
      <c r="S18" s="66"/>
      <c r="T18" s="66"/>
      <c r="U18" s="66"/>
      <c r="W18" s="46"/>
    </row>
    <row r="19" spans="1:23" x14ac:dyDescent="0.25">
      <c r="A19" s="136" t="str">
        <f>Plantilla!A19</f>
        <v>#15</v>
      </c>
      <c r="B19" s="137" t="str">
        <f>Plantilla!D19</f>
        <v>Stanisław Zdankiewicz</v>
      </c>
      <c r="C19" s="136">
        <f>Plantilla!E19</f>
        <v>30</v>
      </c>
      <c r="D19" s="139">
        <f ca="1">Plantilla!F19</f>
        <v>12</v>
      </c>
      <c r="E19" s="40">
        <f>Plantilla!X19</f>
        <v>0</v>
      </c>
      <c r="F19" s="40">
        <f>Plantilla!Y19</f>
        <v>1</v>
      </c>
      <c r="G19" s="40">
        <f>Plantilla!Z19</f>
        <v>6</v>
      </c>
      <c r="H19" s="40">
        <f>Plantilla!AA19</f>
        <v>3</v>
      </c>
      <c r="I19" s="40">
        <f>Plantilla!AB19</f>
        <v>7</v>
      </c>
      <c r="J19" s="40">
        <f>Plantilla!AC19</f>
        <v>12</v>
      </c>
      <c r="K19" s="40">
        <f>Plantilla!AD19</f>
        <v>0</v>
      </c>
      <c r="L19" s="138"/>
      <c r="M19" s="138"/>
      <c r="N19" s="138"/>
      <c r="O19" s="66"/>
      <c r="P19" s="66"/>
      <c r="Q19" s="66"/>
      <c r="R19" s="66"/>
      <c r="S19" s="66"/>
      <c r="T19" s="66"/>
      <c r="U19" s="66"/>
      <c r="W19" s="46"/>
    </row>
    <row r="20" spans="1:23" x14ac:dyDescent="0.25">
      <c r="A20" s="136" t="str">
        <f>Plantilla!A20</f>
        <v>#18</v>
      </c>
      <c r="B20" s="137" t="str">
        <f>Plantilla!D20</f>
        <v>Tommaso Niscola</v>
      </c>
      <c r="C20" s="136">
        <f>Plantilla!E20</f>
        <v>29</v>
      </c>
      <c r="D20" s="139">
        <f ca="1">Plantilla!F20</f>
        <v>24</v>
      </c>
      <c r="E20" s="40">
        <f>Plantilla!X20</f>
        <v>0</v>
      </c>
      <c r="F20" s="40">
        <f>Plantilla!Y20</f>
        <v>3</v>
      </c>
      <c r="G20" s="40">
        <f>Plantilla!Z20</f>
        <v>9</v>
      </c>
      <c r="H20" s="40">
        <f>Plantilla!AA20</f>
        <v>2</v>
      </c>
      <c r="I20" s="40">
        <f>Plantilla!AB20</f>
        <v>13</v>
      </c>
      <c r="J20" s="40">
        <f>Plantilla!AC20</f>
        <v>12</v>
      </c>
      <c r="K20" s="40">
        <f>Plantilla!AD20</f>
        <v>17</v>
      </c>
      <c r="L20" s="138"/>
      <c r="M20" s="138"/>
      <c r="N20" s="138"/>
      <c r="O20" s="66"/>
      <c r="P20" s="66"/>
      <c r="Q20" s="66"/>
      <c r="R20" s="66"/>
      <c r="S20" s="66"/>
      <c r="T20" s="66"/>
      <c r="U20" s="66"/>
      <c r="W20" s="46"/>
    </row>
    <row r="21" spans="1:23" x14ac:dyDescent="0.25">
      <c r="A21" s="136" t="str">
        <f>Plantilla!A21</f>
        <v>#10</v>
      </c>
      <c r="B21" s="137" t="str">
        <f>Plantilla!D21</f>
        <v>Leo Hilpinen</v>
      </c>
      <c r="C21" s="136">
        <f>Plantilla!E21</f>
        <v>31</v>
      </c>
      <c r="D21" s="139">
        <f ca="1">Plantilla!F21</f>
        <v>28</v>
      </c>
      <c r="E21" s="40">
        <f>Plantilla!X21</f>
        <v>0</v>
      </c>
      <c r="F21" s="40">
        <f>Plantilla!Y21</f>
        <v>5</v>
      </c>
      <c r="G21" s="40">
        <f>Plantilla!Z21</f>
        <v>6</v>
      </c>
      <c r="H21" s="40">
        <f>Plantilla!AA21</f>
        <v>5</v>
      </c>
      <c r="I21" s="40">
        <f>Plantilla!AB21</f>
        <v>9.1428571428571423</v>
      </c>
      <c r="J21" s="40">
        <f>Plantilla!AC21</f>
        <v>11.95</v>
      </c>
      <c r="K21" s="40">
        <f>Plantilla!AD21</f>
        <v>0</v>
      </c>
      <c r="L21" s="138"/>
      <c r="M21" s="138"/>
      <c r="N21" s="138"/>
      <c r="O21" s="66"/>
      <c r="P21" s="66"/>
      <c r="Q21" s="66"/>
      <c r="R21" s="66"/>
      <c r="S21" s="66"/>
      <c r="T21" s="66"/>
      <c r="U21" s="66"/>
      <c r="W21" s="46"/>
    </row>
    <row r="22" spans="1:23" x14ac:dyDescent="0.25">
      <c r="C22" s="76"/>
      <c r="D22" s="59"/>
      <c r="G22" s="46"/>
      <c r="H22" s="45"/>
      <c r="J22" s="46"/>
      <c r="K22" s="46"/>
      <c r="M22" s="77"/>
      <c r="Q22" s="46"/>
      <c r="R22" s="46"/>
      <c r="S22" s="46"/>
      <c r="T22" s="125"/>
      <c r="U22" s="46"/>
      <c r="V22" s="46"/>
      <c r="W22" s="46"/>
    </row>
    <row r="23" spans="1:23" x14ac:dyDescent="0.25">
      <c r="C23" s="76"/>
      <c r="D23" s="59"/>
      <c r="G23" s="46"/>
      <c r="H23" s="45"/>
      <c r="J23" s="46"/>
      <c r="K23" s="46"/>
      <c r="M23" s="77"/>
      <c r="Q23" s="46"/>
      <c r="R23" s="46"/>
      <c r="S23" s="46"/>
      <c r="T23" s="125"/>
      <c r="U23" s="46"/>
      <c r="V23" s="46"/>
      <c r="W23" s="46"/>
    </row>
    <row r="24" spans="1:23" x14ac:dyDescent="0.25">
      <c r="C24" s="76"/>
      <c r="D24" s="59"/>
      <c r="G24" s="46"/>
      <c r="H24" s="45"/>
      <c r="J24" s="46"/>
      <c r="K24" s="46"/>
      <c r="M24" s="77"/>
      <c r="Q24" s="46"/>
      <c r="R24" s="46"/>
      <c r="S24" s="46"/>
      <c r="T24" s="125"/>
      <c r="U24" s="46"/>
      <c r="V24" s="46"/>
      <c r="W24" s="46"/>
    </row>
    <row r="25" spans="1:23" x14ac:dyDescent="0.25">
      <c r="C25" s="76"/>
      <c r="D25" s="59"/>
      <c r="G25" s="46"/>
      <c r="H25" s="45"/>
      <c r="J25" s="46"/>
      <c r="K25" s="46"/>
      <c r="M25" s="77"/>
      <c r="Q25" s="46"/>
      <c r="R25" s="46"/>
      <c r="S25" s="46"/>
      <c r="T25" s="125"/>
      <c r="U25" s="46"/>
      <c r="V25" s="46"/>
      <c r="W25" s="46"/>
    </row>
    <row r="26" spans="1:23" x14ac:dyDescent="0.25">
      <c r="C26" s="76"/>
      <c r="D26" s="59"/>
      <c r="G26" s="46"/>
      <c r="H26" s="45"/>
      <c r="J26" s="46"/>
      <c r="K26" s="46"/>
      <c r="M26" s="77"/>
      <c r="Q26" s="46"/>
      <c r="R26" s="46"/>
      <c r="S26" s="46"/>
      <c r="T26" s="125"/>
      <c r="U26" s="46"/>
      <c r="V26" s="46"/>
      <c r="W26" s="46"/>
    </row>
    <row r="27" spans="1:23" x14ac:dyDescent="0.25">
      <c r="C27" s="76"/>
      <c r="D27" s="59"/>
      <c r="G27" s="46"/>
      <c r="H27" s="45"/>
      <c r="J27" s="46"/>
      <c r="K27" s="46"/>
      <c r="M27" s="77"/>
      <c r="Q27" s="46"/>
      <c r="R27" s="46"/>
      <c r="S27" s="46"/>
      <c r="T27" s="125"/>
      <c r="U27" s="46"/>
      <c r="V27" s="46"/>
      <c r="W27" s="46"/>
    </row>
    <row r="28" spans="1:23" x14ac:dyDescent="0.25">
      <c r="C28" s="76"/>
      <c r="D28" s="59"/>
      <c r="G28" s="46"/>
      <c r="H28" s="45"/>
      <c r="J28" s="46"/>
      <c r="K28" s="46"/>
      <c r="M28" s="77"/>
      <c r="Q28" s="46"/>
      <c r="R28" s="46"/>
      <c r="S28" s="46"/>
      <c r="T28" s="125"/>
      <c r="U28" s="46"/>
      <c r="V28" s="46"/>
      <c r="W28" s="46"/>
    </row>
    <row r="29" spans="1:23" x14ac:dyDescent="0.25">
      <c r="C29" s="76"/>
      <c r="D29" s="59"/>
      <c r="G29" s="46"/>
      <c r="H29" s="45"/>
      <c r="J29" s="46"/>
      <c r="K29" s="46"/>
      <c r="M29" s="77"/>
      <c r="Q29" s="46"/>
      <c r="R29" s="46"/>
      <c r="S29" s="46"/>
      <c r="T29" s="125"/>
      <c r="U29" s="46"/>
      <c r="V29" s="46"/>
      <c r="W29" s="46"/>
    </row>
    <row r="30" spans="1:23" x14ac:dyDescent="0.25">
      <c r="C30" s="76"/>
      <c r="D30" s="59"/>
      <c r="G30" s="46"/>
      <c r="H30" s="45"/>
      <c r="J30" s="46"/>
      <c r="K30" s="46"/>
      <c r="M30" s="77"/>
      <c r="Q30" s="46"/>
      <c r="R30" s="46"/>
      <c r="S30" s="46"/>
      <c r="T30" s="125"/>
      <c r="U30" s="46"/>
      <c r="V30" s="46"/>
      <c r="W30" s="46"/>
    </row>
    <row r="31" spans="1:23" x14ac:dyDescent="0.25">
      <c r="C31" s="76"/>
      <c r="D31" s="59"/>
      <c r="G31" s="46"/>
      <c r="H31" s="45"/>
      <c r="J31" s="46"/>
      <c r="K31" s="46"/>
      <c r="M31" s="77"/>
      <c r="Q31" s="46"/>
      <c r="R31" s="46"/>
      <c r="S31" s="46"/>
      <c r="T31" s="125"/>
      <c r="U31" s="46"/>
      <c r="V31" s="46"/>
      <c r="W31" s="46"/>
    </row>
    <row r="32" spans="1:23" x14ac:dyDescent="0.25">
      <c r="C32" s="76"/>
      <c r="D32" s="59"/>
      <c r="G32" s="46"/>
      <c r="H32" s="45"/>
      <c r="J32" s="46"/>
      <c r="K32" s="46"/>
      <c r="M32" s="77"/>
      <c r="Q32" s="46"/>
      <c r="R32" s="46"/>
      <c r="S32" s="46"/>
      <c r="T32" s="125"/>
      <c r="U32" s="46"/>
      <c r="V32" s="46"/>
      <c r="W32" s="46"/>
    </row>
    <row r="33" spans="3:23" x14ac:dyDescent="0.25">
      <c r="C33" s="76"/>
      <c r="D33" s="59"/>
      <c r="G33" s="46"/>
      <c r="H33" s="45"/>
      <c r="J33" s="46"/>
      <c r="K33" s="46"/>
      <c r="M33" s="77"/>
      <c r="Q33" s="46"/>
      <c r="R33" s="46"/>
      <c r="S33" s="46"/>
      <c r="T33" s="125"/>
      <c r="U33" s="46"/>
      <c r="V33" s="46"/>
      <c r="W33" s="46"/>
    </row>
    <row r="34" spans="3:23" x14ac:dyDescent="0.25">
      <c r="C34" s="76"/>
      <c r="D34" s="59"/>
      <c r="G34" s="46"/>
      <c r="H34" s="45"/>
      <c r="J34" s="46"/>
      <c r="K34" s="46"/>
      <c r="M34" s="77"/>
      <c r="Q34" s="46"/>
      <c r="R34" s="46"/>
      <c r="S34" s="46"/>
      <c r="T34" s="125"/>
      <c r="U34" s="46"/>
      <c r="V34" s="46"/>
      <c r="W34" s="46"/>
    </row>
    <row r="35" spans="3:23" x14ac:dyDescent="0.25">
      <c r="C35" s="76"/>
      <c r="D35" s="59"/>
      <c r="G35" s="46"/>
      <c r="H35" s="45"/>
      <c r="J35" s="46"/>
      <c r="K35" s="46"/>
      <c r="M35" s="77"/>
      <c r="Q35" s="46"/>
      <c r="R35" s="46"/>
      <c r="S35" s="46"/>
      <c r="T35" s="125"/>
      <c r="U35" s="46"/>
      <c r="V35" s="46"/>
      <c r="W35" s="46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B5AA-AFDC-443D-9F16-E0F9FD9EB47F}">
  <sheetPr>
    <tabColor theme="7" tint="-0.249977111117893"/>
  </sheetPr>
  <dimension ref="A1:AM64"/>
  <sheetViews>
    <sheetView workbookViewId="0">
      <pane ySplit="2" topLeftCell="A3" activePane="bottomLeft" state="frozen"/>
      <selection pane="bottomLeft" activeCell="F5" sqref="F5"/>
    </sheetView>
  </sheetViews>
  <sheetFormatPr baseColWidth="10" defaultRowHeight="15" x14ac:dyDescent="0.25"/>
  <cols>
    <col min="1" max="1" width="26" customWidth="1"/>
    <col min="2" max="2" width="5.42578125" bestFit="1" customWidth="1"/>
    <col min="3" max="3" width="4.7109375" bestFit="1" customWidth="1"/>
    <col min="4" max="4" width="6" style="125" customWidth="1"/>
    <col min="5" max="5" width="4.140625" customWidth="1"/>
    <col min="6" max="6" width="7.42578125" bestFit="1" customWidth="1"/>
    <col min="7" max="7" width="4.5703125" bestFit="1" customWidth="1"/>
    <col min="8" max="14" width="5.5703125" bestFit="1" customWidth="1"/>
    <col min="15" max="15" width="5.140625" bestFit="1" customWidth="1"/>
    <col min="16" max="16" width="6.42578125" bestFit="1" customWidth="1"/>
    <col min="17" max="17" width="6.85546875" bestFit="1" customWidth="1"/>
    <col min="18" max="18" width="6.42578125" bestFit="1" customWidth="1"/>
    <col min="19" max="19" width="5.140625" bestFit="1" customWidth="1"/>
    <col min="20" max="20" width="6.42578125" bestFit="1" customWidth="1"/>
    <col min="21" max="21" width="6.85546875" bestFit="1" customWidth="1"/>
    <col min="22" max="22" width="6.42578125" bestFit="1" customWidth="1"/>
    <col min="23" max="23" width="5.140625" bestFit="1" customWidth="1"/>
    <col min="24" max="24" width="6.42578125" bestFit="1" customWidth="1"/>
    <col min="25" max="25" width="6.85546875" bestFit="1" customWidth="1"/>
    <col min="26" max="26" width="6.42578125" bestFit="1" customWidth="1"/>
    <col min="27" max="27" width="6.5703125" bestFit="1" customWidth="1"/>
    <col min="28" max="28" width="7.140625" bestFit="1" customWidth="1"/>
    <col min="29" max="31" width="7.140625" style="45" customWidth="1"/>
    <col min="32" max="32" width="9" bestFit="1" customWidth="1"/>
    <col min="33" max="34" width="9" customWidth="1"/>
    <col min="35" max="37" width="8.42578125" bestFit="1" customWidth="1"/>
  </cols>
  <sheetData>
    <row r="1" spans="1:39" s="45" customFormat="1" x14ac:dyDescent="0.25">
      <c r="D1" s="47"/>
      <c r="O1" s="45" t="s">
        <v>955</v>
      </c>
      <c r="S1" s="45" t="s">
        <v>57</v>
      </c>
      <c r="W1" s="45" t="s">
        <v>39</v>
      </c>
    </row>
    <row r="2" spans="1:39" x14ac:dyDescent="0.25">
      <c r="A2" s="592" t="s">
        <v>2</v>
      </c>
      <c r="B2" s="592" t="s">
        <v>58</v>
      </c>
      <c r="C2" s="593" t="s">
        <v>4</v>
      </c>
      <c r="D2" s="594" t="s">
        <v>59</v>
      </c>
      <c r="E2" s="595" t="s">
        <v>737</v>
      </c>
      <c r="F2" s="596" t="s">
        <v>75</v>
      </c>
      <c r="G2" s="597" t="s">
        <v>62</v>
      </c>
      <c r="H2" s="598" t="s">
        <v>24</v>
      </c>
      <c r="I2" s="598" t="s">
        <v>26</v>
      </c>
      <c r="J2" s="598" t="s">
        <v>63</v>
      </c>
      <c r="K2" s="598" t="s">
        <v>46</v>
      </c>
      <c r="L2" s="598" t="s">
        <v>64</v>
      </c>
      <c r="M2" s="598" t="s">
        <v>65</v>
      </c>
      <c r="N2" s="599" t="s">
        <v>41</v>
      </c>
      <c r="O2" s="600" t="s">
        <v>70</v>
      </c>
      <c r="P2" s="600" t="s">
        <v>71</v>
      </c>
      <c r="Q2" s="600" t="s">
        <v>72</v>
      </c>
      <c r="R2" s="601" t="s">
        <v>71</v>
      </c>
      <c r="S2" s="600" t="s">
        <v>70</v>
      </c>
      <c r="T2" s="600" t="s">
        <v>71</v>
      </c>
      <c r="U2" s="600" t="s">
        <v>72</v>
      </c>
      <c r="V2" s="601" t="s">
        <v>71</v>
      </c>
      <c r="W2" s="602" t="s">
        <v>70</v>
      </c>
      <c r="X2" s="602" t="s">
        <v>71</v>
      </c>
      <c r="Y2" s="602" t="s">
        <v>72</v>
      </c>
      <c r="Z2" s="603" t="s">
        <v>71</v>
      </c>
      <c r="AA2" s="602" t="s">
        <v>683</v>
      </c>
      <c r="AB2" s="603" t="s">
        <v>45</v>
      </c>
      <c r="AC2" s="602" t="s">
        <v>943</v>
      </c>
      <c r="AD2" s="602" t="s">
        <v>944</v>
      </c>
      <c r="AE2" s="603" t="s">
        <v>945</v>
      </c>
      <c r="AF2" s="602" t="s">
        <v>727</v>
      </c>
      <c r="AG2" s="602" t="s">
        <v>965</v>
      </c>
      <c r="AH2" s="603" t="s">
        <v>966</v>
      </c>
      <c r="AI2" s="602" t="s">
        <v>950</v>
      </c>
      <c r="AJ2" s="602" t="s">
        <v>947</v>
      </c>
      <c r="AK2" s="603" t="s">
        <v>946</v>
      </c>
    </row>
    <row r="3" spans="1:39" x14ac:dyDescent="0.25">
      <c r="A3" s="565" t="s">
        <v>949</v>
      </c>
      <c r="B3" s="346">
        <v>29</v>
      </c>
      <c r="C3" s="558">
        <v>22</v>
      </c>
      <c r="D3" s="559" t="s">
        <v>40</v>
      </c>
      <c r="E3" s="560">
        <v>3</v>
      </c>
      <c r="F3" s="568">
        <v>1</v>
      </c>
      <c r="G3" s="569">
        <v>6</v>
      </c>
      <c r="H3" s="572">
        <v>0</v>
      </c>
      <c r="I3" s="572">
        <v>5</v>
      </c>
      <c r="J3" s="572">
        <v>6</v>
      </c>
      <c r="K3" s="572">
        <v>11</v>
      </c>
      <c r="L3" s="572">
        <v>11</v>
      </c>
      <c r="M3" s="572">
        <v>11</v>
      </c>
      <c r="N3" s="573">
        <v>3</v>
      </c>
      <c r="O3" s="576">
        <f>((J3+F3+(LOG(G3)*4/3))*0.15)</f>
        <v>1.2056302500767286</v>
      </c>
      <c r="P3" s="576">
        <f>((M3+F3+(LOG(G3)*4/3))*0.552)+((K3+F3+(LOG(G3)*4/3))*0.576)+((L3+F3+(LOG(G3)*4/3))*0.195)</f>
        <v>17.248658805676747</v>
      </c>
      <c r="Q3" s="577">
        <f>((M3+F3+(LOG(G3)*4/3))*0.607)+((L3+F3+(LOG(G3)*4/3))*0.248)</f>
        <v>11.147092425437354</v>
      </c>
      <c r="R3" s="582">
        <f>((M3+F3+(LOG(G3)*4/3))*0.223)+((K3+F3+(LOG(G3)*4/3))*0)+((L3+F3+(LOG(G3)*4/3))*0)</f>
        <v>2.9073703051140702</v>
      </c>
      <c r="S3" s="576">
        <f>((J3+F3+(LOG(G3)*4/3))*0.406)</f>
        <v>3.2632392102076793</v>
      </c>
      <c r="T3" s="576">
        <f>IF(D3="TEC",((K3+F3+(LOG(G3)*4/3))*0.15)+((L3+F3+(LOG(G3)*4/3))*0.324)+((M3+F3+(LOG(G3)*4/3))*0.127),((K3+F3+(LOG(G3)*4/3))*0.144)+((L3+F3+(LOG(G3)*4/3))*0.25)+((M3+F3+(LOG(G3)*4/3))*0.127))</f>
        <v>6.7925557352665047</v>
      </c>
      <c r="U3" s="577">
        <f>IF(D3="TEC",((L3+F3+(LOG(G3)*4/3))*0.543)+((M3+F3+(LOG(G3)*4/3))*0.583),((L3+F3+(LOG(G3)*4/3))*0.543)+((M3+F3+(LOG(G3)*4/3))*0.583))</f>
        <v>14.680264410575978</v>
      </c>
      <c r="V3" s="582">
        <f>T3</f>
        <v>6.7925557352665047</v>
      </c>
      <c r="W3" s="577">
        <f>((J3+F3+(LOG(G3)*4/3))*0.25)</f>
        <v>2.0093837501278813</v>
      </c>
      <c r="X3" s="577">
        <f>((M3+F3+(LOG(G3)*4/3))*0.26)+((K3+F3+(LOG(G3)*4/3))*0.221)+((L3+F3+(LOG(G3)*4/3))*0.142)</f>
        <v>8.1223843053186808</v>
      </c>
      <c r="Y3" s="577">
        <f>((M3+F3+(LOG(G3)*4/3))*1)+((L3+F3+(LOG(G3)*4/3))*0.369)</f>
        <v>17.848385415700278</v>
      </c>
      <c r="Z3" s="578">
        <f>X3</f>
        <v>8.1223843053186808</v>
      </c>
      <c r="AA3" s="375">
        <v>4400</v>
      </c>
      <c r="AB3" s="357">
        <f>7.3*1.2</f>
        <v>8.76</v>
      </c>
      <c r="AC3" s="586">
        <v>1600</v>
      </c>
      <c r="AD3" s="586">
        <v>2000</v>
      </c>
      <c r="AE3" s="587">
        <v>3250</v>
      </c>
      <c r="AF3" s="558">
        <f>AA3+(AB3*16*(36-B3-((112-C3)/112)))-AC3</f>
        <v>3668.4914285714285</v>
      </c>
      <c r="AG3" s="558">
        <f>AA3+(AB3*16*(34-B3-((112-C3)/112)))-AD3</f>
        <v>2988.1714285714288</v>
      </c>
      <c r="AH3" s="590">
        <f>AA3+(AB3*16*(32-B3-((112-C3)/112)))-AE3</f>
        <v>1457.8514285714282</v>
      </c>
      <c r="AI3" s="558">
        <f>(AF3-AC3)/(36-B3+((112-C3)/112))</f>
        <v>265.06983981693361</v>
      </c>
      <c r="AJ3" s="558">
        <f>(AF3-AD3)/(34-B3+((112-C3)/112))</f>
        <v>287.49390769230769</v>
      </c>
      <c r="AK3" s="590">
        <f>(AF3-AE3)/(32-B3+((112-C3)/112))</f>
        <v>110.02591549295772</v>
      </c>
    </row>
    <row r="4" spans="1:39" x14ac:dyDescent="0.25">
      <c r="A4" s="566" t="s">
        <v>960</v>
      </c>
      <c r="B4" s="346">
        <v>29</v>
      </c>
      <c r="C4" s="558">
        <v>23</v>
      </c>
      <c r="D4" s="559" t="s">
        <v>183</v>
      </c>
      <c r="E4" s="560">
        <v>4</v>
      </c>
      <c r="F4" s="568">
        <v>1</v>
      </c>
      <c r="G4" s="569">
        <v>7</v>
      </c>
      <c r="H4" s="572">
        <v>0</v>
      </c>
      <c r="I4" s="572">
        <v>3</v>
      </c>
      <c r="J4" s="572">
        <v>9</v>
      </c>
      <c r="K4" s="572">
        <v>2</v>
      </c>
      <c r="L4" s="572">
        <v>13</v>
      </c>
      <c r="M4" s="572">
        <v>12</v>
      </c>
      <c r="N4" s="573">
        <v>17</v>
      </c>
      <c r="O4" s="576">
        <f>((J4+F4+(LOG(G4)*4/3))*0.15)</f>
        <v>1.6690196080028512</v>
      </c>
      <c r="P4" s="576">
        <f>((M4+F4+(LOG(G4)*4/3))*0.552)+((K4+F4+(LOG(G4)*4/3))*0.576)+((L4+F4+(LOG(G4)*4/3))*0.195)</f>
        <v>13.12475294258515</v>
      </c>
      <c r="Q4" s="577">
        <f>((M4+F4+(LOG(G4)*4/3))*0.607)+((L4+F4+(LOG(G4)*4/3))*0.248)</f>
        <v>12.326411765616253</v>
      </c>
      <c r="R4" s="582">
        <f>((M4+F4+(LOG(G4)*4/3))*0.223)+((K4+F4+(LOG(G4)*4/3))*0)+((L4+F4+(LOG(G4)*4/3))*0)</f>
        <v>3.1502758172309058</v>
      </c>
      <c r="S4" s="576">
        <f>((J4+F4+(LOG(G4)*4/3))*0.406)</f>
        <v>4.5174797389943846</v>
      </c>
      <c r="T4" s="576">
        <f>IF(D4="TEC",((K4+F4+(LOG(G4)*4/3))*0.15)+((L4+F4+(LOG(G4)*4/3))*0.324)+((M4+F4+(LOG(G4)*4/3))*0.127),((K4+F4+(LOG(G4)*4/3))*0.144)+((L4+F4+(LOG(G4)*4/3))*0.25)+((M4+F4+(LOG(G4)*4/3))*0.127))</f>
        <v>6.1700614384632368</v>
      </c>
      <c r="U4" s="577">
        <f>IF(D4="TEC",((L4+F4+(LOG(G4)*4/3))*0.543)+((M4+F4+(LOG(G4)*4/3))*0.583),((L4+F4+(LOG(G4)*4/3))*0.543)+((M4+F4+(LOG(G4)*4/3))*0.583))</f>
        <v>16.449773857408069</v>
      </c>
      <c r="V4" s="582">
        <f>T4</f>
        <v>6.1700614384632368</v>
      </c>
      <c r="W4" s="577">
        <f>((J4+F4+(LOG(G4)*4/3))*0.25)</f>
        <v>2.7816993466714188</v>
      </c>
      <c r="X4" s="577">
        <f>((M4+F4+(LOG(G4)*4/3))*0.26)+((K4+F4+(LOG(G4)*4/3))*0.221)+((L4+F4+(LOG(G4)*4/3))*0.142)</f>
        <v>6.7329947719051759</v>
      </c>
      <c r="Y4" s="577">
        <f>((M4+F4+(LOG(G4)*4/3))*1)+((L4+F4+(LOG(G4)*4/3))*0.369)</f>
        <v>19.708585622372688</v>
      </c>
      <c r="Z4" s="578">
        <f>X4</f>
        <v>6.7329947719051759</v>
      </c>
      <c r="AA4" s="375">
        <v>4000</v>
      </c>
      <c r="AB4" s="357">
        <f>12.1*1.2</f>
        <v>14.52</v>
      </c>
      <c r="AC4" s="586">
        <v>650</v>
      </c>
      <c r="AD4" s="586">
        <v>1500</v>
      </c>
      <c r="AE4" s="587">
        <v>2200</v>
      </c>
      <c r="AF4" s="558">
        <f>AA4+(AB4*16*(36-B4-((112-C4)/112)))-AC4</f>
        <v>4791.6285714285714</v>
      </c>
      <c r="AG4" s="558">
        <f>AA4+(AB4*16*(34-B4-((112-C4)/112)))-AD4</f>
        <v>3476.988571428572</v>
      </c>
      <c r="AH4" s="590">
        <f>AA4+(AB4*16*(32-B4-((112-C4)/112)))-AE4</f>
        <v>2312.3485714285716</v>
      </c>
      <c r="AI4" s="558">
        <f>(AF4-AC4)/(36-B4+((112-C4)/112))</f>
        <v>531.34295532646047</v>
      </c>
      <c r="AJ4" s="558">
        <f>(AF4-AD4)/(34-B4+((112-C4)/112))</f>
        <v>568.04684129429893</v>
      </c>
      <c r="AK4" s="590">
        <f>(AF4-AE4)/(32-B4+((112-C4)/112))</f>
        <v>682.97035294117643</v>
      </c>
    </row>
    <row r="5" spans="1:39" x14ac:dyDescent="0.25">
      <c r="A5" s="565" t="s">
        <v>952</v>
      </c>
      <c r="B5" s="346">
        <v>29</v>
      </c>
      <c r="C5" s="558">
        <v>80</v>
      </c>
      <c r="D5" s="559" t="s">
        <v>40</v>
      </c>
      <c r="E5" s="560">
        <v>4</v>
      </c>
      <c r="F5" s="568">
        <v>1</v>
      </c>
      <c r="G5" s="569">
        <v>6</v>
      </c>
      <c r="H5" s="572">
        <v>0</v>
      </c>
      <c r="I5" s="572">
        <v>2</v>
      </c>
      <c r="J5" s="572">
        <v>4</v>
      </c>
      <c r="K5" s="572">
        <v>7</v>
      </c>
      <c r="L5" s="572">
        <v>13</v>
      </c>
      <c r="M5" s="572">
        <v>12</v>
      </c>
      <c r="N5" s="573">
        <v>7</v>
      </c>
      <c r="O5" s="576">
        <f>((J5+F5+(LOG(G5)*4/3))*0.15)</f>
        <v>0.9056302500767287</v>
      </c>
      <c r="P5" s="576">
        <f>((M5+F5+(LOG(G5)*4/3))*0.552)+((K5+F5+(LOG(G5)*4/3))*0.576)+((L5+F5+(LOG(G5)*4/3))*0.195)</f>
        <v>15.886658805676749</v>
      </c>
      <c r="Q5" s="577">
        <f>((M5+F5+(LOG(G5)*4/3))*0.607)+((L5+F5+(LOG(G5)*4/3))*0.248)</f>
        <v>12.250092425437353</v>
      </c>
      <c r="R5" s="582">
        <f>((M5+F5+(LOG(G5)*4/3))*0.223)+((K5+F5+(LOG(G5)*4/3))*0)+((L5+F5+(LOG(G5)*4/3))*0)</f>
        <v>3.1303703051140701</v>
      </c>
      <c r="S5" s="576">
        <f>((J5+F5+(LOG(G5)*4/3))*0.406)</f>
        <v>2.4512392102076794</v>
      </c>
      <c r="T5" s="576">
        <f>IF(D5="TEC",((K5+F5+(LOG(G5)*4/3))*0.15)+((L5+F5+(LOG(G5)*4/3))*0.324)+((M5+F5+(LOG(G5)*4/3))*0.127),((K5+F5+(LOG(G5)*4/3))*0.144)+((L5+F5+(LOG(G5)*4/3))*0.25)+((M5+F5+(LOG(G5)*4/3))*0.127))</f>
        <v>6.843555735266504</v>
      </c>
      <c r="U5" s="577">
        <f>IF(D5="TEC",((L5+F5+(LOG(G5)*4/3))*0.543)+((M5+F5+(LOG(G5)*4/3))*0.583),((L5+F5+(LOG(G5)*4/3))*0.543)+((M5+F5+(LOG(G5)*4/3))*0.583))</f>
        <v>16.349264410575977</v>
      </c>
      <c r="V5" s="582">
        <f>T5</f>
        <v>6.843555735266504</v>
      </c>
      <c r="W5" s="577">
        <f>((J5+F5+(LOG(G5)*4/3))*0.25)</f>
        <v>1.5093837501278813</v>
      </c>
      <c r="X5" s="577">
        <f>((M5+F5+(LOG(G5)*4/3))*0.26)+((K5+F5+(LOG(G5)*4/3))*0.221)+((L5+F5+(LOG(G5)*4/3))*0.142)</f>
        <v>7.7823843053186792</v>
      </c>
      <c r="Y5" s="577">
        <f>((M5+F5+(LOG(G5)*4/3))*1)+((L5+F5+(LOG(G5)*4/3))*0.369)</f>
        <v>19.586385415700278</v>
      </c>
      <c r="Z5" s="578">
        <f>X5</f>
        <v>7.7823843053186792</v>
      </c>
      <c r="AA5" s="375">
        <v>3400</v>
      </c>
      <c r="AB5" s="357">
        <v>11.6</v>
      </c>
      <c r="AC5" s="586">
        <v>700</v>
      </c>
      <c r="AD5" s="586">
        <v>1000</v>
      </c>
      <c r="AE5" s="587">
        <v>1500</v>
      </c>
      <c r="AF5" s="558">
        <f>AA5+(AB5*16*(36-B5-((112-C5)/112)))-AC5</f>
        <v>3946.1714285714288</v>
      </c>
      <c r="AG5" s="558">
        <f>AA5+(AB5*16*(34-B5-((112-C5)/112)))-AD5</f>
        <v>3274.971428571429</v>
      </c>
      <c r="AH5" s="590">
        <f>AA5+(AB5*16*(32-B5-((112-C5)/112)))-AE5</f>
        <v>2403.7714285714287</v>
      </c>
      <c r="AI5" s="558">
        <f>(AF5-AC5)/(36-B5+((112-C5)/112))</f>
        <v>445.55294117647065</v>
      </c>
      <c r="AJ5" s="558">
        <f>(AF5-AD5)/(34-B5+((112-C5)/112))</f>
        <v>557.38378378378388</v>
      </c>
      <c r="AK5" s="590">
        <f>(AF5-AE5)/(32-B5+((112-C5)/112))</f>
        <v>744.48695652173922</v>
      </c>
    </row>
    <row r="6" spans="1:39" x14ac:dyDescent="0.25">
      <c r="A6" s="565" t="s">
        <v>951</v>
      </c>
      <c r="B6" s="346">
        <v>29</v>
      </c>
      <c r="C6" s="558">
        <v>21</v>
      </c>
      <c r="D6" s="559" t="s">
        <v>183</v>
      </c>
      <c r="E6" s="560">
        <v>0</v>
      </c>
      <c r="F6" s="568">
        <v>1</v>
      </c>
      <c r="G6" s="569">
        <v>8</v>
      </c>
      <c r="H6" s="572">
        <v>0</v>
      </c>
      <c r="I6" s="572">
        <v>0</v>
      </c>
      <c r="J6" s="572">
        <v>6</v>
      </c>
      <c r="K6" s="572">
        <v>10</v>
      </c>
      <c r="L6" s="572">
        <v>13</v>
      </c>
      <c r="M6" s="572">
        <v>13</v>
      </c>
      <c r="N6" s="573">
        <v>3</v>
      </c>
      <c r="O6" s="576">
        <f>((J6+F6+(LOG(G6)*4/3))*0.15)</f>
        <v>1.2306179973983886</v>
      </c>
      <c r="P6" s="576">
        <f>((M6+F6+(LOG(G6)*4/3))*0.552)+((K6+F6+(LOG(G6)*4/3))*0.576)+((L6+F6+(LOG(G6)*4/3))*0.195)</f>
        <v>18.387050737053787</v>
      </c>
      <c r="Q6" s="577">
        <f>((M6+F6+(LOG(G6)*4/3))*0.607)+((L6+F6+(LOG(G6)*4/3))*0.248)</f>
        <v>12.999522585170816</v>
      </c>
      <c r="R6" s="582">
        <f>((M6+F6+(LOG(G6)*4/3))*0.223)+((K6+F6+(LOG(G6)*4/3))*0)+((L6+F6+(LOG(G6)*4/3))*0)</f>
        <v>3.3905187561322712</v>
      </c>
      <c r="S6" s="576">
        <f>((J6+F6+(LOG(G6)*4/3))*0.406)</f>
        <v>3.330872712958306</v>
      </c>
      <c r="T6" s="576">
        <f>IF(D6="TEC",((K6+F6+(LOG(G6)*4/3))*0.15)+((L6+F6+(LOG(G6)*4/3))*0.324)+((M6+F6+(LOG(G6)*4/3))*0.127),((K6+F6+(LOG(G6)*4/3))*0.144)+((L6+F6+(LOG(G6)*4/3))*0.25)+((M6+F6+(LOG(G6)*4/3))*0.127))</f>
        <v>7.4893465109637374</v>
      </c>
      <c r="U6" s="577">
        <f>IF(D6="TEC",((L6+F6+(LOG(G6)*4/3))*0.543)+((M6+F6+(LOG(G6)*4/3))*0.583),((L6+F6+(LOG(G6)*4/3))*0.543)+((M6+F6+(LOG(G6)*4/3))*0.583))</f>
        <v>17.119839100470571</v>
      </c>
      <c r="V6" s="582">
        <f>T6</f>
        <v>7.4893465109637374</v>
      </c>
      <c r="W6" s="577">
        <f>((J6+F6+(LOG(G6)*4/3))*0.25)</f>
        <v>2.0510299956639813</v>
      </c>
      <c r="X6" s="577">
        <f>((M6+F6+(LOG(G6)*4/3))*0.26)+((K6+F6+(LOG(G6)*4/3))*0.221)+((L6+F6+(LOG(G6)*4/3))*0.142)</f>
        <v>8.8091667491946417</v>
      </c>
      <c r="Y6" s="577">
        <f>((M6+F6+(LOG(G6)*4/3))*1)+((L6+F6+(LOG(G6)*4/3))*0.369)</f>
        <v>20.814440256255963</v>
      </c>
      <c r="Z6" s="578">
        <f>X6</f>
        <v>8.8091667491946417</v>
      </c>
      <c r="AA6" s="375">
        <v>5100</v>
      </c>
      <c r="AB6" s="357">
        <v>24.9</v>
      </c>
      <c r="AC6" s="586">
        <v>1650</v>
      </c>
      <c r="AD6" s="586">
        <v>2500</v>
      </c>
      <c r="AE6" s="587">
        <v>3200</v>
      </c>
      <c r="AF6" s="558">
        <f>AA6+(AB6*16*(36-B6-((112-C6)/112)))-AC6</f>
        <v>5915.1</v>
      </c>
      <c r="AG6" s="558">
        <f>AA6+(AB6*16*(34-B6-((112-C6)/112)))-AD6</f>
        <v>4268.3</v>
      </c>
      <c r="AH6" s="590">
        <f>AA6+(AB6*16*(32-B6-((112-C6)/112)))-AE6</f>
        <v>2771.5</v>
      </c>
      <c r="AI6" s="558">
        <f>(AF6-AC6)/(36-B6+((112-C6)/112))</f>
        <v>545.93280000000004</v>
      </c>
      <c r="AJ6" s="558">
        <f>(AF6-AD6)/(34-B6+((112-C6)/112))</f>
        <v>587.54408602150545</v>
      </c>
      <c r="AK6" s="590">
        <f>(AF6-AE6)/(32-B6+((112-C6)/112))</f>
        <v>712.15737704918047</v>
      </c>
    </row>
    <row r="7" spans="1:39" x14ac:dyDescent="0.25">
      <c r="A7" s="565" t="s">
        <v>926</v>
      </c>
      <c r="B7" s="346">
        <v>29</v>
      </c>
      <c r="C7" s="558">
        <v>13</v>
      </c>
      <c r="D7" s="559" t="s">
        <v>40</v>
      </c>
      <c r="E7" s="560">
        <v>4</v>
      </c>
      <c r="F7" s="568">
        <v>1</v>
      </c>
      <c r="G7" s="569">
        <v>5</v>
      </c>
      <c r="H7" s="572">
        <v>0</v>
      </c>
      <c r="I7" s="572">
        <v>2</v>
      </c>
      <c r="J7" s="572">
        <v>6</v>
      </c>
      <c r="K7" s="572">
        <v>11</v>
      </c>
      <c r="L7" s="572">
        <v>13</v>
      </c>
      <c r="M7" s="572">
        <v>12</v>
      </c>
      <c r="N7" s="573">
        <v>12</v>
      </c>
      <c r="O7" s="576">
        <f>((J7+F7+(LOG(G7)*4/3))*0.15)</f>
        <v>1.1897940008672037</v>
      </c>
      <c r="P7" s="576">
        <f>((M7+F7+(LOG(G7)*4/3))*0.552)+((K7+F7+(LOG(G7)*4/3))*0.576)+((L7+F7+(LOG(G7)*4/3))*0.195)</f>
        <v>18.050983087648735</v>
      </c>
      <c r="Q7" s="577">
        <f>((M7+F7+(LOG(G7)*4/3))*0.607)+((L7+F7+(LOG(G7)*4/3))*0.248)</f>
        <v>12.159825804943059</v>
      </c>
      <c r="R7" s="582">
        <f>((M7+F7+(LOG(G7)*4/3))*0.223)+((K7+F7+(LOG(G7)*4/3))*0)+((L7+F7+(LOG(G7)*4/3))*0)</f>
        <v>3.1068270812892429</v>
      </c>
      <c r="S7" s="576">
        <f>((J7+F7+(LOG(G7)*4/3))*0.406)</f>
        <v>3.2203757623472318</v>
      </c>
      <c r="T7" s="576">
        <f>IF(D7="TEC",((K7+F7+(LOG(G7)*4/3))*0.15)+((L7+F7+(LOG(G7)*4/3))*0.324)+((M7+F7+(LOG(G7)*4/3))*0.127),((K7+F7+(LOG(G7)*4/3))*0.144)+((L7+F7+(LOG(G7)*4/3))*0.25)+((M7+F7+(LOG(G7)*4/3))*0.127))</f>
        <v>7.364551163012087</v>
      </c>
      <c r="U7" s="577">
        <f>IF(D7="TEC",((L7+F7+(LOG(G7)*4/3))*0.543)+((M7+F7+(LOG(G7)*4/3))*0.583),((L7+F7+(LOG(G7)*4/3))*0.543)+((M7+F7+(LOG(G7)*4/3))*0.583))</f>
        <v>16.230386966509812</v>
      </c>
      <c r="V7" s="582">
        <f>T7</f>
        <v>7.364551163012087</v>
      </c>
      <c r="W7" s="577">
        <f>((J7+F7+(LOG(G7)*4/3))*0.25)</f>
        <v>1.9829900014453397</v>
      </c>
      <c r="X7" s="577">
        <f>((M7+F7+(LOG(G7)*4/3))*0.26)+((K7+F7+(LOG(G7)*4/3))*0.221)+((L7+F7+(LOG(G7)*4/3))*0.142)</f>
        <v>8.6006110836017857</v>
      </c>
      <c r="Y7" s="577">
        <f>((M7+F7+(LOG(G7)*4/3))*1)+((L7+F7+(LOG(G7)*4/3))*0.369)</f>
        <v>19.441853247914679</v>
      </c>
      <c r="Z7" s="578">
        <f>X7</f>
        <v>8.6006110836017857</v>
      </c>
      <c r="AA7" s="375">
        <v>5100</v>
      </c>
      <c r="AB7" s="357">
        <v>16</v>
      </c>
      <c r="AC7" s="586">
        <v>1200</v>
      </c>
      <c r="AD7" s="586">
        <v>1500</v>
      </c>
      <c r="AE7" s="587">
        <v>2500</v>
      </c>
      <c r="AF7" s="558">
        <f>AA7+(AB7*16*(36-B7-((112-C7)/112)))-AC7</f>
        <v>5465.7142857142862</v>
      </c>
      <c r="AG7" s="558">
        <f>AA7+(AB7*16*(34-B7-((112-C7)/112)))-AD7</f>
        <v>4653.7142857142862</v>
      </c>
      <c r="AH7" s="590">
        <f>AA7+(AB7*16*(32-B7-((112-C7)/112)))-AE7</f>
        <v>3141.7142857142862</v>
      </c>
      <c r="AI7" s="558">
        <f>(AF7-AC7)/(36-B7+((112-C7)/112))</f>
        <v>541.06455266138175</v>
      </c>
      <c r="AJ7" s="558">
        <f>(AF7-AD7)/(34-B7+((112-C7)/112))</f>
        <v>673.99089529590299</v>
      </c>
      <c r="AK7" s="590">
        <f>(AF7-AE7)/(32-B7+((112-C7)/112))</f>
        <v>763.58620689655186</v>
      </c>
    </row>
    <row r="8" spans="1:39" x14ac:dyDescent="0.25">
      <c r="A8" s="565" t="s">
        <v>942</v>
      </c>
      <c r="B8" s="346">
        <v>27</v>
      </c>
      <c r="C8" s="558">
        <v>18</v>
      </c>
      <c r="D8" s="559" t="s">
        <v>0</v>
      </c>
      <c r="E8" s="560">
        <v>4</v>
      </c>
      <c r="F8" s="568">
        <v>1</v>
      </c>
      <c r="G8" s="569">
        <v>5</v>
      </c>
      <c r="H8" s="572">
        <v>0</v>
      </c>
      <c r="I8" s="572">
        <v>4</v>
      </c>
      <c r="J8" s="572">
        <v>5</v>
      </c>
      <c r="K8" s="572">
        <v>10</v>
      </c>
      <c r="L8" s="572">
        <v>9</v>
      </c>
      <c r="M8" s="572">
        <v>11</v>
      </c>
      <c r="N8" s="573">
        <v>11</v>
      </c>
      <c r="O8" s="576">
        <f>((J8+F8+(LOG(G8)*4/3))*0.15)</f>
        <v>1.0397940008672037</v>
      </c>
      <c r="P8" s="576">
        <f>((M8+F8+(LOG(G8)*4/3))*0.552)+((K8+F8+(LOG(G8)*4/3))*0.576)+((L8+F8+(LOG(G8)*4/3))*0.195)</f>
        <v>16.142983087648737</v>
      </c>
      <c r="Q8" s="577">
        <f>((M8+F8+(LOG(G8)*4/3))*0.607)+((L8+F8+(LOG(G8)*4/3))*0.248)</f>
        <v>10.560825804943061</v>
      </c>
      <c r="R8" s="582">
        <f>((M8+F8+(LOG(G8)*4/3))*0.223)+((K8+F8+(LOG(G8)*4/3))*0)+((L8+F8+(LOG(G8)*4/3))*0)</f>
        <v>2.883827081289243</v>
      </c>
      <c r="S8" s="576">
        <f>((J8+F8+(LOG(G8)*4/3))*0.406)</f>
        <v>2.8143757623472316</v>
      </c>
      <c r="T8" s="576">
        <f>IF(D8="TEC",((K8+F8+(LOG(G8)*4/3))*0.15)+((L8+F8+(LOG(G8)*4/3))*0.324)+((M8+F8+(LOG(G8)*4/3))*0.127),((K8+F8+(LOG(G8)*4/3))*0.144)+((L8+F8+(LOG(G8)*4/3))*0.25)+((M8+F8+(LOG(G8)*4/3))*0.127))</f>
        <v>6.093551163012088</v>
      </c>
      <c r="U8" s="577">
        <f>IF(D8="TEC",((L8+F8+(LOG(G8)*4/3))*0.543)+((M8+F8+(LOG(G8)*4/3))*0.583),((L8+F8+(LOG(G8)*4/3))*0.543)+((M8+F8+(LOG(G8)*4/3))*0.583))</f>
        <v>13.475386966509809</v>
      </c>
      <c r="V8" s="582">
        <f>T8</f>
        <v>6.093551163012088</v>
      </c>
      <c r="W8" s="577">
        <f>((J8+F8+(LOG(G8)*4/3))*0.25)</f>
        <v>1.7329900014453397</v>
      </c>
      <c r="X8" s="577">
        <f>((M8+F8+(LOG(G8)*4/3))*0.26)+((K8+F8+(LOG(G8)*4/3))*0.221)+((L8+F8+(LOG(G8)*4/3))*0.142)</f>
        <v>7.5516110836017862</v>
      </c>
      <c r="Y8" s="577">
        <f>((M8+F8+(LOG(G8)*4/3))*1)+((L8+F8+(LOG(G8)*4/3))*0.369)</f>
        <v>16.96585324791468</v>
      </c>
      <c r="Z8" s="578">
        <f>X8</f>
        <v>7.5516110836017862</v>
      </c>
      <c r="AA8" s="375">
        <v>3800</v>
      </c>
      <c r="AB8" s="357">
        <v>9</v>
      </c>
      <c r="AC8" s="586">
        <v>400</v>
      </c>
      <c r="AD8" s="586">
        <v>680</v>
      </c>
      <c r="AE8" s="587">
        <v>1100</v>
      </c>
      <c r="AF8" s="558">
        <f>AA8+(AB8*16*(36-B8-((112-C8)/112)))-AC8</f>
        <v>4575.1428571428569</v>
      </c>
      <c r="AG8" s="558">
        <f>AA8+(AB8*16*(34-B8-((112-C8)/112)))-AD8</f>
        <v>4007.1428571428569</v>
      </c>
      <c r="AH8" s="590">
        <f>AA8+(AB8*16*(32-B8-((112-C8)/112)))-AE8</f>
        <v>3299.1428571428569</v>
      </c>
      <c r="AI8" s="558">
        <f>(AF8-AC8)/(36-B8+((112-C8)/112))</f>
        <v>424.33393829401092</v>
      </c>
      <c r="AJ8" s="558">
        <f>(AF8-AD8)/(34-B8+((112-C8)/112))</f>
        <v>496.87471526195895</v>
      </c>
      <c r="AK8" s="590">
        <f>(AF8-AE8)/(32-B8+((112-C8)/112))</f>
        <v>595.13149847094792</v>
      </c>
    </row>
    <row r="9" spans="1:39" x14ac:dyDescent="0.25">
      <c r="A9" s="566" t="s">
        <v>962</v>
      </c>
      <c r="B9" s="346">
        <v>29</v>
      </c>
      <c r="C9" s="558">
        <v>20</v>
      </c>
      <c r="D9" s="559" t="s">
        <v>183</v>
      </c>
      <c r="E9" s="560">
        <v>5</v>
      </c>
      <c r="F9" s="568">
        <v>1</v>
      </c>
      <c r="G9" s="569">
        <v>7</v>
      </c>
      <c r="H9" s="572">
        <v>0</v>
      </c>
      <c r="I9" s="572">
        <v>4</v>
      </c>
      <c r="J9" s="572">
        <v>2</v>
      </c>
      <c r="K9" s="572">
        <v>2</v>
      </c>
      <c r="L9" s="572">
        <v>16</v>
      </c>
      <c r="M9" s="572">
        <v>12</v>
      </c>
      <c r="N9" s="573">
        <v>16</v>
      </c>
      <c r="O9" s="576">
        <f>((J9+F9+(LOG(G9)*4/3))*0.15)</f>
        <v>0.61901960800285127</v>
      </c>
      <c r="P9" s="576">
        <f>((M9+F9+(LOG(G9)*4/3))*0.552)+((K9+F9+(LOG(G9)*4/3))*0.576)+((L9+F9+(LOG(G9)*4/3))*0.195)</f>
        <v>13.709752942585149</v>
      </c>
      <c r="Q9" s="577">
        <f>((M9+F9+(LOG(G9)*4/3))*0.607)+((L9+F9+(LOG(G9)*4/3))*0.248)</f>
        <v>13.070411765616253</v>
      </c>
      <c r="R9" s="582">
        <f>((M9+F9+(LOG(G9)*4/3))*0.223)+((K9+F9+(LOG(G9)*4/3))*0)+((L9+F9+(LOG(G9)*4/3))*0)</f>
        <v>3.1502758172309058</v>
      </c>
      <c r="S9" s="576">
        <f>((J9+F9+(LOG(G9)*4/3))*0.406)</f>
        <v>1.6754797389943843</v>
      </c>
      <c r="T9" s="576">
        <f>IF(D9="TEC",((K9+F9+(LOG(G9)*4/3))*0.15)+((L9+F9+(LOG(G9)*4/3))*0.324)+((M9+F9+(LOG(G9)*4/3))*0.127),((K9+F9+(LOG(G9)*4/3))*0.144)+((L9+F9+(LOG(G9)*4/3))*0.25)+((M9+F9+(LOG(G9)*4/3))*0.127))</f>
        <v>6.9200614384632368</v>
      </c>
      <c r="U9" s="577">
        <f>IF(D9="TEC",((L9+F9+(LOG(G9)*4/3))*0.543)+((M9+F9+(LOG(G9)*4/3))*0.583),((L9+F9+(LOG(G9)*4/3))*0.543)+((M9+F9+(LOG(G9)*4/3))*0.583))</f>
        <v>18.078773857408073</v>
      </c>
      <c r="V9" s="582">
        <f>T9</f>
        <v>6.9200614384632368</v>
      </c>
      <c r="W9" s="577">
        <f>((J9+F9+(LOG(G9)*4/3))*0.25)</f>
        <v>1.0316993466714188</v>
      </c>
      <c r="X9" s="577">
        <f>((M9+F9+(LOG(G9)*4/3))*0.26)+((K9+F9+(LOG(G9)*4/3))*0.221)+((L9+F9+(LOG(G9)*4/3))*0.142)</f>
        <v>7.1589947719051761</v>
      </c>
      <c r="Y9" s="577">
        <f>((M9+F9+(LOG(G9)*4/3))*1)+((L9+F9+(LOG(G9)*4/3))*0.369)</f>
        <v>20.815585622372691</v>
      </c>
      <c r="Z9" s="578">
        <f>X9</f>
        <v>7.1589947719051761</v>
      </c>
      <c r="AA9" s="375">
        <v>3290</v>
      </c>
      <c r="AB9" s="357">
        <v>36.1</v>
      </c>
      <c r="AC9" s="586">
        <v>850</v>
      </c>
      <c r="AD9" s="586">
        <v>950</v>
      </c>
      <c r="AE9" s="587">
        <v>1200</v>
      </c>
      <c r="AF9" s="558">
        <f>AA9+(AB9*16*(36-B9-((112-C9)/112)))-AC9</f>
        <v>6008.7428571428572</v>
      </c>
      <c r="AG9" s="558">
        <f>AA9+(AB9*16*(34-B9-((112-C9)/112)))-AD9</f>
        <v>4753.5428571428574</v>
      </c>
      <c r="AH9" s="590">
        <f>AA9+(AB9*16*(32-B9-((112-C9)/112)))-AE9</f>
        <v>3348.3428571428576</v>
      </c>
      <c r="AI9" s="558">
        <f>(AF9-AC9)/(36-B9+((112-C9)/112))</f>
        <v>659.56529680365304</v>
      </c>
      <c r="AJ9" s="558">
        <f>(AF9-AD9)/(34-B9+((112-C9)/112))</f>
        <v>868.9865030674847</v>
      </c>
      <c r="AK9" s="590">
        <f>(AF9-AE9)/(32-B9+((112-C9)/112))</f>
        <v>1258.36261682243</v>
      </c>
    </row>
    <row r="10" spans="1:39" x14ac:dyDescent="0.25">
      <c r="A10" s="565" t="s">
        <v>925</v>
      </c>
      <c r="B10" s="346">
        <v>29</v>
      </c>
      <c r="C10" s="558">
        <v>3</v>
      </c>
      <c r="D10" s="559" t="s">
        <v>40</v>
      </c>
      <c r="E10" s="560">
        <v>0</v>
      </c>
      <c r="F10" s="568">
        <v>1</v>
      </c>
      <c r="G10" s="569">
        <v>10</v>
      </c>
      <c r="H10" s="572">
        <v>0</v>
      </c>
      <c r="I10" s="572">
        <v>2</v>
      </c>
      <c r="J10" s="572">
        <v>7</v>
      </c>
      <c r="K10" s="572">
        <v>11</v>
      </c>
      <c r="L10" s="572">
        <v>8</v>
      </c>
      <c r="M10" s="572">
        <v>12</v>
      </c>
      <c r="N10" s="573">
        <v>3</v>
      </c>
      <c r="O10" s="576">
        <f>((J10+F10+(LOG(G10)*4/3))*0.15)</f>
        <v>1.4000000000000001</v>
      </c>
      <c r="P10" s="576">
        <f>((M10+F10+(LOG(G10)*4/3))*0.552)+((K10+F10+(LOG(G10)*4/3))*0.576)+((L10+F10+(LOG(G10)*4/3))*0.195)</f>
        <v>17.606999999999999</v>
      </c>
      <c r="Q10" s="577">
        <f>((M10+F10+(LOG(G10)*4/3))*0.607)+((L10+F10+(LOG(G10)*4/3))*0.248)</f>
        <v>11.263</v>
      </c>
      <c r="R10" s="582">
        <f>((M10+F10+(LOG(G10)*4/3))*0.223)+((K10+F10+(LOG(G10)*4/3))*0)+((L10+F10+(LOG(G10)*4/3))*0)</f>
        <v>3.1963333333333335</v>
      </c>
      <c r="S10" s="576">
        <f>((J10+F10+(LOG(G10)*4/3))*0.406)</f>
        <v>3.7893333333333339</v>
      </c>
      <c r="T10" s="576">
        <f>IF(D10="TEC",((K10+F10+(LOG(G10)*4/3))*0.15)+((L10+F10+(LOG(G10)*4/3))*0.324)+((M10+F10+(LOG(G10)*4/3))*0.127),((K10+F10+(LOG(G10)*4/3))*0.144)+((L10+F10+(LOG(G10)*4/3))*0.25)+((M10+F10+(LOG(G10)*4/3))*0.127))</f>
        <v>6.323666666666667</v>
      </c>
      <c r="U10" s="577">
        <f>IF(D10="TEC",((L10+F10+(LOG(G10)*4/3))*0.543)+((M10+F10+(LOG(G10)*4/3))*0.583),((L10+F10+(LOG(G10)*4/3))*0.543)+((M10+F10+(LOG(G10)*4/3))*0.583))</f>
        <v>13.967333333333334</v>
      </c>
      <c r="V10" s="582">
        <f>T10</f>
        <v>6.323666666666667</v>
      </c>
      <c r="W10" s="577">
        <f>((J10+F10+(LOG(G10)*4/3))*0.25)</f>
        <v>2.3333333333333335</v>
      </c>
      <c r="X10" s="577">
        <f>((M10+F10+(LOG(G10)*4/3))*0.26)+((K10+F10+(LOG(G10)*4/3))*0.221)+((L10+F10+(LOG(G10)*4/3))*0.142)</f>
        <v>8.140666666666668</v>
      </c>
      <c r="Y10" s="577">
        <f>((M10+F10+(LOG(G10)*4/3))*1)+((L10+F10+(LOG(G10)*4/3))*0.369)</f>
        <v>18.146333333333335</v>
      </c>
      <c r="Z10" s="578">
        <f>X10</f>
        <v>8.140666666666668</v>
      </c>
      <c r="AA10" s="375">
        <v>3200</v>
      </c>
      <c r="AB10" s="357">
        <v>11</v>
      </c>
      <c r="AC10" s="586"/>
      <c r="AD10" s="586"/>
      <c r="AE10" s="587"/>
      <c r="AF10" s="558">
        <f>AA10+(AB10*16*(36-B10-((112-C10)/112)))-AC10</f>
        <v>4260.7142857142862</v>
      </c>
      <c r="AG10" s="558">
        <f>AA10+(AB10*16*(34-B10-((112-C10)/112)))-AD10</f>
        <v>3908.7142857142858</v>
      </c>
      <c r="AH10" s="590">
        <f>AA10+(AB10*16*(32-B10-((112-C10)/112)))-AE10</f>
        <v>3556.7142857142858</v>
      </c>
      <c r="AI10" s="558">
        <f>(AF10-AC10)/(36-B10+((112-C10)/112))</f>
        <v>534.37849944008963</v>
      </c>
      <c r="AJ10" s="558">
        <f>(AF10-AD10)/(34-B10+((112-C10)/112))</f>
        <v>713.3034379671152</v>
      </c>
      <c r="AK10" s="590">
        <f>(AF10-AE10)/(32-B10+((112-C10)/112))</f>
        <v>1072.359550561798</v>
      </c>
    </row>
    <row r="11" spans="1:39" x14ac:dyDescent="0.25">
      <c r="A11" s="565" t="s">
        <v>930</v>
      </c>
      <c r="B11" s="346">
        <v>29</v>
      </c>
      <c r="C11" s="558">
        <v>84</v>
      </c>
      <c r="D11" s="559" t="s">
        <v>40</v>
      </c>
      <c r="E11" s="560">
        <v>3</v>
      </c>
      <c r="F11" s="568">
        <v>1</v>
      </c>
      <c r="G11" s="569">
        <v>6</v>
      </c>
      <c r="H11" s="572">
        <v>0</v>
      </c>
      <c r="I11" s="572">
        <v>4</v>
      </c>
      <c r="J11" s="572">
        <v>4</v>
      </c>
      <c r="K11" s="572">
        <v>5</v>
      </c>
      <c r="L11" s="572">
        <v>12</v>
      </c>
      <c r="M11" s="572">
        <v>14</v>
      </c>
      <c r="N11" s="573">
        <v>4</v>
      </c>
      <c r="O11" s="576">
        <f>((J11+F11+(LOG(G11)*4/3))*0.15)</f>
        <v>0.9056302500767287</v>
      </c>
      <c r="P11" s="576">
        <f>((M11+F11+(LOG(G11)*4/3))*0.552)+((K11+F11+(LOG(G11)*4/3))*0.576)+((L11+F11+(LOG(G11)*4/3))*0.195)</f>
        <v>15.643658805676749</v>
      </c>
      <c r="Q11" s="577">
        <f>((M11+F11+(LOG(G11)*4/3))*0.607)+((L11+F11+(LOG(G11)*4/3))*0.248)</f>
        <v>13.216092425437354</v>
      </c>
      <c r="R11" s="582">
        <f>((M11+F11+(LOG(G11)*4/3))*0.223)+((K11+F11+(LOG(G11)*4/3))*0)+((L11+F11+(LOG(G11)*4/3))*0)</f>
        <v>3.5763703051140703</v>
      </c>
      <c r="S11" s="576">
        <f>((J11+F11+(LOG(G11)*4/3))*0.406)</f>
        <v>2.4512392102076794</v>
      </c>
      <c r="T11" s="576">
        <f>IF(D11="TEC",((K11+F11+(LOG(G11)*4/3))*0.15)+((L11+F11+(LOG(G11)*4/3))*0.324)+((M11+F11+(LOG(G11)*4/3))*0.127),((K11+F11+(LOG(G11)*4/3))*0.144)+((L11+F11+(LOG(G11)*4/3))*0.25)+((M11+F11+(LOG(G11)*4/3))*0.127))</f>
        <v>6.559555735266505</v>
      </c>
      <c r="U11" s="577">
        <f>IF(D11="TEC",((L11+F11+(LOG(G11)*4/3))*0.543)+((M11+F11+(LOG(G11)*4/3))*0.583),((L11+F11+(LOG(G11)*4/3))*0.543)+((M11+F11+(LOG(G11)*4/3))*0.583))</f>
        <v>16.972264410575978</v>
      </c>
      <c r="V11" s="582">
        <f>T11</f>
        <v>6.559555735266505</v>
      </c>
      <c r="W11" s="577">
        <f>((J11+F11+(LOG(G11)*4/3))*0.25)</f>
        <v>1.5093837501278813</v>
      </c>
      <c r="X11" s="577">
        <f>((M11+F11+(LOG(G11)*4/3))*0.26)+((K11+F11+(LOG(G11)*4/3))*0.221)+((L11+F11+(LOG(G11)*4/3))*0.142)</f>
        <v>7.7183843053186809</v>
      </c>
      <c r="Y11" s="577">
        <f>((M11+F11+(LOG(G11)*4/3))*1)+((L11+F11+(LOG(G11)*4/3))*0.369)</f>
        <v>21.217385415700278</v>
      </c>
      <c r="Z11" s="578">
        <f>X11</f>
        <v>7.7183843053186809</v>
      </c>
      <c r="AA11" s="375">
        <v>3000</v>
      </c>
      <c r="AB11" s="357">
        <v>25</v>
      </c>
      <c r="AC11" s="586"/>
      <c r="AD11" s="586"/>
      <c r="AE11" s="587"/>
      <c r="AF11" s="558">
        <f>AA11+(AB11*16*(36-B11-((112-C11)/112)))-AC11</f>
        <v>5700</v>
      </c>
      <c r="AG11" s="558">
        <f>AA11+(AB11*16*(34-B11-((112-C11)/112)))-AD11</f>
        <v>4900</v>
      </c>
      <c r="AH11" s="590">
        <f>AA11+(AB11*16*(32-B11-((112-C11)/112)))-AE11</f>
        <v>4100</v>
      </c>
      <c r="AI11" s="558">
        <f>(AF11-AC11)/(36-B11+((112-C11)/112))</f>
        <v>786.20689655172418</v>
      </c>
      <c r="AJ11" s="558">
        <f>(AF11-AD11)/(34-B11+((112-C11)/112))</f>
        <v>1085.7142857142858</v>
      </c>
      <c r="AK11" s="590">
        <f>(AF11-AE11)/(32-B11+((112-C11)/112))</f>
        <v>1753.8461538461538</v>
      </c>
    </row>
    <row r="12" spans="1:39" x14ac:dyDescent="0.25">
      <c r="A12" s="566" t="s">
        <v>938</v>
      </c>
      <c r="B12" s="346">
        <v>29</v>
      </c>
      <c r="C12" s="558">
        <v>83</v>
      </c>
      <c r="D12" s="559" t="s">
        <v>40</v>
      </c>
      <c r="E12" s="560">
        <v>3</v>
      </c>
      <c r="F12" s="568">
        <v>1</v>
      </c>
      <c r="G12" s="569">
        <v>7</v>
      </c>
      <c r="H12" s="572">
        <v>0</v>
      </c>
      <c r="I12" s="572">
        <v>1</v>
      </c>
      <c r="J12" s="572">
        <v>13</v>
      </c>
      <c r="K12" s="572">
        <v>6</v>
      </c>
      <c r="L12" s="572">
        <v>12</v>
      </c>
      <c r="M12" s="572">
        <v>12</v>
      </c>
      <c r="N12" s="573">
        <v>13</v>
      </c>
      <c r="O12" s="576">
        <f>((J12+F12+(LOG(G12)*4/3))*0.15)</f>
        <v>2.2690196080028513</v>
      </c>
      <c r="P12" s="576">
        <f>((M12+F12+(LOG(G12)*4/3))*0.552)+((K12+F12+(LOG(G12)*4/3))*0.576)+((L12+F12+(LOG(G12)*4/3))*0.195)</f>
        <v>15.233752942585149</v>
      </c>
      <c r="Q12" s="577">
        <f>((M12+F12+(LOG(G12)*4/3))*0.607)+((L12+F12+(LOG(G12)*4/3))*0.248)</f>
        <v>12.078411765616252</v>
      </c>
      <c r="R12" s="582">
        <f>((M12+F12+(LOG(G12)*4/3))*0.223)+((K12+F12+(LOG(G12)*4/3))*0)+((L12+F12+(LOG(G12)*4/3))*0)</f>
        <v>3.1502758172309058</v>
      </c>
      <c r="S12" s="576">
        <f>((J12+F12+(LOG(G12)*4/3))*0.406)</f>
        <v>6.1414797389943843</v>
      </c>
      <c r="T12" s="576">
        <f>IF(D12="TEC",((K12+F12+(LOG(G12)*4/3))*0.15)+((L12+F12+(LOG(G12)*4/3))*0.324)+((M12+F12+(LOG(G12)*4/3))*0.127),((K12+F12+(LOG(G12)*4/3))*0.144)+((L12+F12+(LOG(G12)*4/3))*0.25)+((M12+F12+(LOG(G12)*4/3))*0.127))</f>
        <v>6.4960614384632365</v>
      </c>
      <c r="U12" s="577">
        <f>IF(D12="TEC",((L12+F12+(LOG(G12)*4/3))*0.543)+((M12+F12+(LOG(G12)*4/3))*0.583),((L12+F12+(LOG(G12)*4/3))*0.543)+((M12+F12+(LOG(G12)*4/3))*0.583))</f>
        <v>15.906773857408069</v>
      </c>
      <c r="V12" s="582">
        <f>T12</f>
        <v>6.4960614384632365</v>
      </c>
      <c r="W12" s="577">
        <f>((J12+F12+(LOG(G12)*4/3))*0.25)</f>
        <v>3.7816993466714188</v>
      </c>
      <c r="X12" s="577">
        <f>((M12+F12+(LOG(G12)*4/3))*0.26)+((K12+F12+(LOG(G12)*4/3))*0.221)+((L12+F12+(LOG(G12)*4/3))*0.142)</f>
        <v>7.474994771905175</v>
      </c>
      <c r="Y12" s="577">
        <f>((M12+F12+(LOG(G12)*4/3))*1)+((L12+F12+(LOG(G12)*4/3))*0.369)</f>
        <v>19.339585622372688</v>
      </c>
      <c r="Z12" s="578">
        <f>X12</f>
        <v>7.474994771905175</v>
      </c>
      <c r="AA12" s="375">
        <v>7100</v>
      </c>
      <c r="AB12" s="357">
        <v>23.9</v>
      </c>
      <c r="AC12" s="586">
        <v>1650</v>
      </c>
      <c r="AD12" s="586">
        <v>2700</v>
      </c>
      <c r="AE12" s="587">
        <v>4000</v>
      </c>
      <c r="AF12" s="558">
        <f>AA12+(AB12*16*(36-B12-((112-C12)/112)))-AC12</f>
        <v>8027.7857142857138</v>
      </c>
      <c r="AG12" s="558">
        <f>AA12+(AB12*16*(34-B12-((112-C12)/112)))-AD12</f>
        <v>6212.9857142857145</v>
      </c>
      <c r="AH12" s="590">
        <f>AA12+(AB12*16*(32-B12-((112-C12)/112)))-AE12</f>
        <v>4148.1857142857143</v>
      </c>
      <c r="AI12" s="558">
        <f>(AF12-AC12)/(36-B12+((112-C12)/112))</f>
        <v>878.61254612546122</v>
      </c>
      <c r="AJ12" s="558">
        <f>(AF12-AD12)/(34-B12+((112-C12)/112))</f>
        <v>1013.0933786078098</v>
      </c>
      <c r="AK12" s="590">
        <f>(AF12-AE12)/(32-B12+((112-C12)/112))</f>
        <v>1235.9232876712326</v>
      </c>
    </row>
    <row r="13" spans="1:39" x14ac:dyDescent="0.25">
      <c r="A13" s="566" t="s">
        <v>954</v>
      </c>
      <c r="B13" s="346">
        <v>29</v>
      </c>
      <c r="C13" s="558">
        <v>67</v>
      </c>
      <c r="D13" s="559" t="s">
        <v>40</v>
      </c>
      <c r="E13" s="560">
        <v>2</v>
      </c>
      <c r="F13" s="568">
        <v>1</v>
      </c>
      <c r="G13" s="569">
        <v>7</v>
      </c>
      <c r="H13" s="572">
        <v>0</v>
      </c>
      <c r="I13" s="572">
        <v>3</v>
      </c>
      <c r="J13" s="572">
        <v>4</v>
      </c>
      <c r="K13" s="572">
        <v>9</v>
      </c>
      <c r="L13" s="572">
        <v>12</v>
      </c>
      <c r="M13" s="572">
        <v>14</v>
      </c>
      <c r="N13" s="573">
        <v>9</v>
      </c>
      <c r="O13" s="576">
        <f>((J13+F13+(LOG(G13)*4/3))*0.15)</f>
        <v>0.91901960800285121</v>
      </c>
      <c r="P13" s="576">
        <f>((M13+F13+(LOG(G13)*4/3))*0.552)+((K13+F13+(LOG(G13)*4/3))*0.576)+((L13+F13+(LOG(G13)*4/3))*0.195)</f>
        <v>18.065752942585149</v>
      </c>
      <c r="Q13" s="577">
        <f>((M13+F13+(LOG(G13)*4/3))*0.607)+((L13+F13+(LOG(G13)*4/3))*0.248)</f>
        <v>13.292411765616253</v>
      </c>
      <c r="R13" s="582">
        <f>((M13+F13+(LOG(G13)*4/3))*0.223)+((K13+F13+(LOG(G13)*4/3))*0)+((L13+F13+(LOG(G13)*4/3))*0)</f>
        <v>3.5962758172309059</v>
      </c>
      <c r="S13" s="576">
        <f>((J13+F13+(LOG(G13)*4/3))*0.406)</f>
        <v>2.4874797389943843</v>
      </c>
      <c r="T13" s="576">
        <f>IF(D13="TEC",((K13+F13+(LOG(G13)*4/3))*0.15)+((L13+F13+(LOG(G13)*4/3))*0.324)+((M13+F13+(LOG(G13)*4/3))*0.127),((K13+F13+(LOG(G13)*4/3))*0.144)+((L13+F13+(LOG(G13)*4/3))*0.25)+((M13+F13+(LOG(G13)*4/3))*0.127))</f>
        <v>7.1820614384632364</v>
      </c>
      <c r="U13" s="577">
        <f>IF(D13="TEC",((L13+F13+(LOG(G13)*4/3))*0.543)+((M13+F13+(LOG(G13)*4/3))*0.583),((L13+F13+(LOG(G13)*4/3))*0.543)+((M13+F13+(LOG(G13)*4/3))*0.583))</f>
        <v>17.072773857408073</v>
      </c>
      <c r="V13" s="582">
        <f>T13</f>
        <v>7.1820614384632364</v>
      </c>
      <c r="W13" s="577">
        <f>((J13+F13+(LOG(G13)*4/3))*0.25)</f>
        <v>1.5316993466714188</v>
      </c>
      <c r="X13" s="577">
        <f>((M13+F13+(LOG(G13)*4/3))*0.26)+((K13+F13+(LOG(G13)*4/3))*0.221)+((L13+F13+(LOG(G13)*4/3))*0.142)</f>
        <v>8.6579947719051766</v>
      </c>
      <c r="Y13" s="577">
        <f>((M13+F13+(LOG(G13)*4/3))*1)+((L13+F13+(LOG(G13)*4/3))*0.369)</f>
        <v>21.339585622372692</v>
      </c>
      <c r="Z13" s="578">
        <f>X13</f>
        <v>8.6579947719051766</v>
      </c>
      <c r="AA13" s="375">
        <v>6250</v>
      </c>
      <c r="AB13" s="357">
        <v>26.3</v>
      </c>
      <c r="AC13" s="586">
        <v>2000</v>
      </c>
      <c r="AD13" s="586">
        <v>2700</v>
      </c>
      <c r="AE13" s="587">
        <v>2900</v>
      </c>
      <c r="AF13" s="558">
        <f>AA13+(AB13*16*(36-B13-((112-C13)/112)))-AC13</f>
        <v>7026.528571428571</v>
      </c>
      <c r="AG13" s="558">
        <f>AA13+(AB13*16*(34-B13-((112-C13)/112)))-AD13</f>
        <v>5484.9285714285716</v>
      </c>
      <c r="AH13" s="590">
        <f>AA13+(AB13*16*(32-B13-((112-C13)/112)))-AE13</f>
        <v>4443.3285714285712</v>
      </c>
      <c r="AI13" s="558">
        <f>(AF13-AC13)/(36-B13+((112-C13)/112))</f>
        <v>679.09674306393242</v>
      </c>
      <c r="AJ13" s="558">
        <f>(AF13-AD13)/(34-B13+((112-C13)/112))</f>
        <v>800.94413223140486</v>
      </c>
      <c r="AK13" s="590">
        <f>(AF13-AE13)/(32-B13+((112-C13)/112))</f>
        <v>1213.0477690288712</v>
      </c>
    </row>
    <row r="14" spans="1:39" x14ac:dyDescent="0.25">
      <c r="A14" s="566" t="s">
        <v>963</v>
      </c>
      <c r="B14" s="346">
        <v>27</v>
      </c>
      <c r="C14" s="558">
        <v>72</v>
      </c>
      <c r="D14" s="559" t="s">
        <v>40</v>
      </c>
      <c r="E14" s="560">
        <v>4</v>
      </c>
      <c r="F14" s="568">
        <v>1</v>
      </c>
      <c r="G14" s="569">
        <v>6</v>
      </c>
      <c r="H14" s="572">
        <v>0</v>
      </c>
      <c r="I14" s="572">
        <v>3</v>
      </c>
      <c r="J14" s="572">
        <v>3</v>
      </c>
      <c r="K14" s="572">
        <v>6</v>
      </c>
      <c r="L14" s="572">
        <v>10</v>
      </c>
      <c r="M14" s="572">
        <v>14</v>
      </c>
      <c r="N14" s="573">
        <v>12</v>
      </c>
      <c r="O14" s="576">
        <f>((J14+F14+(LOG(G14)*4/3))*0.15)</f>
        <v>0.75563025007672879</v>
      </c>
      <c r="P14" s="576">
        <f>((M14+F14+(LOG(G14)*4/3))*0.552)+((K14+F14+(LOG(G14)*4/3))*0.576)+((L14+F14+(LOG(G14)*4/3))*0.195)</f>
        <v>15.829658805676747</v>
      </c>
      <c r="Q14" s="577">
        <f>((M14+F14+(LOG(G14)*4/3))*0.607)+((L14+F14+(LOG(G14)*4/3))*0.248)</f>
        <v>12.720092425437354</v>
      </c>
      <c r="R14" s="582">
        <f>((M14+F14+(LOG(G14)*4/3))*0.223)+((K14+F14+(LOG(G14)*4/3))*0)+((L14+F14+(LOG(G14)*4/3))*0)</f>
        <v>3.5763703051140703</v>
      </c>
      <c r="S14" s="576">
        <f>((J14+F14+(LOG(G14)*4/3))*0.406)</f>
        <v>2.0452392102076793</v>
      </c>
      <c r="T14" s="576">
        <f>IF(D14="TEC",((K14+F14+(LOG(G14)*4/3))*0.15)+((L14+F14+(LOG(G14)*4/3))*0.324)+((M14+F14+(LOG(G14)*4/3))*0.127),((K14+F14+(LOG(G14)*4/3))*0.144)+((L14+F14+(LOG(G14)*4/3))*0.25)+((M14+F14+(LOG(G14)*4/3))*0.127))</f>
        <v>6.2035557352665052</v>
      </c>
      <c r="U14" s="577">
        <f>IF(D14="TEC",((L14+F14+(LOG(G14)*4/3))*0.543)+((M14+F14+(LOG(G14)*4/3))*0.583),((L14+F14+(LOG(G14)*4/3))*0.543)+((M14+F14+(LOG(G14)*4/3))*0.583))</f>
        <v>15.886264410575976</v>
      </c>
      <c r="V14" s="582">
        <f>T14</f>
        <v>6.2035557352665052</v>
      </c>
      <c r="W14" s="577">
        <f>((J14+F14+(LOG(G14)*4/3))*0.25)</f>
        <v>1.2593837501278813</v>
      </c>
      <c r="X14" s="577">
        <f>((M14+F14+(LOG(G14)*4/3))*0.26)+((K14+F14+(LOG(G14)*4/3))*0.221)+((L14+F14+(LOG(G14)*4/3))*0.142)</f>
        <v>7.6553843053186803</v>
      </c>
      <c r="Y14" s="577">
        <f>((M14+F14+(LOG(G14)*4/3))*1)+((L14+F14+(LOG(G14)*4/3))*0.369)</f>
        <v>20.479385415700278</v>
      </c>
      <c r="Z14" s="578">
        <f>X14</f>
        <v>7.6553843053186803</v>
      </c>
      <c r="AA14" s="375">
        <v>4750</v>
      </c>
      <c r="AB14" s="357">
        <f>22.4*1.2</f>
        <v>26.88</v>
      </c>
      <c r="AC14" s="586">
        <v>900</v>
      </c>
      <c r="AD14" s="586">
        <v>1500</v>
      </c>
      <c r="AE14" s="587">
        <v>2300</v>
      </c>
      <c r="AF14" s="558">
        <f>AA14+(AB14*16*(36-B14-((112-C14)/112)))-AC14</f>
        <v>7567.119999999999</v>
      </c>
      <c r="AG14" s="558">
        <f>AA14+(AB14*16*(34-B14-((112-C14)/112)))-AD14</f>
        <v>6106.96</v>
      </c>
      <c r="AH14" s="590">
        <f>AA14+(AB14*16*(32-B14-((112-C14)/112)))-AE14</f>
        <v>4446.8</v>
      </c>
      <c r="AI14" s="558">
        <f>(AF14-AC14)/(36-B14+((112-C14)/112))</f>
        <v>712.5166412213739</v>
      </c>
      <c r="AJ14" s="558">
        <f>(AF14-AD14)/(34-B14+((112-C14)/112))</f>
        <v>824.65708737864065</v>
      </c>
      <c r="AK14" s="590">
        <f>(AF14-AE14)/(32-B14+((112-C14)/112))</f>
        <v>983.19573333333324</v>
      </c>
    </row>
    <row r="15" spans="1:39" x14ac:dyDescent="0.25">
      <c r="A15" s="565" t="s">
        <v>958</v>
      </c>
      <c r="B15" s="346">
        <v>27</v>
      </c>
      <c r="C15" s="558">
        <v>103</v>
      </c>
      <c r="D15" s="559" t="s">
        <v>0</v>
      </c>
      <c r="E15" s="560">
        <v>3</v>
      </c>
      <c r="F15" s="568">
        <v>1</v>
      </c>
      <c r="G15" s="569">
        <v>6</v>
      </c>
      <c r="H15" s="572">
        <v>0</v>
      </c>
      <c r="I15" s="572">
        <v>4</v>
      </c>
      <c r="J15" s="572">
        <v>9</v>
      </c>
      <c r="K15" s="572">
        <v>1</v>
      </c>
      <c r="L15" s="572">
        <v>14</v>
      </c>
      <c r="M15" s="572">
        <v>12</v>
      </c>
      <c r="N15" s="573">
        <v>1</v>
      </c>
      <c r="O15" s="576">
        <f>((J15+F15+(LOG(G15)*4/3))*0.15)</f>
        <v>1.6556302500767288</v>
      </c>
      <c r="P15" s="576">
        <f>((M15+F15+(LOG(G15)*4/3))*0.552)+((K15+F15+(LOG(G15)*4/3))*0.576)+((L15+F15+(LOG(G15)*4/3))*0.195)</f>
        <v>12.62565880567675</v>
      </c>
      <c r="Q15" s="577">
        <f>((M15+F15+(LOG(G15)*4/3))*0.607)+((L15+F15+(LOG(G15)*4/3))*0.248)</f>
        <v>12.498092425437354</v>
      </c>
      <c r="R15" s="582">
        <f>((M15+F15+(LOG(G15)*4/3))*0.223)+((K15+F15+(LOG(G15)*4/3))*0)+((L15+F15+(LOG(G15)*4/3))*0)</f>
        <v>3.1303703051140701</v>
      </c>
      <c r="S15" s="576">
        <f>((J15+F15+(LOG(G15)*4/3))*0.406)</f>
        <v>4.4812392102076792</v>
      </c>
      <c r="T15" s="576">
        <f>IF(D15="TEC",((K15+F15+(LOG(G15)*4/3))*0.15)+((L15+F15+(LOG(G15)*4/3))*0.324)+((M15+F15+(LOG(G15)*4/3))*0.127),((K15+F15+(LOG(G15)*4/3))*0.144)+((L15+F15+(LOG(G15)*4/3))*0.25)+((M15+F15+(LOG(G15)*4/3))*0.127))</f>
        <v>6.229555735266505</v>
      </c>
      <c r="U15" s="577">
        <f>IF(D15="TEC",((L15+F15+(LOG(G15)*4/3))*0.543)+((M15+F15+(LOG(G15)*4/3))*0.583),((L15+F15+(LOG(G15)*4/3))*0.543)+((M15+F15+(LOG(G15)*4/3))*0.583))</f>
        <v>16.892264410575976</v>
      </c>
      <c r="V15" s="582">
        <f>T15</f>
        <v>6.229555735266505</v>
      </c>
      <c r="W15" s="577">
        <f>((J15+F15+(LOG(G15)*4/3))*0.25)</f>
        <v>2.7593837501278813</v>
      </c>
      <c r="X15" s="577">
        <f>((M15+F15+(LOG(G15)*4/3))*0.26)+((K15+F15+(LOG(G15)*4/3))*0.221)+((L15+F15+(LOG(G15)*4/3))*0.142)</f>
        <v>6.5983843053186799</v>
      </c>
      <c r="Y15" s="577">
        <f>((M15+F15+(LOG(G15)*4/3))*1)+((L15+F15+(LOG(G15)*4/3))*0.369)</f>
        <v>19.955385415700277</v>
      </c>
      <c r="Z15" s="578">
        <f>X15</f>
        <v>6.5983843053186799</v>
      </c>
      <c r="AA15" s="375">
        <v>5280</v>
      </c>
      <c r="AB15" s="357">
        <v>17.5</v>
      </c>
      <c r="AC15" s="586">
        <v>880</v>
      </c>
      <c r="AD15" s="586">
        <v>1100</v>
      </c>
      <c r="AE15" s="587">
        <v>2200</v>
      </c>
      <c r="AF15" s="558">
        <f>AA15+(AB15*16*(36-B15-((112-C15)/112)))-AC15</f>
        <v>6897.5</v>
      </c>
      <c r="AG15" s="558">
        <f>AA15+(AB15*16*(34-B15-((112-C15)/112)))-AD15</f>
        <v>6117.5</v>
      </c>
      <c r="AH15" s="590">
        <f>AA15+(AB15*16*(32-B15-((112-C15)/112)))-AE15</f>
        <v>4457.5</v>
      </c>
      <c r="AI15" s="558">
        <f>(AF15-AC15)/(36-B15+((112-C15)/112))</f>
        <v>662.69419862340214</v>
      </c>
      <c r="AJ15" s="558">
        <f>(AF15-AD15)/(34-B15+((112-C15)/112))</f>
        <v>818.8146279949558</v>
      </c>
      <c r="AK15" s="590">
        <f>(AF15-AE15)/(32-B15+((112-C15)/112))</f>
        <v>924.63971880492079</v>
      </c>
      <c r="AL15" s="446"/>
      <c r="AM15" s="446"/>
    </row>
    <row r="16" spans="1:39" x14ac:dyDescent="0.25">
      <c r="A16" s="566" t="s">
        <v>964</v>
      </c>
      <c r="B16" s="346">
        <v>27</v>
      </c>
      <c r="C16" s="558">
        <v>10</v>
      </c>
      <c r="D16" s="559" t="s">
        <v>40</v>
      </c>
      <c r="E16" s="560">
        <v>3</v>
      </c>
      <c r="F16" s="568">
        <v>1</v>
      </c>
      <c r="G16" s="569">
        <v>5</v>
      </c>
      <c r="H16" s="572">
        <v>0</v>
      </c>
      <c r="I16" s="572">
        <v>1</v>
      </c>
      <c r="J16" s="572">
        <v>4</v>
      </c>
      <c r="K16" s="572">
        <v>2</v>
      </c>
      <c r="L16" s="572">
        <v>14</v>
      </c>
      <c r="M16" s="572">
        <v>13</v>
      </c>
      <c r="N16" s="573">
        <v>2</v>
      </c>
      <c r="O16" s="576">
        <f>((J16+F16+(LOG(G16)*4/3))*0.15)</f>
        <v>0.88979400086720373</v>
      </c>
      <c r="P16" s="576">
        <f>((M16+F16+(LOG(G16)*4/3))*0.552)+((K16+F16+(LOG(G16)*4/3))*0.576)+((L16+F16+(LOG(G16)*4/3))*0.195)</f>
        <v>13.613983087648737</v>
      </c>
      <c r="Q16" s="577">
        <f>((M16+F16+(LOG(G16)*4/3))*0.607)+((L16+F16+(LOG(G16)*4/3))*0.248)</f>
        <v>13.014825804943062</v>
      </c>
      <c r="R16" s="582">
        <f>((M16+F16+(LOG(G16)*4/3))*0.223)+((K16+F16+(LOG(G16)*4/3))*0)+((L16+F16+(LOG(G16)*4/3))*0)</f>
        <v>3.3298270812892428</v>
      </c>
      <c r="S16" s="576">
        <f>((J16+F16+(LOG(G16)*4/3))*0.406)</f>
        <v>2.4083757623472319</v>
      </c>
      <c r="T16" s="576">
        <f>IF(D16="TEC",((K16+F16+(LOG(G16)*4/3))*0.15)+((L16+F16+(LOG(G16)*4/3))*0.324)+((M16+F16+(LOG(G16)*4/3))*0.127),((K16+F16+(LOG(G16)*4/3))*0.144)+((L16+F16+(LOG(G16)*4/3))*0.25)+((M16+F16+(LOG(G16)*4/3))*0.127))</f>
        <v>6.4455511630120874</v>
      </c>
      <c r="U16" s="577">
        <f>IF(D16="TEC",((L16+F16+(LOG(G16)*4/3))*0.543)+((M16+F16+(LOG(G16)*4/3))*0.583),((L16+F16+(LOG(G16)*4/3))*0.543)+((M16+F16+(LOG(G16)*4/3))*0.583))</f>
        <v>17.35638696650981</v>
      </c>
      <c r="V16" s="582">
        <f>T16</f>
        <v>6.4455511630120874</v>
      </c>
      <c r="W16" s="577">
        <f>((J16+F16+(LOG(G16)*4/3))*0.25)</f>
        <v>1.4829900014453397</v>
      </c>
      <c r="X16" s="577">
        <f>((M16+F16+(LOG(G16)*4/3))*0.26)+((K16+F16+(LOG(G16)*4/3))*0.221)+((L16+F16+(LOG(G16)*4/3))*0.142)</f>
        <v>7.013611083601786</v>
      </c>
      <c r="Y16" s="577">
        <f>((M16+F16+(LOG(G16)*4/3))*1)+((L16+F16+(LOG(G16)*4/3))*0.369)</f>
        <v>20.810853247914679</v>
      </c>
      <c r="Z16" s="578">
        <f>X16</f>
        <v>7.013611083601786</v>
      </c>
      <c r="AA16" s="375">
        <v>5500</v>
      </c>
      <c r="AB16" s="357">
        <v>23.2</v>
      </c>
      <c r="AC16" s="586">
        <v>1200</v>
      </c>
      <c r="AD16" s="586">
        <v>1500</v>
      </c>
      <c r="AE16" s="587">
        <v>1900</v>
      </c>
      <c r="AF16" s="558">
        <f>AA16+(AB16*16*(36-B16-((112-C16)/112)))-AC16</f>
        <v>7302.7428571428572</v>
      </c>
      <c r="AG16" s="558">
        <f>AA16+(AB16*16*(34-B16-((112-C16)/112)))-AD16</f>
        <v>6260.3428571428576</v>
      </c>
      <c r="AH16" s="590">
        <f>AA16+(AB16*16*(32-B16-((112-C16)/112)))-AE16</f>
        <v>5117.9428571428571</v>
      </c>
      <c r="AI16" s="558">
        <f>(AF16-AC16)/(36-B16+((112-C16)/112))</f>
        <v>615.7722522522522</v>
      </c>
      <c r="AJ16" s="558">
        <f>(AF16-AD16)/(34-B16+((112-C16)/112))</f>
        <v>733.52957110609486</v>
      </c>
      <c r="AK16" s="590">
        <f>(AF16-AE16)/(32-B16+((112-C16)/112))</f>
        <v>914.05921450151061</v>
      </c>
    </row>
    <row r="17" spans="1:37" x14ac:dyDescent="0.25">
      <c r="A17" s="565" t="s">
        <v>929</v>
      </c>
      <c r="B17" s="346">
        <v>26</v>
      </c>
      <c r="C17" s="558">
        <v>100</v>
      </c>
      <c r="D17" s="559" t="s">
        <v>183</v>
      </c>
      <c r="E17" s="560">
        <v>4</v>
      </c>
      <c r="F17" s="568">
        <v>1</v>
      </c>
      <c r="G17" s="569">
        <v>5</v>
      </c>
      <c r="H17" s="572">
        <v>0</v>
      </c>
      <c r="I17" s="572">
        <v>3</v>
      </c>
      <c r="J17" s="572">
        <v>9</v>
      </c>
      <c r="K17" s="572">
        <v>5</v>
      </c>
      <c r="L17" s="572">
        <v>12</v>
      </c>
      <c r="M17" s="572">
        <v>12</v>
      </c>
      <c r="N17" s="573">
        <v>6</v>
      </c>
      <c r="O17" s="576">
        <f>((J17+F17+(LOG(G17)*4/3))*0.15)</f>
        <v>1.6397940008672036</v>
      </c>
      <c r="P17" s="576">
        <f>((M17+F17+(LOG(G17)*4/3))*0.552)+((K17+F17+(LOG(G17)*4/3))*0.576)+((L17+F17+(LOG(G17)*4/3))*0.195)</f>
        <v>14.399983087648735</v>
      </c>
      <c r="Q17" s="577">
        <f>((M17+F17+(LOG(G17)*4/3))*0.607)+((L17+F17+(LOG(G17)*4/3))*0.248)</f>
        <v>11.91182580494306</v>
      </c>
      <c r="R17" s="582">
        <f>((M17+F17+(LOG(G17)*4/3))*0.223)+((K17+F17+(LOG(G17)*4/3))*0)+((L17+F17+(LOG(G17)*4/3))*0)</f>
        <v>3.1068270812892429</v>
      </c>
      <c r="S17" s="576">
        <f>((J17+F17+(LOG(G17)*4/3))*0.406)</f>
        <v>4.4383757623472313</v>
      </c>
      <c r="T17" s="576">
        <f>IF(D17="TEC",((K17+F17+(LOG(G17)*4/3))*0.15)+((L17+F17+(LOG(G17)*4/3))*0.324)+((M17+F17+(LOG(G17)*4/3))*0.127),((K17+F17+(LOG(G17)*4/3))*0.144)+((L17+F17+(LOG(G17)*4/3))*0.25)+((M17+F17+(LOG(G17)*4/3))*0.127))</f>
        <v>6.2505511630120871</v>
      </c>
      <c r="U17" s="577">
        <f>IF(D17="TEC",((L17+F17+(LOG(G17)*4/3))*0.543)+((M17+F17+(LOG(G17)*4/3))*0.583),((L17+F17+(LOG(G17)*4/3))*0.543)+((M17+F17+(LOG(G17)*4/3))*0.583))</f>
        <v>15.687386966509809</v>
      </c>
      <c r="V17" s="582">
        <f>T17</f>
        <v>6.2505511630120871</v>
      </c>
      <c r="W17" s="577">
        <f>((J17+F17+(LOG(G17)*4/3))*0.25)</f>
        <v>2.7329900014453394</v>
      </c>
      <c r="X17" s="577">
        <f>((M17+F17+(LOG(G17)*4/3))*0.26)+((K17+F17+(LOG(G17)*4/3))*0.221)+((L17+F17+(LOG(G17)*4/3))*0.142)</f>
        <v>7.1326110836017858</v>
      </c>
      <c r="Y17" s="577">
        <f>((M17+F17+(LOG(G17)*4/3))*1)+((L17+F17+(LOG(G17)*4/3))*0.369)</f>
        <v>19.072853247914679</v>
      </c>
      <c r="Z17" s="578">
        <f>X17</f>
        <v>7.1326110836017858</v>
      </c>
      <c r="AA17" s="375">
        <v>4300</v>
      </c>
      <c r="AB17" s="357">
        <v>13</v>
      </c>
      <c r="AC17" s="586"/>
      <c r="AD17" s="586"/>
      <c r="AE17" s="587"/>
      <c r="AF17" s="558">
        <f>AA17+(AB17*16*(36-B17-((112-C17)/112)))-AC17</f>
        <v>6357.7142857142862</v>
      </c>
      <c r="AG17" s="558">
        <f>AA17+(AB17*16*(34-B17-((112-C17)/112)))-AD17</f>
        <v>5941.7142857142862</v>
      </c>
      <c r="AH17" s="590">
        <f>AA17+(AB17*16*(32-B17-((112-C17)/112)))-AE17</f>
        <v>5525.7142857142862</v>
      </c>
      <c r="AI17" s="558">
        <f>(AF17-AC17)/(36-B17+((112-C17)/112))</f>
        <v>629.03180212014138</v>
      </c>
      <c r="AJ17" s="558">
        <f>(AF17-AD17)/(34-B17+((112-C17)/112))</f>
        <v>784.21145374449338</v>
      </c>
      <c r="AK17" s="590">
        <f>(AF17-AE17)/(32-B17+((112-C17)/112))</f>
        <v>1041.0292397660821</v>
      </c>
    </row>
    <row r="18" spans="1:37" x14ac:dyDescent="0.25">
      <c r="A18" s="565" t="s">
        <v>953</v>
      </c>
      <c r="B18" s="346">
        <v>28</v>
      </c>
      <c r="C18" s="558">
        <v>77</v>
      </c>
      <c r="D18" s="559" t="s">
        <v>40</v>
      </c>
      <c r="E18" s="560">
        <v>4</v>
      </c>
      <c r="F18" s="568">
        <v>1</v>
      </c>
      <c r="G18" s="569">
        <v>9</v>
      </c>
      <c r="H18" s="572">
        <v>0</v>
      </c>
      <c r="I18" s="572">
        <v>4</v>
      </c>
      <c r="J18" s="572">
        <v>9</v>
      </c>
      <c r="K18" s="572">
        <v>14</v>
      </c>
      <c r="L18" s="572">
        <v>13</v>
      </c>
      <c r="M18" s="572">
        <v>13</v>
      </c>
      <c r="N18" s="573">
        <v>2</v>
      </c>
      <c r="O18" s="576">
        <f>((J18+F18+(LOG(G18)*4/3))*0.15)</f>
        <v>1.690848501887865</v>
      </c>
      <c r="P18" s="576">
        <f>((M18+F18+(LOG(G18)*4/3))*0.552)+((K18+F18+(LOG(G18)*4/3))*0.576)+((L18+F18+(LOG(G18)*4/3))*0.195)</f>
        <v>20.781283786650967</v>
      </c>
      <c r="Q18" s="577">
        <f>((M18+F18+(LOG(G18)*4/3))*0.607)+((L18+F18+(LOG(G18)*4/3))*0.248)</f>
        <v>13.057836460760829</v>
      </c>
      <c r="R18" s="582">
        <f>((M18+F18+(LOG(G18)*4/3))*0.223)+((K18+F18+(LOG(G18)*4/3))*0)+((L18+F18+(LOG(G18)*4/3))*0)</f>
        <v>3.4057281061399594</v>
      </c>
      <c r="S18" s="576">
        <f>((J18+F18+(LOG(G18)*4/3))*0.406)</f>
        <v>4.5765632784431549</v>
      </c>
      <c r="T18" s="576">
        <f>IF(D18="TEC",((K18+F18+(LOG(G18)*4/3))*0.15)+((L18+F18+(LOG(G18)*4/3))*0.324)+((M18+F18+(LOG(G18)*4/3))*0.127),((K18+F18+(LOG(G18)*4/3))*0.144)+((L18+F18+(LOG(G18)*4/3))*0.25)+((M18+F18+(LOG(G18)*4/3))*0.127))</f>
        <v>8.1008804632238505</v>
      </c>
      <c r="U18" s="577">
        <f>IF(D18="TEC",((L18+F18+(LOG(G18)*4/3))*0.543)+((M18+F18+(LOG(G18)*4/3))*0.583),((L18+F18+(LOG(G18)*4/3))*0.543)+((M18+F18+(LOG(G18)*4/3))*0.583))</f>
        <v>17.196636087504906</v>
      </c>
      <c r="V18" s="582">
        <f>T18</f>
        <v>8.1008804632238505</v>
      </c>
      <c r="W18" s="577">
        <f>((J18+F18+(LOG(G18)*4/3))*0.25)</f>
        <v>2.8180808364797749</v>
      </c>
      <c r="X18" s="577">
        <f>((M18+F18+(LOG(G18)*4/3))*0.26)+((K18+F18+(LOG(G18)*4/3))*0.221)+((L18+F18+(LOG(G18)*4/3))*0.142)</f>
        <v>9.7356574445075985</v>
      </c>
      <c r="Y18" s="577">
        <f>((M18+F18+(LOG(G18)*4/3))*1)+((L18+F18+(LOG(G18)*4/3))*0.369)</f>
        <v>20.907810660563246</v>
      </c>
      <c r="Z18" s="578">
        <f>X18</f>
        <v>9.7356574445075985</v>
      </c>
      <c r="AA18" s="375">
        <v>9900</v>
      </c>
      <c r="AB18" s="357">
        <f>23.2*1.2</f>
        <v>27.84</v>
      </c>
      <c r="AC18" s="586">
        <v>2500</v>
      </c>
      <c r="AD18" s="586">
        <v>4500</v>
      </c>
      <c r="AE18" s="587">
        <v>6000</v>
      </c>
      <c r="AF18" s="558">
        <f>AA18+(AB18*16*(36-B18-((112-C18)/112)))-AC18</f>
        <v>10824.32</v>
      </c>
      <c r="AG18" s="558">
        <f>AA18+(AB18*16*(34-B18-((112-C18)/112)))-AD18</f>
        <v>7933.4400000000005</v>
      </c>
      <c r="AH18" s="590">
        <f>AA18+(AB18*16*(32-B18-((112-C18)/112)))-AE18</f>
        <v>5542.5599999999995</v>
      </c>
      <c r="AI18" s="558">
        <f>(AF18-AC18)/(36-B18+((112-C18)/112))</f>
        <v>1001.421954887218</v>
      </c>
      <c r="AJ18" s="558">
        <f>(AF18-AD18)/(34-B18+((112-C18)/112))</f>
        <v>1001.8724752475247</v>
      </c>
      <c r="AK18" s="590">
        <f>(AF18-AE18)/(32-B18+((112-C18)/112))</f>
        <v>1118.6828985507245</v>
      </c>
    </row>
    <row r="19" spans="1:37" x14ac:dyDescent="0.25">
      <c r="A19" s="565" t="s">
        <v>906</v>
      </c>
      <c r="B19" s="346">
        <v>23</v>
      </c>
      <c r="C19" s="558">
        <v>55</v>
      </c>
      <c r="D19" s="559" t="s">
        <v>40</v>
      </c>
      <c r="E19" s="560">
        <v>2</v>
      </c>
      <c r="F19" s="568">
        <v>1</v>
      </c>
      <c r="G19" s="569">
        <v>3</v>
      </c>
      <c r="H19" s="572">
        <v>0</v>
      </c>
      <c r="I19" s="572">
        <v>4</v>
      </c>
      <c r="J19" s="572">
        <v>4</v>
      </c>
      <c r="K19" s="572">
        <v>4</v>
      </c>
      <c r="L19" s="572">
        <v>8</v>
      </c>
      <c r="M19" s="572">
        <v>13</v>
      </c>
      <c r="N19" s="573">
        <v>0</v>
      </c>
      <c r="O19" s="576">
        <f>((J19+F19+(LOG(G19)*4/3))*0.15)</f>
        <v>0.84542425094393248</v>
      </c>
      <c r="P19" s="576">
        <f>((M19+F19+(LOG(G19)*4/3))*0.552)+((K19+F19+(LOG(G19)*4/3))*0.576)+((L19+F19+(LOG(G19)*4/3))*0.195)</f>
        <v>13.204641893325485</v>
      </c>
      <c r="Q19" s="577">
        <f>((M19+F19+(LOG(G19)*4/3))*0.607)+((L19+F19+(LOG(G19)*4/3))*0.248)</f>
        <v>11.273918230380415</v>
      </c>
      <c r="R19" s="582">
        <f>((M19+F19+(LOG(G19)*4/3))*0.223)+((K19+F19+(LOG(G19)*4/3))*0)+((L19+F19+(LOG(G19)*4/3))*0)</f>
        <v>3.2638640530699798</v>
      </c>
      <c r="S19" s="576">
        <f>((J19+F19+(LOG(G19)*4/3))*0.406)</f>
        <v>2.2882816392215775</v>
      </c>
      <c r="T19" s="576">
        <f>IF(D19="TEC",((K19+F19+(LOG(G19)*4/3))*0.15)+((L19+F19+(LOG(G19)*4/3))*0.324)+((M19+F19+(LOG(G19)*4/3))*0.127),((K19+F19+(LOG(G19)*4/3))*0.144)+((L19+F19+(LOG(G19)*4/3))*0.25)+((M19+F19+(LOG(G19)*4/3))*0.127))</f>
        <v>5.079440231611926</v>
      </c>
      <c r="U19" s="577">
        <f>IF(D19="TEC",((L19+F19+(LOG(G19)*4/3))*0.543)+((M19+F19+(LOG(G19)*4/3))*0.583),((L19+F19+(LOG(G19)*4/3))*0.543)+((M19+F19+(LOG(G19)*4/3))*0.583))</f>
        <v>13.765318043752455</v>
      </c>
      <c r="V19" s="582">
        <f>T19</f>
        <v>5.079440231611926</v>
      </c>
      <c r="W19" s="577">
        <f>((J19+F19+(LOG(G19)*4/3))*0.25)</f>
        <v>1.4090404182398875</v>
      </c>
      <c r="X19" s="577">
        <f>((M19+F19+(LOG(G19)*4/3))*0.26)+((K19+F19+(LOG(G19)*4/3))*0.221)+((L19+F19+(LOG(G19)*4/3))*0.142)</f>
        <v>6.4193287222538</v>
      </c>
      <c r="Y19" s="577">
        <f>((M19+F19+(LOG(G19)*4/3))*1)+((L19+F19+(LOG(G19)*4/3))*0.369)</f>
        <v>18.191905330281624</v>
      </c>
      <c r="Z19" s="578">
        <f>X19</f>
        <v>6.4193287222538</v>
      </c>
      <c r="AA19" s="375">
        <v>3770</v>
      </c>
      <c r="AB19" s="357">
        <v>13.8</v>
      </c>
      <c r="AC19" s="586"/>
      <c r="AD19" s="586"/>
      <c r="AE19" s="587"/>
      <c r="AF19" s="558">
        <f>AA19+(AB19*16*(36-B19-((112-C19)/112)))-AC19</f>
        <v>6528.028571428571</v>
      </c>
      <c r="AG19" s="558">
        <f>AA19+(AB19*16*(34-B19-((112-C19)/112)))-AD19</f>
        <v>6086.4285714285716</v>
      </c>
      <c r="AH19" s="590">
        <f>AA19+(AB19*16*(32-B19-((112-C19)/112)))-AE19</f>
        <v>5644.8285714285721</v>
      </c>
      <c r="AI19" s="558">
        <f>(AF19-AC19)/(36-B19+((112-C19)/112))</f>
        <v>483.23807005948447</v>
      </c>
      <c r="AJ19" s="558">
        <f>(AF19-AD19)/(34-B19+((112-C19)/112))</f>
        <v>567.21427463149723</v>
      </c>
      <c r="AK19" s="590">
        <f>(AF19-AE19)/(32-B19+((112-C19)/112))</f>
        <v>686.5156807511737</v>
      </c>
    </row>
    <row r="20" spans="1:37" x14ac:dyDescent="0.25">
      <c r="A20" s="565" t="s">
        <v>907</v>
      </c>
      <c r="B20" s="346">
        <v>23</v>
      </c>
      <c r="C20" s="558">
        <v>108</v>
      </c>
      <c r="D20" s="559" t="s">
        <v>183</v>
      </c>
      <c r="E20" s="560">
        <v>3</v>
      </c>
      <c r="F20" s="568">
        <v>1</v>
      </c>
      <c r="G20" s="569">
        <v>3</v>
      </c>
      <c r="H20" s="572">
        <v>0</v>
      </c>
      <c r="I20" s="572">
        <v>3</v>
      </c>
      <c r="J20" s="572">
        <v>4</v>
      </c>
      <c r="K20" s="572">
        <v>1</v>
      </c>
      <c r="L20" s="572">
        <v>12</v>
      </c>
      <c r="M20" s="572">
        <v>12</v>
      </c>
      <c r="N20" s="573">
        <v>3</v>
      </c>
      <c r="O20" s="576">
        <f>((J20+F20+(LOG(G20)*4/3))*0.15)</f>
        <v>0.84542425094393248</v>
      </c>
      <c r="P20" s="576">
        <f>((M20+F20+(LOG(G20)*4/3))*0.552)+((K20+F20+(LOG(G20)*4/3))*0.576)+((L20+F20+(LOG(G20)*4/3))*0.195)</f>
        <v>11.704641893325487</v>
      </c>
      <c r="Q20" s="577">
        <f>((M20+F20+(LOG(G20)*4/3))*0.607)+((L20+F20+(LOG(G20)*4/3))*0.248)</f>
        <v>11.658918230380415</v>
      </c>
      <c r="R20" s="582">
        <f>((M20+F20+(LOG(G20)*4/3))*0.223)+((K20+F20+(LOG(G20)*4/3))*0)+((L20+F20+(LOG(G20)*4/3))*0)</f>
        <v>3.04086405306998</v>
      </c>
      <c r="S20" s="576">
        <f>((J20+F20+(LOG(G20)*4/3))*0.406)</f>
        <v>2.2882816392215775</v>
      </c>
      <c r="T20" s="576">
        <f>IF(D20="TEC",((K20+F20+(LOG(G20)*4/3))*0.15)+((L20+F20+(LOG(G20)*4/3))*0.324)+((M20+F20+(LOG(G20)*4/3))*0.127),((K20+F20+(LOG(G20)*4/3))*0.144)+((L20+F20+(LOG(G20)*4/3))*0.25)+((M20+F20+(LOG(G20)*4/3))*0.127))</f>
        <v>5.5204402316119259</v>
      </c>
      <c r="U20" s="577">
        <f>IF(D20="TEC",((L20+F20+(LOG(G20)*4/3))*0.543)+((M20+F20+(LOG(G20)*4/3))*0.583),((L20+F20+(LOG(G20)*4/3))*0.543)+((M20+F20+(LOG(G20)*4/3))*0.583))</f>
        <v>15.354318043752453</v>
      </c>
      <c r="V20" s="582">
        <f>T20</f>
        <v>5.5204402316119259</v>
      </c>
      <c r="W20" s="577">
        <f>((J20+F20+(LOG(G20)*4/3))*0.25)</f>
        <v>1.4090404182398875</v>
      </c>
      <c r="X20" s="577">
        <f>((M20+F20+(LOG(G20)*4/3))*0.26)+((K20+F20+(LOG(G20)*4/3))*0.221)+((L20+F20+(LOG(G20)*4/3))*0.142)</f>
        <v>6.0643287222537996</v>
      </c>
      <c r="Y20" s="577">
        <f>((M20+F20+(LOG(G20)*4/3))*1)+((L20+F20+(LOG(G20)*4/3))*0.369)</f>
        <v>18.667905330281624</v>
      </c>
      <c r="Z20" s="578">
        <f>X20</f>
        <v>6.0643287222537996</v>
      </c>
      <c r="AA20" s="375">
        <v>4250</v>
      </c>
      <c r="AB20" s="357">
        <v>11.2</v>
      </c>
      <c r="AC20" s="586"/>
      <c r="AD20" s="586"/>
      <c r="AE20" s="587"/>
      <c r="AF20" s="558">
        <f>AA20+(AB20*16*(36-B20-((112-C20)/112)))-AC20</f>
        <v>6573.2</v>
      </c>
      <c r="AG20" s="558">
        <f>AA20+(AB20*16*(34-B20-((112-C20)/112)))-AD20</f>
        <v>6214.7999999999993</v>
      </c>
      <c r="AH20" s="590">
        <f>AA20+(AB20*16*(32-B20-((112-C20)/112)))-AE20</f>
        <v>5856.4</v>
      </c>
      <c r="AI20" s="558">
        <f>(AF20-AC20)/(36-B20+((112-C20)/112))</f>
        <v>504.24547945205472</v>
      </c>
      <c r="AJ20" s="558">
        <f>(AF20-AD20)/(34-B20+((112-C20)/112))</f>
        <v>595.62977346278308</v>
      </c>
      <c r="AK20" s="590">
        <f>(AF20-AE20)/(32-B20+((112-C20)/112))</f>
        <v>727.46877470355719</v>
      </c>
    </row>
    <row r="21" spans="1:37" x14ac:dyDescent="0.25">
      <c r="A21" s="565" t="s">
        <v>948</v>
      </c>
      <c r="B21" s="346">
        <v>25</v>
      </c>
      <c r="C21" s="558">
        <v>86</v>
      </c>
      <c r="D21" s="559" t="s">
        <v>0</v>
      </c>
      <c r="E21" s="560">
        <v>6</v>
      </c>
      <c r="F21" s="568">
        <v>1</v>
      </c>
      <c r="G21" s="569">
        <v>4</v>
      </c>
      <c r="H21" s="572">
        <v>0</v>
      </c>
      <c r="I21" s="572">
        <v>2</v>
      </c>
      <c r="J21" s="572">
        <v>9</v>
      </c>
      <c r="K21" s="572">
        <v>9</v>
      </c>
      <c r="L21" s="572">
        <v>8</v>
      </c>
      <c r="M21" s="572">
        <v>12</v>
      </c>
      <c r="N21" s="573">
        <v>2</v>
      </c>
      <c r="O21" s="576">
        <f>((J21+F21+(LOG(G21)*4/3))*0.15)</f>
        <v>1.6204119982655925</v>
      </c>
      <c r="P21" s="576">
        <f>((M21+F21+(LOG(G21)*4/3))*0.552)+((K21+F21+(LOG(G21)*4/3))*0.576)+((L21+F21+(LOG(G21)*4/3))*0.195)</f>
        <v>15.753033824702527</v>
      </c>
      <c r="Q21" s="577">
        <f>((M21+F21+(LOG(G21)*4/3))*0.607)+((L21+F21+(LOG(G21)*4/3))*0.248)</f>
        <v>10.809348390113877</v>
      </c>
      <c r="R21" s="582">
        <f>((M21+F21+(LOG(G21)*4/3))*0.223)+((K21+F21+(LOG(G21)*4/3))*0)+((L21+F21+(LOG(G21)*4/3))*0)</f>
        <v>3.0780125040881812</v>
      </c>
      <c r="S21" s="576">
        <f>((J21+F21+(LOG(G21)*4/3))*0.406)</f>
        <v>4.3859151419722044</v>
      </c>
      <c r="T21" s="576">
        <f>IF(D21="TEC",((K21+F21+(LOG(G21)*4/3))*0.15)+((L21+F21+(LOG(G21)*4/3))*0.324)+((M21+F21+(LOG(G21)*4/3))*0.127),((K21+F21+(LOG(G21)*4/3))*0.144)+((L21+F21+(LOG(G21)*4/3))*0.25)+((M21+F21+(LOG(G21)*4/3))*0.127))</f>
        <v>5.7592310073091575</v>
      </c>
      <c r="U21" s="577">
        <f>IF(D21="TEC",((L21+F21+(LOG(G21)*4/3))*0.543)+((M21+F21+(LOG(G21)*4/3))*0.583),((L21+F21+(LOG(G21)*4/3))*0.543)+((M21+F21+(LOG(G21)*4/3))*0.583))</f>
        <v>13.369892733647049</v>
      </c>
      <c r="V21" s="582">
        <f>T21</f>
        <v>5.7592310073091575</v>
      </c>
      <c r="W21" s="577">
        <f>((J21+F21+(LOG(G21)*4/3))*0.25)</f>
        <v>2.7006866637759877</v>
      </c>
      <c r="X21" s="577">
        <f>((M21+F21+(LOG(G21)*4/3))*0.26)+((K21+F21+(LOG(G21)*4/3))*0.221)+((L21+F21+(LOG(G21)*4/3))*0.142)</f>
        <v>7.3681111661297614</v>
      </c>
      <c r="Y21" s="577">
        <f>((M21+F21+(LOG(G21)*4/3))*1)+((L21+F21+(LOG(G21)*4/3))*0.369)</f>
        <v>17.419960170837307</v>
      </c>
      <c r="Z21" s="578">
        <f>X21</f>
        <v>7.3681111661297614</v>
      </c>
      <c r="AA21" s="375">
        <v>6600</v>
      </c>
      <c r="AB21" s="357">
        <v>11.8</v>
      </c>
      <c r="AC21" s="586">
        <v>900</v>
      </c>
      <c r="AD21" s="586">
        <v>1800</v>
      </c>
      <c r="AE21" s="587">
        <v>1820</v>
      </c>
      <c r="AF21" s="558">
        <f>AA21+(AB21*16*(36-B21-((112-C21)/112)))-AC21</f>
        <v>7732.971428571429</v>
      </c>
      <c r="AG21" s="558">
        <f>AA21+(AB21*16*(34-B21-((112-C21)/112)))-AD21</f>
        <v>6455.3714285714286</v>
      </c>
      <c r="AH21" s="590">
        <f>AA21+(AB21*16*(32-B21-((112-C21)/112)))-AE21</f>
        <v>6057.7714285714283</v>
      </c>
      <c r="AI21" s="558">
        <f>(AF21-AC21)/(36-B21+((112-C21)/112))</f>
        <v>608.34085850556437</v>
      </c>
      <c r="AJ21" s="558">
        <f>(AF21-AD21)/(34-B21+((112-C21)/112))</f>
        <v>642.64294003868474</v>
      </c>
      <c r="AK21" s="590">
        <f>(AF21-AE21)/(32-B21+((112-C21)/112))</f>
        <v>817.59604938271616</v>
      </c>
    </row>
    <row r="22" spans="1:37" x14ac:dyDescent="0.25">
      <c r="A22" s="565" t="s">
        <v>957</v>
      </c>
      <c r="B22" s="346">
        <v>27</v>
      </c>
      <c r="C22" s="558">
        <v>38</v>
      </c>
      <c r="D22" s="559" t="s">
        <v>183</v>
      </c>
      <c r="E22" s="560">
        <v>2</v>
      </c>
      <c r="F22" s="568">
        <v>1</v>
      </c>
      <c r="G22" s="569">
        <v>6</v>
      </c>
      <c r="H22" s="572">
        <v>0</v>
      </c>
      <c r="I22" s="572">
        <v>3</v>
      </c>
      <c r="J22" s="572">
        <v>14</v>
      </c>
      <c r="K22" s="572">
        <v>9</v>
      </c>
      <c r="L22" s="572">
        <v>2</v>
      </c>
      <c r="M22" s="572">
        <v>13</v>
      </c>
      <c r="N22" s="573">
        <v>15</v>
      </c>
      <c r="O22" s="576">
        <f>((J22+F22+(LOG(G22)*4/3))*0.15)</f>
        <v>2.4056302500767286</v>
      </c>
      <c r="P22" s="576">
        <f>((M22+F22+(LOG(G22)*4/3))*0.552)+((K22+F22+(LOG(G22)*4/3))*0.576)+((L22+F22+(LOG(G22)*4/3))*0.195)</f>
        <v>15.44565880567675</v>
      </c>
      <c r="Q22" s="577">
        <f>((M22+F22+(LOG(G22)*4/3))*0.607)+((L22+F22+(LOG(G22)*4/3))*0.248)</f>
        <v>10.129092425437353</v>
      </c>
      <c r="R22" s="582">
        <f>((M22+F22+(LOG(G22)*4/3))*0.223)+((K22+F22+(LOG(G22)*4/3))*0)+((L22+F22+(LOG(G22)*4/3))*0)</f>
        <v>3.35337030511407</v>
      </c>
      <c r="S22" s="576">
        <f>((J22+F22+(LOG(G22)*4/3))*0.406)</f>
        <v>6.5112392102076795</v>
      </c>
      <c r="T22" s="576">
        <f>IF(D22="TEC",((K22+F22+(LOG(G22)*4/3))*0.15)+((L22+F22+(LOG(G22)*4/3))*0.324)+((M22+F22+(LOG(G22)*4/3))*0.127),((K22+F22+(LOG(G22)*4/3))*0.144)+((L22+F22+(LOG(G22)*4/3))*0.25)+((M22+F22+(LOG(G22)*4/3))*0.127))</f>
        <v>4.508555735266504</v>
      </c>
      <c r="U22" s="577">
        <f>IF(D22="TEC",((L22+F22+(LOG(G22)*4/3))*0.543)+((M22+F22+(LOG(G22)*4/3))*0.583),((L22+F22+(LOG(G22)*4/3))*0.543)+((M22+F22+(LOG(G22)*4/3))*0.583))</f>
        <v>10.959264410575978</v>
      </c>
      <c r="V22" s="582">
        <f>T22</f>
        <v>4.508555735266504</v>
      </c>
      <c r="W22" s="577">
        <f>((J22+F22+(LOG(G22)*4/3))*0.25)</f>
        <v>4.0093837501278813</v>
      </c>
      <c r="X22" s="577">
        <f>((M22+F22+(LOG(G22)*4/3))*0.26)+((K22+F22+(LOG(G22)*4/3))*0.221)+((L22+F22+(LOG(G22)*4/3))*0.142)</f>
        <v>6.9223843053186807</v>
      </c>
      <c r="Y22" s="577">
        <f>((M22+F22+(LOG(G22)*4/3))*1)+((L22+F22+(LOG(G22)*4/3))*0.369)</f>
        <v>16.527385415700277</v>
      </c>
      <c r="Z22" s="578">
        <f>X22</f>
        <v>6.9223843053186807</v>
      </c>
      <c r="AA22" s="375">
        <v>6000</v>
      </c>
      <c r="AB22" s="357">
        <f>32.8*1.2</f>
        <v>39.359999999999992</v>
      </c>
      <c r="AC22" s="586">
        <v>500</v>
      </c>
      <c r="AD22" s="586">
        <v>1400</v>
      </c>
      <c r="AE22" s="587">
        <v>2400</v>
      </c>
      <c r="AF22" s="558">
        <f>AA22+(AB22*16*(36-B22-((112-C22)/112)))-AC22</f>
        <v>10751.74857142857</v>
      </c>
      <c r="AG22" s="558">
        <f>AA22+(AB22*16*(34-B22-((112-C22)/112)))-AD22</f>
        <v>8592.2285714285717</v>
      </c>
      <c r="AH22" s="590">
        <f>AA22+(AB22*16*(32-B22-((112-C22)/112)))-AE22</f>
        <v>6332.7085714285713</v>
      </c>
      <c r="AI22" s="558">
        <f>(AF22-AC22)/(36-B22+((112-C22)/112))</f>
        <v>1061.1791497227355</v>
      </c>
      <c r="AJ22" s="558">
        <f>(AF22-AD22)/(34-B22+((112-C22)/112))</f>
        <v>1220.7410722610721</v>
      </c>
      <c r="AK22" s="590">
        <f>(AF22-AE22)/(32-B22+((112-C22)/112))</f>
        <v>1475.3877602523658</v>
      </c>
    </row>
    <row r="23" spans="1:37" x14ac:dyDescent="0.25">
      <c r="A23" s="565" t="s">
        <v>759</v>
      </c>
      <c r="B23" s="346">
        <v>23</v>
      </c>
      <c r="C23" s="558">
        <v>39</v>
      </c>
      <c r="D23" s="559" t="s">
        <v>183</v>
      </c>
      <c r="E23" s="560">
        <v>5</v>
      </c>
      <c r="F23" s="568">
        <v>1</v>
      </c>
      <c r="G23" s="569">
        <v>3</v>
      </c>
      <c r="H23" s="572">
        <v>0</v>
      </c>
      <c r="I23" s="572">
        <v>2</v>
      </c>
      <c r="J23" s="572">
        <v>4</v>
      </c>
      <c r="K23" s="572">
        <v>5</v>
      </c>
      <c r="L23" s="572">
        <v>12</v>
      </c>
      <c r="M23" s="572">
        <v>12</v>
      </c>
      <c r="N23" s="573">
        <v>6</v>
      </c>
      <c r="O23" s="576">
        <f>((J23+F23+(LOG(G23)*4/3))*0.15)</f>
        <v>0.84542425094393248</v>
      </c>
      <c r="P23" s="576">
        <f>((M23+F23+(LOG(G23)*4/3))*0.552)+((K23+F23+(LOG(G23)*4/3))*0.576)+((L23+F23+(LOG(G23)*4/3))*0.195)</f>
        <v>14.008641893325485</v>
      </c>
      <c r="Q23" s="577">
        <f>((M23+F23+(LOG(G23)*4/3))*0.607)+((L23+F23+(LOG(G23)*4/3))*0.248)</f>
        <v>11.658918230380415</v>
      </c>
      <c r="R23" s="582">
        <f>((M23+F23+(LOG(G23)*4/3))*0.223)+((K23+F23+(LOG(G23)*4/3))*0)+((L23+F23+(LOG(G23)*4/3))*0)</f>
        <v>3.04086405306998</v>
      </c>
      <c r="S23" s="576">
        <f>((J23+F23+(LOG(G23)*4/3))*0.406)</f>
        <v>2.2882816392215775</v>
      </c>
      <c r="T23" s="576">
        <f>IF(D23="TEC",((K23+F23+(LOG(G23)*4/3))*0.15)+((L23+F23+(LOG(G23)*4/3))*0.324)+((M23+F23+(LOG(G23)*4/3))*0.127),((K23+F23+(LOG(G23)*4/3))*0.144)+((L23+F23+(LOG(G23)*4/3))*0.25)+((M23+F23+(LOG(G23)*4/3))*0.127))</f>
        <v>6.0964402316119255</v>
      </c>
      <c r="U23" s="577">
        <f>IF(D23="TEC",((L23+F23+(LOG(G23)*4/3))*0.543)+((M23+F23+(LOG(G23)*4/3))*0.583),((L23+F23+(LOG(G23)*4/3))*0.543)+((M23+F23+(LOG(G23)*4/3))*0.583))</f>
        <v>15.354318043752453</v>
      </c>
      <c r="V23" s="582">
        <f>T23</f>
        <v>6.0964402316119255</v>
      </c>
      <c r="W23" s="577">
        <f>((J23+F23+(LOG(G23)*4/3))*0.25)</f>
        <v>1.4090404182398875</v>
      </c>
      <c r="X23" s="577">
        <f>((M23+F23+(LOG(G23)*4/3))*0.26)+((K23+F23+(LOG(G23)*4/3))*0.221)+((L23+F23+(LOG(G23)*4/3))*0.142)</f>
        <v>6.9483287222537999</v>
      </c>
      <c r="Y23" s="577">
        <f>((M23+F23+(LOG(G23)*4/3))*1)+((L23+F23+(LOG(G23)*4/3))*0.369)</f>
        <v>18.667905330281624</v>
      </c>
      <c r="Z23" s="578">
        <f>X23</f>
        <v>6.9483287222537999</v>
      </c>
      <c r="AA23" s="375">
        <v>4500</v>
      </c>
      <c r="AB23" s="357">
        <v>14</v>
      </c>
      <c r="AC23" s="586"/>
      <c r="AD23" s="586"/>
      <c r="AE23" s="587"/>
      <c r="AF23" s="558">
        <f>AA23+(AB23*16*(36-B23-((112-C23)/112)))-AC23</f>
        <v>7266</v>
      </c>
      <c r="AG23" s="558">
        <f>AA23+(AB23*16*(34-B23-((112-C23)/112)))-AD23</f>
        <v>6818</v>
      </c>
      <c r="AH23" s="590">
        <f>AA23+(AB23*16*(32-B23-((112-C23)/112)))-AE23</f>
        <v>6370</v>
      </c>
      <c r="AI23" s="558">
        <f>(AF23-AC23)/(36-B23+((112-C23)/112))</f>
        <v>532.23806409417921</v>
      </c>
      <c r="AJ23" s="558">
        <f>(AF23-AD23)/(34-B23+((112-C23)/112))</f>
        <v>623.59540229885067</v>
      </c>
      <c r="AK23" s="590">
        <f>(AF23-AE23)/(32-B23+((112-C23)/112))</f>
        <v>752.81406105457916</v>
      </c>
    </row>
    <row r="24" spans="1:37" x14ac:dyDescent="0.25">
      <c r="A24" s="565" t="s">
        <v>740</v>
      </c>
      <c r="B24" s="346">
        <v>21</v>
      </c>
      <c r="C24" s="558">
        <v>89</v>
      </c>
      <c r="D24" s="559" t="s">
        <v>0</v>
      </c>
      <c r="E24" s="560">
        <v>1</v>
      </c>
      <c r="F24" s="568">
        <v>1</v>
      </c>
      <c r="G24" s="569">
        <v>3</v>
      </c>
      <c r="H24" s="572">
        <v>0</v>
      </c>
      <c r="I24" s="572">
        <v>2</v>
      </c>
      <c r="J24" s="572">
        <v>2</v>
      </c>
      <c r="K24" s="572">
        <v>6</v>
      </c>
      <c r="L24" s="572">
        <v>6</v>
      </c>
      <c r="M24" s="572">
        <v>13</v>
      </c>
      <c r="N24" s="573">
        <v>1</v>
      </c>
      <c r="O24" s="576">
        <f>((J24+F24+(LOG(G24)*4/3))*0.15)</f>
        <v>0.54542425094393243</v>
      </c>
      <c r="P24" s="576">
        <f>((M24+F24+(LOG(G24)*4/3))*0.552)+((K24+F24+(LOG(G24)*4/3))*0.576)+((L24+F24+(LOG(G24)*4/3))*0.195)</f>
        <v>13.966641893325484</v>
      </c>
      <c r="Q24" s="577">
        <f>((M24+F24+(LOG(G24)*4/3))*0.607)+((L24+F24+(LOG(G24)*4/3))*0.248)</f>
        <v>10.777918230380415</v>
      </c>
      <c r="R24" s="582">
        <f>((M24+F24+(LOG(G24)*4/3))*0.223)+((K24+F24+(LOG(G24)*4/3))*0)+((L24+F24+(LOG(G24)*4/3))*0)</f>
        <v>3.2638640530699798</v>
      </c>
      <c r="S24" s="576">
        <f>((J24+F24+(LOG(G24)*4/3))*0.406)</f>
        <v>1.4762816392215774</v>
      </c>
      <c r="T24" s="576">
        <f>IF(D24="TEC",((K24+F24+(LOG(G24)*4/3))*0.15)+((L24+F24+(LOG(G24)*4/3))*0.324)+((M24+F24+(LOG(G24)*4/3))*0.127),((K24+F24+(LOG(G24)*4/3))*0.144)+((L24+F24+(LOG(G24)*4/3))*0.25)+((M24+F24+(LOG(G24)*4/3))*0.127))</f>
        <v>4.8674402316119254</v>
      </c>
      <c r="U24" s="577">
        <f>IF(D24="TEC",((L24+F24+(LOG(G24)*4/3))*0.543)+((M24+F24+(LOG(G24)*4/3))*0.583),((L24+F24+(LOG(G24)*4/3))*0.543)+((M24+F24+(LOG(G24)*4/3))*0.583))</f>
        <v>12.679318043752453</v>
      </c>
      <c r="V24" s="582">
        <f>T24</f>
        <v>4.8674402316119254</v>
      </c>
      <c r="W24" s="577">
        <f>((J24+F24+(LOG(G24)*4/3))*0.25)</f>
        <v>0.90904041823988746</v>
      </c>
      <c r="X24" s="577">
        <f>((M24+F24+(LOG(G24)*4/3))*0.26)+((K24+F24+(LOG(G24)*4/3))*0.221)+((L24+F24+(LOG(G24)*4/3))*0.142)</f>
        <v>6.5773287222538004</v>
      </c>
      <c r="Y24" s="577">
        <f>((M24+F24+(LOG(G24)*4/3))*1)+((L24+F24+(LOG(G24)*4/3))*0.369)</f>
        <v>17.453905330281625</v>
      </c>
      <c r="Z24" s="578">
        <f>X24</f>
        <v>6.5773287222538004</v>
      </c>
      <c r="AA24" s="375">
        <v>4250</v>
      </c>
      <c r="AB24" s="357">
        <v>13</v>
      </c>
      <c r="AC24" s="586"/>
      <c r="AD24" s="586"/>
      <c r="AE24" s="587"/>
      <c r="AF24" s="558">
        <f>AA24+(AB24*16*(36-B24-((112-C24)/112)))-AC24</f>
        <v>7327.2857142857138</v>
      </c>
      <c r="AG24" s="558">
        <f>AA24+(AB24*16*(34-B24-((112-C24)/112)))-AD24</f>
        <v>6911.2857142857138</v>
      </c>
      <c r="AH24" s="590">
        <f>AA24+(AB24*16*(32-B24-((112-C24)/112)))-AE24</f>
        <v>6495.2857142857138</v>
      </c>
      <c r="AI24" s="558">
        <f>(AF24-AC24)/(36-B24+((112-C24)/112))</f>
        <v>481.88843217850848</v>
      </c>
      <c r="AJ24" s="558">
        <f>(AF24-AD24)/(34-B24+((112-C24)/112))</f>
        <v>554.87221095334689</v>
      </c>
      <c r="AK24" s="590">
        <f>(AF24-AE24)/(32-B24+((112-C24)/112))</f>
        <v>653.90916334661358</v>
      </c>
    </row>
    <row r="25" spans="1:37" x14ac:dyDescent="0.25">
      <c r="A25" s="565" t="s">
        <v>961</v>
      </c>
      <c r="B25" s="346">
        <v>25</v>
      </c>
      <c r="C25" s="558">
        <v>4</v>
      </c>
      <c r="D25" s="559" t="s">
        <v>40</v>
      </c>
      <c r="E25" s="560">
        <v>2</v>
      </c>
      <c r="F25" s="568">
        <v>1</v>
      </c>
      <c r="G25" s="569">
        <v>7</v>
      </c>
      <c r="H25" s="572">
        <v>0</v>
      </c>
      <c r="I25" s="572">
        <v>4</v>
      </c>
      <c r="J25" s="572">
        <v>11</v>
      </c>
      <c r="K25" s="572">
        <v>2</v>
      </c>
      <c r="L25" s="572">
        <v>11</v>
      </c>
      <c r="M25" s="572">
        <v>13</v>
      </c>
      <c r="N25" s="573">
        <v>5</v>
      </c>
      <c r="O25" s="576">
        <f>((J25+F25+(LOG(G25)*4/3))*0.15)</f>
        <v>1.9690196080028513</v>
      </c>
      <c r="P25" s="576">
        <f>((M25+F25+(LOG(G25)*4/3))*0.552)+((K25+F25+(LOG(G25)*4/3))*0.576)+((L25+F25+(LOG(G25)*4/3))*0.195)</f>
        <v>13.286752942585149</v>
      </c>
      <c r="Q25" s="577">
        <f>((M25+F25+(LOG(G25)*4/3))*0.607)+((L25+F25+(LOG(G25)*4/3))*0.248)</f>
        <v>12.437411765616252</v>
      </c>
      <c r="R25" s="582">
        <f>((M25+F25+(LOG(G25)*4/3))*0.223)+((K25+F25+(LOG(G25)*4/3))*0)+((L25+F25+(LOG(G25)*4/3))*0)</f>
        <v>3.3732758172309056</v>
      </c>
      <c r="S25" s="576">
        <f>((J25+F25+(LOG(G25)*4/3))*0.406)</f>
        <v>5.3294797389943849</v>
      </c>
      <c r="T25" s="576">
        <f>IF(D25="TEC",((K25+F25+(LOG(G25)*4/3))*0.15)+((L25+F25+(LOG(G25)*4/3))*0.324)+((M25+F25+(LOG(G25)*4/3))*0.127),((K25+F25+(LOG(G25)*4/3))*0.144)+((L25+F25+(LOG(G25)*4/3))*0.25)+((M25+F25+(LOG(G25)*4/3))*0.127))</f>
        <v>5.7970614384632366</v>
      </c>
      <c r="U25" s="577">
        <f>IF(D25="TEC",((L25+F25+(LOG(G25)*4/3))*0.543)+((M25+F25+(LOG(G25)*4/3))*0.583),((L25+F25+(LOG(G25)*4/3))*0.543)+((M25+F25+(LOG(G25)*4/3))*0.583))</f>
        <v>15.94677385740807</v>
      </c>
      <c r="V25" s="582">
        <f>T25</f>
        <v>5.7970614384632366</v>
      </c>
      <c r="W25" s="577">
        <f>((J25+F25+(LOG(G25)*4/3))*0.25)</f>
        <v>3.2816993466714188</v>
      </c>
      <c r="X25" s="577">
        <f>((M25+F25+(LOG(G25)*4/3))*0.26)+((K25+F25+(LOG(G25)*4/3))*0.221)+((L25+F25+(LOG(G25)*4/3))*0.142)</f>
        <v>6.7089947719051759</v>
      </c>
      <c r="Y25" s="577">
        <f>((M25+F25+(LOG(G25)*4/3))*1)+((L25+F25+(LOG(G25)*4/3))*0.369)</f>
        <v>19.970585622372688</v>
      </c>
      <c r="Z25" s="578">
        <f>X25</f>
        <v>6.7089947719051759</v>
      </c>
      <c r="AA25" s="375">
        <v>8100</v>
      </c>
      <c r="AB25" s="357">
        <v>22.4</v>
      </c>
      <c r="AC25" s="586">
        <v>2000</v>
      </c>
      <c r="AD25" s="586">
        <v>3000</v>
      </c>
      <c r="AE25" s="587">
        <v>3500</v>
      </c>
      <c r="AF25" s="558">
        <f>AA25+(AB25*16*(36-B25-((112-C25)/112)))-AC25</f>
        <v>9696.7999999999993</v>
      </c>
      <c r="AG25" s="558">
        <f>AA25+(AB25*16*(34-B25-((112-C25)/112)))-AD25</f>
        <v>7980</v>
      </c>
      <c r="AH25" s="590">
        <f>AA25+(AB25*16*(32-B25-((112-C25)/112)))-AE25</f>
        <v>6763.2000000000007</v>
      </c>
      <c r="AI25" s="558">
        <f>(AF25-AC25)/(36-B25+((112-C25)/112))</f>
        <v>643.31462686567158</v>
      </c>
      <c r="AJ25" s="558">
        <f>(AF25-AD25)/(34-B25+((112-C25)/112))</f>
        <v>672.08028673835122</v>
      </c>
      <c r="AK25" s="590">
        <f>(AF25-AE25)/(32-B25+((112-C25)/112))</f>
        <v>778.07354260089676</v>
      </c>
    </row>
    <row r="26" spans="1:37" x14ac:dyDescent="0.25">
      <c r="A26" s="565" t="s">
        <v>743</v>
      </c>
      <c r="B26" s="346">
        <v>23</v>
      </c>
      <c r="C26" s="558">
        <v>62</v>
      </c>
      <c r="D26" s="559" t="s">
        <v>183</v>
      </c>
      <c r="E26" s="560">
        <v>5</v>
      </c>
      <c r="F26" s="568">
        <v>1</v>
      </c>
      <c r="G26" s="569">
        <v>3</v>
      </c>
      <c r="H26" s="572">
        <v>0</v>
      </c>
      <c r="I26" s="572">
        <v>4</v>
      </c>
      <c r="J26" s="572">
        <v>6</v>
      </c>
      <c r="K26" s="572">
        <v>4</v>
      </c>
      <c r="L26" s="572">
        <v>7</v>
      </c>
      <c r="M26" s="572">
        <v>13</v>
      </c>
      <c r="N26" s="573">
        <v>2</v>
      </c>
      <c r="O26" s="576">
        <f>((J26+F26+(LOG(G26)*4/3))*0.15)</f>
        <v>1.1454242509439325</v>
      </c>
      <c r="P26" s="576">
        <f>((M26+F26+(LOG(G26)*4/3))*0.552)+((K26+F26+(LOG(G26)*4/3))*0.576)+((L26+F26+(LOG(G26)*4/3))*0.195)</f>
        <v>13.009641893325485</v>
      </c>
      <c r="Q26" s="577">
        <f>((M26+F26+(LOG(G26)*4/3))*0.607)+((L26+F26+(LOG(G26)*4/3))*0.248)</f>
        <v>11.025918230380416</v>
      </c>
      <c r="R26" s="582">
        <f>((M26+F26+(LOG(G26)*4/3))*0.223)+((K26+F26+(LOG(G26)*4/3))*0)+((L26+F26+(LOG(G26)*4/3))*0)</f>
        <v>3.2638640530699798</v>
      </c>
      <c r="S26" s="576">
        <f>((J26+F26+(LOG(G26)*4/3))*0.406)</f>
        <v>3.1002816392215773</v>
      </c>
      <c r="T26" s="576">
        <f>IF(D26="TEC",((K26+F26+(LOG(G26)*4/3))*0.15)+((L26+F26+(LOG(G26)*4/3))*0.324)+((M26+F26+(LOG(G26)*4/3))*0.127),((K26+F26+(LOG(G26)*4/3))*0.144)+((L26+F26+(LOG(G26)*4/3))*0.25)+((M26+F26+(LOG(G26)*4/3))*0.127))</f>
        <v>4.829440231611926</v>
      </c>
      <c r="U26" s="577">
        <f>IF(D26="TEC",((L26+F26+(LOG(G26)*4/3))*0.543)+((M26+F26+(LOG(G26)*4/3))*0.583),((L26+F26+(LOG(G26)*4/3))*0.543)+((M26+F26+(LOG(G26)*4/3))*0.583))</f>
        <v>13.222318043752454</v>
      </c>
      <c r="V26" s="582">
        <f>T26</f>
        <v>4.829440231611926</v>
      </c>
      <c r="W26" s="577">
        <f>((J26+F26+(LOG(G26)*4/3))*0.25)</f>
        <v>1.9090404182398875</v>
      </c>
      <c r="X26" s="577">
        <f>((M26+F26+(LOG(G26)*4/3))*0.26)+((K26+F26+(LOG(G26)*4/3))*0.221)+((L26+F26+(LOG(G26)*4/3))*0.142)</f>
        <v>6.2773287222538006</v>
      </c>
      <c r="Y26" s="577">
        <f>((M26+F26+(LOG(G26)*4/3))*1)+((L26+F26+(LOG(G26)*4/3))*0.369)</f>
        <v>17.822905330281625</v>
      </c>
      <c r="Z26" s="578">
        <f>X26</f>
        <v>6.2773287222538006</v>
      </c>
      <c r="AA26" s="375">
        <v>5000</v>
      </c>
      <c r="AB26" s="357">
        <v>13</v>
      </c>
      <c r="AC26" s="586"/>
      <c r="AD26" s="586"/>
      <c r="AE26" s="587"/>
      <c r="AF26" s="558">
        <f>AA26+(AB26*16*(36-B26-((112-C26)/112)))-AC26</f>
        <v>7611.1428571428569</v>
      </c>
      <c r="AG26" s="558">
        <f>AA26+(AB26*16*(34-B26-((112-C26)/112)))-AD26</f>
        <v>7195.1428571428569</v>
      </c>
      <c r="AH26" s="590">
        <f>AA26+(AB26*16*(32-B26-((112-C26)/112)))-AE26</f>
        <v>6779.1428571428569</v>
      </c>
      <c r="AI26" s="558">
        <f>(AF26-AC26)/(36-B26+((112-C26)/112))</f>
        <v>566.03452855245678</v>
      </c>
      <c r="AJ26" s="558">
        <f>(AF26-AD26)/(34-B26+((112-C26)/112))</f>
        <v>664.93603744149766</v>
      </c>
      <c r="AK26" s="590">
        <f>(AF26-AE26)/(32-B26+((112-C26)/112))</f>
        <v>805.71644612476371</v>
      </c>
    </row>
    <row r="27" spans="1:37" x14ac:dyDescent="0.25">
      <c r="A27" s="565" t="s">
        <v>775</v>
      </c>
      <c r="B27" s="346">
        <v>24</v>
      </c>
      <c r="C27" s="558">
        <v>2</v>
      </c>
      <c r="D27" s="559" t="s">
        <v>183</v>
      </c>
      <c r="E27" s="560">
        <v>3</v>
      </c>
      <c r="F27" s="568">
        <v>1</v>
      </c>
      <c r="G27" s="569">
        <v>3</v>
      </c>
      <c r="H27" s="572">
        <v>0</v>
      </c>
      <c r="I27" s="572">
        <v>2</v>
      </c>
      <c r="J27" s="572">
        <v>2</v>
      </c>
      <c r="K27" s="572">
        <v>3</v>
      </c>
      <c r="L27" s="572">
        <v>10</v>
      </c>
      <c r="M27" s="572">
        <v>13</v>
      </c>
      <c r="N27" s="573">
        <v>19</v>
      </c>
      <c r="O27" s="576">
        <f>((J27+F27+(LOG(G27)*4/3))*0.15)</f>
        <v>0.54542425094393243</v>
      </c>
      <c r="P27" s="576">
        <f>((M27+F27+(LOG(G27)*4/3))*0.552)+((K27+F27+(LOG(G27)*4/3))*0.576)+((L27+F27+(LOG(G27)*4/3))*0.195)</f>
        <v>13.018641893325485</v>
      </c>
      <c r="Q27" s="577">
        <f>((M27+F27+(LOG(G27)*4/3))*0.607)+((L27+F27+(LOG(G27)*4/3))*0.248)</f>
        <v>11.769918230380416</v>
      </c>
      <c r="R27" s="582">
        <f>((M27+F27+(LOG(G27)*4/3))*0.223)+((K27+F27+(LOG(G27)*4/3))*0)+((L27+F27+(LOG(G27)*4/3))*0)</f>
        <v>3.2638640530699798</v>
      </c>
      <c r="S27" s="576">
        <f>((J27+F27+(LOG(G27)*4/3))*0.406)</f>
        <v>1.4762816392215774</v>
      </c>
      <c r="T27" s="576">
        <f>IF(D27="TEC",((K27+F27+(LOG(G27)*4/3))*0.15)+((L27+F27+(LOG(G27)*4/3))*0.324)+((M27+F27+(LOG(G27)*4/3))*0.127),((K27+F27+(LOG(G27)*4/3))*0.144)+((L27+F27+(LOG(G27)*4/3))*0.25)+((M27+F27+(LOG(G27)*4/3))*0.127))</f>
        <v>5.4354402316119259</v>
      </c>
      <c r="U27" s="577">
        <f>IF(D27="TEC",((L27+F27+(LOG(G27)*4/3))*0.543)+((M27+F27+(LOG(G27)*4/3))*0.583),((L27+F27+(LOG(G27)*4/3))*0.543)+((M27+F27+(LOG(G27)*4/3))*0.583))</f>
        <v>14.851318043752453</v>
      </c>
      <c r="V27" s="582">
        <f>T27</f>
        <v>5.4354402316119259</v>
      </c>
      <c r="W27" s="577">
        <f>((J27+F27+(LOG(G27)*4/3))*0.25)</f>
        <v>0.90904041823988746</v>
      </c>
      <c r="X27" s="577">
        <f>((M27+F27+(LOG(G27)*4/3))*0.26)+((K27+F27+(LOG(G27)*4/3))*0.221)+((L27+F27+(LOG(G27)*4/3))*0.142)</f>
        <v>6.4823287222537997</v>
      </c>
      <c r="Y27" s="577">
        <f>((M27+F27+(LOG(G27)*4/3))*1)+((L27+F27+(LOG(G27)*4/3))*0.369)</f>
        <v>18.929905330281624</v>
      </c>
      <c r="Z27" s="578">
        <f>X27</f>
        <v>6.4823287222537997</v>
      </c>
      <c r="AA27" s="375">
        <v>5500</v>
      </c>
      <c r="AB27" s="357">
        <v>14.6</v>
      </c>
      <c r="AC27" s="586"/>
      <c r="AD27" s="586"/>
      <c r="AE27" s="587"/>
      <c r="AF27" s="558">
        <f>AA27+(AB27*16*(36-B27-((112-C27)/112)))-AC27</f>
        <v>8073.7714285714283</v>
      </c>
      <c r="AG27" s="558">
        <f>AA27+(AB27*16*(34-B27-((112-C27)/112)))-AD27</f>
        <v>7606.5714285714284</v>
      </c>
      <c r="AH27" s="590">
        <f>AA27+(AB27*16*(32-B27-((112-C27)/112)))-AE27</f>
        <v>7139.3714285714286</v>
      </c>
      <c r="AI27" s="558">
        <f>(AF27-AC27)/(36-B27+((112-C27)/112))</f>
        <v>621.91361760660243</v>
      </c>
      <c r="AJ27" s="558">
        <f>(AF27-AD27)/(34-B27+((112-C27)/112))</f>
        <v>735.17268292682922</v>
      </c>
      <c r="AK27" s="590">
        <f>(AF27-AE27)/(32-B27+((112-C27)/112))</f>
        <v>898.86918489065602</v>
      </c>
    </row>
    <row r="28" spans="1:37" x14ac:dyDescent="0.25">
      <c r="A28" s="565" t="s">
        <v>927</v>
      </c>
      <c r="B28" s="346">
        <v>27</v>
      </c>
      <c r="C28" s="558">
        <v>40</v>
      </c>
      <c r="D28" s="559" t="s">
        <v>40</v>
      </c>
      <c r="E28" s="560">
        <v>3</v>
      </c>
      <c r="F28" s="568">
        <v>1</v>
      </c>
      <c r="G28" s="569">
        <v>4</v>
      </c>
      <c r="H28" s="572">
        <v>0</v>
      </c>
      <c r="I28" s="572">
        <v>8</v>
      </c>
      <c r="J28" s="572">
        <v>9</v>
      </c>
      <c r="K28" s="572">
        <v>8</v>
      </c>
      <c r="L28" s="572">
        <v>10</v>
      </c>
      <c r="M28" s="572">
        <v>12</v>
      </c>
      <c r="N28" s="573">
        <v>10</v>
      </c>
      <c r="O28" s="576">
        <f>((J28+F28+(LOG(G28)*4/3))*0.15)</f>
        <v>1.6204119982655925</v>
      </c>
      <c r="P28" s="576">
        <f>((M28+F28+(LOG(G28)*4/3))*0.552)+((K28+F28+(LOG(G28)*4/3))*0.576)+((L28+F28+(LOG(G28)*4/3))*0.195)</f>
        <v>15.567033824702527</v>
      </c>
      <c r="Q28" s="577">
        <f>((M28+F28+(LOG(G28)*4/3))*0.607)+((L28+F28+(LOG(G28)*4/3))*0.248)</f>
        <v>11.305348390113878</v>
      </c>
      <c r="R28" s="582">
        <f>((M28+F28+(LOG(G28)*4/3))*0.223)+((K28+F28+(LOG(G28)*4/3))*0)+((L28+F28+(LOG(G28)*4/3))*0)</f>
        <v>3.0780125040881812</v>
      </c>
      <c r="S28" s="576">
        <f>((J28+F28+(LOG(G28)*4/3))*0.406)</f>
        <v>4.3859151419722044</v>
      </c>
      <c r="T28" s="576">
        <f>IF(D28="TEC",((K28+F28+(LOG(G28)*4/3))*0.15)+((L28+F28+(LOG(G28)*4/3))*0.324)+((M28+F28+(LOG(G28)*4/3))*0.127),((K28+F28+(LOG(G28)*4/3))*0.144)+((L28+F28+(LOG(G28)*4/3))*0.25)+((M28+F28+(LOG(G28)*4/3))*0.127))</f>
        <v>6.1152310073091574</v>
      </c>
      <c r="U28" s="577">
        <f>IF(D28="TEC",((L28+F28+(LOG(G28)*4/3))*0.543)+((M28+F28+(LOG(G28)*4/3))*0.583),((L28+F28+(LOG(G28)*4/3))*0.543)+((M28+F28+(LOG(G28)*4/3))*0.583))</f>
        <v>14.455892733647048</v>
      </c>
      <c r="V28" s="582">
        <f>T28</f>
        <v>6.1152310073091574</v>
      </c>
      <c r="W28" s="577">
        <f>((J28+F28+(LOG(G28)*4/3))*0.25)</f>
        <v>2.7006866637759877</v>
      </c>
      <c r="X28" s="577">
        <f>((M28+F28+(LOG(G28)*4/3))*0.26)+((K28+F28+(LOG(G28)*4/3))*0.221)+((L28+F28+(LOG(G28)*4/3))*0.142)</f>
        <v>7.4311111661297611</v>
      </c>
      <c r="Y28" s="577">
        <f>((M28+F28+(LOG(G28)*4/3))*1)+((L28+F28+(LOG(G28)*4/3))*0.369)</f>
        <v>18.157960170837306</v>
      </c>
      <c r="Z28" s="578">
        <f>X28</f>
        <v>7.4311111661297611</v>
      </c>
      <c r="AA28" s="375">
        <v>6100</v>
      </c>
      <c r="AB28" s="357">
        <v>15.2</v>
      </c>
      <c r="AC28" s="586"/>
      <c r="AD28" s="586"/>
      <c r="AE28" s="587"/>
      <c r="AF28" s="558">
        <f>AA28+(AB28*16*(36-B28-((112-C28)/112)))-AC28</f>
        <v>8132.4571428571426</v>
      </c>
      <c r="AG28" s="558">
        <f>AA28+(AB28*16*(34-B28-((112-C28)/112)))-AD28</f>
        <v>7646.0571428571429</v>
      </c>
      <c r="AH28" s="590">
        <f>AA28+(AB28*16*(32-B28-((112-C28)/112)))-AE28</f>
        <v>7159.6571428571424</v>
      </c>
      <c r="AI28" s="558">
        <f>(AF28-AC28)/(36-B28+((112-C28)/112))</f>
        <v>843.36592592592592</v>
      </c>
      <c r="AJ28" s="558">
        <f>(AF28-AD28)/(34-B28+((112-C28)/112))</f>
        <v>1064.059813084112</v>
      </c>
      <c r="AK28" s="590">
        <f>(AF28-AE28)/(32-B28+((112-C28)/112))</f>
        <v>1441.1949367088607</v>
      </c>
    </row>
    <row r="29" spans="1:37" x14ac:dyDescent="0.25">
      <c r="A29" s="565" t="s">
        <v>928</v>
      </c>
      <c r="B29" s="346">
        <v>26</v>
      </c>
      <c r="C29" s="558">
        <v>18</v>
      </c>
      <c r="D29" s="559" t="s">
        <v>0</v>
      </c>
      <c r="E29" s="560">
        <v>1</v>
      </c>
      <c r="F29" s="568">
        <v>1</v>
      </c>
      <c r="G29" s="569">
        <v>6</v>
      </c>
      <c r="H29" s="572">
        <v>0</v>
      </c>
      <c r="I29" s="572">
        <v>1</v>
      </c>
      <c r="J29" s="572">
        <v>12</v>
      </c>
      <c r="K29" s="572">
        <v>10</v>
      </c>
      <c r="L29" s="572">
        <v>9</v>
      </c>
      <c r="M29" s="572">
        <v>11</v>
      </c>
      <c r="N29" s="573">
        <v>2</v>
      </c>
      <c r="O29" s="576">
        <f>((J29+F29+(LOG(G29)*4/3))*0.15)</f>
        <v>2.1056302500767288</v>
      </c>
      <c r="P29" s="576">
        <f>((M29+F29+(LOG(G29)*4/3))*0.552)+((K29+F29+(LOG(G29)*4/3))*0.576)+((L29+F29+(LOG(G29)*4/3))*0.195)</f>
        <v>16.282658805676746</v>
      </c>
      <c r="Q29" s="577">
        <f>((M29+F29+(LOG(G29)*4/3))*0.607)+((L29+F29+(LOG(G29)*4/3))*0.248)</f>
        <v>10.651092425437353</v>
      </c>
      <c r="R29" s="582">
        <f>((M29+F29+(LOG(G29)*4/3))*0.223)+((K29+F29+(LOG(G29)*4/3))*0)+((L29+F29+(LOG(G29)*4/3))*0)</f>
        <v>2.9073703051140702</v>
      </c>
      <c r="S29" s="576">
        <f>((J29+F29+(LOG(G29)*4/3))*0.406)</f>
        <v>5.6992392102076792</v>
      </c>
      <c r="T29" s="576">
        <f>IF(D29="TEC",((K29+F29+(LOG(G29)*4/3))*0.15)+((L29+F29+(LOG(G29)*4/3))*0.324)+((M29+F29+(LOG(G29)*4/3))*0.127),((K29+F29+(LOG(G29)*4/3))*0.144)+((L29+F29+(LOG(G29)*4/3))*0.25)+((M29+F29+(LOG(G29)*4/3))*0.127))</f>
        <v>6.1485557352665046</v>
      </c>
      <c r="U29" s="577">
        <f>IF(D29="TEC",((L29+F29+(LOG(G29)*4/3))*0.543)+((M29+F29+(LOG(G29)*4/3))*0.583),((L29+F29+(LOG(G29)*4/3))*0.543)+((M29+F29+(LOG(G29)*4/3))*0.583))</f>
        <v>13.594264410575978</v>
      </c>
      <c r="V29" s="582">
        <f>T29</f>
        <v>6.1485557352665046</v>
      </c>
      <c r="W29" s="577">
        <f>((J29+F29+(LOG(G29)*4/3))*0.25)</f>
        <v>3.5093837501278813</v>
      </c>
      <c r="X29" s="577">
        <f>((M29+F29+(LOG(G29)*4/3))*0.26)+((K29+F29+(LOG(G29)*4/3))*0.221)+((L29+F29+(LOG(G29)*4/3))*0.142)</f>
        <v>7.61738430531868</v>
      </c>
      <c r="Y29" s="577">
        <f>((M29+F29+(LOG(G29)*4/3))*1)+((L29+F29+(LOG(G29)*4/3))*0.369)</f>
        <v>17.110385415700279</v>
      </c>
      <c r="Z29" s="578">
        <f>X29</f>
        <v>7.61738430531868</v>
      </c>
      <c r="AA29" s="375">
        <v>6100</v>
      </c>
      <c r="AB29" s="357">
        <f>13.3*1.2</f>
        <v>15.96</v>
      </c>
      <c r="AC29" s="586"/>
      <c r="AD29" s="586"/>
      <c r="AE29" s="587"/>
      <c r="AF29" s="558">
        <f>AA29+(AB29*16*(36-B29-((112-C29)/112)))-AC29</f>
        <v>8439.2800000000007</v>
      </c>
      <c r="AG29" s="558">
        <f>AA29+(AB29*16*(34-B29-((112-C29)/112)))-AD29</f>
        <v>7928.56</v>
      </c>
      <c r="AH29" s="590">
        <f>AA29+(AB29*16*(32-B29-((112-C29)/112)))-AE29</f>
        <v>7417.84</v>
      </c>
      <c r="AI29" s="558">
        <f>(AF29-AC29)/(36-B29+((112-C29)/112))</f>
        <v>778.58266886326203</v>
      </c>
      <c r="AJ29" s="558">
        <f>(AF29-AD29)/(34-B29+((112-C29)/112))</f>
        <v>954.74682828282846</v>
      </c>
      <c r="AK29" s="590">
        <f>(AF29-AE29)/(32-B29+((112-C29)/112))</f>
        <v>1233.9417232375979</v>
      </c>
    </row>
    <row r="30" spans="1:37" x14ac:dyDescent="0.25">
      <c r="A30" s="565" t="s">
        <v>745</v>
      </c>
      <c r="B30" s="346">
        <v>22</v>
      </c>
      <c r="C30" s="558">
        <v>27</v>
      </c>
      <c r="D30" s="559" t="s">
        <v>94</v>
      </c>
      <c r="E30" s="560">
        <v>1</v>
      </c>
      <c r="F30" s="568">
        <v>1</v>
      </c>
      <c r="G30" s="569">
        <v>3</v>
      </c>
      <c r="H30" s="572">
        <v>0</v>
      </c>
      <c r="I30" s="572">
        <v>2</v>
      </c>
      <c r="J30" s="572">
        <v>2</v>
      </c>
      <c r="K30" s="572">
        <v>7</v>
      </c>
      <c r="L30" s="572">
        <v>9</v>
      </c>
      <c r="M30" s="572">
        <v>14</v>
      </c>
      <c r="N30" s="573">
        <v>2</v>
      </c>
      <c r="O30" s="576">
        <f>((J30+F30+(LOG(G30)*4/3))*0.15)</f>
        <v>0.54542425094393243</v>
      </c>
      <c r="P30" s="576">
        <f>((M30+F30+(LOG(G30)*4/3))*0.552)+((K30+F30+(LOG(G30)*4/3))*0.576)+((L30+F30+(LOG(G30)*4/3))*0.195)</f>
        <v>15.679641893325485</v>
      </c>
      <c r="Q30" s="577">
        <f>((M30+F30+(LOG(G30)*4/3))*0.607)+((L30+F30+(LOG(G30)*4/3))*0.248)</f>
        <v>12.128918230380414</v>
      </c>
      <c r="R30" s="582">
        <f>((M30+F30+(LOG(G30)*4/3))*0.223)+((K30+F30+(LOG(G30)*4/3))*0)+((L30+F30+(LOG(G30)*4/3))*0)</f>
        <v>3.4868640530699797</v>
      </c>
      <c r="S30" s="576">
        <f>((J30+F30+(LOG(G30)*4/3))*0.406)</f>
        <v>1.4762816392215774</v>
      </c>
      <c r="T30" s="576">
        <f>IF(D30="TEC",((K30+F30+(LOG(G30)*4/3))*0.15)+((L30+F30+(LOG(G30)*4/3))*0.324)+((M30+F30+(LOG(G30)*4/3))*0.127),((K30+F30+(LOG(G30)*4/3))*0.144)+((L30+F30+(LOG(G30)*4/3))*0.25)+((M30+F30+(LOG(G30)*4/3))*0.127))</f>
        <v>5.8884402316119253</v>
      </c>
      <c r="U30" s="577">
        <f>IF(D30="TEC",((L30+F30+(LOG(G30)*4/3))*0.543)+((M30+F30+(LOG(G30)*4/3))*0.583),((L30+F30+(LOG(G30)*4/3))*0.543)+((M30+F30+(LOG(G30)*4/3))*0.583))</f>
        <v>14.891318043752454</v>
      </c>
      <c r="V30" s="582">
        <f>T30</f>
        <v>5.8884402316119253</v>
      </c>
      <c r="W30" s="577">
        <f>((J30+F30+(LOG(G30)*4/3))*0.25)</f>
        <v>0.90904041823988746</v>
      </c>
      <c r="X30" s="577">
        <f>((M30+F30+(LOG(G30)*4/3))*0.26)+((K30+F30+(LOG(G30)*4/3))*0.221)+((L30+F30+(LOG(G30)*4/3))*0.142)</f>
        <v>7.4843287222538004</v>
      </c>
      <c r="Y30" s="577">
        <f>((M30+F30+(LOG(G30)*4/3))*1)+((L30+F30+(LOG(G30)*4/3))*0.369)</f>
        <v>19.560905330281624</v>
      </c>
      <c r="Z30" s="578">
        <f>X30</f>
        <v>7.4843287222538004</v>
      </c>
      <c r="AA30" s="375">
        <v>4500</v>
      </c>
      <c r="AB30" s="357">
        <v>19.8</v>
      </c>
      <c r="AC30" s="586"/>
      <c r="AD30" s="586"/>
      <c r="AE30" s="587"/>
      <c r="AF30" s="558">
        <f>AA30+(AB30*16*(36-B30-((112-C30)/112)))-AC30</f>
        <v>8694.7714285714283</v>
      </c>
      <c r="AG30" s="558">
        <f>AA30+(AB30*16*(34-B30-((112-C30)/112)))-AD30</f>
        <v>8061.1714285714288</v>
      </c>
      <c r="AH30" s="590">
        <f>AA30+(AB30*16*(32-B30-((112-C30)/112)))-AE30</f>
        <v>7427.5714285714294</v>
      </c>
      <c r="AI30" s="558">
        <f>(AF30-AC30)/(36-B30+((112-C30)/112))</f>
        <v>589.11941923774953</v>
      </c>
      <c r="AJ30" s="558">
        <f>(AF30-AD30)/(34-B30+((112-C30)/112))</f>
        <v>681.46564030790762</v>
      </c>
      <c r="AK30" s="590">
        <f>(AF30-AE30)/(32-B30+((112-C30)/112))</f>
        <v>808.14473029045644</v>
      </c>
    </row>
    <row r="31" spans="1:37" x14ac:dyDescent="0.25">
      <c r="A31" s="565" t="s">
        <v>923</v>
      </c>
      <c r="B31" s="346">
        <v>28</v>
      </c>
      <c r="C31" s="558">
        <v>95</v>
      </c>
      <c r="D31" s="559" t="s">
        <v>183</v>
      </c>
      <c r="E31" s="560">
        <v>3</v>
      </c>
      <c r="F31" s="568">
        <v>1</v>
      </c>
      <c r="G31" s="569">
        <v>8</v>
      </c>
      <c r="H31" s="572">
        <v>0</v>
      </c>
      <c r="I31" s="572">
        <v>3</v>
      </c>
      <c r="J31" s="572">
        <v>11</v>
      </c>
      <c r="K31" s="572">
        <v>15</v>
      </c>
      <c r="L31" s="572">
        <v>9</v>
      </c>
      <c r="M31" s="572">
        <v>12</v>
      </c>
      <c r="N31" s="573">
        <v>1</v>
      </c>
      <c r="O31" s="576">
        <f>((J31+F31+(LOG(G31)*4/3))*0.15)</f>
        <v>1.9806179973983886</v>
      </c>
      <c r="P31" s="576">
        <f>((M31+F31+(LOG(G31)*4/3))*0.552)+((K31+F31+(LOG(G31)*4/3))*0.576)+((L31+F31+(LOG(G31)*4/3))*0.195)</f>
        <v>19.935050737053789</v>
      </c>
      <c r="Q31" s="577">
        <f>((M31+F31+(LOG(G31)*4/3))*0.607)+((L31+F31+(LOG(G31)*4/3))*0.248)</f>
        <v>11.400522585170815</v>
      </c>
      <c r="R31" s="582">
        <f>((M31+F31+(LOG(G31)*4/3))*0.223)+((K31+F31+(LOG(G31)*4/3))*0)+((L31+F31+(LOG(G31)*4/3))*0)</f>
        <v>3.1675187561322713</v>
      </c>
      <c r="S31" s="576">
        <f>((J31+F31+(LOG(G31)*4/3))*0.406)</f>
        <v>5.3608727129583063</v>
      </c>
      <c r="T31" s="576">
        <f>IF(D31="TEC",((K31+F31+(LOG(G31)*4/3))*0.15)+((L31+F31+(LOG(G31)*4/3))*0.324)+((M31+F31+(LOG(G31)*4/3))*0.127),((K31+F31+(LOG(G31)*4/3))*0.144)+((L31+F31+(LOG(G31)*4/3))*0.25)+((M31+F31+(LOG(G31)*4/3))*0.127))</f>
        <v>7.0823465109637365</v>
      </c>
      <c r="U31" s="577">
        <f>IF(D31="TEC",((L31+F31+(LOG(G31)*4/3))*0.543)+((M31+F31+(LOG(G31)*4/3))*0.583),((L31+F31+(LOG(G31)*4/3))*0.543)+((M31+F31+(LOG(G31)*4/3))*0.583))</f>
        <v>14.364839100470572</v>
      </c>
      <c r="V31" s="582">
        <f>T31</f>
        <v>7.0823465109637365</v>
      </c>
      <c r="W31" s="577">
        <f>((J31+F31+(LOG(G31)*4/3))*0.25)</f>
        <v>3.3010299956639813</v>
      </c>
      <c r="X31" s="577">
        <f>((M31+F31+(LOG(G31)*4/3))*0.26)+((K31+F31+(LOG(G31)*4/3))*0.221)+((L31+F31+(LOG(G31)*4/3))*0.142)</f>
        <v>9.086166749194641</v>
      </c>
      <c r="Y31" s="577">
        <f>((M31+F31+(LOG(G31)*4/3))*1)+((L31+F31+(LOG(G31)*4/3))*0.369)</f>
        <v>18.338440256255961</v>
      </c>
      <c r="Z31" s="578">
        <f>X31</f>
        <v>9.086166749194641</v>
      </c>
      <c r="AA31" s="375">
        <v>5500</v>
      </c>
      <c r="AB31" s="357">
        <f>27*1.2</f>
        <v>32.4</v>
      </c>
      <c r="AC31" s="586"/>
      <c r="AD31" s="586"/>
      <c r="AE31" s="587"/>
      <c r="AF31" s="558">
        <f>AA31+(AB31*16*(36-B31-((112-C31)/112)))-AC31</f>
        <v>9568.5142857142855</v>
      </c>
      <c r="AG31" s="558">
        <f>AA31+(AB31*16*(34-B31-((112-C31)/112)))-AD31</f>
        <v>8531.7142857142862</v>
      </c>
      <c r="AH31" s="590">
        <f>AA31+(AB31*16*(32-B31-((112-C31)/112)))-AE31</f>
        <v>7494.9142857142851</v>
      </c>
      <c r="AI31" s="558">
        <f>(AF31-AC31)/(36-B31+((112-C31)/112))</f>
        <v>1173.7936473165389</v>
      </c>
      <c r="AJ31" s="558">
        <f>(AF31-AD31)/(34-B31+((112-C31)/112))</f>
        <v>1555.4043541364294</v>
      </c>
      <c r="AK31" s="590">
        <f>(AF31-AE31)/(32-B31+((112-C31)/112))</f>
        <v>2304.6744086021504</v>
      </c>
    </row>
    <row r="32" spans="1:37" x14ac:dyDescent="0.25">
      <c r="A32" s="565" t="s">
        <v>820</v>
      </c>
      <c r="B32" s="346">
        <v>23</v>
      </c>
      <c r="C32" s="558">
        <v>9</v>
      </c>
      <c r="D32" s="559" t="s">
        <v>0</v>
      </c>
      <c r="E32" s="560">
        <v>3</v>
      </c>
      <c r="F32" s="568">
        <v>1</v>
      </c>
      <c r="G32" s="569">
        <v>2</v>
      </c>
      <c r="H32" s="572">
        <v>0</v>
      </c>
      <c r="I32" s="572">
        <v>3</v>
      </c>
      <c r="J32" s="572">
        <v>5</v>
      </c>
      <c r="K32" s="572">
        <v>3</v>
      </c>
      <c r="L32" s="572">
        <v>8</v>
      </c>
      <c r="M32" s="572">
        <v>14</v>
      </c>
      <c r="N32" s="573">
        <v>3</v>
      </c>
      <c r="O32" s="576">
        <f>((J32+F32+(LOG(G32)*4/3))*0.15)</f>
        <v>0.96020599913279625</v>
      </c>
      <c r="P32" s="576">
        <f>((M32+F32+(LOG(G32)*4/3))*0.552)+((K32+F32+(LOG(G32)*4/3))*0.576)+((L32+F32+(LOG(G32)*4/3))*0.195)</f>
        <v>12.870016912351263</v>
      </c>
      <c r="Q32" s="577">
        <f>((M32+F32+(LOG(G32)*4/3))*0.607)+((L32+F32+(LOG(G32)*4/3))*0.248)</f>
        <v>11.680174195056939</v>
      </c>
      <c r="R32" s="582">
        <f>((M32+F32+(LOG(G32)*4/3))*0.223)+((K32+F32+(LOG(G32)*4/3))*0)+((L32+F32+(LOG(G32)*4/3))*0)</f>
        <v>3.4345062520440903</v>
      </c>
      <c r="S32" s="576">
        <f>((J32+F32+(LOG(G32)*4/3))*0.406)</f>
        <v>2.5989575709861024</v>
      </c>
      <c r="T32" s="576">
        <f>IF(D32="TEC",((K32+F32+(LOG(G32)*4/3))*0.15)+((L32+F32+(LOG(G32)*4/3))*0.324)+((M32+F32+(LOG(G32)*4/3))*0.127),((K32+F32+(LOG(G32)*4/3))*0.144)+((L32+F32+(LOG(G32)*4/3))*0.25)+((M32+F32+(LOG(G32)*4/3))*0.127))</f>
        <v>4.940115503654579</v>
      </c>
      <c r="U32" s="577">
        <f>IF(D32="TEC",((L32+F32+(LOG(G32)*4/3))*0.543)+((M32+F32+(LOG(G32)*4/3))*0.583),((L32+F32+(LOG(G32)*4/3))*0.543)+((M32+F32+(LOG(G32)*4/3))*0.583))</f>
        <v>14.083946366823524</v>
      </c>
      <c r="V32" s="582">
        <f>T32</f>
        <v>4.940115503654579</v>
      </c>
      <c r="W32" s="577">
        <f>((J32+F32+(LOG(G32)*4/3))*0.25)</f>
        <v>1.6003433318879938</v>
      </c>
      <c r="X32" s="577">
        <f>((M32+F32+(LOG(G32)*4/3))*0.26)+((K32+F32+(LOG(G32)*4/3))*0.221)+((L32+F32+(LOG(G32)*4/3))*0.142)</f>
        <v>6.3120555830648808</v>
      </c>
      <c r="Y32" s="577">
        <f>((M32+F32+(LOG(G32)*4/3))*1)+((L32+F32+(LOG(G32)*4/3))*0.369)</f>
        <v>18.870480085418652</v>
      </c>
      <c r="Z32" s="578">
        <f>X32</f>
        <v>6.3120555830648808</v>
      </c>
      <c r="AA32" s="375">
        <v>5100</v>
      </c>
      <c r="AB32" s="357">
        <v>20.3</v>
      </c>
      <c r="AC32" s="586"/>
      <c r="AD32" s="586"/>
      <c r="AE32" s="587"/>
      <c r="AF32" s="558">
        <f>AA32+(AB32*16*(36-B32-((112-C32)/112)))-AC32</f>
        <v>9023.7000000000007</v>
      </c>
      <c r="AG32" s="558">
        <f>AA32+(AB32*16*(34-B32-((112-C32)/112)))-AD32</f>
        <v>8374.1</v>
      </c>
      <c r="AH32" s="590">
        <f>AA32+(AB32*16*(32-B32-((112-C32)/112)))-AE32</f>
        <v>7724.5</v>
      </c>
      <c r="AI32" s="558">
        <f>(AF32-AC32)/(36-B32+((112-C32)/112))</f>
        <v>648.27094291212313</v>
      </c>
      <c r="AJ32" s="558">
        <f>(AF32-AD32)/(34-B32+((112-C32)/112))</f>
        <v>757.04449438202255</v>
      </c>
      <c r="AK32" s="590">
        <f>(AF32-AE32)/(32-B32+((112-C32)/112))</f>
        <v>909.67992799279932</v>
      </c>
    </row>
    <row r="33" spans="1:37" x14ac:dyDescent="0.25">
      <c r="A33" s="565" t="s">
        <v>940</v>
      </c>
      <c r="B33" s="346">
        <v>23</v>
      </c>
      <c r="C33" s="558">
        <v>77</v>
      </c>
      <c r="D33" s="559" t="s">
        <v>183</v>
      </c>
      <c r="E33" s="560">
        <v>4</v>
      </c>
      <c r="F33" s="568">
        <v>1</v>
      </c>
      <c r="G33" s="569">
        <v>4</v>
      </c>
      <c r="H33" s="572">
        <v>0</v>
      </c>
      <c r="I33" s="572">
        <v>3</v>
      </c>
      <c r="J33" s="572">
        <v>5</v>
      </c>
      <c r="K33" s="572">
        <v>5</v>
      </c>
      <c r="L33" s="572">
        <v>13</v>
      </c>
      <c r="M33" s="572">
        <v>14</v>
      </c>
      <c r="N33" s="573">
        <v>4</v>
      </c>
      <c r="O33" s="576">
        <f>((J33+F33+(LOG(G33)*4/3))*0.15)</f>
        <v>1.0204119982655924</v>
      </c>
      <c r="P33" s="576">
        <f>((M33+F33+(LOG(G33)*4/3))*0.552)+((K33+F33+(LOG(G33)*4/3))*0.576)+((L33+F33+(LOG(G33)*4/3))*0.195)</f>
        <v>15.528033824702527</v>
      </c>
      <c r="Q33" s="577">
        <f>((M33+F33+(LOG(G33)*4/3))*0.607)+((L33+F33+(LOG(G33)*4/3))*0.248)</f>
        <v>13.263348390113878</v>
      </c>
      <c r="R33" s="582">
        <f>((M33+F33+(LOG(G33)*4/3))*0.223)+((K33+F33+(LOG(G33)*4/3))*0)+((L33+F33+(LOG(G33)*4/3))*0)</f>
        <v>3.5240125040881809</v>
      </c>
      <c r="S33" s="576">
        <f>((J33+F33+(LOG(G33)*4/3))*0.406)</f>
        <v>2.7619151419722039</v>
      </c>
      <c r="T33" s="576">
        <f>IF(D33="TEC",((K33+F33+(LOG(G33)*4/3))*0.15)+((L33+F33+(LOG(G33)*4/3))*0.324)+((M33+F33+(LOG(G33)*4/3))*0.127),((K33+F33+(LOG(G33)*4/3))*0.144)+((L33+F33+(LOG(G33)*4/3))*0.25)+((M33+F33+(LOG(G33)*4/3))*0.127))</f>
        <v>6.6872310073091583</v>
      </c>
      <c r="U33" s="577">
        <f>IF(D33="TEC",((L33+F33+(LOG(G33)*4/3))*0.543)+((M33+F33+(LOG(G33)*4/3))*0.583),((L33+F33+(LOG(G33)*4/3))*0.543)+((M33+F33+(LOG(G33)*4/3))*0.583))</f>
        <v>17.250892733647049</v>
      </c>
      <c r="V33" s="582">
        <f>T33</f>
        <v>6.6872310073091583</v>
      </c>
      <c r="W33" s="577">
        <f>((J33+F33+(LOG(G33)*4/3))*0.25)</f>
        <v>1.7006866637759874</v>
      </c>
      <c r="X33" s="577">
        <f>((M33+F33+(LOG(G33)*4/3))*0.26)+((K33+F33+(LOG(G33)*4/3))*0.221)+((L33+F33+(LOG(G33)*4/3))*0.142)</f>
        <v>7.7141111661297606</v>
      </c>
      <c r="Y33" s="577">
        <f>((M33+F33+(LOG(G33)*4/3))*1)+((L33+F33+(LOG(G33)*4/3))*0.369)</f>
        <v>21.264960170837309</v>
      </c>
      <c r="Z33" s="578">
        <f>X33</f>
        <v>7.7141111661297606</v>
      </c>
      <c r="AA33" s="375">
        <v>8762</v>
      </c>
      <c r="AB33" s="357">
        <v>29.3</v>
      </c>
      <c r="AC33" s="586">
        <v>1500</v>
      </c>
      <c r="AD33" s="586">
        <v>3500</v>
      </c>
      <c r="AE33" s="587">
        <v>5000</v>
      </c>
      <c r="AF33" s="558">
        <f>AA33+(AB33*16*(36-B33-((112-C33)/112)))-AC33</f>
        <v>13209.900000000001</v>
      </c>
      <c r="AG33" s="558">
        <f>AA33+(AB33*16*(34-B33-((112-C33)/112)))-AD33</f>
        <v>10272.299999999999</v>
      </c>
      <c r="AH33" s="590">
        <f>AA33+(AB33*16*(32-B33-((112-C33)/112)))-AE33</f>
        <v>7834.7000000000007</v>
      </c>
      <c r="AI33" s="558">
        <f>(AF33-AC33)/(36-B33+((112-C33)/112))</f>
        <v>879.61690140845076</v>
      </c>
      <c r="AJ33" s="558">
        <f>(AF33-AD33)/(34-B33+((112-C33)/112))</f>
        <v>858.33370165745873</v>
      </c>
      <c r="AK33" s="590">
        <f>(AF33-AE33)/(32-B33+((112-C33)/112))</f>
        <v>881.60000000000014</v>
      </c>
    </row>
    <row r="34" spans="1:37" x14ac:dyDescent="0.25">
      <c r="A34" s="565" t="s">
        <v>872</v>
      </c>
      <c r="B34" s="346">
        <v>24</v>
      </c>
      <c r="C34" s="558">
        <v>5</v>
      </c>
      <c r="D34" s="559" t="s">
        <v>40</v>
      </c>
      <c r="E34" s="560">
        <v>5</v>
      </c>
      <c r="F34" s="568">
        <v>1</v>
      </c>
      <c r="G34" s="569">
        <v>4</v>
      </c>
      <c r="H34" s="572">
        <v>0</v>
      </c>
      <c r="I34" s="572">
        <v>2</v>
      </c>
      <c r="J34" s="572">
        <v>7</v>
      </c>
      <c r="K34" s="572">
        <v>6</v>
      </c>
      <c r="L34" s="572">
        <v>10</v>
      </c>
      <c r="M34" s="572">
        <v>13</v>
      </c>
      <c r="N34" s="573">
        <v>4</v>
      </c>
      <c r="O34" s="576">
        <f>((J34+F34+(LOG(G34)*4/3))*0.15)</f>
        <v>1.3204119982655926</v>
      </c>
      <c r="P34" s="576">
        <f>((M34+F34+(LOG(G34)*4/3))*0.552)+((K34+F34+(LOG(G34)*4/3))*0.576)+((L34+F34+(LOG(G34)*4/3))*0.195)</f>
        <v>14.967033824702526</v>
      </c>
      <c r="Q34" s="577">
        <f>((M34+F34+(LOG(G34)*4/3))*0.607)+((L34+F34+(LOG(G34)*4/3))*0.248)</f>
        <v>11.912348390113877</v>
      </c>
      <c r="R34" s="582">
        <f>((M34+F34+(LOG(G34)*4/3))*0.223)+((K34+F34+(LOG(G34)*4/3))*0)+((L34+F34+(LOG(G34)*4/3))*0)</f>
        <v>3.301012504088181</v>
      </c>
      <c r="S34" s="576">
        <f>((J34+F34+(LOG(G34)*4/3))*0.406)</f>
        <v>3.5739151419722042</v>
      </c>
      <c r="T34" s="576">
        <f>IF(D34="TEC",((K34+F34+(LOG(G34)*4/3))*0.15)+((L34+F34+(LOG(G34)*4/3))*0.324)+((M34+F34+(LOG(G34)*4/3))*0.127),((K34+F34+(LOG(G34)*4/3))*0.144)+((L34+F34+(LOG(G34)*4/3))*0.25)+((M34+F34+(LOG(G34)*4/3))*0.127))</f>
        <v>5.9542310073091578</v>
      </c>
      <c r="U34" s="577">
        <f>IF(D34="TEC",((L34+F34+(LOG(G34)*4/3))*0.543)+((M34+F34+(LOG(G34)*4/3))*0.583),((L34+F34+(LOG(G34)*4/3))*0.543)+((M34+F34+(LOG(G34)*4/3))*0.583))</f>
        <v>15.038892733647049</v>
      </c>
      <c r="V34" s="582">
        <f>T34</f>
        <v>5.9542310073091578</v>
      </c>
      <c r="W34" s="577">
        <f>((J34+F34+(LOG(G34)*4/3))*0.25)</f>
        <v>2.2006866637759877</v>
      </c>
      <c r="X34" s="577">
        <f>((M34+F34+(LOG(G34)*4/3))*0.26)+((K34+F34+(LOG(G34)*4/3))*0.221)+((L34+F34+(LOG(G34)*4/3))*0.142)</f>
        <v>7.2491111661297607</v>
      </c>
      <c r="Y34" s="577">
        <f>((M34+F34+(LOG(G34)*4/3))*1)+((L34+F34+(LOG(G34)*4/3))*0.369)</f>
        <v>19.157960170837306</v>
      </c>
      <c r="Z34" s="578">
        <f>X34</f>
        <v>7.2491111661297607</v>
      </c>
      <c r="AA34" s="375">
        <v>6000</v>
      </c>
      <c r="AB34" s="357">
        <v>17.3</v>
      </c>
      <c r="AC34" s="586"/>
      <c r="AD34" s="586"/>
      <c r="AE34" s="587"/>
      <c r="AF34" s="558">
        <f>AA34+(AB34*16*(36-B34-((112-C34)/112)))-AC34</f>
        <v>9057.1571428571442</v>
      </c>
      <c r="AG34" s="558">
        <f>AA34+(AB34*16*(34-B34-((112-C34)/112)))-AD34</f>
        <v>8503.557142857142</v>
      </c>
      <c r="AH34" s="590">
        <f>AA34+(AB34*16*(32-B34-((112-C34)/112)))-AE34</f>
        <v>7949.9571428571426</v>
      </c>
      <c r="AI34" s="558">
        <f>(AF34-AC34)/(36-B34+((112-C34)/112))</f>
        <v>699.10516884906974</v>
      </c>
      <c r="AJ34" s="558">
        <f>(AF34-AD34)/(34-B34+((112-C34)/112))</f>
        <v>826.73317033414844</v>
      </c>
      <c r="AK34" s="590">
        <f>(AF34-AE34)/(32-B34+((112-C34)/112))</f>
        <v>1011.3674975074778</v>
      </c>
    </row>
    <row r="35" spans="1:37" x14ac:dyDescent="0.25">
      <c r="A35" s="565" t="s">
        <v>959</v>
      </c>
      <c r="B35" s="346">
        <v>26</v>
      </c>
      <c r="C35" s="558">
        <v>92</v>
      </c>
      <c r="D35" s="559" t="s">
        <v>40</v>
      </c>
      <c r="E35" s="560">
        <v>3</v>
      </c>
      <c r="F35" s="568">
        <v>1</v>
      </c>
      <c r="G35" s="569">
        <v>5</v>
      </c>
      <c r="H35" s="572">
        <v>0</v>
      </c>
      <c r="I35" s="572">
        <v>4</v>
      </c>
      <c r="J35" s="572">
        <v>3</v>
      </c>
      <c r="K35" s="572">
        <v>3</v>
      </c>
      <c r="L35" s="572">
        <v>14</v>
      </c>
      <c r="M35" s="572">
        <v>14</v>
      </c>
      <c r="N35" s="573">
        <v>3</v>
      </c>
      <c r="O35" s="576">
        <f>((J35+F35+(LOG(G35)*4/3))*0.15)</f>
        <v>0.73979400086720382</v>
      </c>
      <c r="P35" s="576">
        <f>((M35+F35+(LOG(G35)*4/3))*0.552)+((K35+F35+(LOG(G35)*4/3))*0.576)+((L35+F35+(LOG(G35)*4/3))*0.195)</f>
        <v>14.741983087648737</v>
      </c>
      <c r="Q35" s="577">
        <f>((M35+F35+(LOG(G35)*4/3))*0.607)+((L35+F35+(LOG(G35)*4/3))*0.248)</f>
        <v>13.621825804943061</v>
      </c>
      <c r="R35" s="582">
        <f>((M35+F35+(LOG(G35)*4/3))*0.223)+((K35+F35+(LOG(G35)*4/3))*0)+((L35+F35+(LOG(G35)*4/3))*0)</f>
        <v>3.5528270812892426</v>
      </c>
      <c r="S35" s="576">
        <f>((J35+F35+(LOG(G35)*4/3))*0.406)</f>
        <v>2.0023757623472318</v>
      </c>
      <c r="T35" s="576">
        <f>IF(D35="TEC",((K35+F35+(LOG(G35)*4/3))*0.15)+((L35+F35+(LOG(G35)*4/3))*0.324)+((M35+F35+(LOG(G35)*4/3))*0.127),((K35+F35+(LOG(G35)*4/3))*0.144)+((L35+F35+(LOG(G35)*4/3))*0.25)+((M35+F35+(LOG(G35)*4/3))*0.127))</f>
        <v>6.7165511630120882</v>
      </c>
      <c r="U35" s="577">
        <f>IF(D35="TEC",((L35+F35+(LOG(G35)*4/3))*0.543)+((M35+F35+(LOG(G35)*4/3))*0.583),((L35+F35+(LOG(G35)*4/3))*0.543)+((M35+F35+(LOG(G35)*4/3))*0.583))</f>
        <v>17.939386966509808</v>
      </c>
      <c r="V35" s="582">
        <f>T35</f>
        <v>6.7165511630120882</v>
      </c>
      <c r="W35" s="577">
        <f>((J35+F35+(LOG(G35)*4/3))*0.25)</f>
        <v>1.2329900014453397</v>
      </c>
      <c r="X35" s="577">
        <f>((M35+F35+(LOG(G35)*4/3))*0.26)+((K35+F35+(LOG(G35)*4/3))*0.221)+((L35+F35+(LOG(G35)*4/3))*0.142)</f>
        <v>7.4946110836017859</v>
      </c>
      <c r="Y35" s="577">
        <f>((M35+F35+(LOG(G35)*4/3))*1)+((L35+F35+(LOG(G35)*4/3))*0.369)</f>
        <v>21.810853247914679</v>
      </c>
      <c r="Z35" s="578">
        <f>X35</f>
        <v>7.4946110836017859</v>
      </c>
      <c r="AA35" s="375">
        <v>6450</v>
      </c>
      <c r="AB35" s="357">
        <v>35.4</v>
      </c>
      <c r="AC35" s="586">
        <v>2800</v>
      </c>
      <c r="AD35" s="586">
        <v>1800</v>
      </c>
      <c r="AE35" s="587">
        <v>1600</v>
      </c>
      <c r="AF35" s="558">
        <f>AA35+(AB35*16*(36-B35-((112-C35)/112)))-AC35</f>
        <v>9212.8571428571413</v>
      </c>
      <c r="AG35" s="558">
        <f>AA35+(AB35*16*(34-B35-((112-C35)/112)))-AD35</f>
        <v>9080.057142857142</v>
      </c>
      <c r="AH35" s="590">
        <f>AA35+(AB35*16*(32-B35-((112-C35)/112)))-AE35</f>
        <v>8147.2571428571428</v>
      </c>
      <c r="AI35" s="558">
        <f>(AF35-AC35)/(36-B35+((112-C35)/112))</f>
        <v>630.03508771929808</v>
      </c>
      <c r="AJ35" s="558">
        <f>(AF35-AD35)/(34-B35+((112-C35)/112))</f>
        <v>906.37554585152816</v>
      </c>
      <c r="AK35" s="590">
        <f>(AF35-AE35)/(32-B35+((112-C35)/112))</f>
        <v>1232.1387283236991</v>
      </c>
    </row>
    <row r="36" spans="1:37" x14ac:dyDescent="0.25">
      <c r="A36" s="565" t="s">
        <v>924</v>
      </c>
      <c r="B36" s="346">
        <v>27</v>
      </c>
      <c r="C36" s="558">
        <v>101</v>
      </c>
      <c r="D36" s="559" t="s">
        <v>183</v>
      </c>
      <c r="E36" s="560">
        <v>1</v>
      </c>
      <c r="F36" s="568">
        <v>1</v>
      </c>
      <c r="G36" s="569">
        <v>5</v>
      </c>
      <c r="H36" s="572">
        <v>0</v>
      </c>
      <c r="I36" s="572">
        <v>2</v>
      </c>
      <c r="J36" s="572">
        <v>2</v>
      </c>
      <c r="K36" s="572">
        <v>5</v>
      </c>
      <c r="L36" s="572">
        <v>14</v>
      </c>
      <c r="M36" s="572">
        <v>14</v>
      </c>
      <c r="N36" s="573">
        <v>14</v>
      </c>
      <c r="O36" s="576">
        <f>((J36+F36+(LOG(G36)*4/3))*0.15)</f>
        <v>0.58979400086720379</v>
      </c>
      <c r="P36" s="576">
        <f>((M36+F36+(LOG(G36)*4/3))*0.552)+((K36+F36+(LOG(G36)*4/3))*0.576)+((L36+F36+(LOG(G36)*4/3))*0.195)</f>
        <v>15.893983087648738</v>
      </c>
      <c r="Q36" s="577">
        <f>((M36+F36+(LOG(G36)*4/3))*0.607)+((L36+F36+(LOG(G36)*4/3))*0.248)</f>
        <v>13.621825804943061</v>
      </c>
      <c r="R36" s="582">
        <f>((M36+F36+(LOG(G36)*4/3))*0.223)+((K36+F36+(LOG(G36)*4/3))*0)+((L36+F36+(LOG(G36)*4/3))*0)</f>
        <v>3.5528270812892426</v>
      </c>
      <c r="S36" s="576">
        <f>((J36+F36+(LOG(G36)*4/3))*0.406)</f>
        <v>1.5963757623472317</v>
      </c>
      <c r="T36" s="576">
        <f>IF(D36="TEC",((K36+F36+(LOG(G36)*4/3))*0.15)+((L36+F36+(LOG(G36)*4/3))*0.324)+((M36+F36+(LOG(G36)*4/3))*0.127),((K36+F36+(LOG(G36)*4/3))*0.144)+((L36+F36+(LOG(G36)*4/3))*0.25)+((M36+F36+(LOG(G36)*4/3))*0.127))</f>
        <v>7.0045511630120867</v>
      </c>
      <c r="U36" s="577">
        <f>IF(D36="TEC",((L36+F36+(LOG(G36)*4/3))*0.543)+((M36+F36+(LOG(G36)*4/3))*0.583),((L36+F36+(LOG(G36)*4/3))*0.543)+((M36+F36+(LOG(G36)*4/3))*0.583))</f>
        <v>17.939386966509808</v>
      </c>
      <c r="V36" s="582">
        <f>T36</f>
        <v>7.0045511630120867</v>
      </c>
      <c r="W36" s="577">
        <f>((J36+F36+(LOG(G36)*4/3))*0.25)</f>
        <v>0.98299000144533966</v>
      </c>
      <c r="X36" s="577">
        <f>((M36+F36+(LOG(G36)*4/3))*0.26)+((K36+F36+(LOG(G36)*4/3))*0.221)+((L36+F36+(LOG(G36)*4/3))*0.142)</f>
        <v>7.936611083601786</v>
      </c>
      <c r="Y36" s="577">
        <f>((M36+F36+(LOG(G36)*4/3))*1)+((L36+F36+(LOG(G36)*4/3))*0.369)</f>
        <v>21.810853247914679</v>
      </c>
      <c r="Z36" s="578">
        <f>X36</f>
        <v>7.936611083601786</v>
      </c>
      <c r="AA36" s="375">
        <v>6000</v>
      </c>
      <c r="AB36" s="357">
        <v>28</v>
      </c>
      <c r="AC36" s="586"/>
      <c r="AD36" s="586"/>
      <c r="AE36" s="587"/>
      <c r="AF36" s="558">
        <f>AA36+(AB36*16*(36-B36-((112-C36)/112)))-AC36</f>
        <v>9988</v>
      </c>
      <c r="AG36" s="558">
        <f>AA36+(AB36*16*(34-B36-((112-C36)/112)))-AD36</f>
        <v>9092</v>
      </c>
      <c r="AH36" s="590">
        <f>AA36+(AB36*16*(32-B36-((112-C36)/112)))-AE36</f>
        <v>8196</v>
      </c>
      <c r="AI36" s="558">
        <f>(AF36-AC36)/(36-B36+((112-C36)/112))</f>
        <v>1097.7978410206083</v>
      </c>
      <c r="AJ36" s="558">
        <f>(AF36-AD36)/(34-B36+((112-C36)/112))</f>
        <v>1407.114465408805</v>
      </c>
      <c r="AK36" s="590">
        <f>(AF36-AE36)/(32-B36+((112-C36)/112))</f>
        <v>1959.1173380035027</v>
      </c>
    </row>
    <row r="37" spans="1:37" x14ac:dyDescent="0.25">
      <c r="A37" s="565" t="s">
        <v>767</v>
      </c>
      <c r="B37" s="346">
        <v>22</v>
      </c>
      <c r="C37" s="558">
        <v>20</v>
      </c>
      <c r="D37" s="559" t="s">
        <v>183</v>
      </c>
      <c r="E37" s="560">
        <v>5</v>
      </c>
      <c r="F37" s="568">
        <v>1</v>
      </c>
      <c r="G37" s="569">
        <v>2</v>
      </c>
      <c r="H37" s="572">
        <v>0</v>
      </c>
      <c r="I37" s="572">
        <v>2</v>
      </c>
      <c r="J37" s="572">
        <v>3</v>
      </c>
      <c r="K37" s="572">
        <v>13</v>
      </c>
      <c r="L37" s="572">
        <v>4</v>
      </c>
      <c r="M37" s="572">
        <v>12</v>
      </c>
      <c r="N37" s="573">
        <v>0</v>
      </c>
      <c r="O37" s="576">
        <f>((J37+F37+(LOG(G37)*4/3))*0.15)</f>
        <v>0.66020599913279632</v>
      </c>
      <c r="P37" s="576">
        <f>((M37+F37+(LOG(G37)*4/3))*0.552)+((K37+F37+(LOG(G37)*4/3))*0.576)+((L37+F37+(LOG(G37)*4/3))*0.195)</f>
        <v>16.746016912351262</v>
      </c>
      <c r="Q37" s="577">
        <f>((M37+F37+(LOG(G37)*4/3))*0.607)+((L37+F37+(LOG(G37)*4/3))*0.248)</f>
        <v>9.4741741950569374</v>
      </c>
      <c r="R37" s="582">
        <f>((M37+F37+(LOG(G37)*4/3))*0.223)+((K37+F37+(LOG(G37)*4/3))*0)+((L37+F37+(LOG(G37)*4/3))*0)</f>
        <v>2.9885062520440902</v>
      </c>
      <c r="S37" s="576">
        <f>((J37+F37+(LOG(G37)*4/3))*0.406)</f>
        <v>1.7869575709861021</v>
      </c>
      <c r="T37" s="576">
        <f>IF(D37="TEC",((K37+F37+(LOG(G37)*4/3))*0.15)+((L37+F37+(LOG(G37)*4/3))*0.324)+((M37+F37+(LOG(G37)*4/3))*0.127),((K37+F37+(LOG(G37)*4/3))*0.144)+((L37+F37+(LOG(G37)*4/3))*0.25)+((M37+F37+(LOG(G37)*4/3))*0.127))</f>
        <v>5.1261155036545789</v>
      </c>
      <c r="U37" s="577">
        <f>IF(D37="TEC",((L37+F37+(LOG(G37)*4/3))*0.543)+((M37+F37+(LOG(G37)*4/3))*0.583),((L37+F37+(LOG(G37)*4/3))*0.543)+((M37+F37+(LOG(G37)*4/3))*0.583))</f>
        <v>10.745946366823524</v>
      </c>
      <c r="V37" s="582">
        <f>T37</f>
        <v>5.1261155036545789</v>
      </c>
      <c r="W37" s="577">
        <f>((J37+F37+(LOG(G37)*4/3))*0.25)</f>
        <v>1.1003433318879938</v>
      </c>
      <c r="X37" s="577">
        <f>((M37+F37+(LOG(G37)*4/3))*0.26)+((K37+F37+(LOG(G37)*4/3))*0.221)+((L37+F37+(LOG(G37)*4/3))*0.142)</f>
        <v>7.4340555830648798</v>
      </c>
      <c r="Y37" s="577">
        <f>((M37+F37+(LOG(G37)*4/3))*1)+((L37+F37+(LOG(G37)*4/3))*0.369)</f>
        <v>15.394480085418653</v>
      </c>
      <c r="Z37" s="578">
        <f>X37</f>
        <v>7.4340555830648798</v>
      </c>
      <c r="AA37" s="375">
        <v>6500</v>
      </c>
      <c r="AB37" s="357">
        <v>12</v>
      </c>
      <c r="AC37" s="586"/>
      <c r="AD37" s="586"/>
      <c r="AE37" s="587"/>
      <c r="AF37" s="558">
        <f>AA37+(AB37*16*(36-B37-((112-C37)/112)))-AC37</f>
        <v>9030.2857142857138</v>
      </c>
      <c r="AG37" s="558">
        <f>AA37+(AB37*16*(34-B37-((112-C37)/112)))-AD37</f>
        <v>8646.2857142857138</v>
      </c>
      <c r="AH37" s="590">
        <f>AA37+(AB37*16*(32-B37-((112-C37)/112)))-AE37</f>
        <v>8262.2857142857138</v>
      </c>
      <c r="AI37" s="558">
        <f>(AF37-AC37)/(36-B37+((112-C37)/112))</f>
        <v>609.27228915662647</v>
      </c>
      <c r="AJ37" s="558">
        <f>(AF37-AD37)/(34-B37+((112-C37)/112))</f>
        <v>704.31197771587745</v>
      </c>
      <c r="AK37" s="590">
        <f>(AF37-AE37)/(32-B37+((112-C37)/112))</f>
        <v>834.48184818481843</v>
      </c>
    </row>
    <row r="38" spans="1:37" x14ac:dyDescent="0.25">
      <c r="A38" s="565" t="s">
        <v>765</v>
      </c>
      <c r="B38" s="346">
        <v>22</v>
      </c>
      <c r="C38" s="558">
        <v>54</v>
      </c>
      <c r="D38" s="559" t="s">
        <v>0</v>
      </c>
      <c r="E38" s="560">
        <v>4</v>
      </c>
      <c r="F38" s="568">
        <v>1</v>
      </c>
      <c r="G38" s="569">
        <v>3</v>
      </c>
      <c r="H38" s="572">
        <v>0</v>
      </c>
      <c r="I38" s="572">
        <v>1</v>
      </c>
      <c r="J38" s="572">
        <v>2</v>
      </c>
      <c r="K38" s="572">
        <v>2</v>
      </c>
      <c r="L38" s="572">
        <v>6</v>
      </c>
      <c r="M38" s="572">
        <v>14</v>
      </c>
      <c r="N38" s="573">
        <v>13</v>
      </c>
      <c r="O38" s="576">
        <f>((J38+F38+(LOG(G38)*4/3))*0.15)</f>
        <v>0.54542425094393243</v>
      </c>
      <c r="P38" s="576">
        <f>((M38+F38+(LOG(G38)*4/3))*0.552)+((K38+F38+(LOG(G38)*4/3))*0.576)+((L38+F38+(LOG(G38)*4/3))*0.195)</f>
        <v>12.214641893325485</v>
      </c>
      <c r="Q38" s="577">
        <f>((M38+F38+(LOG(G38)*4/3))*0.607)+((L38+F38+(LOG(G38)*4/3))*0.248)</f>
        <v>11.384918230380414</v>
      </c>
      <c r="R38" s="582">
        <f>((M38+F38+(LOG(G38)*4/3))*0.223)+((K38+F38+(LOG(G38)*4/3))*0)+((L38+F38+(LOG(G38)*4/3))*0)</f>
        <v>3.4868640530699797</v>
      </c>
      <c r="S38" s="576">
        <f>((J38+F38+(LOG(G38)*4/3))*0.406)</f>
        <v>1.4762816392215774</v>
      </c>
      <c r="T38" s="576">
        <f>IF(D38="TEC",((K38+F38+(LOG(G38)*4/3))*0.15)+((L38+F38+(LOG(G38)*4/3))*0.324)+((M38+F38+(LOG(G38)*4/3))*0.127),((K38+F38+(LOG(G38)*4/3))*0.144)+((L38+F38+(LOG(G38)*4/3))*0.25)+((M38+F38+(LOG(G38)*4/3))*0.127))</f>
        <v>4.4184402316119256</v>
      </c>
      <c r="U38" s="577">
        <f>IF(D38="TEC",((L38+F38+(LOG(G38)*4/3))*0.543)+((M38+F38+(LOG(G38)*4/3))*0.583),((L38+F38+(LOG(G38)*4/3))*0.543)+((M38+F38+(LOG(G38)*4/3))*0.583))</f>
        <v>13.262318043752455</v>
      </c>
      <c r="V38" s="582">
        <f>T38</f>
        <v>4.4184402316119256</v>
      </c>
      <c r="W38" s="577">
        <f>((J38+F38+(LOG(G38)*4/3))*0.25)</f>
        <v>0.90904041823988746</v>
      </c>
      <c r="X38" s="577">
        <f>((M38+F38+(LOG(G38)*4/3))*0.26)+((K38+F38+(LOG(G38)*4/3))*0.221)+((L38+F38+(LOG(G38)*4/3))*0.142)</f>
        <v>5.9533287222537998</v>
      </c>
      <c r="Y38" s="577">
        <f>((M38+F38+(LOG(G38)*4/3))*1)+((L38+F38+(LOG(G38)*4/3))*0.369)</f>
        <v>18.453905330281625</v>
      </c>
      <c r="Z38" s="578">
        <f>X38</f>
        <v>5.9533287222537998</v>
      </c>
      <c r="AA38" s="375">
        <v>6000</v>
      </c>
      <c r="AB38" s="357">
        <v>15</v>
      </c>
      <c r="AC38" s="586"/>
      <c r="AD38" s="586"/>
      <c r="AE38" s="587"/>
      <c r="AF38" s="558">
        <f>AA38+(AB38*16*(36-B38-((112-C38)/112)))-AC38</f>
        <v>9235.7142857142862</v>
      </c>
      <c r="AG38" s="558">
        <f>AA38+(AB38*16*(34-B38-((112-C38)/112)))-AD38</f>
        <v>8755.7142857142862</v>
      </c>
      <c r="AH38" s="590">
        <f>AA38+(AB38*16*(32-B38-((112-C38)/112)))-AE38</f>
        <v>8275.7142857142862</v>
      </c>
      <c r="AI38" s="558">
        <f>(AF38-AC38)/(36-B38+((112-C38)/112))</f>
        <v>636.16236162361633</v>
      </c>
      <c r="AJ38" s="558">
        <f>(AF38-AD38)/(34-B38+((112-C38)/112))</f>
        <v>737.80313837375184</v>
      </c>
      <c r="AK38" s="590">
        <f>(AF38-AE38)/(32-B38+((112-C38)/112))</f>
        <v>878.09847198641774</v>
      </c>
    </row>
    <row r="39" spans="1:37" x14ac:dyDescent="0.25">
      <c r="A39" s="565" t="s">
        <v>732</v>
      </c>
      <c r="B39" s="346">
        <v>23</v>
      </c>
      <c r="C39" s="558">
        <v>69</v>
      </c>
      <c r="D39" s="559" t="s">
        <v>183</v>
      </c>
      <c r="E39" s="560"/>
      <c r="F39" s="568">
        <v>1</v>
      </c>
      <c r="G39" s="569">
        <v>3</v>
      </c>
      <c r="H39" s="572">
        <v>0</v>
      </c>
      <c r="I39" s="572">
        <v>2</v>
      </c>
      <c r="J39" s="572">
        <v>3</v>
      </c>
      <c r="K39" s="572">
        <v>9</v>
      </c>
      <c r="L39" s="572">
        <v>9</v>
      </c>
      <c r="M39" s="572">
        <v>12</v>
      </c>
      <c r="N39" s="573">
        <v>2</v>
      </c>
      <c r="O39" s="576">
        <f>((J39+F39+(LOG(G39)*4/3))*0.15)</f>
        <v>0.69542425094393245</v>
      </c>
      <c r="P39" s="576">
        <f>((M39+F39+(LOG(G39)*4/3))*0.552)+((K39+F39+(LOG(G39)*4/3))*0.576)+((L39+F39+(LOG(G39)*4/3))*0.195)</f>
        <v>15.727641893325487</v>
      </c>
      <c r="Q39" s="577">
        <f>((M39+F39+(LOG(G39)*4/3))*0.607)+((L39+F39+(LOG(G39)*4/3))*0.248)</f>
        <v>10.914918230380415</v>
      </c>
      <c r="R39" s="582">
        <f>((M39+F39+(LOG(G39)*4/3))*0.223)+((K39+F39+(LOG(G39)*4/3))*0)+((L39+F39+(LOG(G39)*4/3))*0)</f>
        <v>3.04086405306998</v>
      </c>
      <c r="S39" s="576">
        <f>((J39+F39+(LOG(G39)*4/3))*0.406)</f>
        <v>1.8822816392215773</v>
      </c>
      <c r="T39" s="576">
        <f>IF(D39="TEC",((K39+F39+(LOG(G39)*4/3))*0.15)+((L39+F39+(LOG(G39)*4/3))*0.324)+((M39+F39+(LOG(G39)*4/3))*0.127),((K39+F39+(LOG(G39)*4/3))*0.144)+((L39+F39+(LOG(G39)*4/3))*0.25)+((M39+F39+(LOG(G39)*4/3))*0.127))</f>
        <v>5.922440231611926</v>
      </c>
      <c r="U39" s="577">
        <f>IF(D39="TEC",((L39+F39+(LOG(G39)*4/3))*0.543)+((M39+F39+(LOG(G39)*4/3))*0.583),((L39+F39+(LOG(G39)*4/3))*0.543)+((M39+F39+(LOG(G39)*4/3))*0.583))</f>
        <v>13.725318043752454</v>
      </c>
      <c r="V39" s="582">
        <f>T39</f>
        <v>5.922440231611926</v>
      </c>
      <c r="W39" s="577">
        <f>((J39+F39+(LOG(G39)*4/3))*0.25)</f>
        <v>1.1590404182398875</v>
      </c>
      <c r="X39" s="577">
        <f>((M39+F39+(LOG(G39)*4/3))*0.26)+((K39+F39+(LOG(G39)*4/3))*0.221)+((L39+F39+(LOG(G39)*4/3))*0.142)</f>
        <v>7.406328722253801</v>
      </c>
      <c r="Y39" s="577">
        <f>((M39+F39+(LOG(G39)*4/3))*1)+((L39+F39+(LOG(G39)*4/3))*0.369)</f>
        <v>17.560905330281624</v>
      </c>
      <c r="Z39" s="578">
        <f>X39</f>
        <v>7.406328722253801</v>
      </c>
      <c r="AA39" s="375">
        <v>6875</v>
      </c>
      <c r="AB39" s="357">
        <v>10.8</v>
      </c>
      <c r="AC39" s="586"/>
      <c r="AD39" s="586"/>
      <c r="AE39" s="587"/>
      <c r="AF39" s="558">
        <f>AA39+(AB39*16*(36-B39-((112-C39)/112)))-AC39</f>
        <v>9055.057142857142</v>
      </c>
      <c r="AG39" s="558">
        <f>AA39+(AB39*16*(34-B39-((112-C39)/112)))-AD39</f>
        <v>8709.4571428571435</v>
      </c>
      <c r="AH39" s="590">
        <f>AA39+(AB39*16*(32-B39-((112-C39)/112)))-AE39</f>
        <v>8363.8571428571431</v>
      </c>
      <c r="AI39" s="558">
        <f>(AF39-AC39)/(36-B39+((112-C39)/112))</f>
        <v>676.56197464976651</v>
      </c>
      <c r="AJ39" s="558">
        <f>(AF39-AD39)/(34-B39+((112-C39)/112))</f>
        <v>795.42462745098032</v>
      </c>
      <c r="AK39" s="590">
        <f>(AF39-AE39)/(32-B39+((112-C39)/112))</f>
        <v>964.95375832540435</v>
      </c>
    </row>
    <row r="40" spans="1:37" x14ac:dyDescent="0.25">
      <c r="A40" s="565" t="s">
        <v>739</v>
      </c>
      <c r="B40" s="346">
        <v>23</v>
      </c>
      <c r="C40" s="558">
        <v>78</v>
      </c>
      <c r="D40" s="559" t="s">
        <v>40</v>
      </c>
      <c r="E40" s="560">
        <v>3</v>
      </c>
      <c r="F40" s="568">
        <v>1</v>
      </c>
      <c r="G40" s="569">
        <v>3</v>
      </c>
      <c r="H40" s="572">
        <v>0</v>
      </c>
      <c r="I40" s="572">
        <v>3</v>
      </c>
      <c r="J40" s="572">
        <v>6</v>
      </c>
      <c r="K40" s="572">
        <v>9</v>
      </c>
      <c r="L40" s="572">
        <v>7</v>
      </c>
      <c r="M40" s="572">
        <v>13</v>
      </c>
      <c r="N40" s="573">
        <v>6</v>
      </c>
      <c r="O40" s="576">
        <f>((J40+F40+(LOG(G40)*4/3))*0.15)</f>
        <v>1.1454242509439325</v>
      </c>
      <c r="P40" s="576">
        <f>((M40+F40+(LOG(G40)*4/3))*0.552)+((K40+F40+(LOG(G40)*4/3))*0.576)+((L40+F40+(LOG(G40)*4/3))*0.195)</f>
        <v>15.889641893325486</v>
      </c>
      <c r="Q40" s="577">
        <f>((M40+F40+(LOG(G40)*4/3))*0.607)+((L40+F40+(LOG(G40)*4/3))*0.248)</f>
        <v>11.025918230380416</v>
      </c>
      <c r="R40" s="582">
        <f>((M40+F40+(LOG(G40)*4/3))*0.223)+((K40+F40+(LOG(G40)*4/3))*0)+((L40+F40+(LOG(G40)*4/3))*0)</f>
        <v>3.2638640530699798</v>
      </c>
      <c r="S40" s="576">
        <f>((J40+F40+(LOG(G40)*4/3))*0.406)</f>
        <v>3.1002816392215773</v>
      </c>
      <c r="T40" s="576">
        <f>IF(D40="TEC",((K40+F40+(LOG(G40)*4/3))*0.15)+((L40+F40+(LOG(G40)*4/3))*0.324)+((M40+F40+(LOG(G40)*4/3))*0.127),((K40+F40+(LOG(G40)*4/3))*0.144)+((L40+F40+(LOG(G40)*4/3))*0.25)+((M40+F40+(LOG(G40)*4/3))*0.127))</f>
        <v>5.5494402316119258</v>
      </c>
      <c r="U40" s="577">
        <f>IF(D40="TEC",((L40+F40+(LOG(G40)*4/3))*0.543)+((M40+F40+(LOG(G40)*4/3))*0.583),((L40+F40+(LOG(G40)*4/3))*0.543)+((M40+F40+(LOG(G40)*4/3))*0.583))</f>
        <v>13.222318043752454</v>
      </c>
      <c r="V40" s="582">
        <f>T40</f>
        <v>5.5494402316119258</v>
      </c>
      <c r="W40" s="577">
        <f>((J40+F40+(LOG(G40)*4/3))*0.25)</f>
        <v>1.9090404182398875</v>
      </c>
      <c r="X40" s="577">
        <f>((M40+F40+(LOG(G40)*4/3))*0.26)+((K40+F40+(LOG(G40)*4/3))*0.221)+((L40+F40+(LOG(G40)*4/3))*0.142)</f>
        <v>7.382328722253801</v>
      </c>
      <c r="Y40" s="577">
        <f>((M40+F40+(LOG(G40)*4/3))*1)+((L40+F40+(LOG(G40)*4/3))*0.369)</f>
        <v>17.822905330281625</v>
      </c>
      <c r="Z40" s="578">
        <f>X40</f>
        <v>7.382328722253801</v>
      </c>
      <c r="AA40" s="375">
        <v>6500</v>
      </c>
      <c r="AB40" s="357">
        <v>14</v>
      </c>
      <c r="AC40" s="586"/>
      <c r="AD40" s="586"/>
      <c r="AE40" s="587"/>
      <c r="AF40" s="558">
        <f>AA40+(AB40*16*(36-B40-((112-C40)/112)))-AC40</f>
        <v>9344</v>
      </c>
      <c r="AG40" s="558">
        <f>AA40+(AB40*16*(34-B40-((112-C40)/112)))-AD40</f>
        <v>8896</v>
      </c>
      <c r="AH40" s="590">
        <f>AA40+(AB40*16*(32-B40-((112-C40)/112)))-AE40</f>
        <v>8448</v>
      </c>
      <c r="AI40" s="558">
        <f>(AF40-AC40)/(36-B40+((112-C40)/112))</f>
        <v>702.36778523489932</v>
      </c>
      <c r="AJ40" s="558">
        <f>(AF40-AD40)/(34-B40+((112-C40)/112))</f>
        <v>826.64139020537118</v>
      </c>
      <c r="AK40" s="590">
        <f>(AF40-AE40)/(32-B40+((112-C40)/112))</f>
        <v>1004.3454894433781</v>
      </c>
    </row>
    <row r="41" spans="1:37" x14ac:dyDescent="0.25">
      <c r="A41" s="565" t="s">
        <v>941</v>
      </c>
      <c r="B41" s="346">
        <v>23</v>
      </c>
      <c r="C41" s="558">
        <v>59</v>
      </c>
      <c r="D41" s="559" t="s">
        <v>183</v>
      </c>
      <c r="E41" s="560">
        <v>4</v>
      </c>
      <c r="F41" s="568">
        <v>1</v>
      </c>
      <c r="G41" s="569">
        <v>1</v>
      </c>
      <c r="H41" s="572">
        <v>0</v>
      </c>
      <c r="I41" s="572">
        <v>2</v>
      </c>
      <c r="J41" s="572">
        <v>6</v>
      </c>
      <c r="K41" s="572">
        <v>3</v>
      </c>
      <c r="L41" s="572">
        <v>11</v>
      </c>
      <c r="M41" s="572">
        <v>14</v>
      </c>
      <c r="N41" s="573">
        <v>8</v>
      </c>
      <c r="O41" s="576">
        <f>((J41+F41+(LOG(G41)*4/3))*0.15)</f>
        <v>1.05</v>
      </c>
      <c r="P41" s="576">
        <f>((M41+F41+(LOG(G41)*4/3))*0.552)+((K41+F41+(LOG(G41)*4/3))*0.576)+((L41+F41+(LOG(G41)*4/3))*0.195)</f>
        <v>12.924000000000001</v>
      </c>
      <c r="Q41" s="577">
        <f>((M41+F41+(LOG(G41)*4/3))*0.607)+((L41+F41+(LOG(G41)*4/3))*0.248)</f>
        <v>12.081</v>
      </c>
      <c r="R41" s="582">
        <f>((M41+F41+(LOG(G41)*4/3))*0.223)+((K41+F41+(LOG(G41)*4/3))*0)+((L41+F41+(LOG(G41)*4/3))*0)</f>
        <v>3.3450000000000002</v>
      </c>
      <c r="S41" s="576">
        <f>((J41+F41+(LOG(G41)*4/3))*0.406)</f>
        <v>2.8420000000000001</v>
      </c>
      <c r="T41" s="576">
        <f>IF(D41="TEC",((K41+F41+(LOG(G41)*4/3))*0.15)+((L41+F41+(LOG(G41)*4/3))*0.324)+((M41+F41+(LOG(G41)*4/3))*0.127),((K41+F41+(LOG(G41)*4/3))*0.144)+((L41+F41+(LOG(G41)*4/3))*0.25)+((M41+F41+(LOG(G41)*4/3))*0.127))</f>
        <v>5.4809999999999999</v>
      </c>
      <c r="U41" s="577">
        <f>IF(D41="TEC",((L41+F41+(LOG(G41)*4/3))*0.543)+((M41+F41+(LOG(G41)*4/3))*0.583),((L41+F41+(LOG(G41)*4/3))*0.543)+((M41+F41+(LOG(G41)*4/3))*0.583))</f>
        <v>15.260999999999999</v>
      </c>
      <c r="V41" s="582">
        <f>T41</f>
        <v>5.4809999999999999</v>
      </c>
      <c r="W41" s="577">
        <f>((J41+F41+(LOG(G41)*4/3))*0.25)</f>
        <v>1.75</v>
      </c>
      <c r="X41" s="577">
        <f>((M41+F41+(LOG(G41)*4/3))*0.26)+((K41+F41+(LOG(G41)*4/3))*0.221)+((L41+F41+(LOG(G41)*4/3))*0.142)</f>
        <v>6.4880000000000004</v>
      </c>
      <c r="Y41" s="577">
        <f>((M41+F41+(LOG(G41)*4/3))*1)+((L41+F41+(LOG(G41)*4/3))*0.369)</f>
        <v>19.428000000000001</v>
      </c>
      <c r="Z41" s="578">
        <f>X41</f>
        <v>6.4880000000000004</v>
      </c>
      <c r="AA41" s="375">
        <v>7250</v>
      </c>
      <c r="AB41" s="357">
        <v>26.1</v>
      </c>
      <c r="AC41" s="586">
        <v>1300</v>
      </c>
      <c r="AD41" s="586">
        <v>1600</v>
      </c>
      <c r="AE41" s="587">
        <v>2000</v>
      </c>
      <c r="AF41" s="558">
        <f>AA41+(AB41*16*(36-B41-((112-C41)/112)))-AC41</f>
        <v>11181.185714285715</v>
      </c>
      <c r="AG41" s="558">
        <f>AA41+(AB41*16*(34-B41-((112-C41)/112)))-AD41</f>
        <v>10045.985714285714</v>
      </c>
      <c r="AH41" s="590">
        <f>AA41+(AB41*16*(32-B41-((112-C41)/112)))-AE41</f>
        <v>8810.7857142857138</v>
      </c>
      <c r="AI41" s="558">
        <f>(AF41-AC41)/(36-B41+((112-C41)/112))</f>
        <v>733.39483101391647</v>
      </c>
      <c r="AJ41" s="558">
        <f>(AF41-AD41)/(34-B41+((112-C41)/112))</f>
        <v>835.09167315175102</v>
      </c>
      <c r="AK41" s="590">
        <f>(AF41-AE41)/(32-B41+((112-C41)/112))</f>
        <v>969.17323279924597</v>
      </c>
    </row>
    <row r="42" spans="1:37" x14ac:dyDescent="0.25">
      <c r="A42" s="565" t="s">
        <v>734</v>
      </c>
      <c r="B42" s="346">
        <v>22</v>
      </c>
      <c r="C42" s="558">
        <v>42</v>
      </c>
      <c r="D42" s="559" t="s">
        <v>0</v>
      </c>
      <c r="E42" s="560"/>
      <c r="F42" s="568">
        <v>1</v>
      </c>
      <c r="G42" s="569">
        <v>2</v>
      </c>
      <c r="H42" s="572">
        <v>0</v>
      </c>
      <c r="I42" s="572">
        <v>1</v>
      </c>
      <c r="J42" s="572">
        <v>4</v>
      </c>
      <c r="K42" s="572">
        <v>2</v>
      </c>
      <c r="L42" s="572">
        <v>9</v>
      </c>
      <c r="M42" s="572">
        <v>14</v>
      </c>
      <c r="N42" s="573">
        <v>3</v>
      </c>
      <c r="O42" s="576">
        <f>((J42+F42+(LOG(G42)*4/3))*0.15)</f>
        <v>0.81020599913279623</v>
      </c>
      <c r="P42" s="576">
        <f>((M42+F42+(LOG(G42)*4/3))*0.552)+((K42+F42+(LOG(G42)*4/3))*0.576)+((L42+F42+(LOG(G42)*4/3))*0.195)</f>
        <v>12.489016912351262</v>
      </c>
      <c r="Q42" s="577">
        <f>((M42+F42+(LOG(G42)*4/3))*0.607)+((L42+F42+(LOG(G42)*4/3))*0.248)</f>
        <v>11.928174195056938</v>
      </c>
      <c r="R42" s="582">
        <f>((M42+F42+(LOG(G42)*4/3))*0.223)+((K42+F42+(LOG(G42)*4/3))*0)+((L42+F42+(LOG(G42)*4/3))*0)</f>
        <v>3.4345062520440903</v>
      </c>
      <c r="S42" s="576">
        <f>((J42+F42+(LOG(G42)*4/3))*0.406)</f>
        <v>2.1929575709861022</v>
      </c>
      <c r="T42" s="576">
        <f>IF(D42="TEC",((K42+F42+(LOG(G42)*4/3))*0.15)+((L42+F42+(LOG(G42)*4/3))*0.324)+((M42+F42+(LOG(G42)*4/3))*0.127),((K42+F42+(LOG(G42)*4/3))*0.144)+((L42+F42+(LOG(G42)*4/3))*0.25)+((M42+F42+(LOG(G42)*4/3))*0.127))</f>
        <v>5.0461155036545788</v>
      </c>
      <c r="U42" s="577">
        <f>IF(D42="TEC",((L42+F42+(LOG(G42)*4/3))*0.543)+((M42+F42+(LOG(G42)*4/3))*0.583),((L42+F42+(LOG(G42)*4/3))*0.543)+((M42+F42+(LOG(G42)*4/3))*0.583))</f>
        <v>14.626946366823525</v>
      </c>
      <c r="V42" s="582">
        <f>T42</f>
        <v>5.0461155036545788</v>
      </c>
      <c r="W42" s="577">
        <f>((J42+F42+(LOG(G42)*4/3))*0.25)</f>
        <v>1.3503433318879938</v>
      </c>
      <c r="X42" s="577">
        <f>((M42+F42+(LOG(G42)*4/3))*0.26)+((K42+F42+(LOG(G42)*4/3))*0.221)+((L42+F42+(LOG(G42)*4/3))*0.142)</f>
        <v>6.2330555830648802</v>
      </c>
      <c r="Y42" s="577">
        <f>((M42+F42+(LOG(G42)*4/3))*1)+((L42+F42+(LOG(G42)*4/3))*0.369)</f>
        <v>19.239480085418652</v>
      </c>
      <c r="Z42" s="578">
        <f>X42</f>
        <v>6.2330555830648802</v>
      </c>
      <c r="AA42" s="375">
        <v>5000</v>
      </c>
      <c r="AB42" s="357">
        <v>25.7</v>
      </c>
      <c r="AC42" s="586"/>
      <c r="AD42" s="586"/>
      <c r="AE42" s="587"/>
      <c r="AF42" s="558">
        <f>AA42+(AB42*16*(36-B42-((112-C42)/112)))-AC42</f>
        <v>10499.8</v>
      </c>
      <c r="AG42" s="558">
        <f>AA42+(AB42*16*(34-B42-((112-C42)/112)))-AD42</f>
        <v>9677.4</v>
      </c>
      <c r="AH42" s="590">
        <f>AA42+(AB42*16*(32-B42-((112-C42)/112)))-AE42</f>
        <v>8855</v>
      </c>
      <c r="AI42" s="558">
        <f>(AF42-AC42)/(36-B42+((112-C42)/112))</f>
        <v>717.93504273504266</v>
      </c>
      <c r="AJ42" s="558">
        <f>(AF42-AD42)/(34-B42+((112-C42)/112))</f>
        <v>831.66732673267325</v>
      </c>
      <c r="AK42" s="590">
        <f>(AF42-AE42)/(32-B42+((112-C42)/112))</f>
        <v>988.21647058823521</v>
      </c>
    </row>
    <row r="43" spans="1:37" x14ac:dyDescent="0.25">
      <c r="A43" s="565" t="s">
        <v>922</v>
      </c>
      <c r="B43" s="346">
        <v>27</v>
      </c>
      <c r="C43" s="558">
        <v>19</v>
      </c>
      <c r="D43" s="559" t="s">
        <v>40</v>
      </c>
      <c r="E43" s="560">
        <v>3</v>
      </c>
      <c r="F43" s="568">
        <v>1</v>
      </c>
      <c r="G43" s="569">
        <v>4</v>
      </c>
      <c r="H43" s="572">
        <v>0</v>
      </c>
      <c r="I43" s="572">
        <v>4</v>
      </c>
      <c r="J43" s="572">
        <v>4</v>
      </c>
      <c r="K43" s="572">
        <v>8</v>
      </c>
      <c r="L43" s="572">
        <v>13</v>
      </c>
      <c r="M43" s="572">
        <v>13</v>
      </c>
      <c r="N43" s="573">
        <v>19</v>
      </c>
      <c r="O43" s="576">
        <f>((J43+F43+(LOG(G43)*4/3))*0.15)</f>
        <v>0.87041199826559246</v>
      </c>
      <c r="P43" s="576">
        <f>((M43+F43+(LOG(G43)*4/3))*0.552)+((K43+F43+(LOG(G43)*4/3))*0.576)+((L43+F43+(LOG(G43)*4/3))*0.195)</f>
        <v>16.704033824702528</v>
      </c>
      <c r="Q43" s="577">
        <f>((M43+F43+(LOG(G43)*4/3))*0.607)+((L43+F43+(LOG(G43)*4/3))*0.248)</f>
        <v>12.656348390113877</v>
      </c>
      <c r="R43" s="582">
        <f>((M43+F43+(LOG(G43)*4/3))*0.223)+((K43+F43+(LOG(G43)*4/3))*0)+((L43+F43+(LOG(G43)*4/3))*0)</f>
        <v>3.301012504088181</v>
      </c>
      <c r="S43" s="576">
        <f>((J43+F43+(LOG(G43)*4/3))*0.406)</f>
        <v>2.3559151419722038</v>
      </c>
      <c r="T43" s="576">
        <f>IF(D43="TEC",((K43+F43+(LOG(G43)*4/3))*0.15)+((L43+F43+(LOG(G43)*4/3))*0.324)+((M43+F43+(LOG(G43)*4/3))*0.127),((K43+F43+(LOG(G43)*4/3))*0.144)+((L43+F43+(LOG(G43)*4/3))*0.25)+((M43+F43+(LOG(G43)*4/3))*0.127))</f>
        <v>6.992231007309158</v>
      </c>
      <c r="U43" s="577">
        <f>IF(D43="TEC",((L43+F43+(LOG(G43)*4/3))*0.543)+((M43+F43+(LOG(G43)*4/3))*0.583),((L43+F43+(LOG(G43)*4/3))*0.543)+((M43+F43+(LOG(G43)*4/3))*0.583))</f>
        <v>16.667892733647051</v>
      </c>
      <c r="V43" s="582">
        <f>T43</f>
        <v>6.992231007309158</v>
      </c>
      <c r="W43" s="577">
        <f>((J43+F43+(LOG(G43)*4/3))*0.25)</f>
        <v>1.4506866637759874</v>
      </c>
      <c r="X43" s="577">
        <f>((M43+F43+(LOG(G43)*4/3))*0.26)+((K43+F43+(LOG(G43)*4/3))*0.221)+((L43+F43+(LOG(G43)*4/3))*0.142)</f>
        <v>8.1171111661297601</v>
      </c>
      <c r="Y43" s="577">
        <f>((M43+F43+(LOG(G43)*4/3))*1)+((L43+F43+(LOG(G43)*4/3))*0.369)</f>
        <v>20.264960170837309</v>
      </c>
      <c r="Z43" s="578">
        <f>X43</f>
        <v>8.1171111661297601</v>
      </c>
      <c r="AA43" s="375">
        <v>7200</v>
      </c>
      <c r="AB43" s="357">
        <v>26.1</v>
      </c>
      <c r="AC43" s="586"/>
      <c r="AD43" s="586"/>
      <c r="AE43" s="587"/>
      <c r="AF43" s="558">
        <f>AA43+(AB43*16*(36-B43-((112-C43)/112)))-AC43</f>
        <v>10611.642857142857</v>
      </c>
      <c r="AG43" s="558">
        <f>AA43+(AB43*16*(34-B43-((112-C43)/112)))-AD43</f>
        <v>9776.442857142858</v>
      </c>
      <c r="AH43" s="590">
        <f>AA43+(AB43*16*(32-B43-((112-C43)/112)))-AE43</f>
        <v>8941.2428571428572</v>
      </c>
      <c r="AI43" s="558">
        <f>(AF43-AC43)/(36-B43+((112-C43)/112))</f>
        <v>1079.4768392370572</v>
      </c>
      <c r="AJ43" s="558">
        <f>(AF43-AD43)/(34-B43+((112-C43)/112))</f>
        <v>1355.1927023945268</v>
      </c>
      <c r="AK43" s="590">
        <f>(AF43-AE43)/(32-B43+((112-C43)/112))</f>
        <v>1820.0673813169983</v>
      </c>
    </row>
    <row r="44" spans="1:37" x14ac:dyDescent="0.25">
      <c r="A44" s="565" t="s">
        <v>728</v>
      </c>
      <c r="B44" s="346">
        <v>21</v>
      </c>
      <c r="C44" s="558">
        <v>63</v>
      </c>
      <c r="D44" s="559" t="s">
        <v>40</v>
      </c>
      <c r="E44" s="560"/>
      <c r="F44" s="568">
        <v>1</v>
      </c>
      <c r="G44" s="569">
        <v>3</v>
      </c>
      <c r="H44" s="572">
        <v>0</v>
      </c>
      <c r="I44" s="572">
        <v>6</v>
      </c>
      <c r="J44" s="572">
        <v>3</v>
      </c>
      <c r="K44" s="572">
        <v>5</v>
      </c>
      <c r="L44" s="572">
        <v>10</v>
      </c>
      <c r="M44" s="572">
        <v>13</v>
      </c>
      <c r="N44" s="573">
        <v>0</v>
      </c>
      <c r="O44" s="576">
        <f>((J44+F44+(LOG(G44)*4/3))*0.15)</f>
        <v>0.69542425094393245</v>
      </c>
      <c r="P44" s="576">
        <f>((M44+F44+(LOG(G44)*4/3))*0.552)+((K44+F44+(LOG(G44)*4/3))*0.576)+((L44+F44+(LOG(G44)*4/3))*0.195)</f>
        <v>14.170641893325485</v>
      </c>
      <c r="Q44" s="577">
        <f>((M44+F44+(LOG(G44)*4/3))*0.607)+((L44+F44+(LOG(G44)*4/3))*0.248)</f>
        <v>11.769918230380416</v>
      </c>
      <c r="R44" s="582">
        <f>((M44+F44+(LOG(G44)*4/3))*0.223)+((K44+F44+(LOG(G44)*4/3))*0)+((L44+F44+(LOG(G44)*4/3))*0)</f>
        <v>3.2638640530699798</v>
      </c>
      <c r="S44" s="576">
        <f>((J44+F44+(LOG(G44)*4/3))*0.406)</f>
        <v>1.8822816392215773</v>
      </c>
      <c r="T44" s="576">
        <f>IF(D44="TEC",((K44+F44+(LOG(G44)*4/3))*0.15)+((L44+F44+(LOG(G44)*4/3))*0.324)+((M44+F44+(LOG(G44)*4/3))*0.127),((K44+F44+(LOG(G44)*4/3))*0.144)+((L44+F44+(LOG(G44)*4/3))*0.25)+((M44+F44+(LOG(G44)*4/3))*0.127))</f>
        <v>5.7234402316119253</v>
      </c>
      <c r="U44" s="577">
        <f>IF(D44="TEC",((L44+F44+(LOG(G44)*4/3))*0.543)+((M44+F44+(LOG(G44)*4/3))*0.583),((L44+F44+(LOG(G44)*4/3))*0.543)+((M44+F44+(LOG(G44)*4/3))*0.583))</f>
        <v>14.851318043752453</v>
      </c>
      <c r="V44" s="582">
        <f>T44</f>
        <v>5.7234402316119253</v>
      </c>
      <c r="W44" s="577">
        <f>((J44+F44+(LOG(G44)*4/3))*0.25)</f>
        <v>1.1590404182398875</v>
      </c>
      <c r="X44" s="577">
        <f>((M44+F44+(LOG(G44)*4/3))*0.26)+((K44+F44+(LOG(G44)*4/3))*0.221)+((L44+F44+(LOG(G44)*4/3))*0.142)</f>
        <v>6.9243287222537999</v>
      </c>
      <c r="Y44" s="577">
        <f>((M44+F44+(LOG(G44)*4/3))*1)+((L44+F44+(LOG(G44)*4/3))*0.369)</f>
        <v>18.929905330281624</v>
      </c>
      <c r="Z44" s="578">
        <f>X44</f>
        <v>6.9243287222537999</v>
      </c>
      <c r="AA44" s="375">
        <v>6500</v>
      </c>
      <c r="AB44" s="357">
        <f>14.05*1.2</f>
        <v>16.86</v>
      </c>
      <c r="AC44" s="586"/>
      <c r="AD44" s="586"/>
      <c r="AE44" s="587"/>
      <c r="AF44" s="558">
        <f>AA44+(AB44*16*(36-B44-((112-C44)/112)))-AC44</f>
        <v>10428.379999999999</v>
      </c>
      <c r="AG44" s="558">
        <f>AA44+(AB44*16*(34-B44-((112-C44)/112)))-AD44</f>
        <v>9888.86</v>
      </c>
      <c r="AH44" s="590">
        <f>AA44+(AB44*16*(32-B44-((112-C44)/112)))-AE44</f>
        <v>9349.34</v>
      </c>
      <c r="AI44" s="558">
        <f>(AF44-AC44)/(36-B44+((112-C44)/112))</f>
        <v>675.5225910931174</v>
      </c>
      <c r="AJ44" s="558">
        <f>(AF44-AD44)/(34-B44+((112-C44)/112))</f>
        <v>776.065488372093</v>
      </c>
      <c r="AK44" s="590">
        <f>(AF44-AE44)/(32-B44+((112-C44)/112))</f>
        <v>911.77092896174861</v>
      </c>
    </row>
    <row r="45" spans="1:37" x14ac:dyDescent="0.25">
      <c r="A45" s="565" t="s">
        <v>735</v>
      </c>
      <c r="B45" s="346">
        <v>22</v>
      </c>
      <c r="C45" s="558">
        <v>36</v>
      </c>
      <c r="D45" s="559" t="s">
        <v>40</v>
      </c>
      <c r="E45" s="560"/>
      <c r="F45" s="568">
        <f ca="1">Plantilla!N11</f>
        <v>1</v>
      </c>
      <c r="G45" s="569">
        <v>3</v>
      </c>
      <c r="H45" s="572">
        <v>0</v>
      </c>
      <c r="I45" s="572">
        <v>2</v>
      </c>
      <c r="J45" s="572">
        <v>2</v>
      </c>
      <c r="K45" s="572">
        <v>2</v>
      </c>
      <c r="L45" s="572">
        <v>10</v>
      </c>
      <c r="M45" s="572">
        <v>14</v>
      </c>
      <c r="N45" s="573">
        <v>2</v>
      </c>
      <c r="O45" s="576">
        <f ca="1">((J45+F45+(LOG(G45)*4/3))*0.15)</f>
        <v>0.54542425094393243</v>
      </c>
      <c r="P45" s="576">
        <f ca="1">((M45+F45+(LOG(G45)*4/3))*0.552)+((K45+F45+(LOG(G45)*4/3))*0.576)+((L45+F45+(LOG(G45)*4/3))*0.195)</f>
        <v>12.994641893325486</v>
      </c>
      <c r="Q45" s="577">
        <f ca="1">((M45+F45+(LOG(G45)*4/3))*0.607)+((L45+F45+(LOG(G45)*4/3))*0.248)</f>
        <v>12.376918230380415</v>
      </c>
      <c r="R45" s="582">
        <f ca="1">((M45+F45+(LOG(G45)*4/3))*0.223)+((K45+F45+(LOG(G45)*4/3))*0)+((L45+F45+(LOG(G45)*4/3))*0)</f>
        <v>3.4868640530699797</v>
      </c>
      <c r="S45" s="576">
        <f ca="1">((J45+F45+(LOG(G45)*4/3))*0.406)</f>
        <v>1.4762816392215774</v>
      </c>
      <c r="T45" s="576">
        <f ca="1">IF(D45="TEC",((K45+F45+(LOG(G45)*4/3))*0.15)+((L45+F45+(LOG(G45)*4/3))*0.324)+((M45+F45+(LOG(G45)*4/3))*0.127),((K45+F45+(LOG(G45)*4/3))*0.144)+((L45+F45+(LOG(G45)*4/3))*0.25)+((M45+F45+(LOG(G45)*4/3))*0.127))</f>
        <v>5.4184402316119264</v>
      </c>
      <c r="U45" s="577">
        <f ca="1">IF(D45="TEC",((L45+F45+(LOG(G45)*4/3))*0.543)+((M45+F45+(LOG(G45)*4/3))*0.583),((L45+F45+(LOG(G45)*4/3))*0.543)+((M45+F45+(LOG(G45)*4/3))*0.583))</f>
        <v>15.434318043752455</v>
      </c>
      <c r="V45" s="582">
        <f ca="1">T45</f>
        <v>5.4184402316119264</v>
      </c>
      <c r="W45" s="577">
        <f ca="1">((J45+F45+(LOG(G45)*4/3))*0.25)</f>
        <v>0.90904041823988746</v>
      </c>
      <c r="X45" s="577">
        <f ca="1">((M45+F45+(LOG(G45)*4/3))*0.26)+((K45+F45+(LOG(G45)*4/3))*0.221)+((L45+F45+(LOG(G45)*4/3))*0.142)</f>
        <v>6.5213287222537994</v>
      </c>
      <c r="Y45" s="577">
        <f ca="1">((M45+F45+(LOG(G45)*4/3))*1)+((L45+F45+(LOG(G45)*4/3))*0.369)</f>
        <v>19.929905330281624</v>
      </c>
      <c r="Z45" s="578">
        <f ca="1">X45</f>
        <v>6.5213287222537994</v>
      </c>
      <c r="AA45" s="375">
        <v>5500</v>
      </c>
      <c r="AB45" s="357">
        <v>26</v>
      </c>
      <c r="AC45" s="586"/>
      <c r="AD45" s="586"/>
      <c r="AE45" s="587"/>
      <c r="AF45" s="558">
        <f>AA45+(AB45*16*(36-B45-((112-C45)/112)))-AC45</f>
        <v>11041.714285714286</v>
      </c>
      <c r="AG45" s="558">
        <f>AA45+(AB45*16*(34-B45-((112-C45)/112)))-AD45</f>
        <v>10209.714285714286</v>
      </c>
      <c r="AH45" s="590">
        <f>AA45+(AB45*16*(32-B45-((112-C45)/112)))-AE45</f>
        <v>9377.7142857142862</v>
      </c>
      <c r="AI45" s="558">
        <f>(AF45-AC45)/(36-B45+((112-C45)/112))</f>
        <v>752.23357664233583</v>
      </c>
      <c r="AJ45" s="558">
        <f>(AF45-AD45)/(34-B45+((112-C45)/112))</f>
        <v>870.89577464788738</v>
      </c>
      <c r="AK45" s="590">
        <f>(AF45-AE45)/(32-B45+((112-C45)/112))</f>
        <v>1034.0066889632108</v>
      </c>
    </row>
    <row r="46" spans="1:37" x14ac:dyDescent="0.25">
      <c r="A46" s="565" t="s">
        <v>731</v>
      </c>
      <c r="B46" s="346">
        <v>23</v>
      </c>
      <c r="C46" s="558">
        <v>78</v>
      </c>
      <c r="D46" s="559" t="s">
        <v>40</v>
      </c>
      <c r="E46" s="560"/>
      <c r="F46" s="568">
        <f ca="1">Plantilla!N8</f>
        <v>1</v>
      </c>
      <c r="G46" s="569">
        <v>3</v>
      </c>
      <c r="H46" s="572">
        <v>0</v>
      </c>
      <c r="I46" s="572">
        <v>3</v>
      </c>
      <c r="J46" s="572">
        <v>4</v>
      </c>
      <c r="K46" s="572">
        <v>3</v>
      </c>
      <c r="L46" s="572">
        <v>12</v>
      </c>
      <c r="M46" s="572">
        <v>13</v>
      </c>
      <c r="N46" s="573">
        <v>3</v>
      </c>
      <c r="O46" s="576">
        <f ca="1">((J46+F46+(LOG(G46)*4/3))*0.15)</f>
        <v>0.84542425094393248</v>
      </c>
      <c r="P46" s="576">
        <f ca="1">((M46+F46+(LOG(G46)*4/3))*0.552)+((K46+F46+(LOG(G46)*4/3))*0.576)+((L46+F46+(LOG(G46)*4/3))*0.195)</f>
        <v>13.408641893325484</v>
      </c>
      <c r="Q46" s="577">
        <f ca="1">((M46+F46+(LOG(G46)*4/3))*0.607)+((L46+F46+(LOG(G46)*4/3))*0.248)</f>
        <v>12.265918230380414</v>
      </c>
      <c r="R46" s="582">
        <f ca="1">((M46+F46+(LOG(G46)*4/3))*0.223)+((K46+F46+(LOG(G46)*4/3))*0)+((L46+F46+(LOG(G46)*4/3))*0)</f>
        <v>3.2638640530699798</v>
      </c>
      <c r="S46" s="576">
        <f ca="1">((J46+F46+(LOG(G46)*4/3))*0.406)</f>
        <v>2.2882816392215775</v>
      </c>
      <c r="T46" s="576">
        <f ca="1">IF(D46="TEC",((K46+F46+(LOG(G46)*4/3))*0.15)+((L46+F46+(LOG(G46)*4/3))*0.324)+((M46+F46+(LOG(G46)*4/3))*0.127),((K46+F46+(LOG(G46)*4/3))*0.144)+((L46+F46+(LOG(G46)*4/3))*0.25)+((M46+F46+(LOG(G46)*4/3))*0.127))</f>
        <v>5.9354402316119259</v>
      </c>
      <c r="U46" s="577">
        <f ca="1">IF(D46="TEC",((L46+F46+(LOG(G46)*4/3))*0.543)+((M46+F46+(LOG(G46)*4/3))*0.583),((L46+F46+(LOG(G46)*4/3))*0.543)+((M46+F46+(LOG(G46)*4/3))*0.583))</f>
        <v>15.937318043752455</v>
      </c>
      <c r="V46" s="582">
        <f ca="1">T46</f>
        <v>5.9354402316119259</v>
      </c>
      <c r="W46" s="577">
        <f ca="1">((J46+F46+(LOG(G46)*4/3))*0.25)</f>
        <v>1.4090404182398875</v>
      </c>
      <c r="X46" s="577">
        <f ca="1">((M46+F46+(LOG(G46)*4/3))*0.26)+((K46+F46+(LOG(G46)*4/3))*0.221)+((L46+F46+(LOG(G46)*4/3))*0.142)</f>
        <v>6.7663287222537996</v>
      </c>
      <c r="Y46" s="577">
        <f ca="1">((M46+F46+(LOG(G46)*4/3))*1)+((L46+F46+(LOG(G46)*4/3))*0.369)</f>
        <v>19.667905330281624</v>
      </c>
      <c r="Z46" s="578">
        <f ca="1">X46</f>
        <v>6.7663287222537996</v>
      </c>
      <c r="AA46" s="375">
        <v>7500</v>
      </c>
      <c r="AB46" s="357">
        <v>13.5</v>
      </c>
      <c r="AC46" s="586"/>
      <c r="AD46" s="586"/>
      <c r="AE46" s="587"/>
      <c r="AF46" s="558">
        <f>AA46+(AB46*16*(36-B46-((112-C46)/112)))-AC46</f>
        <v>10242.428571428572</v>
      </c>
      <c r="AG46" s="558">
        <f>AA46+(AB46*16*(34-B46-((112-C46)/112)))-AD46</f>
        <v>9810.4285714285725</v>
      </c>
      <c r="AH46" s="590">
        <f>AA46+(AB46*16*(32-B46-((112-C46)/112)))-AE46</f>
        <v>9378.4285714285706</v>
      </c>
      <c r="AI46" s="558">
        <f>(AF46-AC46)/(36-B46+((112-C46)/112))</f>
        <v>769.90067114093961</v>
      </c>
      <c r="AJ46" s="558">
        <f>(AF46-AD46)/(34-B46+((112-C46)/112))</f>
        <v>906.12322274881524</v>
      </c>
      <c r="AK46" s="590">
        <f>(AF46-AE46)/(32-B46+((112-C46)/112))</f>
        <v>1100.9136276391555</v>
      </c>
    </row>
    <row r="47" spans="1:37" x14ac:dyDescent="0.25">
      <c r="A47" s="565" t="s">
        <v>871</v>
      </c>
      <c r="B47" s="346">
        <v>24</v>
      </c>
      <c r="C47" s="558">
        <v>41</v>
      </c>
      <c r="D47" s="559" t="s">
        <v>40</v>
      </c>
      <c r="E47" s="560">
        <v>4</v>
      </c>
      <c r="F47" s="568">
        <v>1</v>
      </c>
      <c r="G47" s="569">
        <v>4</v>
      </c>
      <c r="H47" s="572">
        <v>0</v>
      </c>
      <c r="I47" s="572">
        <v>3</v>
      </c>
      <c r="J47" s="572">
        <v>8</v>
      </c>
      <c r="K47" s="572">
        <v>6</v>
      </c>
      <c r="L47" s="572">
        <v>9</v>
      </c>
      <c r="M47" s="572">
        <v>13</v>
      </c>
      <c r="N47" s="573">
        <v>3</v>
      </c>
      <c r="O47" s="576">
        <f>((J47+F47+(LOG(G47)*4/3))*0.15)</f>
        <v>1.4704119982655925</v>
      </c>
      <c r="P47" s="576">
        <f>((M47+F47+(LOG(G47)*4/3))*0.552)+((K47+F47+(LOG(G47)*4/3))*0.576)+((L47+F47+(LOG(G47)*4/3))*0.195)</f>
        <v>14.772033824702527</v>
      </c>
      <c r="Q47" s="577">
        <f>((M47+F47+(LOG(G47)*4/3))*0.607)+((L47+F47+(LOG(G47)*4/3))*0.248)</f>
        <v>11.664348390113878</v>
      </c>
      <c r="R47" s="582">
        <f>((M47+F47+(LOG(G47)*4/3))*0.223)+((K47+F47+(LOG(G47)*4/3))*0)+((L47+F47+(LOG(G47)*4/3))*0)</f>
        <v>3.301012504088181</v>
      </c>
      <c r="S47" s="576">
        <f>((J47+F47+(LOG(G47)*4/3))*0.406)</f>
        <v>3.9799151419722043</v>
      </c>
      <c r="T47" s="576">
        <f>IF(D47="TEC",((K47+F47+(LOG(G47)*4/3))*0.15)+((L47+F47+(LOG(G47)*4/3))*0.324)+((M47+F47+(LOG(G47)*4/3))*0.127),((K47+F47+(LOG(G47)*4/3))*0.144)+((L47+F47+(LOG(G47)*4/3))*0.25)+((M47+F47+(LOG(G47)*4/3))*0.127))</f>
        <v>5.7042310073091578</v>
      </c>
      <c r="U47" s="577">
        <f>IF(D47="TEC",((L47+F47+(LOG(G47)*4/3))*0.543)+((M47+F47+(LOG(G47)*4/3))*0.583),((L47+F47+(LOG(G47)*4/3))*0.543)+((M47+F47+(LOG(G47)*4/3))*0.583))</f>
        <v>14.495892733647048</v>
      </c>
      <c r="V47" s="582">
        <f>T47</f>
        <v>5.7042310073091578</v>
      </c>
      <c r="W47" s="577">
        <f>((J47+F47+(LOG(G47)*4/3))*0.25)</f>
        <v>2.4506866637759877</v>
      </c>
      <c r="X47" s="577">
        <f>((M47+F47+(LOG(G47)*4/3))*0.26)+((K47+F47+(LOG(G47)*4/3))*0.221)+((L47+F47+(LOG(G47)*4/3))*0.142)</f>
        <v>7.1071111661297612</v>
      </c>
      <c r="Y47" s="577">
        <f>((M47+F47+(LOG(G47)*4/3))*1)+((L47+F47+(LOG(G47)*4/3))*0.369)</f>
        <v>18.788960170837306</v>
      </c>
      <c r="Z47" s="578">
        <f>X47</f>
        <v>7.1071111661297612</v>
      </c>
      <c r="AA47" s="375">
        <v>6500</v>
      </c>
      <c r="AB47" s="357">
        <v>24.5</v>
      </c>
      <c r="AC47" s="586"/>
      <c r="AD47" s="586"/>
      <c r="AE47" s="587"/>
      <c r="AF47" s="558">
        <f>AA47+(AB47*16*(36-B47-((112-C47)/112)))-AC47</f>
        <v>10955.5</v>
      </c>
      <c r="AG47" s="558">
        <f>AA47+(AB47*16*(34-B47-((112-C47)/112)))-AD47</f>
        <v>10171.5</v>
      </c>
      <c r="AH47" s="590">
        <f>AA47+(AB47*16*(32-B47-((112-C47)/112)))-AE47</f>
        <v>9387.5</v>
      </c>
      <c r="AI47" s="558">
        <f>(AF47-AC47)/(36-B47+((112-C47)/112))</f>
        <v>867.14911660777386</v>
      </c>
      <c r="AJ47" s="558">
        <f>(AF47-AD47)/(34-B47+((112-C47)/112))</f>
        <v>1030.2401343408901</v>
      </c>
      <c r="AK47" s="590">
        <f>(AF47-AE47)/(32-B47+((112-C47)/112))</f>
        <v>1268.8893485005171</v>
      </c>
    </row>
    <row r="48" spans="1:37" x14ac:dyDescent="0.25">
      <c r="A48" s="565" t="s">
        <v>939</v>
      </c>
      <c r="B48" s="346">
        <v>23</v>
      </c>
      <c r="C48" s="558">
        <v>75</v>
      </c>
      <c r="D48" s="559" t="s">
        <v>40</v>
      </c>
      <c r="E48" s="560">
        <v>2</v>
      </c>
      <c r="F48" s="568">
        <v>1</v>
      </c>
      <c r="G48" s="569">
        <v>4</v>
      </c>
      <c r="H48" s="572">
        <v>0</v>
      </c>
      <c r="I48" s="572">
        <v>3</v>
      </c>
      <c r="J48" s="572">
        <v>4</v>
      </c>
      <c r="K48" s="572">
        <v>7</v>
      </c>
      <c r="L48" s="572">
        <v>7</v>
      </c>
      <c r="M48" s="572">
        <v>14</v>
      </c>
      <c r="N48" s="573">
        <v>1</v>
      </c>
      <c r="O48" s="576">
        <f>((J48+F48+(LOG(G48)*4/3))*0.15)</f>
        <v>0.87041199826559246</v>
      </c>
      <c r="P48" s="576">
        <f>((M48+F48+(LOG(G48)*4/3))*0.552)+((K48+F48+(LOG(G48)*4/3))*0.576)+((L48+F48+(LOG(G48)*4/3))*0.195)</f>
        <v>15.510033824702527</v>
      </c>
      <c r="Q48" s="577">
        <f>((M48+F48+(LOG(G48)*4/3))*0.607)+((L48+F48+(LOG(G48)*4/3))*0.248)</f>
        <v>11.775348390113878</v>
      </c>
      <c r="R48" s="582">
        <f>((M48+F48+(LOG(G48)*4/3))*0.223)+((K48+F48+(LOG(G48)*4/3))*0)+((L48+F48+(LOG(G48)*4/3))*0)</f>
        <v>3.5240125040881809</v>
      </c>
      <c r="S48" s="576">
        <f>((J48+F48+(LOG(G48)*4/3))*0.406)</f>
        <v>2.3559151419722038</v>
      </c>
      <c r="T48" s="576">
        <f>IF(D48="TEC",((K48+F48+(LOG(G48)*4/3))*0.15)+((L48+F48+(LOG(G48)*4/3))*0.324)+((M48+F48+(LOG(G48)*4/3))*0.127),((K48+F48+(LOG(G48)*4/3))*0.144)+((L48+F48+(LOG(G48)*4/3))*0.25)+((M48+F48+(LOG(G48)*4/3))*0.127))</f>
        <v>5.4752310073091586</v>
      </c>
      <c r="U48" s="577">
        <f>IF(D48="TEC",((L48+F48+(LOG(G48)*4/3))*0.543)+((M48+F48+(LOG(G48)*4/3))*0.583),((L48+F48+(LOG(G48)*4/3))*0.543)+((M48+F48+(LOG(G48)*4/3))*0.583))</f>
        <v>13.992892733647048</v>
      </c>
      <c r="V48" s="582">
        <f>T48</f>
        <v>5.4752310073091586</v>
      </c>
      <c r="W48" s="577">
        <f>((J48+F48+(LOG(G48)*4/3))*0.25)</f>
        <v>1.4506866637759874</v>
      </c>
      <c r="X48" s="577">
        <f>((M48+F48+(LOG(G48)*4/3))*0.26)+((K48+F48+(LOG(G48)*4/3))*0.221)+((L48+F48+(LOG(G48)*4/3))*0.142)</f>
        <v>7.3041111661297613</v>
      </c>
      <c r="Y48" s="577">
        <f>((M48+F48+(LOG(G48)*4/3))*1)+((L48+F48+(LOG(G48)*4/3))*0.369)</f>
        <v>19.050960170837307</v>
      </c>
      <c r="Z48" s="578">
        <f>X48</f>
        <v>7.3041111661297613</v>
      </c>
      <c r="AA48" s="375">
        <v>6750</v>
      </c>
      <c r="AB48" s="357">
        <v>19.5</v>
      </c>
      <c r="AC48" s="586"/>
      <c r="AD48" s="586"/>
      <c r="AE48" s="587"/>
      <c r="AF48" s="558">
        <f>AA48+(AB48*16*(36-B48-((112-C48)/112)))-AC48</f>
        <v>10702.928571428572</v>
      </c>
      <c r="AG48" s="558">
        <f>AA48+(AB48*16*(34-B48-((112-C48)/112)))-AD48</f>
        <v>10078.928571428572</v>
      </c>
      <c r="AH48" s="590">
        <f>AA48+(AB48*16*(32-B48-((112-C48)/112)))-AE48</f>
        <v>9454.9285714285725</v>
      </c>
      <c r="AI48" s="558">
        <f>(AF48-AC48)/(36-B48+((112-C48)/112))</f>
        <v>802.8988613529807</v>
      </c>
      <c r="AJ48" s="558">
        <f>(AF48-AD48)/(34-B48+((112-C48)/112))</f>
        <v>944.62411347517741</v>
      </c>
      <c r="AK48" s="590">
        <f>(AF48-AE48)/(32-B48+((112-C48)/112))</f>
        <v>1147.1081339712921</v>
      </c>
    </row>
    <row r="49" spans="1:37" x14ac:dyDescent="0.25">
      <c r="A49" s="565" t="s">
        <v>757</v>
      </c>
      <c r="B49" s="346">
        <v>23</v>
      </c>
      <c r="C49" s="558">
        <v>66</v>
      </c>
      <c r="D49" s="559" t="s">
        <v>40</v>
      </c>
      <c r="E49" s="560">
        <v>0</v>
      </c>
      <c r="F49" s="568">
        <v>1</v>
      </c>
      <c r="G49" s="569">
        <v>3</v>
      </c>
      <c r="H49" s="572">
        <v>0</v>
      </c>
      <c r="I49" s="572">
        <v>2</v>
      </c>
      <c r="J49" s="572">
        <v>4</v>
      </c>
      <c r="K49" s="572">
        <v>6</v>
      </c>
      <c r="L49" s="572">
        <v>11</v>
      </c>
      <c r="M49" s="572">
        <v>14</v>
      </c>
      <c r="N49" s="573">
        <v>1</v>
      </c>
      <c r="O49" s="576">
        <f>((J49+F49+(LOG(G49)*4/3))*0.15)</f>
        <v>0.84542425094393248</v>
      </c>
      <c r="P49" s="576">
        <f>((M49+F49+(LOG(G49)*4/3))*0.552)+((K49+F49+(LOG(G49)*4/3))*0.576)+((L49+F49+(LOG(G49)*4/3))*0.195)</f>
        <v>15.493641893325485</v>
      </c>
      <c r="Q49" s="577">
        <f>((M49+F49+(LOG(G49)*4/3))*0.607)+((L49+F49+(LOG(G49)*4/3))*0.248)</f>
        <v>12.624918230380414</v>
      </c>
      <c r="R49" s="582">
        <f>((M49+F49+(LOG(G49)*4/3))*0.223)+((K49+F49+(LOG(G49)*4/3))*0)+((L49+F49+(LOG(G49)*4/3))*0)</f>
        <v>3.4868640530699797</v>
      </c>
      <c r="S49" s="576">
        <f>((J49+F49+(LOG(G49)*4/3))*0.406)</f>
        <v>2.2882816392215775</v>
      </c>
      <c r="T49" s="576">
        <f>IF(D49="TEC",((K49+F49+(LOG(G49)*4/3))*0.15)+((L49+F49+(LOG(G49)*4/3))*0.324)+((M49+F49+(LOG(G49)*4/3))*0.127),((K49+F49+(LOG(G49)*4/3))*0.144)+((L49+F49+(LOG(G49)*4/3))*0.25)+((M49+F49+(LOG(G49)*4/3))*0.127))</f>
        <v>6.2444402316119252</v>
      </c>
      <c r="U49" s="577">
        <f>IF(D49="TEC",((L49+F49+(LOG(G49)*4/3))*0.543)+((M49+F49+(LOG(G49)*4/3))*0.583),((L49+F49+(LOG(G49)*4/3))*0.543)+((M49+F49+(LOG(G49)*4/3))*0.583))</f>
        <v>15.977318043752454</v>
      </c>
      <c r="V49" s="582">
        <f>T49</f>
        <v>6.2444402316119252</v>
      </c>
      <c r="W49" s="577">
        <f>((J49+F49+(LOG(G49)*4/3))*0.25)</f>
        <v>1.4090404182398875</v>
      </c>
      <c r="X49" s="577">
        <f>((M49+F49+(LOG(G49)*4/3))*0.26)+((K49+F49+(LOG(G49)*4/3))*0.221)+((L49+F49+(LOG(G49)*4/3))*0.142)</f>
        <v>7.5473287222538001</v>
      </c>
      <c r="Y49" s="577">
        <f>((M49+F49+(LOG(G49)*4/3))*1)+((L49+F49+(LOG(G49)*4/3))*0.369)</f>
        <v>20.298905330281624</v>
      </c>
      <c r="Z49" s="578">
        <f>X49</f>
        <v>7.5473287222538001</v>
      </c>
      <c r="AA49" s="375">
        <v>7234</v>
      </c>
      <c r="AB49" s="357">
        <v>19</v>
      </c>
      <c r="AC49" s="586"/>
      <c r="AD49" s="586"/>
      <c r="AE49" s="587"/>
      <c r="AF49" s="558">
        <f>AA49+(AB49*16*(36-B49-((112-C49)/112)))-AC49</f>
        <v>11061.142857142857</v>
      </c>
      <c r="AG49" s="558">
        <f>AA49+(AB49*16*(34-B49-((112-C49)/112)))-AD49</f>
        <v>10453.142857142857</v>
      </c>
      <c r="AH49" s="590">
        <f>AA49+(AB49*16*(32-B49-((112-C49)/112)))-AE49</f>
        <v>9845.1428571428569</v>
      </c>
      <c r="AI49" s="558">
        <f>(AF49-AC49)/(36-B49+((112-C49)/112))</f>
        <v>824.79893475366168</v>
      </c>
      <c r="AJ49" s="558">
        <f>(AF49-AD49)/(34-B49+((112-C49)/112))</f>
        <v>969.36463223787155</v>
      </c>
      <c r="AK49" s="590">
        <f>(AF49-AE49)/(32-B49+((112-C49)/112))</f>
        <v>1175.3776091081593</v>
      </c>
    </row>
    <row r="50" spans="1:37" x14ac:dyDescent="0.25">
      <c r="A50" s="565" t="s">
        <v>730</v>
      </c>
      <c r="B50" s="346">
        <v>20</v>
      </c>
      <c r="C50" s="558">
        <v>94</v>
      </c>
      <c r="D50" s="559" t="s">
        <v>183</v>
      </c>
      <c r="E50" s="560"/>
      <c r="F50" s="568">
        <v>1</v>
      </c>
      <c r="G50" s="569">
        <v>4</v>
      </c>
      <c r="H50" s="572">
        <v>0</v>
      </c>
      <c r="I50" s="572">
        <v>3</v>
      </c>
      <c r="J50" s="572">
        <v>7</v>
      </c>
      <c r="K50" s="572">
        <v>5</v>
      </c>
      <c r="L50" s="572">
        <v>7</v>
      </c>
      <c r="M50" s="572">
        <v>13</v>
      </c>
      <c r="N50" s="573">
        <v>1</v>
      </c>
      <c r="O50" s="576">
        <f>((J50+F50+(LOG(G50)*4/3))*0.15)</f>
        <v>1.3204119982655926</v>
      </c>
      <c r="P50" s="576">
        <f>((M50+F50+(LOG(G50)*4/3))*0.552)+((K50+F50+(LOG(G50)*4/3))*0.576)+((L50+F50+(LOG(G50)*4/3))*0.195)</f>
        <v>13.806033824702528</v>
      </c>
      <c r="Q50" s="577">
        <f>((M50+F50+(LOG(G50)*4/3))*0.607)+((L50+F50+(LOG(G50)*4/3))*0.248)</f>
        <v>11.168348390113877</v>
      </c>
      <c r="R50" s="582">
        <f>((M50+F50+(LOG(G50)*4/3))*0.223)+((K50+F50+(LOG(G50)*4/3))*0)+((L50+F50+(LOG(G50)*4/3))*0)</f>
        <v>3.301012504088181</v>
      </c>
      <c r="S50" s="576">
        <f>((J50+F50+(LOG(G50)*4/3))*0.406)</f>
        <v>3.5739151419722042</v>
      </c>
      <c r="T50" s="576">
        <f>IF(D50="TEC",((K50+F50+(LOG(G50)*4/3))*0.15)+((L50+F50+(LOG(G50)*4/3))*0.324)+((M50+F50+(LOG(G50)*4/3))*0.127),((K50+F50+(LOG(G50)*4/3))*0.144)+((L50+F50+(LOG(G50)*4/3))*0.25)+((M50+F50+(LOG(G50)*4/3))*0.127))</f>
        <v>5.0602310073091585</v>
      </c>
      <c r="U50" s="577">
        <f>IF(D50="TEC",((L50+F50+(LOG(G50)*4/3))*0.543)+((M50+F50+(LOG(G50)*4/3))*0.583),((L50+F50+(LOG(G50)*4/3))*0.543)+((M50+F50+(LOG(G50)*4/3))*0.583))</f>
        <v>13.409892733647048</v>
      </c>
      <c r="V50" s="582">
        <f>T50</f>
        <v>5.0602310073091585</v>
      </c>
      <c r="W50" s="577">
        <f>((J50+F50+(LOG(G50)*4/3))*0.25)</f>
        <v>2.2006866637759877</v>
      </c>
      <c r="X50" s="577">
        <f>((M50+F50+(LOG(G50)*4/3))*0.26)+((K50+F50+(LOG(G50)*4/3))*0.221)+((L50+F50+(LOG(G50)*4/3))*0.142)</f>
        <v>6.6021111661297613</v>
      </c>
      <c r="Y50" s="577">
        <f>((M50+F50+(LOG(G50)*4/3))*1)+((L50+F50+(LOG(G50)*4/3))*0.369)</f>
        <v>18.050960170837307</v>
      </c>
      <c r="Z50" s="578">
        <f>X50</f>
        <v>6.6021111661297613</v>
      </c>
      <c r="AA50" s="375">
        <v>7700</v>
      </c>
      <c r="AB50" s="357">
        <v>13</v>
      </c>
      <c r="AC50" s="586"/>
      <c r="AD50" s="586"/>
      <c r="AE50" s="587"/>
      <c r="AF50" s="558">
        <f>AA50+(AB50*16*(36-B50-((112-C50)/112)))-AC50</f>
        <v>10994.571428571428</v>
      </c>
      <c r="AG50" s="558">
        <f>AA50+(AB50*16*(34-B50-((112-C50)/112)))-AD50</f>
        <v>10578.571428571428</v>
      </c>
      <c r="AH50" s="590">
        <f>AA50+(AB50*16*(32-B50-((112-C50)/112)))-AE50</f>
        <v>10162.571428571428</v>
      </c>
      <c r="AI50" s="558">
        <f>(AF50-AC50)/(36-B50+((112-C50)/112))</f>
        <v>680.32707182320439</v>
      </c>
      <c r="AJ50" s="558">
        <f>(AF50-AD50)/(34-B50+((112-C50)/112))</f>
        <v>776.41361916771746</v>
      </c>
      <c r="AK50" s="590">
        <f>(AF50-AE50)/(32-B50+((112-C50)/112))</f>
        <v>904.10572687224658</v>
      </c>
    </row>
    <row r="51" spans="1:37" x14ac:dyDescent="0.25">
      <c r="A51" s="565" t="s">
        <v>733</v>
      </c>
      <c r="B51" s="346">
        <v>23</v>
      </c>
      <c r="C51" s="558">
        <v>40</v>
      </c>
      <c r="D51" s="559" t="s">
        <v>183</v>
      </c>
      <c r="E51" s="560"/>
      <c r="F51" s="568">
        <v>1</v>
      </c>
      <c r="G51" s="569">
        <v>4</v>
      </c>
      <c r="H51" s="572">
        <v>0</v>
      </c>
      <c r="I51" s="572">
        <v>2</v>
      </c>
      <c r="J51" s="572">
        <v>2</v>
      </c>
      <c r="K51" s="572">
        <v>2</v>
      </c>
      <c r="L51" s="572">
        <v>8</v>
      </c>
      <c r="M51" s="572">
        <v>14</v>
      </c>
      <c r="N51" s="573">
        <v>16</v>
      </c>
      <c r="O51" s="576">
        <f>((J51+F51+(LOG(G51)*4/3))*0.15)</f>
        <v>0.57041199826559241</v>
      </c>
      <c r="P51" s="576">
        <f>((M51+F51+(LOG(G51)*4/3))*0.552)+((K51+F51+(LOG(G51)*4/3))*0.576)+((L51+F51+(LOG(G51)*4/3))*0.195)</f>
        <v>12.825033824702526</v>
      </c>
      <c r="Q51" s="577">
        <f>((M51+F51+(LOG(G51)*4/3))*0.607)+((L51+F51+(LOG(G51)*4/3))*0.248)</f>
        <v>12.023348390113878</v>
      </c>
      <c r="R51" s="582">
        <f>((M51+F51+(LOG(G51)*4/3))*0.223)+((K51+F51+(LOG(G51)*4/3))*0)+((L51+F51+(LOG(G51)*4/3))*0)</f>
        <v>3.5240125040881809</v>
      </c>
      <c r="S51" s="576">
        <f>((J51+F51+(LOG(G51)*4/3))*0.406)</f>
        <v>1.5439151419722037</v>
      </c>
      <c r="T51" s="576">
        <f>IF(D51="TEC",((K51+F51+(LOG(G51)*4/3))*0.15)+((L51+F51+(LOG(G51)*4/3))*0.324)+((M51+F51+(LOG(G51)*4/3))*0.127),((K51+F51+(LOG(G51)*4/3))*0.144)+((L51+F51+(LOG(G51)*4/3))*0.25)+((M51+F51+(LOG(G51)*4/3))*0.127))</f>
        <v>5.0052310073091579</v>
      </c>
      <c r="U51" s="577">
        <f>IF(D51="TEC",((L51+F51+(LOG(G51)*4/3))*0.543)+((M51+F51+(LOG(G51)*4/3))*0.583),((L51+F51+(LOG(G51)*4/3))*0.543)+((M51+F51+(LOG(G51)*4/3))*0.583))</f>
        <v>14.535892733647049</v>
      </c>
      <c r="V51" s="582">
        <f>T51</f>
        <v>5.0052310073091579</v>
      </c>
      <c r="W51" s="577">
        <f>((J51+F51+(LOG(G51)*4/3))*0.25)</f>
        <v>0.95068666377598743</v>
      </c>
      <c r="X51" s="577">
        <f>((M51+F51+(LOG(G51)*4/3))*0.26)+((K51+F51+(LOG(G51)*4/3))*0.221)+((L51+F51+(LOG(G51)*4/3))*0.142)</f>
        <v>6.3411111661297612</v>
      </c>
      <c r="Y51" s="577">
        <f>((M51+F51+(LOG(G51)*4/3))*1)+((L51+F51+(LOG(G51)*4/3))*0.369)</f>
        <v>19.419960170837307</v>
      </c>
      <c r="Z51" s="578">
        <f>X51</f>
        <v>6.3411111661297612</v>
      </c>
      <c r="AA51" s="375">
        <v>6750</v>
      </c>
      <c r="AB51" s="357">
        <v>26</v>
      </c>
      <c r="AC51" s="586"/>
      <c r="AD51" s="586"/>
      <c r="AE51" s="587"/>
      <c r="AF51" s="558">
        <f>AA51+(AB51*16*(36-B51-((112-C51)/112)))-AC51</f>
        <v>11890.571428571428</v>
      </c>
      <c r="AG51" s="558">
        <f>AA51+(AB51*16*(34-B51-((112-C51)/112)))-AD51</f>
        <v>11058.571428571428</v>
      </c>
      <c r="AH51" s="590">
        <f>AA51+(AB51*16*(32-B51-((112-C51)/112)))-AE51</f>
        <v>10226.571428571429</v>
      </c>
      <c r="AI51" s="558">
        <f>(AF51-AC51)/(36-B51+((112-C51)/112))</f>
        <v>871.56020942408372</v>
      </c>
      <c r="AJ51" s="558">
        <f>(AF51-AD51)/(34-B51+((112-C51)/112))</f>
        <v>1021.2760736196318</v>
      </c>
      <c r="AK51" s="590">
        <f>(AF51-AE51)/(32-B51+((112-C51)/112))</f>
        <v>1233.0962962962963</v>
      </c>
    </row>
    <row r="52" spans="1:37" x14ac:dyDescent="0.25">
      <c r="A52" s="565" t="s">
        <v>744</v>
      </c>
      <c r="B52" s="346">
        <v>23</v>
      </c>
      <c r="C52" s="558">
        <v>63</v>
      </c>
      <c r="D52" s="559" t="s">
        <v>40</v>
      </c>
      <c r="E52" s="560">
        <v>6</v>
      </c>
      <c r="F52" s="568">
        <v>1</v>
      </c>
      <c r="G52" s="569">
        <v>3</v>
      </c>
      <c r="H52" s="572">
        <v>0</v>
      </c>
      <c r="I52" s="572">
        <v>4</v>
      </c>
      <c r="J52" s="572">
        <v>3</v>
      </c>
      <c r="K52" s="572">
        <v>5</v>
      </c>
      <c r="L52" s="572">
        <v>13</v>
      </c>
      <c r="M52" s="572">
        <v>13</v>
      </c>
      <c r="N52" s="573">
        <v>0</v>
      </c>
      <c r="O52" s="576">
        <f>((J52+F52+(LOG(G52)*4/3))*0.15)</f>
        <v>0.69542425094393245</v>
      </c>
      <c r="P52" s="576">
        <f>((M52+F52+(LOG(G52)*4/3))*0.552)+((K52+F52+(LOG(G52)*4/3))*0.576)+((L52+F52+(LOG(G52)*4/3))*0.195)</f>
        <v>14.755641893325485</v>
      </c>
      <c r="Q52" s="577">
        <f>((M52+F52+(LOG(G52)*4/3))*0.607)+((L52+F52+(LOG(G52)*4/3))*0.248)</f>
        <v>12.513918230380416</v>
      </c>
      <c r="R52" s="582">
        <f>((M52+F52+(LOG(G52)*4/3))*0.223)+((K52+F52+(LOG(G52)*4/3))*0)+((L52+F52+(LOG(G52)*4/3))*0)</f>
        <v>3.2638640530699798</v>
      </c>
      <c r="S52" s="576">
        <f>((J52+F52+(LOG(G52)*4/3))*0.406)</f>
        <v>1.8822816392215773</v>
      </c>
      <c r="T52" s="576">
        <f>IF(D52="TEC",((K52+F52+(LOG(G52)*4/3))*0.15)+((L52+F52+(LOG(G52)*4/3))*0.324)+((M52+F52+(LOG(G52)*4/3))*0.127),((K52+F52+(LOG(G52)*4/3))*0.144)+((L52+F52+(LOG(G52)*4/3))*0.25)+((M52+F52+(LOG(G52)*4/3))*0.127))</f>
        <v>6.4734402316119253</v>
      </c>
      <c r="U52" s="577">
        <f>IF(D52="TEC",((L52+F52+(LOG(G52)*4/3))*0.543)+((M52+F52+(LOG(G52)*4/3))*0.583),((L52+F52+(LOG(G52)*4/3))*0.543)+((M52+F52+(LOG(G52)*4/3))*0.583))</f>
        <v>16.480318043752455</v>
      </c>
      <c r="V52" s="582">
        <f>T52</f>
        <v>6.4734402316119253</v>
      </c>
      <c r="W52" s="577">
        <f>((J52+F52+(LOG(G52)*4/3))*0.25)</f>
        <v>1.1590404182398875</v>
      </c>
      <c r="X52" s="577">
        <f>((M52+F52+(LOG(G52)*4/3))*0.26)+((K52+F52+(LOG(G52)*4/3))*0.221)+((L52+F52+(LOG(G52)*4/3))*0.142)</f>
        <v>7.3503287222538001</v>
      </c>
      <c r="Y52" s="577">
        <f>((M52+F52+(LOG(G52)*4/3))*1)+((L52+F52+(LOG(G52)*4/3))*0.369)</f>
        <v>20.036905330281627</v>
      </c>
      <c r="Z52" s="578">
        <f>X52</f>
        <v>7.3503287222538001</v>
      </c>
      <c r="AA52" s="375">
        <v>7790</v>
      </c>
      <c r="AB52" s="357">
        <v>18.600000000000001</v>
      </c>
      <c r="AC52" s="586"/>
      <c r="AD52" s="586"/>
      <c r="AE52" s="587"/>
      <c r="AF52" s="558">
        <f>AA52+(AB52*16*(36-B52-((112-C52)/112)))-AC52</f>
        <v>11528.6</v>
      </c>
      <c r="AG52" s="558">
        <f>AA52+(AB52*16*(34-B52-((112-C52)/112)))-AD52</f>
        <v>10933.4</v>
      </c>
      <c r="AH52" s="590">
        <f>AA52+(AB52*16*(32-B52-((112-C52)/112)))-AE52</f>
        <v>10338.200000000001</v>
      </c>
      <c r="AI52" s="558">
        <f>(AF52-AC52)/(36-B52+((112-C52)/112))</f>
        <v>857.94232558139538</v>
      </c>
      <c r="AJ52" s="558">
        <f>(AF52-AD52)/(34-B52+((112-C52)/112))</f>
        <v>1007.9650273224044</v>
      </c>
      <c r="AK52" s="590">
        <f>(AF52-AE52)/(32-B52+((112-C52)/112))</f>
        <v>1221.5735099337749</v>
      </c>
    </row>
    <row r="53" spans="1:37" x14ac:dyDescent="0.25">
      <c r="A53" s="565" t="s">
        <v>758</v>
      </c>
      <c r="B53" s="346">
        <v>22</v>
      </c>
      <c r="C53" s="558">
        <v>40</v>
      </c>
      <c r="D53" s="559" t="s">
        <v>0</v>
      </c>
      <c r="E53" s="560">
        <v>3</v>
      </c>
      <c r="F53" s="568">
        <v>1</v>
      </c>
      <c r="G53" s="569">
        <v>3</v>
      </c>
      <c r="H53" s="572">
        <v>0</v>
      </c>
      <c r="I53" s="572">
        <v>2</v>
      </c>
      <c r="J53" s="572">
        <v>4</v>
      </c>
      <c r="K53" s="572">
        <v>3</v>
      </c>
      <c r="L53" s="572">
        <v>5</v>
      </c>
      <c r="M53" s="572">
        <v>15</v>
      </c>
      <c r="N53" s="573">
        <v>4</v>
      </c>
      <c r="O53" s="576">
        <f>((J53+F53+(LOG(G53)*4/3))*0.15)</f>
        <v>0.84542425094393248</v>
      </c>
      <c r="P53" s="576">
        <f>((M53+F53+(LOG(G53)*4/3))*0.552)+((K53+F53+(LOG(G53)*4/3))*0.576)+((L53+F53+(LOG(G53)*4/3))*0.195)</f>
        <v>13.147641893325485</v>
      </c>
      <c r="Q53" s="577">
        <f>((M53+F53+(LOG(G53)*4/3))*0.607)+((L53+F53+(LOG(G53)*4/3))*0.248)</f>
        <v>11.743918230380414</v>
      </c>
      <c r="R53" s="582">
        <f>((M53+F53+(LOG(G53)*4/3))*0.223)+((K53+F53+(LOG(G53)*4/3))*0)+((L53+F53+(LOG(G53)*4/3))*0)</f>
        <v>3.7098640530699796</v>
      </c>
      <c r="S53" s="576">
        <f>((J53+F53+(LOG(G53)*4/3))*0.406)</f>
        <v>2.2882816392215775</v>
      </c>
      <c r="T53" s="576">
        <f>IF(D53="TEC",((K53+F53+(LOG(G53)*4/3))*0.15)+((L53+F53+(LOG(G53)*4/3))*0.324)+((M53+F53+(LOG(G53)*4/3))*0.127),((K53+F53+(LOG(G53)*4/3))*0.144)+((L53+F53+(LOG(G53)*4/3))*0.25)+((M53+F53+(LOG(G53)*4/3))*0.127))</f>
        <v>4.4394402316119255</v>
      </c>
      <c r="U53" s="577">
        <f>IF(D53="TEC",((L53+F53+(LOG(G53)*4/3))*0.543)+((M53+F53+(LOG(G53)*4/3))*0.583),((L53+F53+(LOG(G53)*4/3))*0.543)+((M53+F53+(LOG(G53)*4/3))*0.583))</f>
        <v>13.302318043752452</v>
      </c>
      <c r="V53" s="582">
        <f>T53</f>
        <v>4.4394402316119255</v>
      </c>
      <c r="W53" s="577">
        <f>((J53+F53+(LOG(G53)*4/3))*0.25)</f>
        <v>1.4090404182398875</v>
      </c>
      <c r="X53" s="577">
        <f>((M53+F53+(LOG(G53)*4/3))*0.26)+((K53+F53+(LOG(G53)*4/3))*0.221)+((L53+F53+(LOG(G53)*4/3))*0.142)</f>
        <v>6.2923287222537994</v>
      </c>
      <c r="Y53" s="577">
        <f>((M53+F53+(LOG(G53)*4/3))*1)+((L53+F53+(LOG(G53)*4/3))*0.369)</f>
        <v>19.084905330281622</v>
      </c>
      <c r="Z53" s="578">
        <f>X53</f>
        <v>6.2923287222537994</v>
      </c>
      <c r="AA53" s="375">
        <v>5999</v>
      </c>
      <c r="AB53" s="357">
        <v>30.5</v>
      </c>
      <c r="AC53" s="586"/>
      <c r="AD53" s="586"/>
      <c r="AE53" s="587"/>
      <c r="AF53" s="558">
        <f>AA53+(AB53*16*(36-B53-((112-C53)/112)))-AC53</f>
        <v>12517.285714285714</v>
      </c>
      <c r="AG53" s="558">
        <f>AA53+(AB53*16*(34-B53-((112-C53)/112)))-AD53</f>
        <v>11541.285714285714</v>
      </c>
      <c r="AH53" s="590">
        <f>AA53+(AB53*16*(32-B53-((112-C53)/112)))-AE53</f>
        <v>10565.285714285714</v>
      </c>
      <c r="AI53" s="558">
        <f>(AF53-AC53)/(36-B53+((112-C53)/112))</f>
        <v>854.83902439024394</v>
      </c>
      <c r="AJ53" s="558">
        <f>(AF53-AD53)/(34-B53+((112-C53)/112))</f>
        <v>990.06779661016947</v>
      </c>
      <c r="AK53" s="590">
        <f>(AF53-AE53)/(32-B53+((112-C53)/112))</f>
        <v>1176.1208053691275</v>
      </c>
    </row>
    <row r="54" spans="1:37" x14ac:dyDescent="0.25">
      <c r="A54" s="565" t="s">
        <v>819</v>
      </c>
      <c r="B54" s="346">
        <v>22</v>
      </c>
      <c r="C54" s="558">
        <v>87</v>
      </c>
      <c r="D54" s="559" t="s">
        <v>40</v>
      </c>
      <c r="E54" s="560">
        <v>4</v>
      </c>
      <c r="F54" s="568">
        <v>1</v>
      </c>
      <c r="G54" s="569">
        <v>3</v>
      </c>
      <c r="H54" s="572">
        <v>0</v>
      </c>
      <c r="I54" s="572">
        <v>3</v>
      </c>
      <c r="J54" s="572">
        <v>3</v>
      </c>
      <c r="K54" s="572">
        <v>5</v>
      </c>
      <c r="L54" s="572">
        <v>8</v>
      </c>
      <c r="M54" s="572">
        <v>15</v>
      </c>
      <c r="N54" s="573">
        <v>4</v>
      </c>
      <c r="O54" s="576">
        <f>((J54+F54+(LOG(G54)*4/3))*0.15)</f>
        <v>0.69542425094393245</v>
      </c>
      <c r="P54" s="576">
        <f>((M54+F54+(LOG(G54)*4/3))*0.552)+((K54+F54+(LOG(G54)*4/3))*0.576)+((L54+F54+(LOG(G54)*4/3))*0.195)</f>
        <v>14.884641893325483</v>
      </c>
      <c r="Q54" s="577">
        <f>((M54+F54+(LOG(G54)*4/3))*0.607)+((L54+F54+(LOG(G54)*4/3))*0.248)</f>
        <v>12.487918230380414</v>
      </c>
      <c r="R54" s="582">
        <f>((M54+F54+(LOG(G54)*4/3))*0.223)+((K54+F54+(LOG(G54)*4/3))*0)+((L54+F54+(LOG(G54)*4/3))*0)</f>
        <v>3.7098640530699796</v>
      </c>
      <c r="S54" s="576">
        <f>((J54+F54+(LOG(G54)*4/3))*0.406)</f>
        <v>1.8822816392215773</v>
      </c>
      <c r="T54" s="576">
        <f>IF(D54="TEC",((K54+F54+(LOG(G54)*4/3))*0.15)+((L54+F54+(LOG(G54)*4/3))*0.324)+((M54+F54+(LOG(G54)*4/3))*0.127),((K54+F54+(LOG(G54)*4/3))*0.144)+((L54+F54+(LOG(G54)*4/3))*0.25)+((M54+F54+(LOG(G54)*4/3))*0.127))</f>
        <v>5.4774402316119257</v>
      </c>
      <c r="U54" s="577">
        <f>IF(D54="TEC",((L54+F54+(LOG(G54)*4/3))*0.543)+((M54+F54+(LOG(G54)*4/3))*0.583),((L54+F54+(LOG(G54)*4/3))*0.543)+((M54+F54+(LOG(G54)*4/3))*0.583))</f>
        <v>14.931318043752452</v>
      </c>
      <c r="V54" s="582">
        <f>T54</f>
        <v>5.4774402316119257</v>
      </c>
      <c r="W54" s="577">
        <f>((J54+F54+(LOG(G54)*4/3))*0.25)</f>
        <v>1.1590404182398875</v>
      </c>
      <c r="X54" s="577">
        <f>((M54+F54+(LOG(G54)*4/3))*0.26)+((K54+F54+(LOG(G54)*4/3))*0.221)+((L54+F54+(LOG(G54)*4/3))*0.142)</f>
        <v>7.1603287222537997</v>
      </c>
      <c r="Y54" s="577">
        <f>((M54+F54+(LOG(G54)*4/3))*1)+((L54+F54+(LOG(G54)*4/3))*0.369)</f>
        <v>20.191905330281624</v>
      </c>
      <c r="Z54" s="578">
        <f>X54</f>
        <v>7.1603287222537997</v>
      </c>
      <c r="AA54" s="375">
        <v>6500</v>
      </c>
      <c r="AB54" s="357">
        <v>26.5</v>
      </c>
      <c r="AC54" s="586"/>
      <c r="AD54" s="586"/>
      <c r="AE54" s="587"/>
      <c r="AF54" s="558">
        <f>AA54+(AB54*16*(36-B54-((112-C54)/112)))-AC54</f>
        <v>12341.357142857141</v>
      </c>
      <c r="AG54" s="558">
        <f>AA54+(AB54*16*(34-B54-((112-C54)/112)))-AD54</f>
        <v>11493.357142857141</v>
      </c>
      <c r="AH54" s="590">
        <f>AA54+(AB54*16*(32-B54-((112-C54)/112)))-AE54</f>
        <v>10645.357142857141</v>
      </c>
      <c r="AI54" s="558">
        <f>(AF54-AC54)/(36-B54+((112-C54)/112))</f>
        <v>867.69114877589436</v>
      </c>
      <c r="AJ54" s="558">
        <f>(AF54-AD54)/(34-B54+((112-C54)/112))</f>
        <v>1009.6654492330166</v>
      </c>
      <c r="AK54" s="590">
        <f>(AF54-AE54)/(32-B54+((112-C54)/112))</f>
        <v>1207.1895196506548</v>
      </c>
    </row>
    <row r="55" spans="1:37" x14ac:dyDescent="0.25">
      <c r="A55" s="565" t="s">
        <v>818</v>
      </c>
      <c r="B55" s="346">
        <v>23</v>
      </c>
      <c r="C55" s="558">
        <v>101</v>
      </c>
      <c r="D55" s="559" t="s">
        <v>0</v>
      </c>
      <c r="E55" s="560">
        <v>2</v>
      </c>
      <c r="F55" s="568">
        <v>1</v>
      </c>
      <c r="G55" s="569">
        <v>3</v>
      </c>
      <c r="H55" s="572">
        <v>0</v>
      </c>
      <c r="I55" s="572">
        <v>4</v>
      </c>
      <c r="J55" s="572">
        <v>2</v>
      </c>
      <c r="K55" s="572">
        <v>2</v>
      </c>
      <c r="L55" s="572">
        <v>9</v>
      </c>
      <c r="M55" s="572">
        <v>15</v>
      </c>
      <c r="N55" s="573">
        <v>13</v>
      </c>
      <c r="O55" s="576">
        <f>((J55+F55+(LOG(G55)*4/3))*0.15)</f>
        <v>0.54542425094393243</v>
      </c>
      <c r="P55" s="576">
        <f>((M55+F55+(LOG(G55)*4/3))*0.552)+((K55+F55+(LOG(G55)*4/3))*0.576)+((L55+F55+(LOG(G55)*4/3))*0.195)</f>
        <v>13.351641893325485</v>
      </c>
      <c r="Q55" s="577">
        <f>((M55+F55+(LOG(G55)*4/3))*0.607)+((L55+F55+(LOG(G55)*4/3))*0.248)</f>
        <v>12.735918230380413</v>
      </c>
      <c r="R55" s="582">
        <f>((M55+F55+(LOG(G55)*4/3))*0.223)+((K55+F55+(LOG(G55)*4/3))*0)+((L55+F55+(LOG(G55)*4/3))*0)</f>
        <v>3.7098640530699796</v>
      </c>
      <c r="S55" s="576">
        <f>((J55+F55+(LOG(G55)*4/3))*0.406)</f>
        <v>1.4762816392215774</v>
      </c>
      <c r="T55" s="576">
        <f>IF(D55="TEC",((K55+F55+(LOG(G55)*4/3))*0.15)+((L55+F55+(LOG(G55)*4/3))*0.324)+((M55+F55+(LOG(G55)*4/3))*0.127),((K55+F55+(LOG(G55)*4/3))*0.144)+((L55+F55+(LOG(G55)*4/3))*0.25)+((M55+F55+(LOG(G55)*4/3))*0.127))</f>
        <v>5.2954402316119253</v>
      </c>
      <c r="U55" s="577">
        <f>IF(D55="TEC",((L55+F55+(LOG(G55)*4/3))*0.543)+((M55+F55+(LOG(G55)*4/3))*0.583),((L55+F55+(LOG(G55)*4/3))*0.543)+((M55+F55+(LOG(G55)*4/3))*0.583))</f>
        <v>15.474318043752453</v>
      </c>
      <c r="V55" s="582">
        <f>T55</f>
        <v>5.2954402316119253</v>
      </c>
      <c r="W55" s="577">
        <f>((J55+F55+(LOG(G55)*4/3))*0.25)</f>
        <v>0.90904041823988746</v>
      </c>
      <c r="X55" s="577">
        <f>((M55+F55+(LOG(G55)*4/3))*0.26)+((K55+F55+(LOG(G55)*4/3))*0.221)+((L55+F55+(LOG(G55)*4/3))*0.142)</f>
        <v>6.6393287222537998</v>
      </c>
      <c r="Y55" s="577">
        <f>((M55+F55+(LOG(G55)*4/3))*1)+((L55+F55+(LOG(G55)*4/3))*0.369)</f>
        <v>20.560905330281624</v>
      </c>
      <c r="Z55" s="578">
        <f>X55</f>
        <v>6.6393287222537998</v>
      </c>
      <c r="AA55" s="375">
        <v>6700</v>
      </c>
      <c r="AB55" s="357">
        <v>30.6</v>
      </c>
      <c r="AC55" s="586"/>
      <c r="AD55" s="586"/>
      <c r="AE55" s="587"/>
      <c r="AF55" s="558">
        <f>AA55+(AB55*16*(36-B55-((112-C55)/112)))-AC55</f>
        <v>13016.714285714286</v>
      </c>
      <c r="AG55" s="558">
        <f>AA55+(AB55*16*(34-B55-((112-C55)/112)))-AD55</f>
        <v>12037.514285714286</v>
      </c>
      <c r="AH55" s="590">
        <f>AA55+(AB55*16*(32-B55-((112-C55)/112)))-AE55</f>
        <v>11058.314285714285</v>
      </c>
      <c r="AI55" s="558">
        <f>(AF55-AC55)/(36-B55+((112-C55)/112))</f>
        <v>993.77777777777771</v>
      </c>
      <c r="AJ55" s="558">
        <f>(AF55-AD55)/(34-B55+((112-C55)/112))</f>
        <v>1172.8656476267095</v>
      </c>
      <c r="AK55" s="590">
        <f>(AF55-AE55)/(32-B55+((112-C55)/112))</f>
        <v>1430.6889106967615</v>
      </c>
    </row>
    <row r="56" spans="1:37" x14ac:dyDescent="0.25">
      <c r="A56" s="565" t="s">
        <v>736</v>
      </c>
      <c r="B56" s="346">
        <v>22</v>
      </c>
      <c r="C56" s="558">
        <v>83</v>
      </c>
      <c r="D56" s="559" t="s">
        <v>183</v>
      </c>
      <c r="E56" s="560"/>
      <c r="F56" s="568">
        <f ca="1">Plantilla!N12</f>
        <v>1</v>
      </c>
      <c r="G56" s="569">
        <v>3</v>
      </c>
      <c r="H56" s="572">
        <v>0</v>
      </c>
      <c r="I56" s="572">
        <v>3</v>
      </c>
      <c r="J56" s="572">
        <v>6</v>
      </c>
      <c r="K56" s="572">
        <v>5</v>
      </c>
      <c r="L56" s="572">
        <v>6</v>
      </c>
      <c r="M56" s="572">
        <v>14</v>
      </c>
      <c r="N56" s="573">
        <v>3</v>
      </c>
      <c r="O56" s="576">
        <f ca="1">((J56+F56+(LOG(G56)*4/3))*0.15)</f>
        <v>1.1454242509439325</v>
      </c>
      <c r="P56" s="576">
        <f ca="1">((M56+F56+(LOG(G56)*4/3))*0.552)+((K56+F56+(LOG(G56)*4/3))*0.576)+((L56+F56+(LOG(G56)*4/3))*0.195)</f>
        <v>13.942641893325483</v>
      </c>
      <c r="Q56" s="577">
        <f ca="1">((M56+F56+(LOG(G56)*4/3))*0.607)+((L56+F56+(LOG(G56)*4/3))*0.248)</f>
        <v>11.384918230380414</v>
      </c>
      <c r="R56" s="582">
        <f ca="1">((M56+F56+(LOG(G56)*4/3))*0.223)+((K56+F56+(LOG(G56)*4/3))*0)+((L56+F56+(LOG(G56)*4/3))*0)</f>
        <v>3.4868640530699797</v>
      </c>
      <c r="S56" s="576">
        <f ca="1">((J56+F56+(LOG(G56)*4/3))*0.406)</f>
        <v>3.1002816392215773</v>
      </c>
      <c r="T56" s="576">
        <f ca="1">IF(D56="TEC",((K56+F56+(LOG(G56)*4/3))*0.15)+((L56+F56+(LOG(G56)*4/3))*0.324)+((M56+F56+(LOG(G56)*4/3))*0.127),((K56+F56+(LOG(G56)*4/3))*0.144)+((L56+F56+(LOG(G56)*4/3))*0.25)+((M56+F56+(LOG(G56)*4/3))*0.127))</f>
        <v>4.8504402316119251</v>
      </c>
      <c r="U56" s="577">
        <f ca="1">IF(D56="TEC",((L56+F56+(LOG(G56)*4/3))*0.543)+((M56+F56+(LOG(G56)*4/3))*0.583),((L56+F56+(LOG(G56)*4/3))*0.543)+((M56+F56+(LOG(G56)*4/3))*0.583))</f>
        <v>13.262318043752455</v>
      </c>
      <c r="V56" s="582">
        <f ca="1">T56</f>
        <v>4.8504402316119251</v>
      </c>
      <c r="W56" s="577">
        <f ca="1">((J56+F56+(LOG(G56)*4/3))*0.25)</f>
        <v>1.9090404182398875</v>
      </c>
      <c r="X56" s="577">
        <f ca="1">((M56+F56+(LOG(G56)*4/3))*0.26)+((K56+F56+(LOG(G56)*4/3))*0.221)+((L56+F56+(LOG(G56)*4/3))*0.142)</f>
        <v>6.6163287222538001</v>
      </c>
      <c r="Y56" s="577">
        <f ca="1">((M56+F56+(LOG(G56)*4/3))*1)+((L56+F56+(LOG(G56)*4/3))*0.369)</f>
        <v>18.453905330281625</v>
      </c>
      <c r="Z56" s="578">
        <f ca="1">X56</f>
        <v>6.6163287222538001</v>
      </c>
      <c r="AA56" s="375">
        <v>8000</v>
      </c>
      <c r="AB56" s="357">
        <v>20</v>
      </c>
      <c r="AC56" s="586"/>
      <c r="AD56" s="586"/>
      <c r="AE56" s="587"/>
      <c r="AF56" s="558">
        <f>AA56+(AB56*16*(36-B56-((112-C56)/112)))-AC56</f>
        <v>12397.142857142857</v>
      </c>
      <c r="AG56" s="558">
        <f>AA56+(AB56*16*(34-B56-((112-C56)/112)))-AD56</f>
        <v>11757.142857142857</v>
      </c>
      <c r="AH56" s="590">
        <f>AA56+(AB56*16*(32-B56-((112-C56)/112)))-AE56</f>
        <v>11117.142857142857</v>
      </c>
      <c r="AI56" s="558">
        <f>(AF56-AC56)/(36-B56+((112-C56)/112))</f>
        <v>869.43018159048211</v>
      </c>
      <c r="AJ56" s="558">
        <f>(AF56-AD56)/(34-B56+((112-C56)/112))</f>
        <v>1011.2745812090313</v>
      </c>
      <c r="AK56" s="590">
        <f>(AF56-AE56)/(32-B56+((112-C56)/112))</f>
        <v>1208.4247171453437</v>
      </c>
    </row>
    <row r="57" spans="1:37" x14ac:dyDescent="0.25">
      <c r="A57" s="565" t="s">
        <v>729</v>
      </c>
      <c r="B57" s="346">
        <v>20</v>
      </c>
      <c r="C57" s="558">
        <v>81</v>
      </c>
      <c r="D57" s="559" t="s">
        <v>183</v>
      </c>
      <c r="E57" s="560"/>
      <c r="F57" s="568">
        <f ca="1">Plantilla!N5</f>
        <v>1</v>
      </c>
      <c r="G57" s="569">
        <v>5</v>
      </c>
      <c r="H57" s="572">
        <v>0</v>
      </c>
      <c r="I57" s="572">
        <v>2</v>
      </c>
      <c r="J57" s="572">
        <v>6</v>
      </c>
      <c r="K57" s="572">
        <v>7</v>
      </c>
      <c r="L57" s="572">
        <v>6</v>
      </c>
      <c r="M57" s="572">
        <v>13</v>
      </c>
      <c r="N57" s="573">
        <v>4</v>
      </c>
      <c r="O57" s="576">
        <f ca="1">((J57+F57+(LOG(G57)*4/3))*0.15)</f>
        <v>1.1897940008672037</v>
      </c>
      <c r="P57" s="576">
        <f ca="1">((M57+F57+(LOG(G57)*4/3))*0.552)+((K57+F57+(LOG(G57)*4/3))*0.576)+((L57+F57+(LOG(G57)*4/3))*0.195)</f>
        <v>14.933983087648738</v>
      </c>
      <c r="Q57" s="577">
        <f ca="1">((M57+F57+(LOG(G57)*4/3))*0.607)+((L57+F57+(LOG(G57)*4/3))*0.248)</f>
        <v>11.030825804943062</v>
      </c>
      <c r="R57" s="582">
        <f ca="1">((M57+F57+(LOG(G57)*4/3))*0.223)+((K57+F57+(LOG(G57)*4/3))*0)+((L57+F57+(LOG(G57)*4/3))*0)</f>
        <v>3.3298270812892428</v>
      </c>
      <c r="S57" s="576">
        <f ca="1">((J57+F57+(LOG(G57)*4/3))*0.406)</f>
        <v>3.2203757623472318</v>
      </c>
      <c r="T57" s="576">
        <f ca="1">IF(D57="TEC",((K57+F57+(LOG(G57)*4/3))*0.15)+((L57+F57+(LOG(G57)*4/3))*0.324)+((M57+F57+(LOG(G57)*4/3))*0.127),((K57+F57+(LOG(G57)*4/3))*0.144)+((L57+F57+(LOG(G57)*4/3))*0.25)+((M57+F57+(LOG(G57)*4/3))*0.127))</f>
        <v>5.1655511630120872</v>
      </c>
      <c r="U57" s="577">
        <f ca="1">IF(D57="TEC",((L57+F57+(LOG(G57)*4/3))*0.543)+((M57+F57+(LOG(G57)*4/3))*0.583),((L57+F57+(LOG(G57)*4/3))*0.543)+((M57+F57+(LOG(G57)*4/3))*0.583))</f>
        <v>13.012386966509808</v>
      </c>
      <c r="V57" s="582">
        <f ca="1">T57</f>
        <v>5.1655511630120872</v>
      </c>
      <c r="W57" s="577">
        <f ca="1">((J57+F57+(LOG(G57)*4/3))*0.25)</f>
        <v>1.9829900014453397</v>
      </c>
      <c r="X57" s="577">
        <f ca="1">((M57+F57+(LOG(G57)*4/3))*0.26)+((K57+F57+(LOG(G57)*4/3))*0.221)+((L57+F57+(LOG(G57)*4/3))*0.142)</f>
        <v>6.9826110836017854</v>
      </c>
      <c r="Y57" s="577">
        <f ca="1">((M57+F57+(LOG(G57)*4/3))*1)+((L57+F57+(LOG(G57)*4/3))*0.369)</f>
        <v>17.858853247914681</v>
      </c>
      <c r="Z57" s="578">
        <f ca="1">X57</f>
        <v>6.9826110836017854</v>
      </c>
      <c r="AA57" s="375">
        <v>8700</v>
      </c>
      <c r="AB57" s="357">
        <f>11.4*1.2</f>
        <v>13.68</v>
      </c>
      <c r="AC57" s="586"/>
      <c r="AD57" s="586"/>
      <c r="AE57" s="587"/>
      <c r="AF57" s="558">
        <f>AA57+(AB57*16*(36-B57-((112-C57)/112)))-AC57</f>
        <v>12141.497142857143</v>
      </c>
      <c r="AG57" s="558">
        <f>AA57+(AB57*16*(34-B57-((112-C57)/112)))-AD57</f>
        <v>11703.737142857142</v>
      </c>
      <c r="AH57" s="590">
        <f>AA57+(AB57*16*(32-B57-((112-C57)/112)))-AE57</f>
        <v>11265.977142857144</v>
      </c>
      <c r="AI57" s="558">
        <f>(AF57-AC57)/(36-B57+((112-C57)/112))</f>
        <v>745.93948436642893</v>
      </c>
      <c r="AJ57" s="558">
        <f>(AF57-AD57)/(34-B57+((112-C57)/112))</f>
        <v>850.4363227016886</v>
      </c>
      <c r="AK57" s="590">
        <f>(AF57-AE57)/(32-B57+((112-C57)/112))</f>
        <v>988.98013090909092</v>
      </c>
    </row>
    <row r="58" spans="1:37" x14ac:dyDescent="0.25">
      <c r="A58" s="565" t="s">
        <v>764</v>
      </c>
      <c r="B58" s="346">
        <v>23</v>
      </c>
      <c r="C58" s="558">
        <v>41</v>
      </c>
      <c r="D58" s="559" t="s">
        <v>0</v>
      </c>
      <c r="E58" s="560">
        <v>3</v>
      </c>
      <c r="F58" s="568">
        <v>1</v>
      </c>
      <c r="G58" s="569">
        <v>3</v>
      </c>
      <c r="H58" s="572">
        <v>0</v>
      </c>
      <c r="I58" s="572">
        <v>3</v>
      </c>
      <c r="J58" s="572">
        <v>2</v>
      </c>
      <c r="K58" s="572">
        <v>4</v>
      </c>
      <c r="L58" s="572">
        <v>9</v>
      </c>
      <c r="M58" s="572">
        <v>15</v>
      </c>
      <c r="N58" s="573">
        <v>4</v>
      </c>
      <c r="O58" s="576">
        <f>((J58+F58+(LOG(G58)*4/3))*0.15)</f>
        <v>0.54542425094393243</v>
      </c>
      <c r="P58" s="576">
        <f>((M58+F58+(LOG(G58)*4/3))*0.552)+((K58+F58+(LOG(G58)*4/3))*0.576)+((L58+F58+(LOG(G58)*4/3))*0.195)</f>
        <v>14.503641893325485</v>
      </c>
      <c r="Q58" s="577">
        <f>((M58+F58+(LOG(G58)*4/3))*0.607)+((L58+F58+(LOG(G58)*4/3))*0.248)</f>
        <v>12.735918230380413</v>
      </c>
      <c r="R58" s="582">
        <f>((M58+F58+(LOG(G58)*4/3))*0.223)+((K58+F58+(LOG(G58)*4/3))*0)+((L58+F58+(LOG(G58)*4/3))*0)</f>
        <v>3.7098640530699796</v>
      </c>
      <c r="S58" s="576">
        <f>((J58+F58+(LOG(G58)*4/3))*0.406)</f>
        <v>1.4762816392215774</v>
      </c>
      <c r="T58" s="576">
        <f>IF(D58="TEC",((K58+F58+(LOG(G58)*4/3))*0.15)+((L58+F58+(LOG(G58)*4/3))*0.324)+((M58+F58+(LOG(G58)*4/3))*0.127),((K58+F58+(LOG(G58)*4/3))*0.144)+((L58+F58+(LOG(G58)*4/3))*0.25)+((M58+F58+(LOG(G58)*4/3))*0.127))</f>
        <v>5.5834402316119256</v>
      </c>
      <c r="U58" s="577">
        <f>IF(D58="TEC",((L58+F58+(LOG(G58)*4/3))*0.543)+((M58+F58+(LOG(G58)*4/3))*0.583),((L58+F58+(LOG(G58)*4/3))*0.543)+((M58+F58+(LOG(G58)*4/3))*0.583))</f>
        <v>15.474318043752453</v>
      </c>
      <c r="V58" s="582">
        <f>T58</f>
        <v>5.5834402316119256</v>
      </c>
      <c r="W58" s="577">
        <f>((J58+F58+(LOG(G58)*4/3))*0.25)</f>
        <v>0.90904041823988746</v>
      </c>
      <c r="X58" s="577">
        <f>((M58+F58+(LOG(G58)*4/3))*0.26)+((K58+F58+(LOG(G58)*4/3))*0.221)+((L58+F58+(LOG(G58)*4/3))*0.142)</f>
        <v>7.0813287222537999</v>
      </c>
      <c r="Y58" s="577">
        <f>((M58+F58+(LOG(G58)*4/3))*1)+((L58+F58+(LOG(G58)*4/3))*0.369)</f>
        <v>20.560905330281624</v>
      </c>
      <c r="Z58" s="578">
        <f>X58</f>
        <v>7.0813287222537999</v>
      </c>
      <c r="AA58" s="375">
        <v>7750</v>
      </c>
      <c r="AB58" s="357">
        <v>30.2</v>
      </c>
      <c r="AC58" s="586"/>
      <c r="AD58" s="586"/>
      <c r="AE58" s="587"/>
      <c r="AF58" s="558">
        <f>AA58+(AB58*16*(36-B58-((112-C58)/112)))-AC58</f>
        <v>13725.285714285714</v>
      </c>
      <c r="AG58" s="558">
        <f>AA58+(AB58*16*(34-B58-((112-C58)/112)))-AD58</f>
        <v>12758.885714285714</v>
      </c>
      <c r="AH58" s="590">
        <f>AA58+(AB58*16*(32-B58-((112-C58)/112)))-AE58</f>
        <v>11792.485714285714</v>
      </c>
      <c r="AI58" s="558">
        <f>(AF58-AC58)/(36-B58+((112-C58)/112))</f>
        <v>1006.7007203667322</v>
      </c>
      <c r="AJ58" s="558">
        <f>(AF58-AD58)/(34-B58+((112-C58)/112))</f>
        <v>1179.7636224098235</v>
      </c>
      <c r="AK58" s="590">
        <f>(AF58-AE58)/(32-B58+((112-C58)/112))</f>
        <v>1424.6821130676551</v>
      </c>
    </row>
    <row r="59" spans="1:37" x14ac:dyDescent="0.25">
      <c r="A59" s="565" t="s">
        <v>738</v>
      </c>
      <c r="B59" s="346">
        <v>20</v>
      </c>
      <c r="C59" s="558">
        <v>86</v>
      </c>
      <c r="D59" s="559" t="s">
        <v>40</v>
      </c>
      <c r="E59" s="560">
        <v>5</v>
      </c>
      <c r="F59" s="568">
        <f ca="1">Plantilla!N15</f>
        <v>1</v>
      </c>
      <c r="G59" s="569">
        <v>3</v>
      </c>
      <c r="H59" s="572">
        <v>0</v>
      </c>
      <c r="I59" s="572">
        <v>2</v>
      </c>
      <c r="J59" s="572">
        <v>7</v>
      </c>
      <c r="K59" s="572">
        <v>5</v>
      </c>
      <c r="L59" s="572">
        <v>6</v>
      </c>
      <c r="M59" s="572">
        <v>13</v>
      </c>
      <c r="N59" s="573">
        <v>0</v>
      </c>
      <c r="O59" s="576">
        <f ca="1">((J59+F59+(LOG(G59)*4/3))*0.15)</f>
        <v>1.2954242509439327</v>
      </c>
      <c r="P59" s="576">
        <f ca="1">((M59+F59+(LOG(G59)*4/3))*0.552)+((K59+F59+(LOG(G59)*4/3))*0.576)+((L59+F59+(LOG(G59)*4/3))*0.195)</f>
        <v>13.390641893325483</v>
      </c>
      <c r="Q59" s="577">
        <f ca="1">((M59+F59+(LOG(G59)*4/3))*0.607)+((L59+F59+(LOG(G59)*4/3))*0.248)</f>
        <v>10.777918230380415</v>
      </c>
      <c r="R59" s="582">
        <f ca="1">((M59+F59+(LOG(G59)*4/3))*0.223)+((K59+F59+(LOG(G59)*4/3))*0)+((L59+F59+(LOG(G59)*4/3))*0)</f>
        <v>3.2638640530699798</v>
      </c>
      <c r="S59" s="576">
        <f ca="1">((J59+F59+(LOG(G59)*4/3))*0.406)</f>
        <v>3.5062816392215779</v>
      </c>
      <c r="T59" s="576">
        <f ca="1">IF(D59="TEC",((K59+F59+(LOG(G59)*4/3))*0.15)+((L59+F59+(LOG(G59)*4/3))*0.324)+((M59+F59+(LOG(G59)*4/3))*0.127),((K59+F59+(LOG(G59)*4/3))*0.144)+((L59+F59+(LOG(G59)*4/3))*0.25)+((M59+F59+(LOG(G59)*4/3))*0.127))</f>
        <v>4.7234402316119253</v>
      </c>
      <c r="U59" s="577">
        <f ca="1">IF(D59="TEC",((L59+F59+(LOG(G59)*4/3))*0.543)+((M59+F59+(LOG(G59)*4/3))*0.583),((L59+F59+(LOG(G59)*4/3))*0.543)+((M59+F59+(LOG(G59)*4/3))*0.583))</f>
        <v>12.679318043752453</v>
      </c>
      <c r="V59" s="582">
        <f ca="1">T59</f>
        <v>4.7234402316119253</v>
      </c>
      <c r="W59" s="577">
        <f ca="1">((J59+F59+(LOG(G59)*4/3))*0.25)</f>
        <v>2.1590404182398877</v>
      </c>
      <c r="X59" s="577">
        <f ca="1">((M59+F59+(LOG(G59)*4/3))*0.26)+((K59+F59+(LOG(G59)*4/3))*0.221)+((L59+F59+(LOG(G59)*4/3))*0.142)</f>
        <v>6.3563287222538003</v>
      </c>
      <c r="Y59" s="577">
        <f ca="1">((M59+F59+(LOG(G59)*4/3))*1)+((L59+F59+(LOG(G59)*4/3))*0.369)</f>
        <v>17.453905330281625</v>
      </c>
      <c r="Z59" s="578">
        <f ca="1">X59</f>
        <v>6.3563287222538003</v>
      </c>
      <c r="AA59" s="375">
        <v>9500</v>
      </c>
      <c r="AB59" s="357">
        <v>14</v>
      </c>
      <c r="AC59" s="586"/>
      <c r="AD59" s="586"/>
      <c r="AE59" s="587"/>
      <c r="AF59" s="558">
        <f>AA59+(AB59*16*(36-B59-((112-C59)/112)))-AC59</f>
        <v>13032</v>
      </c>
      <c r="AG59" s="558">
        <f>AA59+(AB59*16*(34-B59-((112-C59)/112)))-AD59</f>
        <v>12584</v>
      </c>
      <c r="AH59" s="590">
        <f>AA59+(AB59*16*(32-B59-((112-C59)/112)))-AE59</f>
        <v>12136</v>
      </c>
      <c r="AI59" s="558">
        <f>(AF59-AC59)/(36-B59+((112-C59)/112))</f>
        <v>802.85148514851483</v>
      </c>
      <c r="AJ59" s="558">
        <f>(AF59-AD59)/(34-B59+((112-C59)/112))</f>
        <v>915.67377666248433</v>
      </c>
      <c r="AK59" s="590">
        <f>(AF59-AE59)/(32-B59+((112-C59)/112))</f>
        <v>1065.3897810218978</v>
      </c>
    </row>
    <row r="60" spans="1:37" x14ac:dyDescent="0.25">
      <c r="A60" s="565" t="s">
        <v>875</v>
      </c>
      <c r="B60" s="346">
        <v>22</v>
      </c>
      <c r="C60" s="558">
        <v>103</v>
      </c>
      <c r="D60" s="559" t="s">
        <v>421</v>
      </c>
      <c r="E60" s="560">
        <v>6</v>
      </c>
      <c r="F60" s="568">
        <v>1</v>
      </c>
      <c r="G60" s="569">
        <v>4</v>
      </c>
      <c r="H60" s="572">
        <v>0</v>
      </c>
      <c r="I60" s="572">
        <v>2</v>
      </c>
      <c r="J60" s="572">
        <v>13</v>
      </c>
      <c r="K60" s="572">
        <v>2</v>
      </c>
      <c r="L60" s="572">
        <v>8</v>
      </c>
      <c r="M60" s="572">
        <v>11</v>
      </c>
      <c r="N60" s="573">
        <v>3</v>
      </c>
      <c r="O60" s="576">
        <f>((J60+F60+(LOG(G60)*4/3))*0.15)</f>
        <v>2.2204119982655923</v>
      </c>
      <c r="P60" s="576">
        <f>((M60+F60+(LOG(G60)*4/3))*0.552)+((K60+F60+(LOG(G60)*4/3))*0.576)+((L60+F60+(LOG(G60)*4/3))*0.195)</f>
        <v>11.169033824702527</v>
      </c>
      <c r="Q60" s="577">
        <f>((M60+F60+(LOG(G60)*4/3))*0.607)+((L60+F60+(LOG(G60)*4/3))*0.248)</f>
        <v>10.202348390113878</v>
      </c>
      <c r="R60" s="582">
        <f>((M60+F60+(LOG(G60)*4/3))*0.223)+((K60+F60+(LOG(G60)*4/3))*0)+((L60+F60+(LOG(G60)*4/3))*0)</f>
        <v>2.8550125040881809</v>
      </c>
      <c r="S60" s="576">
        <f>((J60+F60+(LOG(G60)*4/3))*0.406)</f>
        <v>6.0099151419722041</v>
      </c>
      <c r="T60" s="576">
        <f>IF(D60="TEC",((K60+F60+(LOG(G60)*4/3))*0.15)+((L60+F60+(LOG(G60)*4/3))*0.324)+((M60+F60+(LOG(G60)*4/3))*0.127),((K60+F60+(LOG(G60)*4/3))*0.144)+((L60+F60+(LOG(G60)*4/3))*0.25)+((M60+F60+(LOG(G60)*4/3))*0.127))</f>
        <v>5.3724507397174746</v>
      </c>
      <c r="U60" s="577">
        <f>IF(D60="TEC",((L60+F60+(LOG(G60)*4/3))*0.543)+((M60+F60+(LOG(G60)*4/3))*0.583),((L60+F60+(LOG(G60)*4/3))*0.543)+((M60+F60+(LOG(G60)*4/3))*0.583))</f>
        <v>12.786892733647049</v>
      </c>
      <c r="V60" s="582">
        <f>T60</f>
        <v>5.3724507397174746</v>
      </c>
      <c r="W60" s="577">
        <f>((J60+F60+(LOG(G60)*4/3))*0.25)</f>
        <v>3.7006866637759877</v>
      </c>
      <c r="X60" s="577">
        <f>((M60+F60+(LOG(G60)*4/3))*0.26)+((K60+F60+(LOG(G60)*4/3))*0.221)+((L60+F60+(LOG(G60)*4/3))*0.142)</f>
        <v>5.561111166129761</v>
      </c>
      <c r="Y60" s="577">
        <f>((M60+F60+(LOG(G60)*4/3))*1)+((L60+F60+(LOG(G60)*4/3))*0.369)</f>
        <v>16.419960170837307</v>
      </c>
      <c r="Z60" s="578">
        <f>X60</f>
        <v>5.561111166129761</v>
      </c>
      <c r="AA60" s="375">
        <v>10000</v>
      </c>
      <c r="AB60" s="357">
        <v>16.2</v>
      </c>
      <c r="AC60" s="586"/>
      <c r="AD60" s="586"/>
      <c r="AE60" s="587"/>
      <c r="AF60" s="558">
        <f>AA60+(AB60*16*(36-B60-((112-C60)/112)))-AC60</f>
        <v>13607.971428571429</v>
      </c>
      <c r="AG60" s="558">
        <f>AA60+(AB60*16*(34-B60-((112-C60)/112)))-AD60</f>
        <v>13089.571428571428</v>
      </c>
      <c r="AH60" s="590">
        <f>AA60+(AB60*16*(32-B60-((112-C60)/112)))-AE60</f>
        <v>12571.17142857143</v>
      </c>
      <c r="AI60" s="558">
        <f>(AF60-AC60)/(36-B60+((112-C60)/112))</f>
        <v>966.45072923272039</v>
      </c>
      <c r="AJ60" s="558">
        <f>(AF60-AD60)/(34-B60+((112-C60)/112))</f>
        <v>1126.4543976348855</v>
      </c>
      <c r="AK60" s="590">
        <f>(AF60-AE60)/(32-B60+((112-C60)/112))</f>
        <v>1349.9493356953058</v>
      </c>
    </row>
    <row r="61" spans="1:37" x14ac:dyDescent="0.25">
      <c r="A61" s="565" t="s">
        <v>873</v>
      </c>
      <c r="B61" s="346">
        <v>24</v>
      </c>
      <c r="C61" s="558">
        <v>16</v>
      </c>
      <c r="D61" s="559" t="s">
        <v>40</v>
      </c>
      <c r="E61" s="560">
        <v>2</v>
      </c>
      <c r="F61" s="568">
        <v>1</v>
      </c>
      <c r="G61" s="569">
        <v>3</v>
      </c>
      <c r="H61" s="572">
        <v>0</v>
      </c>
      <c r="I61" s="572">
        <v>2</v>
      </c>
      <c r="J61" s="572">
        <v>11</v>
      </c>
      <c r="K61" s="572">
        <v>4</v>
      </c>
      <c r="L61" s="572">
        <v>8</v>
      </c>
      <c r="M61" s="572">
        <v>14</v>
      </c>
      <c r="N61" s="573">
        <v>0</v>
      </c>
      <c r="O61" s="576">
        <f>((J61+F61+(LOG(G61)*4/3))*0.15)</f>
        <v>1.8954242509439325</v>
      </c>
      <c r="P61" s="576">
        <f>((M61+F61+(LOG(G61)*4/3))*0.552)+((K61+F61+(LOG(G61)*4/3))*0.576)+((L61+F61+(LOG(G61)*4/3))*0.195)</f>
        <v>13.756641893325485</v>
      </c>
      <c r="Q61" s="577">
        <f>((M61+F61+(LOG(G61)*4/3))*0.607)+((L61+F61+(LOG(G61)*4/3))*0.248)</f>
        <v>11.880918230380415</v>
      </c>
      <c r="R61" s="582">
        <f>((M61+F61+(LOG(G61)*4/3))*0.223)+((K61+F61+(LOG(G61)*4/3))*0)+((L61+F61+(LOG(G61)*4/3))*0)</f>
        <v>3.4868640530699797</v>
      </c>
      <c r="S61" s="576">
        <f>((J61+F61+(LOG(G61)*4/3))*0.406)</f>
        <v>5.130281639221578</v>
      </c>
      <c r="T61" s="576">
        <f>IF(D61="TEC",((K61+F61+(LOG(G61)*4/3))*0.15)+((L61+F61+(LOG(G61)*4/3))*0.324)+((M61+F61+(LOG(G61)*4/3))*0.127),((K61+F61+(LOG(G61)*4/3))*0.144)+((L61+F61+(LOG(G61)*4/3))*0.25)+((M61+F61+(LOG(G61)*4/3))*0.127))</f>
        <v>5.2064402316119258</v>
      </c>
      <c r="U61" s="577">
        <f>IF(D61="TEC",((L61+F61+(LOG(G61)*4/3))*0.543)+((M61+F61+(LOG(G61)*4/3))*0.583),((L61+F61+(LOG(G61)*4/3))*0.543)+((M61+F61+(LOG(G61)*4/3))*0.583))</f>
        <v>14.348318043752453</v>
      </c>
      <c r="V61" s="582">
        <f>T61</f>
        <v>5.2064402316119258</v>
      </c>
      <c r="W61" s="577">
        <f>((J61+F61+(LOG(G61)*4/3))*0.25)</f>
        <v>3.1590404182398877</v>
      </c>
      <c r="X61" s="577">
        <f>((M61+F61+(LOG(G61)*4/3))*0.26)+((K61+F61+(LOG(G61)*4/3))*0.221)+((L61+F61+(LOG(G61)*4/3))*0.142)</f>
        <v>6.6793287222537998</v>
      </c>
      <c r="Y61" s="577">
        <f>((M61+F61+(LOG(G61)*4/3))*1)+((L61+F61+(LOG(G61)*4/3))*0.369)</f>
        <v>19.191905330281624</v>
      </c>
      <c r="Z61" s="578">
        <f>X61</f>
        <v>6.6793287222537998</v>
      </c>
      <c r="AA61" s="375">
        <v>10000</v>
      </c>
      <c r="AB61" s="357">
        <v>23.2</v>
      </c>
      <c r="AC61" s="586"/>
      <c r="AD61" s="586"/>
      <c r="AE61" s="587"/>
      <c r="AF61" s="558">
        <f>AA61+(AB61*16*(36-B61-((112-C61)/112)))-AC61</f>
        <v>14136.228571428572</v>
      </c>
      <c r="AG61" s="558">
        <f>AA61+(AB61*16*(34-B61-((112-C61)/112)))-AD61</f>
        <v>13393.82857142857</v>
      </c>
      <c r="AH61" s="590">
        <f>AA61+(AB61*16*(32-B61-((112-C61)/112)))-AE61</f>
        <v>12651.428571428572</v>
      </c>
      <c r="AI61" s="558">
        <f>(AF61-AC61)/(36-B61+((112-C61)/112))</f>
        <v>1099.4844444444445</v>
      </c>
      <c r="AJ61" s="558">
        <f>(AF61-AD61)/(34-B61+((112-C61)/112))</f>
        <v>1302.0210526315789</v>
      </c>
      <c r="AK61" s="590">
        <f>(AF61-AE61)/(32-B61+((112-C61)/112))</f>
        <v>1596.0258064516129</v>
      </c>
    </row>
    <row r="62" spans="1:37" x14ac:dyDescent="0.25">
      <c r="A62" s="565" t="s">
        <v>742</v>
      </c>
      <c r="B62" s="346">
        <v>22</v>
      </c>
      <c r="C62" s="558">
        <v>58</v>
      </c>
      <c r="D62" s="559" t="s">
        <v>40</v>
      </c>
      <c r="E62" s="560">
        <v>3</v>
      </c>
      <c r="F62" s="568">
        <v>1</v>
      </c>
      <c r="G62" s="569">
        <v>3</v>
      </c>
      <c r="H62" s="572">
        <v>0</v>
      </c>
      <c r="I62" s="572">
        <v>2</v>
      </c>
      <c r="J62" s="572">
        <v>2</v>
      </c>
      <c r="K62" s="572">
        <v>7</v>
      </c>
      <c r="L62" s="572">
        <v>9</v>
      </c>
      <c r="M62" s="572">
        <v>14</v>
      </c>
      <c r="N62" s="573">
        <v>2</v>
      </c>
      <c r="O62" s="576">
        <f>((J62+F62+(LOG(G62)*4/3))*0.15)</f>
        <v>0.54542425094393243</v>
      </c>
      <c r="P62" s="576">
        <f>((M62+F62+(LOG(G62)*4/3))*0.552)+((K62+F62+(LOG(G62)*4/3))*0.576)+((L62+F62+(LOG(G62)*4/3))*0.195)</f>
        <v>15.679641893325485</v>
      </c>
      <c r="Q62" s="577">
        <f>((M62+F62+(LOG(G62)*4/3))*0.607)+((L62+F62+(LOG(G62)*4/3))*0.248)</f>
        <v>12.128918230380414</v>
      </c>
      <c r="R62" s="582">
        <f>((M62+F62+(LOG(G62)*4/3))*0.223)+((K62+F62+(LOG(G62)*4/3))*0)+((L62+F62+(LOG(G62)*4/3))*0)</f>
        <v>3.4868640530699797</v>
      </c>
      <c r="S62" s="576">
        <f>((J62+F62+(LOG(G62)*4/3))*0.406)</f>
        <v>1.4762816392215774</v>
      </c>
      <c r="T62" s="576">
        <f>IF(D62="TEC",((K62+F62+(LOG(G62)*4/3))*0.15)+((L62+F62+(LOG(G62)*4/3))*0.324)+((M62+F62+(LOG(G62)*4/3))*0.127),((K62+F62+(LOG(G62)*4/3))*0.144)+((L62+F62+(LOG(G62)*4/3))*0.25)+((M62+F62+(LOG(G62)*4/3))*0.127))</f>
        <v>5.8884402316119253</v>
      </c>
      <c r="U62" s="577">
        <f>IF(D62="TEC",((L62+F62+(LOG(G62)*4/3))*0.543)+((M62+F62+(LOG(G62)*4/3))*0.583),((L62+F62+(LOG(G62)*4/3))*0.543)+((M62+F62+(LOG(G62)*4/3))*0.583))</f>
        <v>14.891318043752454</v>
      </c>
      <c r="V62" s="582">
        <f>T62</f>
        <v>5.8884402316119253</v>
      </c>
      <c r="W62" s="577">
        <f>((J62+F62+(LOG(G62)*4/3))*0.25)</f>
        <v>0.90904041823988746</v>
      </c>
      <c r="X62" s="577">
        <f>((M62+F62+(LOG(G62)*4/3))*0.26)+((K62+F62+(LOG(G62)*4/3))*0.221)+((L62+F62+(LOG(G62)*4/3))*0.142)</f>
        <v>7.4843287222538004</v>
      </c>
      <c r="Y62" s="577">
        <f>((M62+F62+(LOG(G62)*4/3))*1)+((L62+F62+(LOG(G62)*4/3))*0.369)</f>
        <v>19.560905330281624</v>
      </c>
      <c r="Z62" s="578">
        <f>X62</f>
        <v>7.4843287222538004</v>
      </c>
      <c r="AA62" s="375">
        <v>9400</v>
      </c>
      <c r="AB62" s="357">
        <v>21.4</v>
      </c>
      <c r="AC62" s="586"/>
      <c r="AD62" s="586"/>
      <c r="AE62" s="587"/>
      <c r="AF62" s="558">
        <f>AA62+(AB62*16*(36-B62-((112-C62)/112)))-AC62</f>
        <v>14028.514285714286</v>
      </c>
      <c r="AG62" s="558">
        <f>AA62+(AB62*16*(34-B62-((112-C62)/112)))-AD62</f>
        <v>13343.714285714286</v>
      </c>
      <c r="AH62" s="590">
        <f>AA62+(AB62*16*(32-B62-((112-C62)/112)))-AE62</f>
        <v>12658.914285714285</v>
      </c>
      <c r="AI62" s="558">
        <f>(AF62-AC62)/(36-B62+((112-C62)/112))</f>
        <v>968.67669543773115</v>
      </c>
      <c r="AJ62" s="558">
        <f>(AF62-AD62)/(34-B62+((112-C62)/112))</f>
        <v>1123.8866952789699</v>
      </c>
      <c r="AK62" s="590">
        <f>(AF62-AE62)/(32-B62+((112-C62)/112))</f>
        <v>1338.3250425894378</v>
      </c>
    </row>
    <row r="63" spans="1:37" x14ac:dyDescent="0.25">
      <c r="A63" s="565" t="s">
        <v>741</v>
      </c>
      <c r="B63" s="346">
        <v>22</v>
      </c>
      <c r="C63" s="558">
        <v>95</v>
      </c>
      <c r="D63" s="559" t="s">
        <v>0</v>
      </c>
      <c r="E63" s="560">
        <v>4</v>
      </c>
      <c r="F63" s="568">
        <v>1</v>
      </c>
      <c r="G63" s="569">
        <v>5</v>
      </c>
      <c r="H63" s="572">
        <v>0</v>
      </c>
      <c r="I63" s="572">
        <v>4</v>
      </c>
      <c r="J63" s="572">
        <v>10</v>
      </c>
      <c r="K63" s="572">
        <v>3</v>
      </c>
      <c r="L63" s="572">
        <v>9</v>
      </c>
      <c r="M63" s="572">
        <v>13</v>
      </c>
      <c r="N63" s="573">
        <v>3</v>
      </c>
      <c r="O63" s="576">
        <f>((J63+F63+(LOG(G63)*4/3))*0.15)</f>
        <v>1.7897940008672035</v>
      </c>
      <c r="P63" s="576">
        <f>((M63+F63+(LOG(G63)*4/3))*0.552)+((K63+F63+(LOG(G63)*4/3))*0.576)+((L63+F63+(LOG(G63)*4/3))*0.195)</f>
        <v>13.214983087648736</v>
      </c>
      <c r="Q63" s="577">
        <f>((M63+F63+(LOG(G63)*4/3))*0.607)+((L63+F63+(LOG(G63)*4/3))*0.248)</f>
        <v>11.774825804943061</v>
      </c>
      <c r="R63" s="582">
        <f>((M63+F63+(LOG(G63)*4/3))*0.223)+((K63+F63+(LOG(G63)*4/3))*0)+((L63+F63+(LOG(G63)*4/3))*0)</f>
        <v>3.3298270812892428</v>
      </c>
      <c r="S63" s="576">
        <f>((J63+F63+(LOG(G63)*4/3))*0.406)</f>
        <v>4.8443757623472319</v>
      </c>
      <c r="T63" s="576">
        <f>IF(D63="TEC",((K63+F63+(LOG(G63)*4/3))*0.15)+((L63+F63+(LOG(G63)*4/3))*0.324)+((M63+F63+(LOG(G63)*4/3))*0.127),((K63+F63+(LOG(G63)*4/3))*0.144)+((L63+F63+(LOG(G63)*4/3))*0.25)+((M63+F63+(LOG(G63)*4/3))*0.127))</f>
        <v>5.3395511630120875</v>
      </c>
      <c r="U63" s="577">
        <f>IF(D63="TEC",((L63+F63+(LOG(G63)*4/3))*0.543)+((M63+F63+(LOG(G63)*4/3))*0.583),((L63+F63+(LOG(G63)*4/3))*0.543)+((M63+F63+(LOG(G63)*4/3))*0.583))</f>
        <v>14.641386966509808</v>
      </c>
      <c r="V63" s="582">
        <f>T63</f>
        <v>5.3395511630120875</v>
      </c>
      <c r="W63" s="577">
        <f>((J63+F63+(LOG(G63)*4/3))*0.25)</f>
        <v>2.9829900014453394</v>
      </c>
      <c r="X63" s="577">
        <f>((M63+F63+(LOG(G63)*4/3))*0.26)+((K63+F63+(LOG(G63)*4/3))*0.221)+((L63+F63+(LOG(G63)*4/3))*0.142)</f>
        <v>6.5246110836017861</v>
      </c>
      <c r="Y63" s="577">
        <f>((M63+F63+(LOG(G63)*4/3))*1)+((L63+F63+(LOG(G63)*4/3))*0.369)</f>
        <v>18.96585324791468</v>
      </c>
      <c r="Z63" s="578">
        <f>X63</f>
        <v>6.5246110836017861</v>
      </c>
      <c r="AA63" s="375">
        <v>10250</v>
      </c>
      <c r="AB63" s="357">
        <v>18.600000000000001</v>
      </c>
      <c r="AC63" s="586"/>
      <c r="AD63" s="586"/>
      <c r="AE63" s="587"/>
      <c r="AF63" s="558">
        <f>AA63+(AB63*16*(36-B63-((112-C63)/112)))-AC63</f>
        <v>14371.228571428572</v>
      </c>
      <c r="AG63" s="558">
        <f>AA63+(AB63*16*(34-B63-((112-C63)/112)))-AD63</f>
        <v>13776.028571428571</v>
      </c>
      <c r="AH63" s="590">
        <f>AA63+(AB63*16*(32-B63-((112-C63)/112)))-AE63</f>
        <v>13180.828571428572</v>
      </c>
      <c r="AI63" s="558">
        <f>(AF63-AC63)/(36-B63+((112-C63)/112))</f>
        <v>1015.5063722397477</v>
      </c>
      <c r="AJ63" s="558">
        <f>(AF63-AD63)/(34-B63+((112-C63)/112))</f>
        <v>1182.64335047759</v>
      </c>
      <c r="AK63" s="590">
        <f>(AF63-AE63)/(32-B63+((112-C63)/112))</f>
        <v>1415.635532102023</v>
      </c>
    </row>
    <row r="64" spans="1:37" x14ac:dyDescent="0.25">
      <c r="A64" s="567" t="s">
        <v>874</v>
      </c>
      <c r="B64" s="561">
        <v>24</v>
      </c>
      <c r="C64" s="562">
        <v>68</v>
      </c>
      <c r="D64" s="563" t="s">
        <v>183</v>
      </c>
      <c r="E64" s="564">
        <v>0</v>
      </c>
      <c r="F64" s="570">
        <v>1</v>
      </c>
      <c r="G64" s="571">
        <v>5</v>
      </c>
      <c r="H64" s="574">
        <v>0</v>
      </c>
      <c r="I64" s="574">
        <v>6</v>
      </c>
      <c r="J64" s="574">
        <v>9</v>
      </c>
      <c r="K64" s="574">
        <v>11</v>
      </c>
      <c r="L64" s="574">
        <v>11</v>
      </c>
      <c r="M64" s="574">
        <v>13</v>
      </c>
      <c r="N64" s="575">
        <v>1</v>
      </c>
      <c r="O64" s="579">
        <f>((J64+F64+(LOG(G64)*4/3))*0.15)</f>
        <v>1.6397940008672036</v>
      </c>
      <c r="P64" s="579">
        <f>((M64+F64+(LOG(G64)*4/3))*0.552)+((K64+F64+(LOG(G64)*4/3))*0.576)+((L64+F64+(LOG(G64)*4/3))*0.195)</f>
        <v>18.212983087648734</v>
      </c>
      <c r="Q64" s="580">
        <f>((M64+F64+(LOG(G64)*4/3))*0.607)+((L64+F64+(LOG(G64)*4/3))*0.248)</f>
        <v>12.270825804943062</v>
      </c>
      <c r="R64" s="583">
        <f>((M64+F64+(LOG(G64)*4/3))*0.223)+((K64+F64+(LOG(G64)*4/3))*0)+((L64+F64+(LOG(G64)*4/3))*0)</f>
        <v>3.3298270812892428</v>
      </c>
      <c r="S64" s="579">
        <f>((J64+F64+(LOG(G64)*4/3))*0.406)</f>
        <v>4.4383757623472313</v>
      </c>
      <c r="T64" s="579">
        <f>IF(D64="TEC",((K64+F64+(LOG(G64)*4/3))*0.15)+((L64+F64+(LOG(G64)*4/3))*0.324)+((M64+F64+(LOG(G64)*4/3))*0.127),((K64+F64+(LOG(G64)*4/3))*0.144)+((L64+F64+(LOG(G64)*4/3))*0.25)+((M64+F64+(LOG(G64)*4/3))*0.127))</f>
        <v>6.9915511630120868</v>
      </c>
      <c r="U64" s="580">
        <f>IF(D64="TEC",((L64+F64+(LOG(G64)*4/3))*0.543)+((M64+F64+(LOG(G64)*4/3))*0.583),((L64+F64+(LOG(G64)*4/3))*0.543)+((M64+F64+(LOG(G64)*4/3))*0.583))</f>
        <v>15.727386966509808</v>
      </c>
      <c r="V64" s="583">
        <f>T64</f>
        <v>6.9915511630120868</v>
      </c>
      <c r="W64" s="580">
        <f>((J64+F64+(LOG(G64)*4/3))*0.25)</f>
        <v>2.7329900014453394</v>
      </c>
      <c r="X64" s="580">
        <f>((M64+F64+(LOG(G64)*4/3))*0.26)+((K64+F64+(LOG(G64)*4/3))*0.221)+((L64+F64+(LOG(G64)*4/3))*0.142)</f>
        <v>8.5766110836017866</v>
      </c>
      <c r="Y64" s="580">
        <f>((M64+F64+(LOG(G64)*4/3))*1)+((L64+F64+(LOG(G64)*4/3))*0.369)</f>
        <v>19.70385324791468</v>
      </c>
      <c r="Z64" s="581">
        <f>X64</f>
        <v>8.5766110836017866</v>
      </c>
      <c r="AA64" s="584">
        <v>11860</v>
      </c>
      <c r="AB64" s="585">
        <v>19.899999999999999</v>
      </c>
      <c r="AC64" s="588"/>
      <c r="AD64" s="588"/>
      <c r="AE64" s="589"/>
      <c r="AF64" s="562">
        <f>AA64+(AB64*16*(36-B64-((112-C64)/112)))-AC64</f>
        <v>15555.714285714286</v>
      </c>
      <c r="AG64" s="562">
        <f>AA64+(AB64*16*(34-B64-((112-C64)/112)))-AD64</f>
        <v>14918.914285714285</v>
      </c>
      <c r="AH64" s="591">
        <f>AA64+(AB64*16*(32-B64-((112-C64)/112)))-AE64</f>
        <v>14282.114285714286</v>
      </c>
      <c r="AI64" s="562">
        <f>(AF64-AC64)/(36-B64+((112-C64)/112))</f>
        <v>1255.2161383285304</v>
      </c>
      <c r="AJ64" s="562">
        <f>(AF64-AD64)/(34-B64+((112-C64)/112))</f>
        <v>1496.7697594501719</v>
      </c>
      <c r="AK64" s="591">
        <f>(AF64-AE64)/(32-B64+((112-C64)/112))</f>
        <v>1853.4468085106384</v>
      </c>
    </row>
  </sheetData>
  <sortState ref="A3:AK64">
    <sortCondition ref="AH3"/>
  </sortState>
  <conditionalFormatting sqref="G3:G64">
    <cfRule type="cellIs" dxfId="4" priority="15" operator="greaterThan">
      <formula>7</formula>
    </cfRule>
  </conditionalFormatting>
  <conditionalFormatting sqref="H3:N64">
    <cfRule type="colorScale" priority="5738">
      <colorScale>
        <cfvo type="min"/>
        <cfvo type="max"/>
        <color rgb="FFFCFCFF"/>
        <color rgb="FFF8696B"/>
      </colorScale>
    </cfRule>
  </conditionalFormatting>
  <conditionalFormatting sqref="AF3:AH64">
    <cfRule type="dataBar" priority="57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{DBB9FF9F-75FC-4A17-A457-B9A3F9A396B6}</x14:id>
        </ext>
      </extLst>
    </cfRule>
  </conditionalFormatting>
  <conditionalFormatting sqref="AI3:AK6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{1CE23A54-242D-475F-9D52-851B25B77A44}</x14:id>
        </ext>
      </extLst>
    </cfRule>
  </conditionalFormatting>
  <conditionalFormatting sqref="Q3:Q64 U3:U64 Y3:Y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64 R3:R64 T3:T64 V3:V64 X3:X64 Z3:Z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64 S3:S64 W3:W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B9FF9F-75FC-4A17-A457-B9A3F9A39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AF3:AH64</xm:sqref>
        </x14:conditionalFormatting>
        <x14:conditionalFormatting xmlns:xm="http://schemas.microsoft.com/office/excel/2006/main">
          <x14:cfRule type="dataBar" id="{1CE23A54-242D-475F-9D52-851B25B77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AI3:AK64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7"/>
      <c r="D1" s="125"/>
      <c r="P1" t="s">
        <v>47</v>
      </c>
    </row>
    <row r="2" spans="1:22" x14ac:dyDescent="0.25">
      <c r="A2" s="35" t="s">
        <v>2</v>
      </c>
      <c r="B2" s="35" t="s">
        <v>58</v>
      </c>
      <c r="C2" s="35" t="s">
        <v>4</v>
      </c>
      <c r="D2" s="56" t="s">
        <v>59</v>
      </c>
      <c r="E2" s="35" t="s">
        <v>683</v>
      </c>
      <c r="F2" s="44" t="s">
        <v>75</v>
      </c>
      <c r="G2" s="43" t="s">
        <v>45</v>
      </c>
      <c r="H2" s="36" t="s">
        <v>62</v>
      </c>
      <c r="I2" s="36" t="s">
        <v>24</v>
      </c>
      <c r="J2" s="36" t="s">
        <v>26</v>
      </c>
      <c r="K2" s="36" t="s">
        <v>63</v>
      </c>
      <c r="L2" s="36" t="s">
        <v>46</v>
      </c>
      <c r="M2" s="36" t="s">
        <v>64</v>
      </c>
      <c r="N2" s="36" t="s">
        <v>65</v>
      </c>
      <c r="O2" s="36" t="s">
        <v>41</v>
      </c>
      <c r="P2" s="38" t="s">
        <v>68</v>
      </c>
      <c r="Q2" s="38" t="s">
        <v>69</v>
      </c>
      <c r="R2" s="36" t="s">
        <v>690</v>
      </c>
      <c r="S2" s="36" t="s">
        <v>691</v>
      </c>
      <c r="T2" s="36" t="s">
        <v>692</v>
      </c>
      <c r="U2" s="36" t="s">
        <v>693</v>
      </c>
      <c r="V2" s="36" t="s">
        <v>90</v>
      </c>
    </row>
    <row r="3" spans="1:22" x14ac:dyDescent="0.25">
      <c r="A3" t="str">
        <f>Plantilla!D4</f>
        <v>Cosme Fonteboa</v>
      </c>
      <c r="B3">
        <v>22</v>
      </c>
      <c r="C3" s="29">
        <v>89</v>
      </c>
      <c r="D3" s="125"/>
      <c r="E3" s="49">
        <v>9700000</v>
      </c>
      <c r="F3" s="131">
        <f ca="1">Plantilla!N4</f>
        <v>1</v>
      </c>
      <c r="G3" s="433">
        <f>Plantilla!V4</f>
        <v>28790</v>
      </c>
      <c r="H3" s="33">
        <f>Plantilla!I4</f>
        <v>5.4</v>
      </c>
      <c r="I3" s="40">
        <f>Plantilla!X4</f>
        <v>15</v>
      </c>
      <c r="J3" s="40">
        <f>Plantilla!Y4</f>
        <v>12.1</v>
      </c>
      <c r="K3" s="40">
        <f>Plantilla!Z4</f>
        <v>0</v>
      </c>
      <c r="L3" s="40">
        <f>Plantilla!AA4</f>
        <v>0</v>
      </c>
      <c r="M3" s="40">
        <f>Plantilla!AB4</f>
        <v>0</v>
      </c>
      <c r="N3" s="40">
        <f>Plantilla!AC4</f>
        <v>1</v>
      </c>
      <c r="O3" s="40">
        <f>Plantilla!AD4</f>
        <v>1</v>
      </c>
      <c r="P3" s="31">
        <f t="shared" ref="P3:P10" ca="1" si="0">((I3+F3+(LOG(H3)*4/3))*0.597)+((J3+F3+(LOG(H3)*4/3))*0.276)</f>
        <v>14.020106336433935</v>
      </c>
      <c r="Q3" s="31">
        <f t="shared" ref="Q3:Q10" ca="1" si="1">((I3+F3+(LOG(H3)*4/3))*0.866)+((J3+F3+(LOG(H3)*4/3))*0.425)</f>
        <v>20.684193791908601</v>
      </c>
      <c r="R3">
        <v>51.5</v>
      </c>
      <c r="S3">
        <v>45</v>
      </c>
      <c r="T3">
        <v>0</v>
      </c>
      <c r="U3">
        <v>-1</v>
      </c>
      <c r="V3" s="125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29">
        <v>2</v>
      </c>
      <c r="D4" s="125"/>
      <c r="E4" s="49"/>
      <c r="F4" s="131">
        <f ca="1">Plantilla!N5</f>
        <v>1</v>
      </c>
      <c r="G4" s="433">
        <f>Plantilla!V5</f>
        <v>1170</v>
      </c>
      <c r="H4" s="33">
        <f>Plantilla!I5</f>
        <v>1.4</v>
      </c>
      <c r="I4" s="40">
        <f>Plantilla!X5</f>
        <v>6</v>
      </c>
      <c r="J4" s="40">
        <f>Plantilla!Y5</f>
        <v>5.4</v>
      </c>
      <c r="K4" s="40">
        <f>Plantilla!Z5</f>
        <v>0</v>
      </c>
      <c r="L4" s="40">
        <f>Plantilla!AA5</f>
        <v>3</v>
      </c>
      <c r="M4" s="40">
        <f>Plantilla!AB5</f>
        <v>0</v>
      </c>
      <c r="N4" s="40">
        <f>Plantilla!AC5</f>
        <v>1</v>
      </c>
      <c r="O4" s="40">
        <f>Plantilla!AD5</f>
        <v>1</v>
      </c>
      <c r="P4" s="31">
        <f t="shared" ca="1" si="0"/>
        <v>6.1154930335294697</v>
      </c>
      <c r="Q4" s="31">
        <f t="shared" ca="1" si="1"/>
        <v>9.033535058747475</v>
      </c>
      <c r="R4">
        <v>7.5</v>
      </c>
      <c r="S4">
        <v>9</v>
      </c>
      <c r="T4">
        <v>0</v>
      </c>
      <c r="U4">
        <v>-1</v>
      </c>
      <c r="V4" s="125">
        <f t="shared" ref="V4:V10" si="2">U4+T4+S4+R4</f>
        <v>15.5</v>
      </c>
    </row>
    <row r="5" spans="1:22" x14ac:dyDescent="0.25">
      <c r="A5" t="s">
        <v>694</v>
      </c>
      <c r="B5">
        <v>23</v>
      </c>
      <c r="C5">
        <v>96</v>
      </c>
      <c r="E5" s="49">
        <v>8000000</v>
      </c>
      <c r="F5" s="131">
        <f ca="1">$F$3</f>
        <v>1</v>
      </c>
      <c r="G5" s="433">
        <f>(31720+655)*1.032</f>
        <v>33411</v>
      </c>
      <c r="H5" s="33">
        <v>3.5</v>
      </c>
      <c r="I5" s="40">
        <v>16</v>
      </c>
      <c r="J5" s="40">
        <v>9</v>
      </c>
      <c r="K5" s="40">
        <v>0</v>
      </c>
      <c r="L5" s="40">
        <v>0</v>
      </c>
      <c r="M5" s="40">
        <v>0</v>
      </c>
      <c r="N5" s="40">
        <v>0</v>
      </c>
      <c r="O5" s="40">
        <v>11</v>
      </c>
      <c r="P5" s="31">
        <f t="shared" ca="1" si="0"/>
        <v>13.542295203623722</v>
      </c>
      <c r="Q5" s="31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125">
        <f t="shared" si="2"/>
        <v>101.5</v>
      </c>
    </row>
    <row r="6" spans="1:22" x14ac:dyDescent="0.25">
      <c r="A6" t="s">
        <v>695</v>
      </c>
      <c r="B6">
        <v>23</v>
      </c>
      <c r="C6">
        <v>53</v>
      </c>
      <c r="E6" s="49">
        <v>9282257</v>
      </c>
      <c r="F6" s="131">
        <f t="shared" ref="F6:F10" ca="1" si="3">$F$3</f>
        <v>1</v>
      </c>
      <c r="G6" s="433"/>
      <c r="H6" s="33">
        <v>4.7</v>
      </c>
      <c r="I6" s="40">
        <v>16</v>
      </c>
      <c r="J6" s="40">
        <v>4</v>
      </c>
      <c r="K6" s="40">
        <v>0</v>
      </c>
      <c r="L6" s="40">
        <v>0</v>
      </c>
      <c r="M6" s="40">
        <v>0</v>
      </c>
      <c r="N6" s="40">
        <v>0</v>
      </c>
      <c r="O6" s="40">
        <v>13</v>
      </c>
      <c r="P6" s="31">
        <f t="shared" ca="1" si="0"/>
        <v>12.311321906637176</v>
      </c>
      <c r="Q6" s="31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125">
        <f t="shared" si="2"/>
        <v>81.5</v>
      </c>
    </row>
    <row r="7" spans="1:22" x14ac:dyDescent="0.25">
      <c r="A7" t="s">
        <v>696</v>
      </c>
      <c r="B7">
        <v>23</v>
      </c>
      <c r="C7">
        <v>18</v>
      </c>
      <c r="D7" t="s">
        <v>183</v>
      </c>
      <c r="E7" s="49">
        <v>9000000</v>
      </c>
      <c r="F7" s="131">
        <f t="shared" ca="1" si="3"/>
        <v>1</v>
      </c>
      <c r="G7" s="433">
        <f>(18290+2045+125+145)*1.012</f>
        <v>20852.260000000002</v>
      </c>
      <c r="H7" s="33">
        <v>5.0999999999999996</v>
      </c>
      <c r="I7" s="40">
        <v>14</v>
      </c>
      <c r="J7" s="40">
        <v>11</v>
      </c>
      <c r="K7" s="40">
        <v>0</v>
      </c>
      <c r="L7" s="40">
        <v>5</v>
      </c>
      <c r="M7" s="40">
        <v>6</v>
      </c>
      <c r="N7" s="40">
        <v>0</v>
      </c>
      <c r="O7" s="40">
        <v>4</v>
      </c>
      <c r="P7" s="31">
        <f t="shared" ca="1" si="0"/>
        <v>13.090611684977999</v>
      </c>
      <c r="Q7" s="31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125">
        <f t="shared" si="2"/>
        <v>101.5</v>
      </c>
    </row>
    <row r="8" spans="1:22" x14ac:dyDescent="0.25">
      <c r="A8" t="s">
        <v>697</v>
      </c>
      <c r="B8">
        <v>23</v>
      </c>
      <c r="C8">
        <v>14</v>
      </c>
      <c r="E8" s="49">
        <v>10250000</v>
      </c>
      <c r="F8" s="131">
        <f t="shared" ca="1" si="3"/>
        <v>1</v>
      </c>
      <c r="G8" s="433"/>
      <c r="H8" s="33">
        <v>4.3</v>
      </c>
      <c r="I8" s="40">
        <v>19</v>
      </c>
      <c r="J8" s="40">
        <v>5</v>
      </c>
      <c r="K8" s="40">
        <v>0</v>
      </c>
      <c r="L8" s="40">
        <v>0</v>
      </c>
      <c r="M8" s="40">
        <v>0</v>
      </c>
      <c r="N8" s="40">
        <v>0</v>
      </c>
      <c r="O8" s="40">
        <v>2</v>
      </c>
      <c r="P8" s="31">
        <f t="shared" ca="1" si="0"/>
        <v>14.333357282294639</v>
      </c>
      <c r="Q8" s="31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125">
        <f t="shared" si="2"/>
        <v>116</v>
      </c>
    </row>
    <row r="9" spans="1:22" x14ac:dyDescent="0.25">
      <c r="B9">
        <v>20</v>
      </c>
      <c r="C9">
        <v>25</v>
      </c>
      <c r="E9" s="49"/>
      <c r="F9" s="131">
        <f t="shared" ca="1" si="3"/>
        <v>1</v>
      </c>
      <c r="G9" s="433"/>
      <c r="H9" s="33">
        <v>1.3</v>
      </c>
      <c r="I9" s="40">
        <v>7</v>
      </c>
      <c r="J9" s="40">
        <v>4</v>
      </c>
      <c r="K9" s="40">
        <v>0</v>
      </c>
      <c r="L9" s="40">
        <v>0</v>
      </c>
      <c r="M9" s="40">
        <v>0</v>
      </c>
      <c r="N9" s="40">
        <v>0</v>
      </c>
      <c r="O9" s="40">
        <v>12</v>
      </c>
      <c r="P9" s="31">
        <f t="shared" ca="1" si="0"/>
        <v>6.288630062085157</v>
      </c>
      <c r="Q9" s="31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125">
        <f t="shared" si="2"/>
        <v>15.5</v>
      </c>
    </row>
    <row r="10" spans="1:22" x14ac:dyDescent="0.25">
      <c r="B10">
        <v>21</v>
      </c>
      <c r="C10">
        <v>82</v>
      </c>
      <c r="E10" s="49"/>
      <c r="F10" s="131">
        <f t="shared" ca="1" si="3"/>
        <v>1</v>
      </c>
      <c r="G10" s="433"/>
      <c r="H10" s="33">
        <v>2.6</v>
      </c>
      <c r="I10" s="40">
        <v>8</v>
      </c>
      <c r="J10" s="40">
        <v>6</v>
      </c>
      <c r="K10" s="40">
        <v>2</v>
      </c>
      <c r="L10" s="40">
        <v>3</v>
      </c>
      <c r="M10" s="40">
        <v>5</v>
      </c>
      <c r="N10" s="40">
        <v>2</v>
      </c>
      <c r="O10" s="40">
        <v>12</v>
      </c>
      <c r="P10" s="31">
        <f t="shared" ca="1" si="0"/>
        <v>7.7880289770380315</v>
      </c>
      <c r="Q10" s="31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125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5" sqref="T5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7"/>
      <c r="D1" s="125"/>
      <c r="S1" t="s">
        <v>47</v>
      </c>
    </row>
    <row r="2" spans="1:21" x14ac:dyDescent="0.25">
      <c r="A2" s="35" t="s">
        <v>2</v>
      </c>
      <c r="B2" s="35" t="s">
        <v>58</v>
      </c>
      <c r="C2" s="35" t="s">
        <v>4</v>
      </c>
      <c r="D2" s="56" t="s">
        <v>59</v>
      </c>
      <c r="E2" s="35" t="s">
        <v>683</v>
      </c>
      <c r="F2" s="43" t="s">
        <v>61</v>
      </c>
      <c r="G2" s="43" t="s">
        <v>73</v>
      </c>
      <c r="H2" s="43" t="s">
        <v>74</v>
      </c>
      <c r="I2" s="43" t="s">
        <v>45</v>
      </c>
      <c r="J2" s="44" t="s">
        <v>75</v>
      </c>
      <c r="K2" s="36" t="s">
        <v>62</v>
      </c>
      <c r="L2" s="36" t="s">
        <v>24</v>
      </c>
      <c r="M2" s="36" t="s">
        <v>26</v>
      </c>
      <c r="N2" s="36" t="s">
        <v>63</v>
      </c>
      <c r="O2" s="36" t="s">
        <v>46</v>
      </c>
      <c r="P2" s="36" t="s">
        <v>64</v>
      </c>
      <c r="Q2" s="36" t="s">
        <v>65</v>
      </c>
      <c r="R2" s="36" t="s">
        <v>41</v>
      </c>
      <c r="S2" s="38" t="s">
        <v>68</v>
      </c>
      <c r="T2" s="38" t="s">
        <v>69</v>
      </c>
    </row>
    <row r="3" spans="1:21" x14ac:dyDescent="0.25">
      <c r="A3" t="str">
        <f>Plantilla!D4</f>
        <v>Cosme Fonteboa</v>
      </c>
      <c r="B3">
        <v>22</v>
      </c>
      <c r="C3" s="29">
        <v>89</v>
      </c>
      <c r="D3" s="125"/>
      <c r="E3" s="49"/>
      <c r="F3" s="41">
        <f>Plantilla!Q4</f>
        <v>6</v>
      </c>
      <c r="G3" s="42">
        <f t="shared" ref="G3:G4" si="0">(F3/7)^0.5</f>
        <v>0.92582009977255142</v>
      </c>
      <c r="H3" s="42">
        <f t="shared" ref="H3:H4" si="1">IF(F3=7,1,((F3+0.99)/7)^0.5)</f>
        <v>0.99928545900129484</v>
      </c>
      <c r="I3" s="42"/>
      <c r="J3" s="131">
        <f ca="1">Plantilla!N4</f>
        <v>1</v>
      </c>
      <c r="K3" s="33">
        <f>Plantilla!I4</f>
        <v>5.4</v>
      </c>
      <c r="L3" s="40">
        <f>Plantilla!X4</f>
        <v>15</v>
      </c>
      <c r="M3" s="40">
        <f>Plantilla!Y4</f>
        <v>12.1</v>
      </c>
      <c r="N3" s="40">
        <f>Plantilla!Z4</f>
        <v>0</v>
      </c>
      <c r="O3" s="40">
        <f>Plantilla!AA4</f>
        <v>0</v>
      </c>
      <c r="P3" s="40">
        <f>Plantilla!AB4</f>
        <v>0</v>
      </c>
      <c r="Q3" s="40">
        <f>Plantilla!AC4</f>
        <v>1</v>
      </c>
      <c r="R3" s="40">
        <f>Plantilla!AD4</f>
        <v>1</v>
      </c>
      <c r="S3" s="31">
        <f t="shared" ref="S3:S10" ca="1" si="2">((L3+J3+(LOG(K3)*4/3))*0.597)+((M3+J3+(LOG(K3)*4/3))*0.276)</f>
        <v>14.020106336433935</v>
      </c>
      <c r="T3" s="31">
        <f t="shared" ref="T3:T10" ca="1" si="3">((L3+J3+(LOG(K3)*4/3))*0.866)+((M3+J3+(LOG(K3)*4/3))*0.425)</f>
        <v>20.684193791908601</v>
      </c>
    </row>
    <row r="4" spans="1:21" x14ac:dyDescent="0.25">
      <c r="A4" t="str">
        <f>Plantilla!D5</f>
        <v>Nicolae Hornet</v>
      </c>
      <c r="B4">
        <v>23</v>
      </c>
      <c r="C4" s="29">
        <v>2</v>
      </c>
      <c r="D4" s="125"/>
      <c r="E4" s="49"/>
      <c r="F4" s="41">
        <f>Plantilla!Q5</f>
        <v>6</v>
      </c>
      <c r="G4" s="42">
        <f t="shared" si="0"/>
        <v>0.92582009977255142</v>
      </c>
      <c r="H4" s="42">
        <f t="shared" si="1"/>
        <v>0.99928545900129484</v>
      </c>
      <c r="I4" s="42"/>
      <c r="J4" s="131">
        <f ca="1">Plantilla!N5</f>
        <v>1</v>
      </c>
      <c r="K4" s="33">
        <f>Plantilla!I5</f>
        <v>1.4</v>
      </c>
      <c r="L4" s="40">
        <f>Plantilla!X5</f>
        <v>6</v>
      </c>
      <c r="M4" s="40">
        <f>Plantilla!Y5</f>
        <v>5.4</v>
      </c>
      <c r="N4" s="40">
        <f>Plantilla!Z5</f>
        <v>0</v>
      </c>
      <c r="O4" s="40">
        <f>Plantilla!AA5</f>
        <v>3</v>
      </c>
      <c r="P4" s="40">
        <f>Plantilla!AB5</f>
        <v>0</v>
      </c>
      <c r="Q4" s="40">
        <f>Plantilla!AC5</f>
        <v>1</v>
      </c>
      <c r="R4" s="40">
        <f>Plantilla!AD5</f>
        <v>1</v>
      </c>
      <c r="S4" s="31">
        <f t="shared" ca="1" si="2"/>
        <v>6.1154930335294697</v>
      </c>
      <c r="T4" s="31">
        <f t="shared" ca="1" si="3"/>
        <v>9.033535058747475</v>
      </c>
    </row>
    <row r="5" spans="1:21" x14ac:dyDescent="0.25">
      <c r="A5" t="s">
        <v>682</v>
      </c>
      <c r="B5">
        <v>19</v>
      </c>
      <c r="C5">
        <v>34</v>
      </c>
      <c r="E5" s="49">
        <v>1100000</v>
      </c>
      <c r="I5">
        <v>2150</v>
      </c>
      <c r="J5" s="131">
        <v>1</v>
      </c>
      <c r="K5" s="33">
        <v>1.3</v>
      </c>
      <c r="L5" s="40">
        <v>8</v>
      </c>
      <c r="M5" s="40">
        <v>2</v>
      </c>
      <c r="N5" s="40">
        <v>0</v>
      </c>
      <c r="O5" s="40">
        <v>0</v>
      </c>
      <c r="P5" s="40">
        <v>0</v>
      </c>
      <c r="Q5" s="40">
        <v>0</v>
      </c>
      <c r="R5" s="40">
        <v>14</v>
      </c>
      <c r="S5" s="31">
        <f t="shared" si="2"/>
        <v>6.3336300620851578</v>
      </c>
      <c r="T5" s="31">
        <f t="shared" si="3"/>
        <v>9.2651344904375019</v>
      </c>
    </row>
    <row r="6" spans="1:21" x14ac:dyDescent="0.25">
      <c r="A6" t="s">
        <v>684</v>
      </c>
      <c r="B6">
        <v>19</v>
      </c>
      <c r="C6">
        <v>33</v>
      </c>
      <c r="E6" s="49">
        <v>1050000</v>
      </c>
      <c r="I6">
        <v>2390</v>
      </c>
      <c r="J6" s="131">
        <v>1</v>
      </c>
      <c r="K6" s="33">
        <v>1.2</v>
      </c>
      <c r="L6" s="40">
        <v>8</v>
      </c>
      <c r="M6" s="40">
        <v>1</v>
      </c>
      <c r="N6" s="40">
        <v>0</v>
      </c>
      <c r="O6" s="40">
        <v>0</v>
      </c>
      <c r="P6" s="40">
        <v>0</v>
      </c>
      <c r="Q6" s="40">
        <v>0</v>
      </c>
      <c r="R6" s="40">
        <v>12</v>
      </c>
      <c r="S6" s="31">
        <f t="shared" si="2"/>
        <v>6.017166970399435</v>
      </c>
      <c r="T6" s="31">
        <f t="shared" si="3"/>
        <v>8.7802973181966433</v>
      </c>
    </row>
    <row r="7" spans="1:21" x14ac:dyDescent="0.25">
      <c r="A7" t="s">
        <v>685</v>
      </c>
      <c r="B7">
        <v>19</v>
      </c>
      <c r="C7">
        <v>78</v>
      </c>
      <c r="E7" s="49">
        <v>1849000</v>
      </c>
      <c r="I7">
        <v>3670</v>
      </c>
      <c r="J7" s="131">
        <v>1</v>
      </c>
      <c r="K7" s="33">
        <v>1</v>
      </c>
      <c r="L7" s="40">
        <v>9.35</v>
      </c>
      <c r="M7" s="40">
        <v>3</v>
      </c>
      <c r="N7" s="40">
        <v>0</v>
      </c>
      <c r="O7" s="40">
        <v>0</v>
      </c>
      <c r="P7" s="40">
        <v>0</v>
      </c>
      <c r="Q7" s="40">
        <v>0</v>
      </c>
      <c r="R7" s="40">
        <v>13</v>
      </c>
      <c r="S7" s="31">
        <f t="shared" si="2"/>
        <v>7.2829499999999996</v>
      </c>
      <c r="T7" s="31">
        <f t="shared" si="3"/>
        <v>10.663099999999998</v>
      </c>
    </row>
    <row r="8" spans="1:21" x14ac:dyDescent="0.25">
      <c r="A8" t="s">
        <v>686</v>
      </c>
      <c r="B8">
        <v>20</v>
      </c>
      <c r="C8">
        <v>52</v>
      </c>
      <c r="E8" s="49">
        <v>1198000</v>
      </c>
      <c r="I8">
        <v>2330</v>
      </c>
      <c r="J8" s="131">
        <v>1</v>
      </c>
      <c r="K8" s="33">
        <v>1.2</v>
      </c>
      <c r="L8" s="40">
        <v>8</v>
      </c>
      <c r="M8" s="40">
        <v>2</v>
      </c>
      <c r="N8" s="40">
        <v>0</v>
      </c>
      <c r="O8" s="40">
        <v>0</v>
      </c>
      <c r="P8" s="40">
        <v>0</v>
      </c>
      <c r="Q8" s="40">
        <v>0</v>
      </c>
      <c r="R8" s="40">
        <v>14</v>
      </c>
      <c r="S8" s="31">
        <f t="shared" si="2"/>
        <v>6.2931669703994348</v>
      </c>
      <c r="T8" s="31">
        <f t="shared" si="3"/>
        <v>9.205297318196644</v>
      </c>
    </row>
    <row r="9" spans="1:21" x14ac:dyDescent="0.25">
      <c r="A9" t="s">
        <v>687</v>
      </c>
      <c r="B9">
        <v>20</v>
      </c>
      <c r="C9">
        <v>25</v>
      </c>
      <c r="E9" s="49">
        <v>750000</v>
      </c>
      <c r="I9">
        <v>1730</v>
      </c>
      <c r="J9" s="131">
        <v>1</v>
      </c>
      <c r="K9" s="33">
        <v>1.3</v>
      </c>
      <c r="L9" s="40">
        <v>7</v>
      </c>
      <c r="M9" s="40">
        <v>4</v>
      </c>
      <c r="N9" s="40">
        <v>0</v>
      </c>
      <c r="O9" s="40">
        <v>0</v>
      </c>
      <c r="P9" s="40">
        <v>0</v>
      </c>
      <c r="Q9" s="40">
        <v>0</v>
      </c>
      <c r="R9" s="40">
        <v>12</v>
      </c>
      <c r="S9" s="31">
        <f t="shared" si="2"/>
        <v>6.288630062085157</v>
      </c>
      <c r="T9" s="31">
        <f t="shared" si="3"/>
        <v>9.2491344904375019</v>
      </c>
    </row>
    <row r="10" spans="1:21" x14ac:dyDescent="0.25">
      <c r="A10" t="s">
        <v>688</v>
      </c>
      <c r="B10">
        <v>21</v>
      </c>
      <c r="C10">
        <v>82</v>
      </c>
      <c r="D10" t="s">
        <v>689</v>
      </c>
      <c r="E10" s="49">
        <v>900000</v>
      </c>
      <c r="I10">
        <v>650</v>
      </c>
      <c r="J10" s="131">
        <v>1</v>
      </c>
      <c r="K10" s="33">
        <v>2.6</v>
      </c>
      <c r="L10" s="40">
        <v>8</v>
      </c>
      <c r="M10" s="40">
        <v>6</v>
      </c>
      <c r="N10" s="40">
        <v>2</v>
      </c>
      <c r="O10" s="40">
        <v>3</v>
      </c>
      <c r="P10" s="40">
        <v>5</v>
      </c>
      <c r="Q10" s="40">
        <v>2</v>
      </c>
      <c r="R10" s="40">
        <v>12</v>
      </c>
      <c r="S10" s="31">
        <f t="shared" si="2"/>
        <v>7.7880289770380315</v>
      </c>
      <c r="T10" s="31">
        <f t="shared" si="3"/>
        <v>11.483307456307099</v>
      </c>
      <c r="U10">
        <f>(1610+165+135)*1.033*1.2</f>
        <v>2367.6359999999995</v>
      </c>
    </row>
    <row r="11" spans="1:21" x14ac:dyDescent="0.25">
      <c r="E11" s="49"/>
      <c r="J11" s="131"/>
      <c r="K11" s="33"/>
      <c r="L11" s="40"/>
      <c r="M11" s="40"/>
      <c r="N11" s="40"/>
      <c r="O11" s="40"/>
      <c r="P11" s="40"/>
      <c r="Q11" s="40"/>
      <c r="R11" s="40"/>
      <c r="S11" s="31"/>
      <c r="T11" s="31"/>
    </row>
    <row r="12" spans="1:21" x14ac:dyDescent="0.25">
      <c r="E12" s="49"/>
      <c r="J12" s="131"/>
      <c r="K12" s="33"/>
      <c r="L12" s="40"/>
      <c r="M12" s="40"/>
      <c r="N12" s="40"/>
      <c r="O12" s="40"/>
      <c r="P12" s="40"/>
      <c r="Q12" s="40"/>
      <c r="R12" s="40"/>
      <c r="S12" s="31"/>
      <c r="T12" s="31"/>
    </row>
    <row r="13" spans="1:21" x14ac:dyDescent="0.25">
      <c r="E13" s="49"/>
      <c r="J13" s="131"/>
      <c r="K13" s="33"/>
      <c r="L13" s="40"/>
      <c r="M13" s="40"/>
      <c r="N13" s="40"/>
      <c r="O13" s="40"/>
      <c r="P13" s="40"/>
      <c r="Q13" s="40"/>
      <c r="R13" s="40"/>
      <c r="S13" s="31"/>
      <c r="T13" s="31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9"/>
  <sheetViews>
    <sheetView tabSelected="1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20" sqref="A20"/>
    </sheetView>
  </sheetViews>
  <sheetFormatPr baseColWidth="10" defaultColWidth="9.140625" defaultRowHeight="15" x14ac:dyDescent="0.25"/>
  <cols>
    <col min="1" max="1" width="3.5703125" style="504" bestFit="1" customWidth="1"/>
    <col min="2" max="2" width="8" style="125" bestFit="1" customWidth="1"/>
    <col min="3" max="3" width="5.28515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8554687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6.42578125" bestFit="1" customWidth="1"/>
    <col min="31" max="31" width="7" bestFit="1" customWidth="1"/>
    <col min="32" max="33" width="8.5703125" bestFit="1" customWidth="1"/>
    <col min="34" max="34" width="6.5703125" bestFit="1" customWidth="1"/>
    <col min="35" max="40" width="7" bestFit="1" customWidth="1"/>
    <col min="41" max="41" width="7.5703125" bestFit="1" customWidth="1"/>
    <col min="42" max="42" width="4.85546875" customWidth="1"/>
    <col min="43" max="43" width="3.42578125" bestFit="1" customWidth="1"/>
    <col min="44" max="44" width="3.5703125" bestFit="1" customWidth="1"/>
    <col min="45" max="45" width="5.28515625" bestFit="1" customWidth="1"/>
    <col min="46" max="46" width="7" bestFit="1" customWidth="1"/>
  </cols>
  <sheetData>
    <row r="1" spans="1:46" x14ac:dyDescent="0.25">
      <c r="D1" s="27">
        <v>42268</v>
      </c>
    </row>
    <row r="2" spans="1:46" x14ac:dyDescent="0.25">
      <c r="D2" s="27">
        <f ca="1">TODAY()</f>
        <v>43761</v>
      </c>
      <c r="I2" s="28">
        <f>AVERAGE(I4:I21)</f>
        <v>4.9777777777777779</v>
      </c>
      <c r="J2" s="28"/>
      <c r="N2" s="31">
        <f ca="1">AVERAGE(N4:N21)</f>
        <v>0.81319349060943802</v>
      </c>
      <c r="O2" s="28">
        <f>AVERAGE(O4:O21)</f>
        <v>6.0055555555555546</v>
      </c>
      <c r="Q2" s="28">
        <f>AVERAGE(Q4:Q21)</f>
        <v>5.3888888888888893</v>
      </c>
      <c r="R2" s="63">
        <f>AVERAGE(R4:R21)</f>
        <v>0.87244746133744355</v>
      </c>
      <c r="S2" s="63">
        <f>AVERAGE(S4:S21)</f>
        <v>0.94707351109431648</v>
      </c>
      <c r="T2" s="32">
        <f>SUM(T4:T21)</f>
        <v>1527310</v>
      </c>
      <c r="U2" s="32">
        <f>SUM(U4:U21)</f>
        <v>22620</v>
      </c>
      <c r="V2" s="32">
        <f>SUM(V4:V21)</f>
        <v>243784</v>
      </c>
      <c r="W2" s="33">
        <f>T2/V2</f>
        <v>6.2650132904538447</v>
      </c>
      <c r="AD2" s="31">
        <f>AVERAGE(AD5:AD21)</f>
        <v>4.882352941176471</v>
      </c>
      <c r="AE2" s="29">
        <f>AVERAGE(AE5:AE21)</f>
        <v>117.41176470588235</v>
      </c>
      <c r="AF2" s="29"/>
      <c r="AG2" s="29">
        <f>AVERAGE(AG5:AG21)</f>
        <v>2024.090909090909</v>
      </c>
      <c r="AH2" s="28"/>
      <c r="AO2" s="28"/>
      <c r="AP2" s="28"/>
      <c r="AQ2" s="28"/>
      <c r="AR2" s="28"/>
    </row>
    <row r="3" spans="1:46" x14ac:dyDescent="0.25">
      <c r="A3" s="503" t="s">
        <v>355</v>
      </c>
      <c r="B3" s="10" t="s">
        <v>1</v>
      </c>
      <c r="C3" s="11" t="s">
        <v>760</v>
      </c>
      <c r="D3" s="12" t="s">
        <v>92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93</v>
      </c>
      <c r="K3" s="13" t="s">
        <v>44</v>
      </c>
      <c r="L3" s="13" t="s">
        <v>43</v>
      </c>
      <c r="M3" s="10" t="s">
        <v>98</v>
      </c>
      <c r="N3" s="10" t="s">
        <v>75</v>
      </c>
      <c r="O3" s="10" t="s">
        <v>8</v>
      </c>
      <c r="P3" s="10" t="s">
        <v>9</v>
      </c>
      <c r="Q3" s="10" t="s">
        <v>10</v>
      </c>
      <c r="R3" s="43" t="s">
        <v>73</v>
      </c>
      <c r="S3" s="43" t="s">
        <v>74</v>
      </c>
      <c r="T3" s="10" t="s">
        <v>11</v>
      </c>
      <c r="U3" s="10" t="s">
        <v>105</v>
      </c>
      <c r="V3" s="10" t="s">
        <v>12</v>
      </c>
      <c r="W3" s="10" t="s">
        <v>13</v>
      </c>
      <c r="X3" s="10" t="s">
        <v>14</v>
      </c>
      <c r="Y3" s="10" t="s">
        <v>15</v>
      </c>
      <c r="Z3" s="10" t="s">
        <v>16</v>
      </c>
      <c r="AA3" s="10" t="s">
        <v>17</v>
      </c>
      <c r="AB3" s="10" t="s">
        <v>18</v>
      </c>
      <c r="AC3" s="10" t="s">
        <v>19</v>
      </c>
      <c r="AD3" s="10" t="s">
        <v>5</v>
      </c>
      <c r="AE3" s="10" t="s">
        <v>228</v>
      </c>
      <c r="AF3" s="10" t="s">
        <v>746</v>
      </c>
      <c r="AG3" s="10" t="s">
        <v>776</v>
      </c>
      <c r="AH3" s="14" t="s">
        <v>20</v>
      </c>
      <c r="AI3" s="14" t="s">
        <v>704</v>
      </c>
      <c r="AJ3" s="14" t="s">
        <v>705</v>
      </c>
      <c r="AK3" s="14" t="s">
        <v>706</v>
      </c>
      <c r="AL3" s="14" t="s">
        <v>707</v>
      </c>
      <c r="AM3" s="14" t="s">
        <v>708</v>
      </c>
      <c r="AN3" s="14" t="s">
        <v>709</v>
      </c>
      <c r="AO3" s="14" t="s">
        <v>21</v>
      </c>
      <c r="AP3" s="10" t="s">
        <v>99</v>
      </c>
      <c r="AQ3" s="10" t="s">
        <v>95</v>
      </c>
      <c r="AR3" s="10" t="s">
        <v>96</v>
      </c>
      <c r="AS3" s="10" t="s">
        <v>97</v>
      </c>
      <c r="AT3" s="30" t="s">
        <v>181</v>
      </c>
    </row>
    <row r="4" spans="1:46" x14ac:dyDescent="0.25">
      <c r="A4" s="505" t="s">
        <v>25</v>
      </c>
      <c r="B4" s="506" t="s">
        <v>24</v>
      </c>
      <c r="C4" s="451">
        <f ca="1">((36*112)-(E4*112)-(F4))/112</f>
        <v>12.464285714285714</v>
      </c>
      <c r="D4" s="116" t="s">
        <v>341</v>
      </c>
      <c r="E4" s="1">
        <v>23</v>
      </c>
      <c r="F4" s="2">
        <f ca="1">$D$2-$D$1-1097-112-112-112</f>
        <v>60</v>
      </c>
      <c r="G4" s="3"/>
      <c r="H4" s="4">
        <v>4</v>
      </c>
      <c r="I4" s="5">
        <v>5.4</v>
      </c>
      <c r="J4" s="21">
        <f>LOG(I4)*4/3</f>
        <v>0.97652501309729134</v>
      </c>
      <c r="K4" s="6">
        <f>(H4)*(H4)*(I4)</f>
        <v>86.4</v>
      </c>
      <c r="L4" s="6">
        <f>(H4+1)*(H4+1)*I4</f>
        <v>135</v>
      </c>
      <c r="M4" s="69">
        <v>43415</v>
      </c>
      <c r="N4" s="70">
        <f t="shared" ref="N4:N9" ca="1" si="0">IF((TODAY()-M4)&gt;335,1,((TODAY()-M4)^0.64)/(336^0.64))</f>
        <v>1</v>
      </c>
      <c r="O4" s="23">
        <v>6.7</v>
      </c>
      <c r="P4" s="19">
        <f>O4*10+19</f>
        <v>86</v>
      </c>
      <c r="Q4" s="24">
        <v>6</v>
      </c>
      <c r="R4" s="62">
        <f>(Q4/7)^0.5</f>
        <v>0.92582009977255142</v>
      </c>
      <c r="S4" s="62">
        <f>IF(Q4=7,1,((Q4+0.99)/7)^0.5)</f>
        <v>0.99928545900129484</v>
      </c>
      <c r="T4" s="26">
        <v>76730</v>
      </c>
      <c r="U4" s="26">
        <f t="shared" ref="U4:U21" si="1">T4-AT4</f>
        <v>1570</v>
      </c>
      <c r="V4" s="7">
        <v>28790</v>
      </c>
      <c r="W4" s="8">
        <f>T4/V4</f>
        <v>2.6651615144147272</v>
      </c>
      <c r="X4" s="20">
        <v>15</v>
      </c>
      <c r="Y4" s="21">
        <f>12+1/10</f>
        <v>12.1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108.5</v>
      </c>
      <c r="AF4" s="9">
        <v>1127</v>
      </c>
      <c r="AG4" s="9">
        <v>1772</v>
      </c>
      <c r="AH4" s="8">
        <f t="shared" ref="AH4:AH21" ca="1" si="2">(((Y4+LOG(I4)*4/3+N4)+(AB4+LOG(I4)*4/3+N4)*2)/8)*(Q4/7)^0.5</f>
        <v>2.0865178702167384</v>
      </c>
      <c r="AI4" s="22">
        <f t="shared" ref="AI4:AI21" ca="1" si="3">(Y4+J4+N4)*(Q4/7)^0.5</f>
        <v>13.032329792076549</v>
      </c>
      <c r="AJ4" s="22">
        <f t="shared" ref="AJ4:AJ21" ca="1" si="4">(Y4+J4+N4)*(IF(Q4=7, (Q4/7)^0.5, ((Q4+1)/7)^0.5))</f>
        <v>14.076525013097291</v>
      </c>
      <c r="AK4" s="22">
        <f t="shared" ref="AK4:AK21" ca="1" si="5">(Z4+N4+(LOG(I4)*4/3))*(Q4/7)^0.5</f>
        <v>1.8299065848286777</v>
      </c>
      <c r="AL4" s="22">
        <f t="shared" ref="AL4:AL21" ca="1" si="6">(Z4+N4+(LOG(I4)*4/3))*(IF(Q4=7, (Q4/7)^0.5, ((Q4+1)/7)^0.5))</f>
        <v>1.9765250130972913</v>
      </c>
      <c r="AM4" s="22">
        <f t="shared" ref="AM4:AM21" ca="1" si="7">(AD4+1+(LOG(I4)*4/3)+N4)*(Q4/7)^0.5</f>
        <v>3.6815467843737806</v>
      </c>
      <c r="AN4" s="22">
        <f t="shared" ref="AN4:AN21" ca="1" si="8">(AD4+1+N4+(LOG(I4)*4/3))*(IF(Q4=7, (Q4/7)^0.5, ((Q4+1)/7)^0.5))</f>
        <v>3.9765250130972913</v>
      </c>
      <c r="AO4" s="8">
        <f t="shared" ref="AO4:AO21" ca="1" si="9">(AD4+LOG(I4)*4/3+N4)*0.7+(AC4+LOG(I4)*4/3+N4)*0.3</f>
        <v>2.9765250130972909</v>
      </c>
      <c r="AP4" s="19">
        <v>1</v>
      </c>
      <c r="AQ4" s="19">
        <v>3</v>
      </c>
      <c r="AR4" s="19">
        <v>2</v>
      </c>
      <c r="AS4" s="68">
        <f t="shared" ref="AS4:AS21" si="10">IF(AQ4=4,IF(AR4=0,0.137+0.0697,0.137+0.02),IF(AQ4=3,IF(AR4=0,0.0958+0.0697,0.0958+0.02),IF(AQ4=2,IF(AR4=0,0.0415+0.0697,0.0415+0.02),IF(AQ4=1,IF(AR4=0,0.0294+0.0697,0.0294+0.02),IF(AQ4=0,IF(AR4=0,0.0063+0.0697,0.0063+0.02))))))</f>
        <v>0.1158</v>
      </c>
      <c r="AT4" s="26">
        <v>75160</v>
      </c>
    </row>
    <row r="5" spans="1:46" x14ac:dyDescent="0.25">
      <c r="A5" s="505" t="s">
        <v>761</v>
      </c>
      <c r="B5" s="507" t="s">
        <v>24</v>
      </c>
      <c r="C5" s="451">
        <f t="shared" ref="C5:C21" ca="1" si="11">((36*112)-(E5*112)-(F5))/112</f>
        <v>12.241071428571429</v>
      </c>
      <c r="D5" s="434" t="s">
        <v>323</v>
      </c>
      <c r="E5" s="16">
        <v>23</v>
      </c>
      <c r="F5" s="2">
        <f ca="1">$D$2-$D$1-880+32-112-112-112-112-112</f>
        <v>85</v>
      </c>
      <c r="G5" s="17"/>
      <c r="H5" s="104">
        <v>5</v>
      </c>
      <c r="I5" s="25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69">
        <v>43190</v>
      </c>
      <c r="N5" s="70">
        <f t="shared" ca="1" si="0"/>
        <v>1</v>
      </c>
      <c r="O5" s="18">
        <v>6</v>
      </c>
      <c r="P5" s="19">
        <f t="shared" ref="P5:P9" si="15">O5*10+19</f>
        <v>79</v>
      </c>
      <c r="Q5" s="24">
        <v>6</v>
      </c>
      <c r="R5" s="62">
        <f t="shared" ref="R5:R9" si="16">(Q5/7)^0.5</f>
        <v>0.92582009977255142</v>
      </c>
      <c r="S5" s="62">
        <f t="shared" ref="S5:S9" si="17">IF(Q5=7,1,((Q5+0.99)/7)^0.5)</f>
        <v>0.99928545900129484</v>
      </c>
      <c r="T5" s="26">
        <v>3170</v>
      </c>
      <c r="U5" s="26">
        <f t="shared" si="1"/>
        <v>-110</v>
      </c>
      <c r="V5" s="26">
        <v>1170</v>
      </c>
      <c r="W5" s="8">
        <f t="shared" ref="W5:W9" si="18">T5/V5</f>
        <v>2.7094017094017095</v>
      </c>
      <c r="X5" s="20">
        <v>6</v>
      </c>
      <c r="Y5" s="21">
        <f>5+2/5</f>
        <v>5.4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7.5+10+1.5+1.5+2</f>
        <v>22.5</v>
      </c>
      <c r="AF5" s="9">
        <v>300</v>
      </c>
      <c r="AG5" s="9"/>
      <c r="AH5" s="8">
        <f t="shared" ca="1" si="2"/>
        <v>1.0397552410467756</v>
      </c>
      <c r="AI5" s="22">
        <f t="shared" ca="1" si="3"/>
        <v>6.1056330019725875</v>
      </c>
      <c r="AJ5" s="22">
        <f t="shared" ca="1" si="4"/>
        <v>6.5948373809043179</v>
      </c>
      <c r="AK5" s="22">
        <f t="shared" ca="1" si="5"/>
        <v>1.106204463200809</v>
      </c>
      <c r="AL5" s="22">
        <f t="shared" ca="1" si="6"/>
        <v>1.1948373809043173</v>
      </c>
      <c r="AM5" s="22">
        <f t="shared" ca="1" si="7"/>
        <v>2.9578446627459121</v>
      </c>
      <c r="AN5" s="22">
        <f t="shared" ca="1" si="8"/>
        <v>3.1948373809043176</v>
      </c>
      <c r="AO5" s="8">
        <f t="shared" ca="1" si="9"/>
        <v>2.1948373809043176</v>
      </c>
      <c r="AP5" s="19">
        <v>3</v>
      </c>
      <c r="AQ5" s="19">
        <v>0</v>
      </c>
      <c r="AR5" s="19">
        <v>2</v>
      </c>
      <c r="AS5" s="68">
        <f t="shared" si="10"/>
        <v>2.63E-2</v>
      </c>
      <c r="AT5" s="26">
        <v>3280</v>
      </c>
    </row>
    <row r="6" spans="1:46" x14ac:dyDescent="0.25">
      <c r="A6" s="505" t="s">
        <v>28</v>
      </c>
      <c r="B6" s="506" t="s">
        <v>226</v>
      </c>
      <c r="C6" s="451">
        <f t="shared" ca="1" si="11"/>
        <v>12.491071428571429</v>
      </c>
      <c r="D6" s="116" t="s">
        <v>332</v>
      </c>
      <c r="E6" s="1">
        <v>23</v>
      </c>
      <c r="F6" s="2">
        <f ca="1">$D$2-$D$1-1100-112-112-112</f>
        <v>57</v>
      </c>
      <c r="G6" s="3"/>
      <c r="H6" s="104">
        <v>5</v>
      </c>
      <c r="I6" s="5">
        <v>2.9</v>
      </c>
      <c r="J6" s="21">
        <f t="shared" ref="J6" si="19">LOG(I6)*4/3</f>
        <v>0.61653066386527478</v>
      </c>
      <c r="K6" s="6">
        <f t="shared" ref="K6" si="20">(H6)*(H6)*(I6)</f>
        <v>72.5</v>
      </c>
      <c r="L6" s="6">
        <f t="shared" ref="L6" si="21">(H6+1)*(H6+1)*I6</f>
        <v>104.39999999999999</v>
      </c>
      <c r="M6" s="69">
        <v>43395</v>
      </c>
      <c r="N6" s="70">
        <f t="shared" ca="1" si="0"/>
        <v>1</v>
      </c>
      <c r="O6" s="23">
        <v>6.4</v>
      </c>
      <c r="P6" s="19">
        <f t="shared" si="15"/>
        <v>83</v>
      </c>
      <c r="Q6" s="24">
        <v>5</v>
      </c>
      <c r="R6" s="62">
        <f t="shared" ref="R6" si="22">(Q6/7)^0.5</f>
        <v>0.84515425472851657</v>
      </c>
      <c r="S6" s="62">
        <f t="shared" ref="S6" si="23">IF(Q6=7,1,((Q6+0.99)/7)^0.5)</f>
        <v>0.92504826128926143</v>
      </c>
      <c r="T6" s="26">
        <v>111770</v>
      </c>
      <c r="U6" s="26">
        <f t="shared" si="1"/>
        <v>14300</v>
      </c>
      <c r="V6" s="7">
        <v>27800</v>
      </c>
      <c r="W6" s="8">
        <f t="shared" ref="W6" si="24">T6/V6</f>
        <v>4.0205035971223024</v>
      </c>
      <c r="X6" s="20">
        <v>0</v>
      </c>
      <c r="Y6" s="21">
        <f>15+4/16+1/16*131/90</f>
        <v>15.340972222222222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126.04</v>
      </c>
      <c r="AF6" s="9">
        <v>1314</v>
      </c>
      <c r="AG6" s="9">
        <v>2033</v>
      </c>
      <c r="AH6" s="8">
        <f t="shared" ca="1" si="2"/>
        <v>3.4007490384274814</v>
      </c>
      <c r="AI6" s="22">
        <f t="shared" ca="1" si="3"/>
        <v>14.331705713747947</v>
      </c>
      <c r="AJ6" s="22">
        <f t="shared" ca="1" si="4"/>
        <v>15.699597013890855</v>
      </c>
      <c r="AK6" s="22">
        <f t="shared" ca="1" si="5"/>
        <v>5.591989042107433</v>
      </c>
      <c r="AL6" s="22">
        <f t="shared" ca="1" si="6"/>
        <v>6.1257170793678943</v>
      </c>
      <c r="AM6" s="22">
        <f t="shared" ca="1" si="7"/>
        <v>3.0565262779218836</v>
      </c>
      <c r="AN6" s="22">
        <f t="shared" ca="1" si="8"/>
        <v>3.3482567800502405</v>
      </c>
      <c r="AO6" s="8">
        <f t="shared" ca="1" si="9"/>
        <v>2.9165306638652746</v>
      </c>
      <c r="AP6" s="19">
        <v>1</v>
      </c>
      <c r="AQ6" s="19">
        <v>2</v>
      </c>
      <c r="AR6" s="19">
        <v>1</v>
      </c>
      <c r="AS6" s="68">
        <f t="shared" si="10"/>
        <v>6.1499999999999999E-2</v>
      </c>
      <c r="AT6" s="26">
        <v>97470</v>
      </c>
    </row>
    <row r="7" spans="1:46" x14ac:dyDescent="0.25">
      <c r="A7" s="505" t="s">
        <v>30</v>
      </c>
      <c r="B7" s="507" t="s">
        <v>226</v>
      </c>
      <c r="C7" s="451">
        <f t="shared" ca="1" si="11"/>
        <v>12.660714285714286</v>
      </c>
      <c r="D7" s="116" t="s">
        <v>335</v>
      </c>
      <c r="E7" s="16">
        <v>23</v>
      </c>
      <c r="F7" s="2">
        <f ca="1">$D$2-$D$1-1102-17-112-112-112</f>
        <v>38</v>
      </c>
      <c r="G7" s="17"/>
      <c r="H7" s="4">
        <v>4</v>
      </c>
      <c r="I7" s="25">
        <v>4.0999999999999996</v>
      </c>
      <c r="J7" s="21">
        <f>LOG(I7)*4/3</f>
        <v>0.81704514229298064</v>
      </c>
      <c r="K7" s="6">
        <f>(H7)*(H7)*(I7)</f>
        <v>65.599999999999994</v>
      </c>
      <c r="L7" s="6">
        <f>(H7+1)*(H7+1)*I7</f>
        <v>102.49999999999999</v>
      </c>
      <c r="M7" s="69">
        <v>43410</v>
      </c>
      <c r="N7" s="70">
        <f t="shared" ca="1" si="0"/>
        <v>1</v>
      </c>
      <c r="O7" s="18">
        <v>6.6</v>
      </c>
      <c r="P7" s="19">
        <f>O7*10+19</f>
        <v>85</v>
      </c>
      <c r="Q7" s="24">
        <v>3</v>
      </c>
      <c r="R7" s="62">
        <f>(Q7/7)^0.5</f>
        <v>0.65465367070797709</v>
      </c>
      <c r="S7" s="62">
        <f>IF(Q7=7,1,((Q7+0.99)/7)^0.5)</f>
        <v>0.75498344352707503</v>
      </c>
      <c r="T7" s="26">
        <v>94400</v>
      </c>
      <c r="U7" s="26">
        <f t="shared" si="1"/>
        <v>-9570</v>
      </c>
      <c r="V7" s="26">
        <v>29460</v>
      </c>
      <c r="W7" s="8">
        <f>T7/V7</f>
        <v>3.2043448744059742</v>
      </c>
      <c r="X7" s="20">
        <v>0</v>
      </c>
      <c r="Y7" s="21">
        <f>15+5/16</f>
        <v>15.3125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128.07999999999998</v>
      </c>
      <c r="AF7" s="9">
        <v>1312</v>
      </c>
      <c r="AG7" s="9">
        <v>2051</v>
      </c>
      <c r="AH7" s="8">
        <f t="shared" ca="1" si="2"/>
        <v>2.5583567114852817</v>
      </c>
      <c r="AI7" s="22">
        <f t="shared" ca="1" si="3"/>
        <v>11.213919604960097</v>
      </c>
      <c r="AJ7" s="22">
        <f t="shared" ca="1" si="4"/>
        <v>12.948719005189067</v>
      </c>
      <c r="AK7" s="22">
        <f t="shared" ca="1" si="5"/>
        <v>4.4628036257840833</v>
      </c>
      <c r="AL7" s="22">
        <f t="shared" ca="1" si="6"/>
        <v>5.153201749373757</v>
      </c>
      <c r="AM7" s="22">
        <f t="shared" ca="1" si="7"/>
        <v>1.8441889429521754</v>
      </c>
      <c r="AN7" s="22">
        <f t="shared" ca="1" si="8"/>
        <v>2.1294859652999398</v>
      </c>
      <c r="AO7" s="8">
        <f t="shared" ca="1" si="9"/>
        <v>2.1170451422929806</v>
      </c>
      <c r="AP7" s="19">
        <v>3</v>
      </c>
      <c r="AQ7" s="19">
        <v>2</v>
      </c>
      <c r="AR7" s="19">
        <v>2</v>
      </c>
      <c r="AS7" s="68">
        <f t="shared" si="10"/>
        <v>6.1499999999999999E-2</v>
      </c>
      <c r="AT7" s="26">
        <v>103970</v>
      </c>
    </row>
    <row r="8" spans="1:46" x14ac:dyDescent="0.25">
      <c r="A8" s="505" t="s">
        <v>35</v>
      </c>
      <c r="B8" s="507" t="s">
        <v>226</v>
      </c>
      <c r="C8" s="451">
        <f t="shared" ca="1" si="11"/>
        <v>12.214285714285714</v>
      </c>
      <c r="D8" s="116" t="s">
        <v>331</v>
      </c>
      <c r="E8" s="16">
        <v>23</v>
      </c>
      <c r="F8" s="2">
        <f ca="1">$D$2-$D$1-1069-112-112-112</f>
        <v>88</v>
      </c>
      <c r="G8" s="17"/>
      <c r="H8" s="4">
        <v>1</v>
      </c>
      <c r="I8" s="25">
        <v>4.4000000000000004</v>
      </c>
      <c r="J8" s="21">
        <f>LOG(I8)*4/3</f>
        <v>0.85793690198158323</v>
      </c>
      <c r="K8" s="6">
        <f>(H8)*(H8)*(I8)</f>
        <v>4.4000000000000004</v>
      </c>
      <c r="L8" s="6">
        <f>(H8+1)*(H8+1)*I8</f>
        <v>17.600000000000001</v>
      </c>
      <c r="M8" s="69">
        <v>43383</v>
      </c>
      <c r="N8" s="70">
        <f t="shared" ca="1" si="0"/>
        <v>1</v>
      </c>
      <c r="O8" s="18">
        <v>6.4</v>
      </c>
      <c r="P8" s="19">
        <f>O8*10+19</f>
        <v>83</v>
      </c>
      <c r="Q8" s="24">
        <v>6</v>
      </c>
      <c r="R8" s="62">
        <f>(Q8/7)^0.5</f>
        <v>0.92582009977255142</v>
      </c>
      <c r="S8" s="62">
        <f>IF(Q8=7,1,((Q8+0.99)/7)^0.5)</f>
        <v>0.99928545900129484</v>
      </c>
      <c r="T8" s="26">
        <v>118150</v>
      </c>
      <c r="U8" s="26">
        <f t="shared" si="1"/>
        <v>9390</v>
      </c>
      <c r="V8" s="26">
        <v>11670</v>
      </c>
      <c r="W8" s="8">
        <f>T8/V8</f>
        <v>10.124250214224507</v>
      </c>
      <c r="X8" s="20">
        <v>0</v>
      </c>
      <c r="Y8" s="21">
        <f>13+10/12</f>
        <v>13.833333333333334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123.5</v>
      </c>
      <c r="AF8" s="9">
        <v>1259</v>
      </c>
      <c r="AG8" s="9">
        <v>1937</v>
      </c>
      <c r="AH8" s="8">
        <f t="shared" ca="1" si="2"/>
        <v>4.5894226313923596</v>
      </c>
      <c r="AI8" s="22">
        <f t="shared" ca="1" si="3"/>
        <v>14.527293374817322</v>
      </c>
      <c r="AJ8" s="22">
        <f t="shared" ca="1" si="4"/>
        <v>15.691270235314917</v>
      </c>
      <c r="AK8" s="22">
        <f t="shared" ca="1" si="5"/>
        <v>4.497575627281349</v>
      </c>
      <c r="AL8" s="22">
        <f t="shared" ca="1" si="6"/>
        <v>4.8579369019815832</v>
      </c>
      <c r="AM8" s="22">
        <f t="shared" ca="1" si="7"/>
        <v>4.497575627281349</v>
      </c>
      <c r="AN8" s="22">
        <f t="shared" ca="1" si="8"/>
        <v>4.8579369019815832</v>
      </c>
      <c r="AO8" s="8">
        <f t="shared" ca="1" si="9"/>
        <v>4.1579369019815831</v>
      </c>
      <c r="AP8" s="19">
        <v>0</v>
      </c>
      <c r="AQ8" s="19">
        <v>3</v>
      </c>
      <c r="AR8" s="19">
        <v>2</v>
      </c>
      <c r="AS8" s="68">
        <f t="shared" si="10"/>
        <v>0.1158</v>
      </c>
      <c r="AT8" s="26">
        <v>108760</v>
      </c>
    </row>
    <row r="9" spans="1:46" x14ac:dyDescent="0.25">
      <c r="A9" s="505" t="s">
        <v>933</v>
      </c>
      <c r="B9" s="507" t="s">
        <v>226</v>
      </c>
      <c r="C9" s="451">
        <f t="shared" ca="1" si="11"/>
        <v>12.348214285714286</v>
      </c>
      <c r="D9" s="116" t="s">
        <v>339</v>
      </c>
      <c r="E9" s="1">
        <v>23</v>
      </c>
      <c r="F9" s="2">
        <f ca="1">$D$2-$D$1-880+55-112-112-14-21-112-112-112</f>
        <v>73</v>
      </c>
      <c r="G9" s="3"/>
      <c r="H9" s="4">
        <v>4</v>
      </c>
      <c r="I9" s="5">
        <v>4.9000000000000004</v>
      </c>
      <c r="J9" s="21">
        <f t="shared" si="12"/>
        <v>0.92026144003801835</v>
      </c>
      <c r="K9" s="6">
        <f t="shared" si="13"/>
        <v>78.400000000000006</v>
      </c>
      <c r="L9" s="6">
        <f t="shared" si="14"/>
        <v>122.50000000000001</v>
      </c>
      <c r="M9" s="69">
        <v>43419</v>
      </c>
      <c r="N9" s="70">
        <f t="shared" ca="1" si="0"/>
        <v>1</v>
      </c>
      <c r="O9" s="23">
        <v>6.6</v>
      </c>
      <c r="P9" s="19">
        <f t="shared" si="15"/>
        <v>85</v>
      </c>
      <c r="Q9" s="24">
        <v>3</v>
      </c>
      <c r="R9" s="62">
        <f t="shared" si="16"/>
        <v>0.65465367070797709</v>
      </c>
      <c r="S9" s="62">
        <f t="shared" si="17"/>
        <v>0.75498344352707503</v>
      </c>
      <c r="T9" s="26">
        <v>86570</v>
      </c>
      <c r="U9" s="26">
        <f t="shared" si="1"/>
        <v>1370</v>
      </c>
      <c r="V9" s="7">
        <v>7670</v>
      </c>
      <c r="W9" s="8">
        <f t="shared" si="18"/>
        <v>11.28683181225554</v>
      </c>
      <c r="X9" s="20">
        <v>0</v>
      </c>
      <c r="Y9" s="21">
        <f>12+1/11</f>
        <v>12.090909090909092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129.5</v>
      </c>
      <c r="AF9" s="9">
        <v>1403</v>
      </c>
      <c r="AG9" s="9">
        <v>2030</v>
      </c>
      <c r="AH9" s="8">
        <f t="shared" ca="1" si="2"/>
        <v>2.9571858248174832</v>
      </c>
      <c r="AI9" s="22">
        <f t="shared" ca="1" si="3"/>
        <v>9.1724642189999628</v>
      </c>
      <c r="AJ9" s="22">
        <f t="shared" ca="1" si="4"/>
        <v>10.591449371943677</v>
      </c>
      <c r="AK9" s="22">
        <f t="shared" ca="1" si="5"/>
        <v>8.4582965782276229</v>
      </c>
      <c r="AL9" s="22">
        <f t="shared" ca="1" si="6"/>
        <v>9.7667996126508179</v>
      </c>
      <c r="AM9" s="22">
        <f t="shared" ca="1" si="7"/>
        <v>2.5664135418558289</v>
      </c>
      <c r="AN9" s="22">
        <f t="shared" ca="1" si="8"/>
        <v>2.9634390984847276</v>
      </c>
      <c r="AO9" s="8">
        <f t="shared" ca="1" si="9"/>
        <v>3.8202614400380188</v>
      </c>
      <c r="AP9" s="19">
        <v>0</v>
      </c>
      <c r="AQ9" s="19">
        <v>2</v>
      </c>
      <c r="AR9" s="19">
        <v>2</v>
      </c>
      <c r="AS9" s="68">
        <f t="shared" si="10"/>
        <v>6.1499999999999999E-2</v>
      </c>
      <c r="AT9" s="26">
        <v>85200</v>
      </c>
    </row>
    <row r="10" spans="1:46" x14ac:dyDescent="0.25">
      <c r="A10" s="505" t="s">
        <v>31</v>
      </c>
      <c r="B10" s="507" t="s">
        <v>226</v>
      </c>
      <c r="C10" s="451">
        <f t="shared" ca="1" si="11"/>
        <v>11.964285714285714</v>
      </c>
      <c r="D10" s="116" t="s">
        <v>712</v>
      </c>
      <c r="E10" s="1">
        <v>24</v>
      </c>
      <c r="F10" s="2">
        <f ca="1">$D$2-$D$1-1377-112</f>
        <v>4</v>
      </c>
      <c r="G10" s="3"/>
      <c r="H10" s="4">
        <v>2</v>
      </c>
      <c r="I10" s="5">
        <v>4.8</v>
      </c>
      <c r="J10" s="21">
        <f>LOG(I10)*4/3</f>
        <v>0.90832164983411623</v>
      </c>
      <c r="K10" s="6">
        <f>(H10)*(H10)*(I10)</f>
        <v>19.2</v>
      </c>
      <c r="L10" s="6">
        <f>(H10+1)*(H10+1)*I10</f>
        <v>43.199999999999996</v>
      </c>
      <c r="M10" s="69">
        <v>43706</v>
      </c>
      <c r="N10" s="70">
        <f ca="1">IF((TODAY()-M10)&gt;335,1,((TODAY()-M10)^0.64)/(336^0.64))</f>
        <v>0.31403277993421796</v>
      </c>
      <c r="O10" s="23">
        <v>6.5</v>
      </c>
      <c r="P10" s="19">
        <f>O10*10+19</f>
        <v>84</v>
      </c>
      <c r="Q10" s="24">
        <v>6</v>
      </c>
      <c r="R10" s="62">
        <f>(Q10/7)^0.5</f>
        <v>0.92582009977255142</v>
      </c>
      <c r="S10" s="62">
        <f>IF(Q10=7,1,((Q10+0.99)/7)^0.5)</f>
        <v>0.99928545900129484</v>
      </c>
      <c r="T10" s="26">
        <v>121850</v>
      </c>
      <c r="U10" s="26">
        <f t="shared" si="1"/>
        <v>1910</v>
      </c>
      <c r="V10" s="7">
        <v>18390</v>
      </c>
      <c r="W10" s="8">
        <f>T10/V10</f>
        <v>6.6258836324089181</v>
      </c>
      <c r="X10" s="20">
        <v>0</v>
      </c>
      <c r="Y10" s="21">
        <f>13+9/12</f>
        <v>13.75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126</v>
      </c>
      <c r="AF10" s="9">
        <v>1302</v>
      </c>
      <c r="AG10" s="9">
        <v>1929</v>
      </c>
      <c r="AH10" s="8">
        <f t="shared" ca="1" si="2"/>
        <v>4.3301836584625288</v>
      </c>
      <c r="AI10" s="22">
        <f t="shared" ca="1" si="3"/>
        <v>13.861706671998121</v>
      </c>
      <c r="AJ10" s="22">
        <f t="shared" ca="1" si="4"/>
        <v>14.972354429768334</v>
      </c>
      <c r="AK10" s="22">
        <f t="shared" ca="1" si="5"/>
        <v>5.7607807989882964</v>
      </c>
      <c r="AL10" s="22">
        <f t="shared" ca="1" si="6"/>
        <v>6.222354429768334</v>
      </c>
      <c r="AM10" s="22">
        <f t="shared" ca="1" si="7"/>
        <v>2.0575003998980907</v>
      </c>
      <c r="AN10" s="22">
        <f t="shared" ca="1" si="8"/>
        <v>2.222354429768334</v>
      </c>
      <c r="AO10" s="8">
        <f t="shared" ca="1" si="9"/>
        <v>3.0223544297683342</v>
      </c>
      <c r="AP10" s="19">
        <v>2</v>
      </c>
      <c r="AQ10" s="19">
        <v>2</v>
      </c>
      <c r="AR10" s="19">
        <v>1</v>
      </c>
      <c r="AS10" s="68">
        <f t="shared" si="10"/>
        <v>6.1499999999999999E-2</v>
      </c>
      <c r="AT10" s="26">
        <v>119940</v>
      </c>
    </row>
    <row r="11" spans="1:46" x14ac:dyDescent="0.25">
      <c r="A11" s="505" t="s">
        <v>38</v>
      </c>
      <c r="B11" s="507" t="s">
        <v>351</v>
      </c>
      <c r="C11" s="451">
        <f t="shared" ca="1" si="11"/>
        <v>12.526785714285714</v>
      </c>
      <c r="D11" s="116" t="s">
        <v>234</v>
      </c>
      <c r="E11" s="1">
        <v>23</v>
      </c>
      <c r="F11" s="2">
        <f ca="1">$D$2-$D$1-880-112-112-112-112-112</f>
        <v>53</v>
      </c>
      <c r="G11" s="3" t="s">
        <v>183</v>
      </c>
      <c r="H11" s="104">
        <v>5</v>
      </c>
      <c r="I11" s="5">
        <v>4.8</v>
      </c>
      <c r="J11" s="21">
        <f t="shared" ref="J11:J13" si="25">LOG(I11)*4/3</f>
        <v>0.90832164983411623</v>
      </c>
      <c r="K11" s="6">
        <f t="shared" ref="K11:K13" si="26">(H11)*(H11)*(I11)</f>
        <v>120</v>
      </c>
      <c r="L11" s="6">
        <f t="shared" ref="L11:L13" si="27">(H11+1)*(H11+1)*I11</f>
        <v>172.79999999999998</v>
      </c>
      <c r="M11" s="69">
        <v>43137</v>
      </c>
      <c r="N11" s="70">
        <f t="shared" ref="N11:N17" ca="1" si="28">IF((TODAY()-M11)&gt;335,1,((TODAY()-M11)^0.64)/(336^0.64))</f>
        <v>1</v>
      </c>
      <c r="O11" s="23">
        <v>6.3</v>
      </c>
      <c r="P11" s="19">
        <f t="shared" ref="P11:P13" si="29">O11*10+19</f>
        <v>82</v>
      </c>
      <c r="Q11" s="24">
        <v>6</v>
      </c>
      <c r="R11" s="62">
        <f t="shared" ref="R11:R13" si="30">(Q11/7)^0.5</f>
        <v>0.92582009977255142</v>
      </c>
      <c r="S11" s="62">
        <f t="shared" ref="S11:S13" si="31">IF(Q11=7,1,((Q11+0.99)/7)^0.5)</f>
        <v>0.99928545900129484</v>
      </c>
      <c r="T11" s="26">
        <v>146480</v>
      </c>
      <c r="U11" s="26">
        <f t="shared" si="1"/>
        <v>910</v>
      </c>
      <c r="V11" s="7">
        <v>13050</v>
      </c>
      <c r="W11" s="8">
        <f t="shared" ref="W11:W13" si="32">T11/V11</f>
        <v>11.224521072796934</v>
      </c>
      <c r="X11" s="20">
        <v>0</v>
      </c>
      <c r="Y11" s="21">
        <f>13+3/12</f>
        <v>13.25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139.5</v>
      </c>
      <c r="AF11" s="9">
        <v>1400</v>
      </c>
      <c r="AG11" s="9">
        <v>2070</v>
      </c>
      <c r="AH11" s="8">
        <f t="shared" ca="1" si="2"/>
        <v>3.237473105085237</v>
      </c>
      <c r="AI11" s="22">
        <f t="shared" ca="1" si="3"/>
        <v>14.033878862233848</v>
      </c>
      <c r="AJ11" s="22">
        <f t="shared" ca="1" si="4"/>
        <v>15.158321649834116</v>
      </c>
      <c r="AK11" s="22">
        <f t="shared" ca="1" si="5"/>
        <v>5.4700429393377474</v>
      </c>
      <c r="AL11" s="22">
        <f t="shared" ca="1" si="6"/>
        <v>5.9083216498341162</v>
      </c>
      <c r="AM11" s="22">
        <f t="shared" ca="1" si="7"/>
        <v>5.4700429393377474</v>
      </c>
      <c r="AN11" s="22">
        <f t="shared" ca="1" si="8"/>
        <v>5.9083216498341162</v>
      </c>
      <c r="AO11" s="8">
        <f t="shared" ca="1" si="9"/>
        <v>6.1083216498341155</v>
      </c>
      <c r="AP11" s="19">
        <v>1</v>
      </c>
      <c r="AQ11" s="19">
        <v>2</v>
      </c>
      <c r="AR11" s="19">
        <v>3</v>
      </c>
      <c r="AS11" s="68">
        <f t="shared" si="10"/>
        <v>6.1499999999999999E-2</v>
      </c>
      <c r="AT11" s="26">
        <v>145570</v>
      </c>
    </row>
    <row r="12" spans="1:46" x14ac:dyDescent="0.25">
      <c r="A12" s="505" t="s">
        <v>29</v>
      </c>
      <c r="B12" s="507" t="s">
        <v>351</v>
      </c>
      <c r="C12" s="451">
        <f t="shared" ca="1" si="11"/>
        <v>12.875</v>
      </c>
      <c r="D12" s="116" t="s">
        <v>233</v>
      </c>
      <c r="E12" s="1">
        <v>23</v>
      </c>
      <c r="F12" s="2">
        <f ca="1">$D$2-$D$1-1479</f>
        <v>14</v>
      </c>
      <c r="G12" s="3" t="s">
        <v>40</v>
      </c>
      <c r="H12" s="4">
        <v>3</v>
      </c>
      <c r="I12" s="5">
        <v>4.9000000000000004</v>
      </c>
      <c r="J12" s="21">
        <f t="shared" si="25"/>
        <v>0.92026144003801835</v>
      </c>
      <c r="K12" s="6">
        <f t="shared" si="26"/>
        <v>44.1</v>
      </c>
      <c r="L12" s="6">
        <f t="shared" si="27"/>
        <v>78.400000000000006</v>
      </c>
      <c r="M12" s="69">
        <v>43122</v>
      </c>
      <c r="N12" s="70">
        <f t="shared" ca="1" si="28"/>
        <v>1</v>
      </c>
      <c r="O12" s="23">
        <v>6.2</v>
      </c>
      <c r="P12" s="19">
        <f t="shared" si="29"/>
        <v>81</v>
      </c>
      <c r="Q12" s="24">
        <v>5</v>
      </c>
      <c r="R12" s="62">
        <f t="shared" si="30"/>
        <v>0.84515425472851657</v>
      </c>
      <c r="S12" s="62">
        <f t="shared" si="31"/>
        <v>0.92504826128926143</v>
      </c>
      <c r="T12" s="26">
        <v>134060</v>
      </c>
      <c r="U12" s="26">
        <f t="shared" si="1"/>
        <v>9110</v>
      </c>
      <c r="V12" s="7">
        <v>12390</v>
      </c>
      <c r="W12" s="8">
        <f t="shared" si="32"/>
        <v>10.82001614205004</v>
      </c>
      <c r="X12" s="20">
        <v>0</v>
      </c>
      <c r="Y12" s="21">
        <f>12+5/10</f>
        <v>12.5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135.5</v>
      </c>
      <c r="AF12" s="9">
        <v>1425</v>
      </c>
      <c r="AG12" s="9">
        <v>2168</v>
      </c>
      <c r="AH12" s="8">
        <f t="shared" ca="1" si="2"/>
        <v>3.4609895320484583</v>
      </c>
      <c r="AI12" s="22">
        <f t="shared" ca="1" si="3"/>
        <v>12.187345310345696</v>
      </c>
      <c r="AJ12" s="22">
        <f t="shared" ca="1" si="4"/>
        <v>13.350567885162274</v>
      </c>
      <c r="AK12" s="22">
        <f t="shared" ca="1" si="5"/>
        <v>4.1583798904247891</v>
      </c>
      <c r="AL12" s="22">
        <f t="shared" ca="1" si="6"/>
        <v>4.5552769373230362</v>
      </c>
      <c r="AM12" s="22">
        <f t="shared" ca="1" si="7"/>
        <v>5.0035341451533055</v>
      </c>
      <c r="AN12" s="22">
        <f t="shared" ca="1" si="8"/>
        <v>5.4810970370955872</v>
      </c>
      <c r="AO12" s="8">
        <f t="shared" ca="1" si="9"/>
        <v>6.1202614400380178</v>
      </c>
      <c r="AP12" s="19">
        <v>2</v>
      </c>
      <c r="AQ12" s="19">
        <v>0</v>
      </c>
      <c r="AR12" s="19">
        <v>2</v>
      </c>
      <c r="AS12" s="68">
        <f t="shared" si="10"/>
        <v>2.63E-2</v>
      </c>
      <c r="AT12" s="26">
        <v>124950</v>
      </c>
    </row>
    <row r="13" spans="1:46" x14ac:dyDescent="0.25">
      <c r="A13" s="505" t="s">
        <v>37</v>
      </c>
      <c r="B13" s="507" t="s">
        <v>351</v>
      </c>
      <c r="C13" s="451">
        <f t="shared" ca="1" si="11"/>
        <v>12.526785714285714</v>
      </c>
      <c r="D13" s="116" t="s">
        <v>185</v>
      </c>
      <c r="E13" s="16">
        <v>23</v>
      </c>
      <c r="F13" s="2">
        <f ca="1">$D$2-$D$1-880-112-112-112-112-112</f>
        <v>53</v>
      </c>
      <c r="G13" s="17" t="s">
        <v>183</v>
      </c>
      <c r="H13" s="34">
        <v>6</v>
      </c>
      <c r="I13" s="25">
        <v>4.8</v>
      </c>
      <c r="J13" s="21">
        <f t="shared" si="25"/>
        <v>0.90832164983411623</v>
      </c>
      <c r="K13" s="6">
        <f t="shared" si="26"/>
        <v>172.79999999999998</v>
      </c>
      <c r="L13" s="6">
        <f t="shared" si="27"/>
        <v>235.2</v>
      </c>
      <c r="M13" s="69">
        <v>43051</v>
      </c>
      <c r="N13" s="70">
        <f t="shared" ca="1" si="28"/>
        <v>1</v>
      </c>
      <c r="O13" s="18">
        <v>6.2</v>
      </c>
      <c r="P13" s="19">
        <f t="shared" si="29"/>
        <v>81</v>
      </c>
      <c r="Q13" s="24">
        <v>5</v>
      </c>
      <c r="R13" s="62">
        <f t="shared" si="30"/>
        <v>0.84515425472851657</v>
      </c>
      <c r="S13" s="62">
        <f t="shared" si="31"/>
        <v>0.92504826128926143</v>
      </c>
      <c r="T13" s="26">
        <v>90030</v>
      </c>
      <c r="U13" s="26">
        <f t="shared" si="1"/>
        <v>-6110</v>
      </c>
      <c r="V13" s="26">
        <v>7790</v>
      </c>
      <c r="W13" s="8">
        <f t="shared" si="32"/>
        <v>11.557124518613607</v>
      </c>
      <c r="X13" s="20">
        <v>0</v>
      </c>
      <c r="Y13" s="21">
        <f>12+0/10</f>
        <v>12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120.5</v>
      </c>
      <c r="AF13" s="9">
        <v>1326</v>
      </c>
      <c r="AG13" s="9">
        <v>1971</v>
      </c>
      <c r="AH13" s="8">
        <f t="shared" ca="1" si="2"/>
        <v>3.1825302875774177</v>
      </c>
      <c r="AI13" s="22">
        <f t="shared" ca="1" si="3"/>
        <v>11.754677218490045</v>
      </c>
      <c r="AJ13" s="22">
        <f t="shared" ca="1" si="4"/>
        <v>12.876603737518158</v>
      </c>
      <c r="AK13" s="22">
        <f t="shared" ca="1" si="5"/>
        <v>4.1482889259333957</v>
      </c>
      <c r="AL13" s="22">
        <f t="shared" ca="1" si="6"/>
        <v>4.5442228395651956</v>
      </c>
      <c r="AM13" s="22">
        <f t="shared" ca="1" si="7"/>
        <v>4.9934431806619122</v>
      </c>
      <c r="AN13" s="22">
        <f t="shared" ca="1" si="8"/>
        <v>5.4700429393377474</v>
      </c>
      <c r="AO13" s="8">
        <f t="shared" ca="1" si="9"/>
        <v>6.1833216498341166</v>
      </c>
      <c r="AP13" s="19">
        <v>2</v>
      </c>
      <c r="AQ13" s="19">
        <v>2</v>
      </c>
      <c r="AR13" s="19">
        <v>1</v>
      </c>
      <c r="AS13" s="68">
        <f t="shared" si="10"/>
        <v>6.1499999999999999E-2</v>
      </c>
      <c r="AT13" s="26">
        <v>96140</v>
      </c>
    </row>
    <row r="14" spans="1:46" x14ac:dyDescent="0.25">
      <c r="A14" s="505" t="s">
        <v>27</v>
      </c>
      <c r="B14" s="507" t="s">
        <v>351</v>
      </c>
      <c r="C14" s="451">
        <f t="shared" ca="1" si="11"/>
        <v>12.5625</v>
      </c>
      <c r="D14" s="116" t="s">
        <v>182</v>
      </c>
      <c r="E14" s="16">
        <v>23</v>
      </c>
      <c r="F14" s="2">
        <f ca="1">$D$2-$D$1-880-4-112-112-112-112-112</f>
        <v>49</v>
      </c>
      <c r="G14" s="17" t="s">
        <v>40</v>
      </c>
      <c r="H14" s="4">
        <v>1</v>
      </c>
      <c r="I14" s="25">
        <v>5.4</v>
      </c>
      <c r="J14" s="21">
        <f>LOG(I14)*4/3</f>
        <v>0.97652501309729134</v>
      </c>
      <c r="K14" s="6">
        <f>(H14)*(H14)*(I14)</f>
        <v>5.4</v>
      </c>
      <c r="L14" s="6">
        <f>(H14+1)*(H14+1)*I14</f>
        <v>21.6</v>
      </c>
      <c r="M14" s="69">
        <v>43046</v>
      </c>
      <c r="N14" s="70">
        <v>1.5</v>
      </c>
      <c r="O14" s="18">
        <v>6.3</v>
      </c>
      <c r="P14" s="19">
        <f>O14*10+19</f>
        <v>82</v>
      </c>
      <c r="Q14" s="19">
        <v>6</v>
      </c>
      <c r="R14" s="62">
        <f>(Q14/7)^0.5</f>
        <v>0.92582009977255142</v>
      </c>
      <c r="S14" s="62">
        <f>IF(Q14=7,1,((Q14+0.99)/7)^0.5)</f>
        <v>0.99928545900129484</v>
      </c>
      <c r="T14" s="26">
        <v>146520</v>
      </c>
      <c r="U14" s="26">
        <f t="shared" si="1"/>
        <v>910</v>
      </c>
      <c r="V14" s="26">
        <v>14430</v>
      </c>
      <c r="W14" s="8">
        <f>T14/V14</f>
        <v>10.153846153846153</v>
      </c>
      <c r="X14" s="20">
        <v>0</v>
      </c>
      <c r="Y14" s="21">
        <f>11+0/9</f>
        <v>11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136</v>
      </c>
      <c r="AF14" s="9">
        <v>1433</v>
      </c>
      <c r="AG14" s="9">
        <v>2083</v>
      </c>
      <c r="AH14" s="8">
        <f t="shared" si="2"/>
        <v>3.5678300298528205</v>
      </c>
      <c r="AI14" s="22">
        <f t="shared" si="3"/>
        <v>12.476837732213019</v>
      </c>
      <c r="AJ14" s="22">
        <f t="shared" si="4"/>
        <v>13.476525013097291</v>
      </c>
      <c r="AK14" s="22">
        <f t="shared" si="5"/>
        <v>7.5699912034184971</v>
      </c>
      <c r="AL14" s="22">
        <f t="shared" si="6"/>
        <v>8.176525013097292</v>
      </c>
      <c r="AM14" s="22">
        <f t="shared" si="7"/>
        <v>7.8477372333502613</v>
      </c>
      <c r="AN14" s="22">
        <f t="shared" si="8"/>
        <v>8.4765250130972909</v>
      </c>
      <c r="AO14" s="8">
        <f t="shared" si="9"/>
        <v>8.2265250130972909</v>
      </c>
      <c r="AP14" s="19">
        <v>4</v>
      </c>
      <c r="AQ14" s="19">
        <v>3</v>
      </c>
      <c r="AR14" s="19">
        <v>2</v>
      </c>
      <c r="AS14" s="68">
        <f t="shared" si="10"/>
        <v>0.1158</v>
      </c>
      <c r="AT14" s="26">
        <v>145610</v>
      </c>
    </row>
    <row r="15" spans="1:46" x14ac:dyDescent="0.25">
      <c r="A15" s="505" t="s">
        <v>32</v>
      </c>
      <c r="B15" s="507" t="s">
        <v>351</v>
      </c>
      <c r="C15" s="451">
        <f t="shared" ca="1" si="11"/>
        <v>12.5625</v>
      </c>
      <c r="D15" s="116" t="s">
        <v>231</v>
      </c>
      <c r="E15" s="16">
        <v>23</v>
      </c>
      <c r="F15" s="2">
        <f ca="1">$D$2-$D$1-880-4-112-112-112-112-112</f>
        <v>49</v>
      </c>
      <c r="G15" s="17" t="s">
        <v>183</v>
      </c>
      <c r="H15" s="34">
        <v>6</v>
      </c>
      <c r="I15" s="25">
        <v>4.7</v>
      </c>
      <c r="J15" s="21">
        <f>LOG(I15)*4/3</f>
        <v>0.8961304772476234</v>
      </c>
      <c r="K15" s="6">
        <f>(H15)*(H15)*(I15)</f>
        <v>169.20000000000002</v>
      </c>
      <c r="L15" s="6">
        <f>(H15+1)*(H15+1)*I15</f>
        <v>230.3</v>
      </c>
      <c r="M15" s="69">
        <v>43054</v>
      </c>
      <c r="N15" s="70">
        <f ca="1">IF((TODAY()-M15)&gt;335,1,((TODAY()-M15)^0.64)/(336^0.64))</f>
        <v>1</v>
      </c>
      <c r="O15" s="18">
        <v>6.3</v>
      </c>
      <c r="P15" s="19">
        <f>O15*10+19</f>
        <v>82</v>
      </c>
      <c r="Q15" s="24">
        <v>4</v>
      </c>
      <c r="R15" s="62">
        <f>(Q15/7)^0.5</f>
        <v>0.7559289460184544</v>
      </c>
      <c r="S15" s="62">
        <f>IF(Q15=7,1,((Q15+0.99)/7)^0.5)</f>
        <v>0.84430867747355465</v>
      </c>
      <c r="T15" s="26">
        <v>99450</v>
      </c>
      <c r="U15" s="26">
        <f t="shared" si="1"/>
        <v>-1420</v>
      </c>
      <c r="V15" s="26">
        <v>10190</v>
      </c>
      <c r="W15" s="8">
        <f>T15/V15</f>
        <v>9.7595682041216882</v>
      </c>
      <c r="X15" s="20">
        <v>0</v>
      </c>
      <c r="Y15" s="21">
        <f>11+4/10</f>
        <v>11.4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126.88</v>
      </c>
      <c r="AF15" s="9">
        <v>1317</v>
      </c>
      <c r="AG15" s="9">
        <f>1985+7</f>
        <v>1992</v>
      </c>
      <c r="AH15" s="8">
        <f t="shared" ca="1" si="2"/>
        <v>2.606857957167743</v>
      </c>
      <c r="AI15" s="22">
        <f t="shared" ca="1" si="3"/>
        <v>10.050929897789645</v>
      </c>
      <c r="AJ15" s="22">
        <f t="shared" ca="1" si="4"/>
        <v>11.237281244271331</v>
      </c>
      <c r="AK15" s="22">
        <f t="shared" ca="1" si="5"/>
        <v>5.212984643271537</v>
      </c>
      <c r="AL15" s="22">
        <f t="shared" ca="1" si="6"/>
        <v>5.828294014008824</v>
      </c>
      <c r="AM15" s="22">
        <f t="shared" ca="1" si="7"/>
        <v>4.4570556972530824</v>
      </c>
      <c r="AN15" s="22">
        <f t="shared" ca="1" si="8"/>
        <v>4.9831397592803075</v>
      </c>
      <c r="AO15" s="8">
        <f t="shared" ca="1" si="9"/>
        <v>6.3366304772476241</v>
      </c>
      <c r="AP15" s="19">
        <v>2</v>
      </c>
      <c r="AQ15" s="19">
        <v>2</v>
      </c>
      <c r="AR15" s="19">
        <v>1</v>
      </c>
      <c r="AS15" s="68">
        <f t="shared" si="10"/>
        <v>6.1499999999999999E-2</v>
      </c>
      <c r="AT15" s="26">
        <v>100870</v>
      </c>
    </row>
    <row r="16" spans="1:46" x14ac:dyDescent="0.25">
      <c r="A16" s="505" t="s">
        <v>34</v>
      </c>
      <c r="B16" s="507" t="s">
        <v>70</v>
      </c>
      <c r="C16" s="451">
        <f ca="1">((36*112)-(E16*112)-(F16))/112</f>
        <v>12.794642857142858</v>
      </c>
      <c r="D16" s="116" t="s">
        <v>762</v>
      </c>
      <c r="E16" s="16">
        <v>23</v>
      </c>
      <c r="F16" s="2">
        <f ca="1">$D$2-$D$1-1470</f>
        <v>23</v>
      </c>
      <c r="G16" s="17" t="s">
        <v>40</v>
      </c>
      <c r="H16" s="4">
        <v>2</v>
      </c>
      <c r="I16" s="25">
        <v>1.7</v>
      </c>
      <c r="J16" s="21">
        <f>LOG(I16)*4/3</f>
        <v>0.30726522850436522</v>
      </c>
      <c r="K16" s="6">
        <f>(H16)*(H16)*(I16)</f>
        <v>6.8</v>
      </c>
      <c r="L16" s="6">
        <f>(H16+1)*(H16+1)*I16</f>
        <v>15.299999999999999</v>
      </c>
      <c r="M16" s="69">
        <v>43744</v>
      </c>
      <c r="N16" s="70">
        <f ca="1">IF((TODAY()-M16)&gt;335,1,((TODAY()-M16)^0.64)/(336^0.64))</f>
        <v>0.14812561692891457</v>
      </c>
      <c r="O16" s="18">
        <v>4.0999999999999996</v>
      </c>
      <c r="P16" s="19">
        <f>O16*10+19</f>
        <v>60</v>
      </c>
      <c r="Q16" s="24">
        <v>5</v>
      </c>
      <c r="R16" s="62">
        <f>(Q16/7)^0.5</f>
        <v>0.84515425472851657</v>
      </c>
      <c r="S16" s="62">
        <f>IF(Q16=7,1,((Q16+0.99)/7)^0.5)</f>
        <v>0.92504826128926143</v>
      </c>
      <c r="T16" s="26">
        <v>51460</v>
      </c>
      <c r="U16" s="26">
        <f t="shared" si="1"/>
        <v>2770</v>
      </c>
      <c r="V16" s="26">
        <v>11340</v>
      </c>
      <c r="W16" s="8">
        <f>T16/V16</f>
        <v>4.5379188712522049</v>
      </c>
      <c r="X16" s="20">
        <v>0</v>
      </c>
      <c r="Y16" s="21">
        <f>12+2/11</f>
        <v>12.181818181818182</v>
      </c>
      <c r="Z16" s="20">
        <v>9</v>
      </c>
      <c r="AA16" s="21">
        <v>4</v>
      </c>
      <c r="AB16" s="20">
        <v>6</v>
      </c>
      <c r="AC16" s="21">
        <v>4</v>
      </c>
      <c r="AD16" s="20">
        <v>15</v>
      </c>
      <c r="AE16" s="9">
        <f>Planning!V11</f>
        <v>120.5</v>
      </c>
      <c r="AF16" s="9">
        <v>1301</v>
      </c>
      <c r="AG16" s="9">
        <v>2001</v>
      </c>
      <c r="AH16" s="8">
        <f t="shared" ca="1" si="2"/>
        <v>2.6989991318977622</v>
      </c>
      <c r="AI16" s="22">
        <f t="shared" ca="1" si="3"/>
        <v>10.680390977275191</v>
      </c>
      <c r="AJ16" s="22">
        <f t="shared" ca="1" si="4"/>
        <v>11.699782122456536</v>
      </c>
      <c r="AK16" s="22">
        <f t="shared" ca="1" si="5"/>
        <v>7.9912638031390024</v>
      </c>
      <c r="AL16" s="22">
        <f t="shared" ca="1" si="6"/>
        <v>8.7539908959075081</v>
      </c>
      <c r="AM16" s="22">
        <f t="shared" ca="1" si="7"/>
        <v>13.907343586238619</v>
      </c>
      <c r="AN16" s="22">
        <f t="shared" ca="1" si="8"/>
        <v>15.23473159431537</v>
      </c>
      <c r="AO16" s="8">
        <f t="shared" ca="1" si="9"/>
        <v>12.15539084543328</v>
      </c>
      <c r="AP16" s="19">
        <v>0</v>
      </c>
      <c r="AQ16" s="19">
        <v>3</v>
      </c>
      <c r="AR16" s="19">
        <v>2</v>
      </c>
      <c r="AS16" s="68">
        <f t="shared" si="10"/>
        <v>0.1158</v>
      </c>
      <c r="AT16" s="26">
        <v>48690</v>
      </c>
    </row>
    <row r="17" spans="1:46" x14ac:dyDescent="0.25">
      <c r="A17" s="505" t="s">
        <v>36</v>
      </c>
      <c r="B17" s="507" t="s">
        <v>70</v>
      </c>
      <c r="C17" s="451">
        <f t="shared" ca="1" si="11"/>
        <v>4.8392857142857144</v>
      </c>
      <c r="D17" s="434" t="s">
        <v>349</v>
      </c>
      <c r="E17" s="16">
        <v>31</v>
      </c>
      <c r="F17" s="2">
        <f ca="1">$D$2-$D$1-880+25-112-112-60-112-112-112</f>
        <v>18</v>
      </c>
      <c r="G17" s="17" t="s">
        <v>94</v>
      </c>
      <c r="H17" s="4">
        <v>1</v>
      </c>
      <c r="I17" s="25">
        <v>7.8</v>
      </c>
      <c r="J17" s="21">
        <f t="shared" ref="J17:J21" si="33">LOG(I17)*4/3</f>
        <v>1.1894594702539738</v>
      </c>
      <c r="K17" s="6">
        <f t="shared" ref="K17:K18" si="34">(H17)*(H17)*(I17)</f>
        <v>7.8</v>
      </c>
      <c r="L17" s="6">
        <f t="shared" ref="L17:L18" si="35">(H17+1)*(H17+1)*I17</f>
        <v>31.2</v>
      </c>
      <c r="M17" s="69">
        <v>43591</v>
      </c>
      <c r="N17" s="70">
        <f t="shared" ca="1" si="28"/>
        <v>0.64659176949813191</v>
      </c>
      <c r="O17" s="18">
        <v>5.5</v>
      </c>
      <c r="P17" s="19">
        <f t="shared" ref="P17:P21" si="36">O17*10+19</f>
        <v>74</v>
      </c>
      <c r="Q17" s="24">
        <v>6</v>
      </c>
      <c r="R17" s="62">
        <f t="shared" ref="R17:R21" si="37">(Q17/7)^0.5</f>
        <v>0.92582009977255142</v>
      </c>
      <c r="S17" s="62">
        <f t="shared" ref="S17:S21" si="38">IF(Q17=7,1,((Q17+0.99)/7)^0.5)</f>
        <v>0.99928545900129484</v>
      </c>
      <c r="T17" s="26">
        <v>57210</v>
      </c>
      <c r="U17" s="26">
        <f t="shared" si="1"/>
        <v>1740</v>
      </c>
      <c r="V17" s="26">
        <v>14820</v>
      </c>
      <c r="W17" s="8">
        <f t="shared" ref="W17:W21" si="39">T17/V17</f>
        <v>3.8603238866396761</v>
      </c>
      <c r="X17" s="20">
        <v>0</v>
      </c>
      <c r="Y17" s="21">
        <v>10</v>
      </c>
      <c r="Z17" s="20">
        <v>13</v>
      </c>
      <c r="AA17" s="21">
        <v>6</v>
      </c>
      <c r="AB17" s="20">
        <f>7+1/7</f>
        <v>7.1428571428571432</v>
      </c>
      <c r="AC17" s="21">
        <v>7</v>
      </c>
      <c r="AD17" s="20">
        <v>17</v>
      </c>
      <c r="AE17" s="9">
        <f>33+58+8.5+14+16+25</f>
        <v>154.5</v>
      </c>
      <c r="AF17" s="9">
        <v>1682</v>
      </c>
      <c r="AG17" s="9"/>
      <c r="AH17" s="8">
        <f t="shared" ca="1" si="2"/>
        <v>3.4479702311215141</v>
      </c>
      <c r="AI17" s="22">
        <f t="shared" ca="1" si="3"/>
        <v>10.958054139700325</v>
      </c>
      <c r="AJ17" s="22">
        <f t="shared" ca="1" si="4"/>
        <v>11.836051239752106</v>
      </c>
      <c r="AK17" s="22">
        <f t="shared" ca="1" si="5"/>
        <v>13.73551443901798</v>
      </c>
      <c r="AL17" s="22">
        <f t="shared" ca="1" si="6"/>
        <v>14.836051239752106</v>
      </c>
      <c r="AM17" s="22">
        <f t="shared" ca="1" si="7"/>
        <v>18.364614937880738</v>
      </c>
      <c r="AN17" s="22">
        <f t="shared" ca="1" si="8"/>
        <v>19.836051239752109</v>
      </c>
      <c r="AO17" s="8">
        <f t="shared" ca="1" si="9"/>
        <v>15.836051239752104</v>
      </c>
      <c r="AP17" s="19">
        <v>1</v>
      </c>
      <c r="AQ17" s="19">
        <v>2</v>
      </c>
      <c r="AR17" s="19">
        <v>2</v>
      </c>
      <c r="AS17" s="68">
        <f t="shared" si="10"/>
        <v>6.1499999999999999E-2</v>
      </c>
      <c r="AT17" s="26">
        <v>55470</v>
      </c>
    </row>
    <row r="18" spans="1:46" x14ac:dyDescent="0.25">
      <c r="A18" s="505" t="s">
        <v>931</v>
      </c>
      <c r="B18" s="506" t="s">
        <v>70</v>
      </c>
      <c r="C18" s="451">
        <f t="shared" ca="1" si="11"/>
        <v>3.7946428571428572</v>
      </c>
      <c r="D18" s="434" t="s">
        <v>337</v>
      </c>
      <c r="E18" s="1">
        <v>32</v>
      </c>
      <c r="F18" s="2">
        <f ca="1">$D$2-$D$1-880+25-112-112-55-112-112-112</f>
        <v>23</v>
      </c>
      <c r="G18" s="3" t="s">
        <v>183</v>
      </c>
      <c r="H18" s="104">
        <v>5</v>
      </c>
      <c r="I18" s="5">
        <v>5.0999999999999996</v>
      </c>
      <c r="J18" s="21">
        <f t="shared" si="33"/>
        <v>0.94342690146391517</v>
      </c>
      <c r="K18" s="6">
        <f t="shared" si="34"/>
        <v>127.49999999999999</v>
      </c>
      <c r="L18" s="6">
        <f t="shared" si="35"/>
        <v>183.6</v>
      </c>
      <c r="M18" s="69">
        <v>43415</v>
      </c>
      <c r="N18" s="70">
        <f t="shared" ref="N18:N21" ca="1" si="40">IF((TODAY()-M18)&gt;335,1,((TODAY()-M18)^0.64)/(336^0.64))</f>
        <v>1</v>
      </c>
      <c r="O18" s="23">
        <v>5.0999999999999996</v>
      </c>
      <c r="P18" s="19">
        <f t="shared" si="36"/>
        <v>70</v>
      </c>
      <c r="Q18" s="24">
        <v>6</v>
      </c>
      <c r="R18" s="62">
        <f t="shared" si="37"/>
        <v>0.92582009977255142</v>
      </c>
      <c r="S18" s="62">
        <f t="shared" si="38"/>
        <v>0.99928545900129484</v>
      </c>
      <c r="T18" s="26">
        <v>8830</v>
      </c>
      <c r="U18" s="26">
        <f t="shared" si="1"/>
        <v>-250</v>
      </c>
      <c r="V18" s="7">
        <v>4788</v>
      </c>
      <c r="W18" s="8">
        <f t="shared" si="39"/>
        <v>1.8441938178780284</v>
      </c>
      <c r="X18" s="20">
        <v>0</v>
      </c>
      <c r="Y18" s="21">
        <v>6</v>
      </c>
      <c r="Z18" s="20">
        <v>11</v>
      </c>
      <c r="AA18" s="21">
        <v>2</v>
      </c>
      <c r="AB18" s="20">
        <f>4+1/24</f>
        <v>4.041666666666667</v>
      </c>
      <c r="AC18" s="21">
        <v>5</v>
      </c>
      <c r="AD18" s="20">
        <v>12</v>
      </c>
      <c r="AE18" s="9">
        <f>14+40+4+8+12</f>
        <v>78</v>
      </c>
      <c r="AF18" s="9">
        <v>890</v>
      </c>
      <c r="AG18" s="9"/>
      <c r="AH18" s="8">
        <f t="shared" ca="1" si="2"/>
        <v>2.3045530169048392</v>
      </c>
      <c r="AI18" s="22">
        <f t="shared" ca="1" si="3"/>
        <v>7.354184286449291</v>
      </c>
      <c r="AJ18" s="22">
        <f t="shared" ca="1" si="4"/>
        <v>7.9434269014639156</v>
      </c>
      <c r="AK18" s="22">
        <f t="shared" ca="1" si="5"/>
        <v>11.983284785312048</v>
      </c>
      <c r="AL18" s="22">
        <f t="shared" ca="1" si="6"/>
        <v>12.943426901463916</v>
      </c>
      <c r="AM18" s="22">
        <f t="shared" ca="1" si="7"/>
        <v>13.834924984857151</v>
      </c>
      <c r="AN18" s="22">
        <f t="shared" ca="1" si="8"/>
        <v>14.943426901463916</v>
      </c>
      <c r="AO18" s="8">
        <f t="shared" ca="1" si="9"/>
        <v>11.843426901463916</v>
      </c>
      <c r="AP18" s="19">
        <v>2</v>
      </c>
      <c r="AQ18" s="19">
        <v>1</v>
      </c>
      <c r="AR18" s="19">
        <v>1</v>
      </c>
      <c r="AS18" s="68">
        <f t="shared" si="10"/>
        <v>4.9399999999999999E-2</v>
      </c>
      <c r="AT18" s="26">
        <v>9080</v>
      </c>
    </row>
    <row r="19" spans="1:46" x14ac:dyDescent="0.25">
      <c r="A19" s="505" t="s">
        <v>932</v>
      </c>
      <c r="B19" s="507" t="s">
        <v>39</v>
      </c>
      <c r="C19" s="451">
        <f t="shared" ca="1" si="11"/>
        <v>5.8928571428571432</v>
      </c>
      <c r="D19" s="434" t="s">
        <v>698</v>
      </c>
      <c r="E19" s="16">
        <v>30</v>
      </c>
      <c r="F19" s="2">
        <f ca="1">$D$2-$D$1-880-489-112</f>
        <v>12</v>
      </c>
      <c r="G19" s="17" t="s">
        <v>183</v>
      </c>
      <c r="H19" s="4">
        <v>2</v>
      </c>
      <c r="I19" s="25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69">
        <v>43687</v>
      </c>
      <c r="N19" s="70">
        <f t="shared" ca="1" si="40"/>
        <v>0.37970923784073518</v>
      </c>
      <c r="O19" s="18">
        <v>5.5</v>
      </c>
      <c r="P19" s="19">
        <f>O19*10+19</f>
        <v>74</v>
      </c>
      <c r="Q19" s="24">
        <v>6</v>
      </c>
      <c r="R19" s="62">
        <f>(Q19/7)^0.5</f>
        <v>0.92582009977255142</v>
      </c>
      <c r="S19" s="62">
        <f>IF(Q19=7,1,((Q19+0.99)/7)^0.5)</f>
        <v>0.99928545900129484</v>
      </c>
      <c r="T19" s="26">
        <v>25980</v>
      </c>
      <c r="U19" s="26">
        <f t="shared" si="1"/>
        <v>-3660</v>
      </c>
      <c r="V19" s="26">
        <v>8364</v>
      </c>
      <c r="W19" s="8">
        <f>T19/V19</f>
        <v>3.1061692969870873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>
        <v>906</v>
      </c>
      <c r="AG19" s="9"/>
      <c r="AH19" s="8">
        <f t="shared" ca="1" si="2"/>
        <v>2.3072232790844134</v>
      </c>
      <c r="AI19" s="22">
        <f t="shared" ca="1" si="3"/>
        <v>2.4493150118015619</v>
      </c>
      <c r="AJ19" s="22">
        <f t="shared" ca="1" si="4"/>
        <v>2.6455625800339519</v>
      </c>
      <c r="AK19" s="22">
        <f t="shared" ca="1" si="5"/>
        <v>7.0784155106643194</v>
      </c>
      <c r="AL19" s="22">
        <f t="shared" ca="1" si="6"/>
        <v>7.6455625800339524</v>
      </c>
      <c r="AM19" s="22">
        <f t="shared" ca="1" si="7"/>
        <v>2.4493150118015619</v>
      </c>
      <c r="AN19" s="22">
        <f t="shared" ca="1" si="8"/>
        <v>2.6455625800339524</v>
      </c>
      <c r="AO19" s="8">
        <f t="shared" ca="1" si="9"/>
        <v>5.245562580033952</v>
      </c>
      <c r="AP19" s="19">
        <v>2</v>
      </c>
      <c r="AQ19" s="19">
        <v>1</v>
      </c>
      <c r="AR19" s="19">
        <v>1</v>
      </c>
      <c r="AS19" s="68">
        <f t="shared" si="10"/>
        <v>4.9399999999999999E-2</v>
      </c>
      <c r="AT19" s="26">
        <v>29640</v>
      </c>
    </row>
    <row r="20" spans="1:46" x14ac:dyDescent="0.25">
      <c r="A20" s="505" t="s">
        <v>934</v>
      </c>
      <c r="B20" s="507" t="s">
        <v>39</v>
      </c>
      <c r="C20" s="451">
        <f t="shared" ca="1" si="11"/>
        <v>6.7857142857142856</v>
      </c>
      <c r="D20" s="434" t="s">
        <v>960</v>
      </c>
      <c r="E20" s="16">
        <v>29</v>
      </c>
      <c r="F20" s="2">
        <f ca="1">$D$2-$D$1-1469</f>
        <v>24</v>
      </c>
      <c r="G20" s="17" t="s">
        <v>183</v>
      </c>
      <c r="H20" s="4">
        <v>4</v>
      </c>
      <c r="I20" s="25">
        <v>7.1</v>
      </c>
      <c r="J20" s="21">
        <f>LOG(I20)*4/3</f>
        <v>1.1350111316254337</v>
      </c>
      <c r="K20" s="6">
        <f>(H20)*(H20)*(I20)</f>
        <v>113.6</v>
      </c>
      <c r="L20" s="6">
        <f>(H20+1)*(H20+1)*I20</f>
        <v>177.5</v>
      </c>
      <c r="M20" s="69">
        <v>43761</v>
      </c>
      <c r="N20" s="70">
        <f t="shared" ca="1" si="40"/>
        <v>0</v>
      </c>
      <c r="O20" s="18">
        <v>6.3</v>
      </c>
      <c r="P20" s="19">
        <f>O20*10+19</f>
        <v>82</v>
      </c>
      <c r="Q20" s="19">
        <v>7</v>
      </c>
      <c r="R20" s="62">
        <f>(Q20/7)^0.5</f>
        <v>1</v>
      </c>
      <c r="S20" s="62">
        <f>IF(Q20=7,1,((Q20+0.99)/7)^0.5)</f>
        <v>1</v>
      </c>
      <c r="T20" s="26">
        <v>123170</v>
      </c>
      <c r="U20" s="26">
        <f t="shared" si="1"/>
        <v>0</v>
      </c>
      <c r="V20" s="26">
        <v>14604</v>
      </c>
      <c r="W20" s="8">
        <f>T20/V20</f>
        <v>8.4339906874828809</v>
      </c>
      <c r="X20" s="20">
        <v>0</v>
      </c>
      <c r="Y20" s="21">
        <v>3</v>
      </c>
      <c r="Z20" s="20">
        <v>9</v>
      </c>
      <c r="AA20" s="21">
        <v>2</v>
      </c>
      <c r="AB20" s="20">
        <v>13</v>
      </c>
      <c r="AC20" s="21">
        <v>12</v>
      </c>
      <c r="AD20" s="20">
        <v>17</v>
      </c>
      <c r="AE20" s="9">
        <f>0+3+26+0+52+49+25</f>
        <v>155</v>
      </c>
      <c r="AF20" s="9">
        <v>1634</v>
      </c>
      <c r="AG20" s="9"/>
      <c r="AH20" s="8">
        <f t="shared" ca="1" si="2"/>
        <v>4.0506291743595373</v>
      </c>
      <c r="AI20" s="22">
        <f t="shared" ca="1" si="3"/>
        <v>4.1350111316254337</v>
      </c>
      <c r="AJ20" s="22">
        <f t="shared" ca="1" si="4"/>
        <v>4.1350111316254337</v>
      </c>
      <c r="AK20" s="22">
        <f t="shared" ca="1" si="5"/>
        <v>10.135011131625433</v>
      </c>
      <c r="AL20" s="22">
        <f t="shared" ca="1" si="6"/>
        <v>10.135011131625433</v>
      </c>
      <c r="AM20" s="22">
        <f t="shared" ca="1" si="7"/>
        <v>19.135011131625433</v>
      </c>
      <c r="AN20" s="22">
        <f t="shared" ca="1" si="8"/>
        <v>19.135011131625433</v>
      </c>
      <c r="AO20" s="8">
        <f t="shared" ca="1" si="9"/>
        <v>16.635011131625433</v>
      </c>
      <c r="AP20" s="19">
        <v>4</v>
      </c>
      <c r="AQ20" s="19">
        <v>2</v>
      </c>
      <c r="AR20" s="19">
        <v>2</v>
      </c>
      <c r="AS20" s="68">
        <f t="shared" si="10"/>
        <v>6.1499999999999999E-2</v>
      </c>
      <c r="AT20" s="26">
        <v>123170</v>
      </c>
    </row>
    <row r="21" spans="1:46" x14ac:dyDescent="0.25">
      <c r="A21" s="505" t="s">
        <v>33</v>
      </c>
      <c r="B21" s="507" t="s">
        <v>39</v>
      </c>
      <c r="C21" s="451">
        <f t="shared" ca="1" si="11"/>
        <v>4.75</v>
      </c>
      <c r="D21" s="434" t="s">
        <v>350</v>
      </c>
      <c r="E21" s="16">
        <v>31</v>
      </c>
      <c r="F21" s="2">
        <f ca="1">$D$2-$D$1-1100+25-112-166-112</f>
        <v>28</v>
      </c>
      <c r="G21" s="17" t="s">
        <v>0</v>
      </c>
      <c r="H21" s="4">
        <v>3</v>
      </c>
      <c r="I21" s="25">
        <v>6.5</v>
      </c>
      <c r="J21" s="21">
        <f t="shared" si="33"/>
        <v>1.0838844755238075</v>
      </c>
      <c r="K21" s="6">
        <f t="shared" ref="K21" si="41">(H21)*(H21)*(I21)</f>
        <v>58.5</v>
      </c>
      <c r="L21" s="6">
        <f t="shared" ref="L21" si="42">(H21+1)*(H21+1)*I21</f>
        <v>104</v>
      </c>
      <c r="M21" s="69">
        <v>43590</v>
      </c>
      <c r="N21" s="70">
        <f t="shared" ca="1" si="40"/>
        <v>0.64902342676788549</v>
      </c>
      <c r="O21" s="18">
        <v>5.0999999999999996</v>
      </c>
      <c r="P21" s="19">
        <f t="shared" si="36"/>
        <v>70</v>
      </c>
      <c r="Q21" s="24">
        <v>6</v>
      </c>
      <c r="R21" s="62">
        <f t="shared" si="37"/>
        <v>0.92582009977255142</v>
      </c>
      <c r="S21" s="62">
        <f t="shared" si="38"/>
        <v>0.99928545900129484</v>
      </c>
      <c r="T21" s="26">
        <v>31480</v>
      </c>
      <c r="U21" s="26">
        <f t="shared" si="1"/>
        <v>-240</v>
      </c>
      <c r="V21" s="26">
        <v>7068</v>
      </c>
      <c r="W21" s="8">
        <f t="shared" si="39"/>
        <v>4.4538766270514998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11.95</v>
      </c>
      <c r="AD21" s="20">
        <v>0</v>
      </c>
      <c r="AE21" s="9">
        <f>10+12+5.5+23+49+1</f>
        <v>100.5</v>
      </c>
      <c r="AF21" s="9">
        <v>1054</v>
      </c>
      <c r="AG21" s="9"/>
      <c r="AH21" s="8">
        <f t="shared" ca="1" si="2"/>
        <v>3.2964331530330173</v>
      </c>
      <c r="AI21" s="22">
        <f t="shared" ca="1" si="3"/>
        <v>6.2334614658590946</v>
      </c>
      <c r="AJ21" s="22">
        <f t="shared" ca="1" si="4"/>
        <v>6.7329079022916929</v>
      </c>
      <c r="AK21" s="22">
        <f t="shared" ca="1" si="5"/>
        <v>7.1592815656316464</v>
      </c>
      <c r="AL21" s="22">
        <f t="shared" ca="1" si="6"/>
        <v>7.7329079022916929</v>
      </c>
      <c r="AM21" s="22">
        <f t="shared" ca="1" si="7"/>
        <v>2.5301810667688893</v>
      </c>
      <c r="AN21" s="22">
        <f t="shared" ca="1" si="8"/>
        <v>2.7329079022916929</v>
      </c>
      <c r="AO21" s="8">
        <f t="shared" ca="1" si="9"/>
        <v>5.3179079022916929</v>
      </c>
      <c r="AP21" s="19">
        <v>3</v>
      </c>
      <c r="AQ21" s="19">
        <v>3</v>
      </c>
      <c r="AR21" s="19">
        <v>2</v>
      </c>
      <c r="AS21" s="68">
        <f t="shared" si="10"/>
        <v>0.1158</v>
      </c>
      <c r="AT21" s="26">
        <v>31720</v>
      </c>
    </row>
    <row r="22" spans="1:46" x14ac:dyDescent="0.25">
      <c r="V22" s="48"/>
    </row>
    <row r="24" spans="1:46" x14ac:dyDescent="0.25">
      <c r="D24" s="27"/>
      <c r="T24" s="48"/>
      <c r="V24" s="48"/>
    </row>
    <row r="25" spans="1:46" x14ac:dyDescent="0.25">
      <c r="D25" s="27"/>
      <c r="AG25" s="48"/>
    </row>
    <row r="26" spans="1:46" x14ac:dyDescent="0.25">
      <c r="D26" s="67"/>
    </row>
    <row r="27" spans="1:46" x14ac:dyDescent="0.25">
      <c r="D27" s="502"/>
    </row>
    <row r="28" spans="1:46" x14ac:dyDescent="0.25">
      <c r="M28" s="27"/>
      <c r="T28" s="48"/>
      <c r="V28" s="48"/>
    </row>
    <row r="29" spans="1:46" x14ac:dyDescent="0.25">
      <c r="M29" s="27"/>
    </row>
  </sheetData>
  <sortState ref="A5:AT21">
    <sortCondition descending="1" ref="AG5:AG21"/>
  </sortState>
  <conditionalFormatting sqref="U2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W7:W21 W4:W5">
    <cfRule type="dataBar" priority="5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C4:C21">
    <cfRule type="colorScale" priority="582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8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M4:AN21">
    <cfRule type="colorScale" priority="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1">
    <cfRule type="colorScale" priority="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1">
    <cfRule type="colorScale" priority="5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1">
      <colorScale>
        <cfvo type="min"/>
        <cfvo type="max"/>
        <color rgb="FFFCFCFF"/>
        <color rgb="FFF8696B"/>
      </colorScale>
    </cfRule>
    <cfRule type="cellIs" dxfId="56" priority="2" operator="greaterThan">
      <formula>10</formula>
    </cfRule>
  </conditionalFormatting>
  <conditionalFormatting sqref="N4:N21">
    <cfRule type="colorScale" priority="5841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5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:AL21">
    <cfRule type="colorScale" priority="5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1">
    <cfRule type="colorScale" priority="5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1">
    <cfRule type="colorScale" priority="5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1">
    <cfRule type="dataBar" priority="5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{0DD2CA01-3BCF-4DA0-80E6-6B53545F5412}</x14:id>
        </ext>
      </extLst>
    </cfRule>
  </conditionalFormatting>
  <conditionalFormatting sqref="AE4:AE21">
    <cfRule type="dataBar" priority="5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S4:AS21">
    <cfRule type="colorScale" priority="5859">
      <colorScale>
        <cfvo type="min"/>
        <cfvo type="max"/>
        <color rgb="FFFCFCFF"/>
        <color rgb="FFF8696B"/>
      </colorScale>
    </cfRule>
  </conditionalFormatting>
  <conditionalFormatting sqref="AT4:AT21">
    <cfRule type="dataBar" priority="5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{7C9C85C7-D5D2-4E03-9360-D3CC70513853}</x14:id>
        </ext>
      </extLst>
    </cfRule>
  </conditionalFormatting>
  <conditionalFormatting sqref="R4:S21">
    <cfRule type="colorScale" priority="5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0DD2CA01-3BCF-4DA0-80E6-6B53545F5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AF4:AG21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C9C85C7-D5D2-4E03-9360-D3CC70513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20"/>
  <sheetViews>
    <sheetView zoomScaleNormal="100" workbookViewId="0">
      <selection activeCell="S7" sqref="S7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5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4" t="s">
        <v>389</v>
      </c>
      <c r="B1" s="144"/>
      <c r="C1" s="144"/>
      <c r="D1" s="145"/>
      <c r="E1" s="144"/>
      <c r="F1" s="145"/>
      <c r="G1" s="146"/>
      <c r="H1" s="145"/>
      <c r="I1" s="145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5"/>
      <c r="Y1" s="145"/>
      <c r="Z1" s="145"/>
      <c r="AA1" s="145"/>
      <c r="AB1" s="145"/>
      <c r="AC1" s="147"/>
      <c r="AD1" s="147"/>
      <c r="AE1" s="147"/>
      <c r="AF1" s="147"/>
      <c r="AG1" s="147"/>
      <c r="AH1" s="147"/>
      <c r="AI1" s="146"/>
      <c r="AK1" s="283" t="s">
        <v>438</v>
      </c>
      <c r="AL1" s="284"/>
      <c r="AM1" s="284"/>
      <c r="AN1" s="285"/>
      <c r="AO1" s="284"/>
      <c r="AP1" s="284"/>
      <c r="AQ1" s="284"/>
      <c r="AR1" s="284"/>
      <c r="AS1" s="284"/>
      <c r="AT1" s="284"/>
      <c r="AU1" s="284"/>
      <c r="AV1" s="284"/>
      <c r="AW1" s="284"/>
      <c r="AX1" s="284"/>
      <c r="AY1" s="284"/>
      <c r="AZ1" s="284"/>
      <c r="BA1" s="284"/>
      <c r="BB1" s="284"/>
      <c r="BC1" s="284"/>
    </row>
    <row r="2" spans="1:56" x14ac:dyDescent="0.25">
      <c r="A2" s="148" t="s">
        <v>2</v>
      </c>
      <c r="B2" s="148" t="s">
        <v>390</v>
      </c>
      <c r="C2" s="148" t="s">
        <v>4</v>
      </c>
      <c r="D2" s="149" t="s">
        <v>391</v>
      </c>
      <c r="E2" s="148" t="s">
        <v>392</v>
      </c>
      <c r="F2" s="149" t="s">
        <v>393</v>
      </c>
      <c r="G2" s="150" t="s">
        <v>394</v>
      </c>
      <c r="H2" s="149" t="s">
        <v>395</v>
      </c>
      <c r="I2" s="149" t="s">
        <v>6</v>
      </c>
      <c r="J2" s="148" t="s">
        <v>24</v>
      </c>
      <c r="K2" s="148" t="s">
        <v>396</v>
      </c>
      <c r="L2" s="151" t="s">
        <v>26</v>
      </c>
      <c r="M2" s="151" t="s">
        <v>396</v>
      </c>
      <c r="N2" s="148" t="s">
        <v>63</v>
      </c>
      <c r="O2" s="148" t="s">
        <v>396</v>
      </c>
      <c r="P2" s="151" t="s">
        <v>106</v>
      </c>
      <c r="Q2" s="151" t="s">
        <v>396</v>
      </c>
      <c r="R2" s="148" t="s">
        <v>64</v>
      </c>
      <c r="S2" s="148" t="s">
        <v>396</v>
      </c>
      <c r="T2" s="151" t="s">
        <v>65</v>
      </c>
      <c r="U2" s="151" t="s">
        <v>396</v>
      </c>
      <c r="V2" s="148" t="s">
        <v>41</v>
      </c>
      <c r="W2" s="148" t="s">
        <v>396</v>
      </c>
      <c r="X2" s="152" t="s">
        <v>397</v>
      </c>
      <c r="Y2" s="152" t="s">
        <v>94</v>
      </c>
      <c r="Z2" s="149" t="s">
        <v>398</v>
      </c>
      <c r="AA2" s="149" t="s">
        <v>41</v>
      </c>
      <c r="AB2" s="149" t="s">
        <v>184</v>
      </c>
      <c r="AC2" s="153" t="s">
        <v>399</v>
      </c>
      <c r="AD2" s="153" t="s">
        <v>400</v>
      </c>
      <c r="AE2" s="153" t="s">
        <v>401</v>
      </c>
      <c r="AF2" s="153" t="s">
        <v>402</v>
      </c>
      <c r="AG2" s="153" t="s">
        <v>403</v>
      </c>
      <c r="AH2" s="153" t="s">
        <v>404</v>
      </c>
      <c r="AI2" s="150" t="s">
        <v>405</v>
      </c>
      <c r="AK2" s="247" t="s">
        <v>2</v>
      </c>
      <c r="AL2" s="247" t="s">
        <v>390</v>
      </c>
      <c r="AM2" s="247" t="s">
        <v>4</v>
      </c>
      <c r="AN2" s="286" t="s">
        <v>391</v>
      </c>
      <c r="AO2" s="288" t="s">
        <v>24</v>
      </c>
      <c r="AP2" s="288" t="s">
        <v>439</v>
      </c>
      <c r="AQ2" s="288" t="s">
        <v>26</v>
      </c>
      <c r="AR2" s="288" t="s">
        <v>440</v>
      </c>
      <c r="AS2" s="288" t="s">
        <v>63</v>
      </c>
      <c r="AT2" s="288" t="s">
        <v>441</v>
      </c>
      <c r="AU2" s="288" t="s">
        <v>106</v>
      </c>
      <c r="AV2" s="288" t="s">
        <v>442</v>
      </c>
      <c r="AW2" s="288" t="s">
        <v>65</v>
      </c>
      <c r="AX2" s="288" t="s">
        <v>443</v>
      </c>
      <c r="AY2" s="288" t="s">
        <v>64</v>
      </c>
      <c r="AZ2" s="288" t="s">
        <v>444</v>
      </c>
      <c r="BA2" s="288" t="s">
        <v>41</v>
      </c>
      <c r="BB2" s="288" t="s">
        <v>445</v>
      </c>
      <c r="BC2" s="288" t="s">
        <v>361</v>
      </c>
    </row>
    <row r="3" spans="1:56" x14ac:dyDescent="0.25">
      <c r="A3" s="155" t="s">
        <v>649</v>
      </c>
      <c r="B3" s="156">
        <v>16</v>
      </c>
      <c r="C3" s="157">
        <f ca="1">A33-2100-6-93-112+6-36-112-112-12-112</f>
        <v>74</v>
      </c>
      <c r="D3" s="158" t="s">
        <v>183</v>
      </c>
      <c r="E3" s="159">
        <f ca="1">F3-TODAY()</f>
        <v>38</v>
      </c>
      <c r="F3" s="160">
        <v>43799</v>
      </c>
      <c r="G3" s="215" t="s">
        <v>432</v>
      </c>
      <c r="H3" s="191" t="s">
        <v>417</v>
      </c>
      <c r="I3" s="161" t="s">
        <v>407</v>
      </c>
      <c r="J3" s="156"/>
      <c r="K3" s="167">
        <v>1.99</v>
      </c>
      <c r="L3" s="156"/>
      <c r="M3" s="167">
        <v>3.99</v>
      </c>
      <c r="N3" s="163">
        <v>3</v>
      </c>
      <c r="O3" s="164">
        <v>3.99</v>
      </c>
      <c r="P3" s="163">
        <v>5</v>
      </c>
      <c r="Q3" s="522">
        <v>5.99</v>
      </c>
      <c r="R3" s="163">
        <v>4</v>
      </c>
      <c r="S3" s="164">
        <v>4.99</v>
      </c>
      <c r="T3" s="163">
        <v>6</v>
      </c>
      <c r="U3" s="449">
        <v>6.99</v>
      </c>
      <c r="V3" s="156"/>
      <c r="W3" s="156"/>
      <c r="X3" s="168">
        <f t="shared" ref="X3" si="0">7-(COUNTBLANK(J3)+COUNTBLANK(L3)+COUNTBLANK(N3)+COUNTBLANK(P3)+COUNTBLANK(R3)+COUNTBLANK(T3)+COUNTBLANK(V3))</f>
        <v>4</v>
      </c>
      <c r="Y3" s="161">
        <f t="shared" ref="Y3" si="1">COUNT(W3,S3,U3,Q3,O3,M3,K3)</f>
        <v>6</v>
      </c>
      <c r="Z3" s="161"/>
      <c r="AA3" s="161"/>
      <c r="AB3" s="161"/>
      <c r="AC3" s="169"/>
      <c r="AD3" s="169"/>
      <c r="AE3" s="169"/>
      <c r="AF3" s="169"/>
      <c r="AG3" s="169"/>
      <c r="AH3" s="169">
        <v>7.5</v>
      </c>
      <c r="AI3" s="169" t="s">
        <v>424</v>
      </c>
      <c r="AK3" s="261" t="s">
        <v>446</v>
      </c>
      <c r="AL3" s="255">
        <v>17</v>
      </c>
      <c r="AM3" s="262">
        <v>0</v>
      </c>
      <c r="AN3" s="287"/>
      <c r="AO3" s="248"/>
      <c r="AP3" s="248"/>
      <c r="AQ3" s="249">
        <v>4</v>
      </c>
      <c r="AR3" s="249">
        <v>4.99</v>
      </c>
      <c r="AS3" s="249">
        <v>5</v>
      </c>
      <c r="AT3" s="250">
        <v>5.99</v>
      </c>
      <c r="AU3" s="251">
        <v>2</v>
      </c>
      <c r="AV3" s="251">
        <v>2.99</v>
      </c>
      <c r="AW3" s="248"/>
      <c r="AX3" s="252">
        <v>3.99</v>
      </c>
      <c r="AY3" s="251">
        <v>5</v>
      </c>
      <c r="AZ3" s="253">
        <v>5.99</v>
      </c>
      <c r="BA3" s="251">
        <v>0</v>
      </c>
      <c r="BB3" s="251">
        <v>0.99</v>
      </c>
      <c r="BC3" s="254">
        <v>41367</v>
      </c>
    </row>
    <row r="4" spans="1:56" x14ac:dyDescent="0.25">
      <c r="A4" s="173" t="s">
        <v>412</v>
      </c>
      <c r="B4" s="173"/>
      <c r="C4" s="173"/>
      <c r="D4" s="174"/>
      <c r="E4" s="173"/>
      <c r="F4" s="174"/>
      <c r="G4" s="175"/>
      <c r="H4" s="174"/>
      <c r="I4" s="174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4"/>
      <c r="Y4" s="174"/>
      <c r="Z4" s="174"/>
      <c r="AA4" s="174"/>
      <c r="AB4" s="174"/>
      <c r="AC4" s="176"/>
      <c r="AD4" s="176"/>
      <c r="AE4" s="176"/>
      <c r="AF4" s="176"/>
      <c r="AG4" s="176"/>
      <c r="AH4" s="176"/>
      <c r="AI4" s="175"/>
      <c r="AK4" s="261" t="s">
        <v>447</v>
      </c>
      <c r="AL4" s="255">
        <v>17</v>
      </c>
      <c r="AM4" s="262">
        <v>0</v>
      </c>
      <c r="AN4" s="287"/>
      <c r="AO4" s="256"/>
      <c r="AP4" s="256"/>
      <c r="AQ4" s="257">
        <v>2</v>
      </c>
      <c r="AR4" s="258">
        <v>3.99</v>
      </c>
      <c r="AS4" s="250">
        <v>7</v>
      </c>
      <c r="AT4" s="250">
        <v>7</v>
      </c>
      <c r="AU4" s="249">
        <v>3</v>
      </c>
      <c r="AV4" s="249">
        <v>3.99</v>
      </c>
      <c r="AW4" s="259">
        <v>3</v>
      </c>
      <c r="AX4" s="260">
        <v>3.99</v>
      </c>
      <c r="AY4" s="249">
        <v>4</v>
      </c>
      <c r="AZ4" s="249">
        <v>4.99</v>
      </c>
      <c r="BA4" s="256"/>
      <c r="BB4" s="256"/>
      <c r="BC4" s="254">
        <v>41371</v>
      </c>
      <c r="BD4" s="154"/>
    </row>
    <row r="5" spans="1:56" x14ac:dyDescent="0.25">
      <c r="A5" s="177" t="s">
        <v>413</v>
      </c>
      <c r="B5" s="177"/>
      <c r="C5" s="177"/>
      <c r="D5" s="178"/>
      <c r="E5" s="177"/>
      <c r="F5" s="179"/>
      <c r="G5" s="180"/>
      <c r="H5" s="179"/>
      <c r="I5" s="179"/>
      <c r="J5" s="181" t="s">
        <v>414</v>
      </c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79"/>
      <c r="Y5" s="179"/>
      <c r="Z5" s="179"/>
      <c r="AA5" s="179"/>
      <c r="AB5" s="179"/>
      <c r="AC5" s="182" t="s">
        <v>415</v>
      </c>
      <c r="AD5" s="182"/>
      <c r="AE5" s="182"/>
      <c r="AF5" s="182"/>
      <c r="AG5" s="182"/>
      <c r="AH5" s="182"/>
      <c r="AI5" s="183"/>
      <c r="AK5" s="261" t="s">
        <v>448</v>
      </c>
      <c r="AL5" s="255">
        <v>19</v>
      </c>
      <c r="AM5" s="262">
        <v>1709</v>
      </c>
      <c r="AN5" s="287"/>
      <c r="AO5" s="256"/>
      <c r="AP5" s="256"/>
      <c r="AQ5" s="256"/>
      <c r="AR5" s="258">
        <v>2.99</v>
      </c>
      <c r="AS5" s="249">
        <v>6</v>
      </c>
      <c r="AT5" s="250">
        <v>6.1</v>
      </c>
      <c r="AU5" s="256"/>
      <c r="AV5" s="258">
        <v>2.99</v>
      </c>
      <c r="AW5" s="257">
        <v>2</v>
      </c>
      <c r="AX5" s="258">
        <v>3.99</v>
      </c>
      <c r="AY5" s="251">
        <v>3</v>
      </c>
      <c r="AZ5" s="251">
        <v>3.99</v>
      </c>
      <c r="BA5" s="251">
        <v>1</v>
      </c>
      <c r="BB5" s="251">
        <v>1.99</v>
      </c>
      <c r="BC5" s="254">
        <v>41391</v>
      </c>
      <c r="BD5" s="154"/>
    </row>
    <row r="6" spans="1:56" x14ac:dyDescent="0.25">
      <c r="A6" s="184" t="s">
        <v>2</v>
      </c>
      <c r="B6" s="184" t="s">
        <v>390</v>
      </c>
      <c r="C6" s="184" t="s">
        <v>4</v>
      </c>
      <c r="D6" s="185" t="s">
        <v>391</v>
      </c>
      <c r="E6" s="184" t="s">
        <v>392</v>
      </c>
      <c r="F6" s="185" t="str">
        <f>F2</f>
        <v>Promoción</v>
      </c>
      <c r="G6" s="186" t="str">
        <f>G2</f>
        <v>Gen</v>
      </c>
      <c r="H6" s="185" t="str">
        <f>H2</f>
        <v>u20</v>
      </c>
      <c r="I6" s="185" t="str">
        <f>I2</f>
        <v>Lid</v>
      </c>
      <c r="J6" s="184" t="s">
        <v>24</v>
      </c>
      <c r="K6" s="184" t="str">
        <f t="shared" ref="K6:Z6" si="2">K2</f>
        <v>Pot</v>
      </c>
      <c r="L6" s="187" t="str">
        <f t="shared" si="2"/>
        <v>DEF</v>
      </c>
      <c r="M6" s="187" t="str">
        <f t="shared" si="2"/>
        <v>Pot</v>
      </c>
      <c r="N6" s="184" t="str">
        <f t="shared" si="2"/>
        <v>JUG</v>
      </c>
      <c r="O6" s="184" t="str">
        <f t="shared" si="2"/>
        <v>Pot</v>
      </c>
      <c r="P6" s="187" t="str">
        <f t="shared" si="2"/>
        <v>LAT</v>
      </c>
      <c r="Q6" s="187" t="str">
        <f t="shared" si="2"/>
        <v>Pot</v>
      </c>
      <c r="R6" s="184" t="str">
        <f t="shared" si="2"/>
        <v>PAS</v>
      </c>
      <c r="S6" s="184" t="str">
        <f t="shared" si="2"/>
        <v>Pot</v>
      </c>
      <c r="T6" s="187" t="str">
        <f t="shared" si="2"/>
        <v>ANO</v>
      </c>
      <c r="U6" s="187" t="str">
        <f t="shared" si="2"/>
        <v>Pot</v>
      </c>
      <c r="V6" s="184" t="str">
        <f t="shared" si="2"/>
        <v>BP</v>
      </c>
      <c r="W6" s="184" t="str">
        <f t="shared" si="2"/>
        <v>Pot</v>
      </c>
      <c r="X6" s="188" t="str">
        <f t="shared" si="2"/>
        <v>HAB</v>
      </c>
      <c r="Y6" s="188" t="str">
        <f t="shared" si="2"/>
        <v>POT</v>
      </c>
      <c r="Z6" s="185" t="str">
        <f t="shared" si="2"/>
        <v>Cap</v>
      </c>
      <c r="AA6" s="185" t="s">
        <v>41</v>
      </c>
      <c r="AB6" s="185" t="str">
        <f t="shared" ref="AB6:AI6" si="3">AB2</f>
        <v>HTMS</v>
      </c>
      <c r="AC6" s="189" t="str">
        <f t="shared" si="3"/>
        <v>PR</v>
      </c>
      <c r="AD6" s="189" t="str">
        <f t="shared" si="3"/>
        <v>DL</v>
      </c>
      <c r="AE6" s="189" t="str">
        <f t="shared" si="3"/>
        <v>DC</v>
      </c>
      <c r="AF6" s="189" t="str">
        <f t="shared" si="3"/>
        <v>In</v>
      </c>
      <c r="AG6" s="189" t="str">
        <f t="shared" si="3"/>
        <v>ExO</v>
      </c>
      <c r="AH6" s="189" t="str">
        <f t="shared" si="3"/>
        <v>DV</v>
      </c>
      <c r="AI6" s="186" t="str">
        <f t="shared" si="3"/>
        <v>Atributs</v>
      </c>
      <c r="AK6" s="261" t="s">
        <v>451</v>
      </c>
      <c r="AL6" s="255">
        <v>17</v>
      </c>
      <c r="AM6" s="262">
        <v>1799</v>
      </c>
      <c r="AN6" s="287"/>
      <c r="AO6" s="264"/>
      <c r="AP6" s="265">
        <v>1.99</v>
      </c>
      <c r="AQ6" s="264"/>
      <c r="AR6" s="265">
        <v>2.99</v>
      </c>
      <c r="AS6" s="266">
        <v>4</v>
      </c>
      <c r="AT6" s="266">
        <v>4.99</v>
      </c>
      <c r="AU6" s="266">
        <v>5</v>
      </c>
      <c r="AV6" s="267">
        <v>5.99</v>
      </c>
      <c r="AW6" s="268">
        <v>3</v>
      </c>
      <c r="AX6" s="269">
        <v>3.99</v>
      </c>
      <c r="AY6" s="266">
        <v>3</v>
      </c>
      <c r="AZ6" s="266">
        <v>3.99</v>
      </c>
      <c r="BA6" s="264"/>
      <c r="BB6" s="264"/>
      <c r="BC6" s="290"/>
      <c r="BD6" s="154"/>
    </row>
    <row r="7" spans="1:56" x14ac:dyDescent="0.25">
      <c r="A7" s="195" t="s">
        <v>719</v>
      </c>
      <c r="B7" s="171">
        <v>16</v>
      </c>
      <c r="C7" s="157">
        <f ca="1">A33-2700+25</f>
        <v>88</v>
      </c>
      <c r="D7" s="158"/>
      <c r="E7" s="159">
        <f ca="1">F7-TODAY()</f>
        <v>66</v>
      </c>
      <c r="F7" s="160">
        <v>43827</v>
      </c>
      <c r="G7" s="161"/>
      <c r="H7" s="161"/>
      <c r="I7" s="161" t="s">
        <v>407</v>
      </c>
      <c r="J7" s="171"/>
      <c r="K7" s="167">
        <v>1.99</v>
      </c>
      <c r="L7" s="171"/>
      <c r="M7" s="167">
        <v>2.99</v>
      </c>
      <c r="N7" s="192">
        <v>4</v>
      </c>
      <c r="O7" s="194">
        <v>6.99</v>
      </c>
      <c r="P7" s="171"/>
      <c r="Q7" s="167">
        <v>4.99</v>
      </c>
      <c r="R7" s="192">
        <v>2</v>
      </c>
      <c r="S7" s="167">
        <v>3.99</v>
      </c>
      <c r="T7" s="171"/>
      <c r="U7" s="167">
        <v>3.99</v>
      </c>
      <c r="V7" s="171"/>
      <c r="W7" s="167">
        <v>4.99</v>
      </c>
      <c r="X7" s="168">
        <f>7-(COUNTBLANK(J7)+COUNTBLANK(L7)+COUNTBLANK(N7)+COUNTBLANK(P7)+COUNTBLANK(R7)+COUNTBLANK(T7)+COUNTBLANK(V7))</f>
        <v>2</v>
      </c>
      <c r="Y7" s="161">
        <f>COUNT(W7,S7,U7,Q7,O7,M7,K7)</f>
        <v>7</v>
      </c>
      <c r="Z7" s="172"/>
      <c r="AA7" s="172"/>
      <c r="AB7" s="172"/>
      <c r="AC7" s="169"/>
      <c r="AD7" s="169"/>
      <c r="AE7" s="169"/>
      <c r="AF7" s="169"/>
      <c r="AG7" s="169"/>
      <c r="AH7" s="169"/>
      <c r="AI7" s="169" t="s">
        <v>411</v>
      </c>
      <c r="AK7" s="261" t="s">
        <v>456</v>
      </c>
      <c r="AL7" s="255">
        <v>17</v>
      </c>
      <c r="AM7" s="262">
        <v>1723</v>
      </c>
      <c r="AN7" s="287" t="s">
        <v>457</v>
      </c>
      <c r="AO7" s="264"/>
      <c r="AP7" s="264"/>
      <c r="AQ7" s="266">
        <v>2</v>
      </c>
      <c r="AR7" s="266">
        <v>2.99</v>
      </c>
      <c r="AS7" s="266">
        <v>5</v>
      </c>
      <c r="AT7" s="267">
        <v>5.99</v>
      </c>
      <c r="AU7" s="266">
        <v>5</v>
      </c>
      <c r="AV7" s="267">
        <v>5.99</v>
      </c>
      <c r="AW7" s="264"/>
      <c r="AX7" s="265">
        <v>2.99</v>
      </c>
      <c r="AY7" s="266">
        <v>5</v>
      </c>
      <c r="AZ7" s="267">
        <v>5.99</v>
      </c>
      <c r="BA7" s="264"/>
      <c r="BB7" s="265">
        <v>3.99</v>
      </c>
      <c r="BC7" s="291"/>
      <c r="BD7" s="154"/>
    </row>
    <row r="8" spans="1:56" x14ac:dyDescent="0.25">
      <c r="A8" s="170" t="s">
        <v>711</v>
      </c>
      <c r="B8" s="171">
        <v>16</v>
      </c>
      <c r="C8" s="157">
        <f ca="1">A32-43375-230-112</f>
        <v>44</v>
      </c>
      <c r="D8" s="158"/>
      <c r="E8" s="159">
        <f ca="1">F8-TODAY()</f>
        <v>68</v>
      </c>
      <c r="F8" s="160">
        <v>43829</v>
      </c>
      <c r="G8" s="215" t="s">
        <v>432</v>
      </c>
      <c r="H8" s="161" t="s">
        <v>417</v>
      </c>
      <c r="I8" s="161" t="s">
        <v>407</v>
      </c>
      <c r="J8" s="171"/>
      <c r="K8" s="171"/>
      <c r="L8" s="171"/>
      <c r="M8" s="167">
        <v>2.99</v>
      </c>
      <c r="N8" s="171"/>
      <c r="O8" s="167">
        <v>2.99</v>
      </c>
      <c r="P8" s="192">
        <v>3</v>
      </c>
      <c r="Q8" s="194">
        <v>6.99</v>
      </c>
      <c r="R8" s="523">
        <v>5</v>
      </c>
      <c r="S8" s="522">
        <v>5.99</v>
      </c>
      <c r="T8" s="192">
        <v>3</v>
      </c>
      <c r="U8" s="193">
        <v>5.99</v>
      </c>
      <c r="V8" s="171"/>
      <c r="W8" s="171"/>
      <c r="X8" s="168">
        <f t="shared" ref="X8" si="4">7-(COUNTBLANK(J8)+COUNTBLANK(L8)+COUNTBLANK(N8)+COUNTBLANK(P8)+COUNTBLANK(R8)+COUNTBLANK(T8)+COUNTBLANK(V8))</f>
        <v>3</v>
      </c>
      <c r="Y8" s="161">
        <f t="shared" ref="Y8" si="5">COUNT(W8,S8,U8,Q8,O8,M8,K8)</f>
        <v>5</v>
      </c>
      <c r="Z8" s="172"/>
      <c r="AA8" s="172"/>
      <c r="AB8" s="172"/>
      <c r="AC8" s="169"/>
      <c r="AD8" s="169"/>
      <c r="AE8" s="169"/>
      <c r="AF8" s="169"/>
      <c r="AG8" s="169"/>
      <c r="AH8" s="169">
        <v>6.5</v>
      </c>
      <c r="AI8" s="169" t="s">
        <v>424</v>
      </c>
      <c r="AK8" s="261" t="s">
        <v>452</v>
      </c>
      <c r="AL8" s="255">
        <v>17</v>
      </c>
      <c r="AM8" s="262">
        <v>1795</v>
      </c>
      <c r="AN8" s="287"/>
      <c r="AO8" s="264"/>
      <c r="AP8" s="264"/>
      <c r="AQ8" s="266">
        <v>4</v>
      </c>
      <c r="AR8" s="266">
        <v>4.99</v>
      </c>
      <c r="AS8" s="269">
        <v>6</v>
      </c>
      <c r="AT8" s="270">
        <v>6.99</v>
      </c>
      <c r="AU8" s="268">
        <v>3</v>
      </c>
      <c r="AV8" s="269">
        <v>3.99</v>
      </c>
      <c r="AW8" s="264"/>
      <c r="AX8" s="264"/>
      <c r="AY8" s="266">
        <v>2</v>
      </c>
      <c r="AZ8" s="266">
        <v>2.99</v>
      </c>
      <c r="BA8" s="264"/>
      <c r="BB8" s="271"/>
      <c r="BC8" s="290"/>
      <c r="BD8" s="154"/>
    </row>
    <row r="9" spans="1:56" x14ac:dyDescent="0.25">
      <c r="A9" s="198" t="s">
        <v>425</v>
      </c>
      <c r="B9" s="198"/>
      <c r="C9" s="198"/>
      <c r="D9" s="199"/>
      <c r="E9" s="198"/>
      <c r="F9" s="199"/>
      <c r="G9" s="200"/>
      <c r="H9" s="199"/>
      <c r="I9" s="199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9"/>
      <c r="Y9" s="199"/>
      <c r="Z9" s="199"/>
      <c r="AA9" s="199"/>
      <c r="AB9" s="199"/>
      <c r="AC9" s="201"/>
      <c r="AD9" s="201"/>
      <c r="AE9" s="201"/>
      <c r="AF9" s="201"/>
      <c r="AG9" s="201"/>
      <c r="AH9" s="201"/>
      <c r="AI9" s="200"/>
      <c r="AK9" s="261" t="s">
        <v>455</v>
      </c>
      <c r="AL9" s="255">
        <v>17</v>
      </c>
      <c r="AM9" s="262">
        <v>1729</v>
      </c>
      <c r="AN9" s="287" t="s">
        <v>396</v>
      </c>
      <c r="AO9" s="264"/>
      <c r="AP9" s="264"/>
      <c r="AQ9" s="266">
        <v>6</v>
      </c>
      <c r="AR9" s="267">
        <v>6.99</v>
      </c>
      <c r="AS9" s="266">
        <v>5</v>
      </c>
      <c r="AT9" s="267">
        <v>5.99</v>
      </c>
      <c r="AU9" s="266">
        <v>3</v>
      </c>
      <c r="AV9" s="266">
        <v>3.99</v>
      </c>
      <c r="AW9" s="264"/>
      <c r="AX9" s="265">
        <v>2.99</v>
      </c>
      <c r="AY9" s="264"/>
      <c r="AZ9" s="265">
        <v>2.99</v>
      </c>
      <c r="BA9" s="264"/>
      <c r="BB9" s="265">
        <v>3.99</v>
      </c>
      <c r="BC9" s="291"/>
      <c r="BD9" s="273"/>
    </row>
    <row r="10" spans="1:56" x14ac:dyDescent="0.25">
      <c r="A10" s="202" t="s">
        <v>413</v>
      </c>
      <c r="B10" s="202"/>
      <c r="C10" s="202"/>
      <c r="D10" s="203"/>
      <c r="E10" s="202"/>
      <c r="F10" s="204"/>
      <c r="G10" s="205"/>
      <c r="H10" s="204"/>
      <c r="I10" s="204"/>
      <c r="J10" s="206" t="s">
        <v>414</v>
      </c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4"/>
      <c r="Y10" s="204"/>
      <c r="Z10" s="204"/>
      <c r="AA10" s="204"/>
      <c r="AB10" s="204"/>
      <c r="AC10" s="207" t="s">
        <v>415</v>
      </c>
      <c r="AD10" s="207"/>
      <c r="AE10" s="207"/>
      <c r="AF10" s="207"/>
      <c r="AG10" s="207"/>
      <c r="AH10" s="207"/>
      <c r="AI10" s="208"/>
      <c r="AK10" s="261" t="s">
        <v>453</v>
      </c>
      <c r="AL10" s="255">
        <v>17</v>
      </c>
      <c r="AM10" s="262">
        <v>1764</v>
      </c>
      <c r="AN10" s="287" t="s">
        <v>454</v>
      </c>
      <c r="AO10" s="264"/>
      <c r="AP10" s="264"/>
      <c r="AQ10" s="266">
        <v>3</v>
      </c>
      <c r="AR10" s="266">
        <v>3.99</v>
      </c>
      <c r="AS10" s="269">
        <v>5</v>
      </c>
      <c r="AT10" s="272">
        <v>5.99</v>
      </c>
      <c r="AU10" s="266">
        <v>2</v>
      </c>
      <c r="AV10" s="266">
        <v>2.99</v>
      </c>
      <c r="AW10" s="264"/>
      <c r="AX10" s="265">
        <v>3.99</v>
      </c>
      <c r="AY10" s="269">
        <v>4</v>
      </c>
      <c r="AZ10" s="269">
        <v>4.99</v>
      </c>
      <c r="BA10" s="264"/>
      <c r="BB10" s="264"/>
      <c r="BC10" s="276"/>
      <c r="BD10" s="154"/>
    </row>
    <row r="11" spans="1:56" x14ac:dyDescent="0.25">
      <c r="A11" s="209" t="s">
        <v>2</v>
      </c>
      <c r="B11" s="209" t="s">
        <v>390</v>
      </c>
      <c r="C11" s="209" t="s">
        <v>4</v>
      </c>
      <c r="D11" s="210" t="s">
        <v>391</v>
      </c>
      <c r="E11" s="209" t="s">
        <v>392</v>
      </c>
      <c r="F11" s="210" t="str">
        <f>F6</f>
        <v>Promoción</v>
      </c>
      <c r="G11" s="211" t="str">
        <f>G6</f>
        <v>Gen</v>
      </c>
      <c r="H11" s="210" t="str">
        <f>H6</f>
        <v>u20</v>
      </c>
      <c r="I11" s="210" t="str">
        <f>I6</f>
        <v>Lid</v>
      </c>
      <c r="J11" s="209" t="s">
        <v>24</v>
      </c>
      <c r="K11" s="209" t="str">
        <f t="shared" ref="K11:Z11" si="6">K6</f>
        <v>Pot</v>
      </c>
      <c r="L11" s="212" t="str">
        <f t="shared" si="6"/>
        <v>DEF</v>
      </c>
      <c r="M11" s="212" t="str">
        <f t="shared" si="6"/>
        <v>Pot</v>
      </c>
      <c r="N11" s="209" t="str">
        <f t="shared" si="6"/>
        <v>JUG</v>
      </c>
      <c r="O11" s="209" t="str">
        <f t="shared" si="6"/>
        <v>Pot</v>
      </c>
      <c r="P11" s="212" t="str">
        <f t="shared" si="6"/>
        <v>LAT</v>
      </c>
      <c r="Q11" s="212" t="str">
        <f t="shared" si="6"/>
        <v>Pot</v>
      </c>
      <c r="R11" s="209" t="str">
        <f t="shared" si="6"/>
        <v>PAS</v>
      </c>
      <c r="S11" s="209" t="str">
        <f t="shared" si="6"/>
        <v>Pot</v>
      </c>
      <c r="T11" s="212" t="str">
        <f t="shared" si="6"/>
        <v>ANO</v>
      </c>
      <c r="U11" s="212" t="str">
        <f t="shared" si="6"/>
        <v>Pot</v>
      </c>
      <c r="V11" s="209" t="str">
        <f t="shared" si="6"/>
        <v>BP</v>
      </c>
      <c r="W11" s="209" t="str">
        <f t="shared" si="6"/>
        <v>Pot</v>
      </c>
      <c r="X11" s="213" t="str">
        <f t="shared" si="6"/>
        <v>HAB</v>
      </c>
      <c r="Y11" s="213" t="str">
        <f t="shared" si="6"/>
        <v>POT</v>
      </c>
      <c r="Z11" s="210" t="str">
        <f t="shared" si="6"/>
        <v>Cap</v>
      </c>
      <c r="AA11" s="210" t="s">
        <v>41</v>
      </c>
      <c r="AB11" s="210" t="str">
        <f t="shared" ref="AB11:AI11" si="7">AB6</f>
        <v>HTMS</v>
      </c>
      <c r="AC11" s="214" t="str">
        <f t="shared" si="7"/>
        <v>PR</v>
      </c>
      <c r="AD11" s="214" t="str">
        <f t="shared" si="7"/>
        <v>DL</v>
      </c>
      <c r="AE11" s="214" t="str">
        <f t="shared" si="7"/>
        <v>DC</v>
      </c>
      <c r="AF11" s="214" t="str">
        <f t="shared" si="7"/>
        <v>In</v>
      </c>
      <c r="AG11" s="214" t="str">
        <f t="shared" si="7"/>
        <v>ExO</v>
      </c>
      <c r="AH11" s="214" t="str">
        <f t="shared" si="7"/>
        <v>DV</v>
      </c>
      <c r="AI11" s="211" t="str">
        <f t="shared" si="7"/>
        <v>Atributs</v>
      </c>
      <c r="AK11" s="261" t="s">
        <v>458</v>
      </c>
      <c r="AL11" s="255">
        <v>17</v>
      </c>
      <c r="AM11" s="262">
        <v>1789</v>
      </c>
      <c r="AN11" s="287" t="s">
        <v>450</v>
      </c>
      <c r="AO11" s="264"/>
      <c r="AP11" s="265">
        <v>1.99</v>
      </c>
      <c r="AQ11" s="264"/>
      <c r="AR11" s="265">
        <v>3.99</v>
      </c>
      <c r="AS11" s="269">
        <v>5</v>
      </c>
      <c r="AT11" s="272">
        <v>5.99</v>
      </c>
      <c r="AU11" s="266">
        <v>4</v>
      </c>
      <c r="AV11" s="266">
        <v>4.99</v>
      </c>
      <c r="AW11" s="264"/>
      <c r="AX11" s="265">
        <v>3.99</v>
      </c>
      <c r="AY11" s="264"/>
      <c r="AZ11" s="265">
        <v>2.99</v>
      </c>
      <c r="BA11" s="264"/>
      <c r="BB11" s="265">
        <v>3.99</v>
      </c>
      <c r="BC11" s="291"/>
      <c r="BD11" s="154"/>
    </row>
    <row r="12" spans="1:56" x14ac:dyDescent="0.25">
      <c r="A12" s="170" t="s">
        <v>423</v>
      </c>
      <c r="B12" s="156">
        <v>16</v>
      </c>
      <c r="C12" s="157">
        <f ca="1">86+A33-2516-112-112</f>
        <v>109</v>
      </c>
      <c r="D12" s="158" t="s">
        <v>183</v>
      </c>
      <c r="E12" s="159">
        <f ca="1">F12-TODAY()</f>
        <v>3</v>
      </c>
      <c r="F12" s="160">
        <v>43764</v>
      </c>
      <c r="G12" s="196" t="s">
        <v>419</v>
      </c>
      <c r="H12" s="162" t="s">
        <v>422</v>
      </c>
      <c r="I12" s="161" t="s">
        <v>407</v>
      </c>
      <c r="J12" s="161"/>
      <c r="K12" s="167">
        <v>0.99</v>
      </c>
      <c r="L12" s="161"/>
      <c r="M12" s="167">
        <v>3.99</v>
      </c>
      <c r="N12" s="192">
        <v>5</v>
      </c>
      <c r="O12" s="194">
        <v>6.99</v>
      </c>
      <c r="P12" s="163">
        <v>4</v>
      </c>
      <c r="Q12" s="164">
        <v>4.99</v>
      </c>
      <c r="R12" s="165">
        <v>2</v>
      </c>
      <c r="S12" s="166">
        <v>2.99</v>
      </c>
      <c r="T12" s="165">
        <v>2</v>
      </c>
      <c r="U12" s="166">
        <v>2.99</v>
      </c>
      <c r="V12" s="161"/>
      <c r="W12" s="194">
        <v>6.99</v>
      </c>
      <c r="X12" s="168">
        <f>7-(COUNTBLANK(J12)+COUNTBLANK(L12)+COUNTBLANK(N12)+COUNTBLANK(P12)+COUNTBLANK(R12)+COUNTBLANK(T12)+COUNTBLANK(V12))</f>
        <v>4</v>
      </c>
      <c r="Y12" s="161">
        <f>COUNT(W12,S12,U12,Q12,O12,M12,K12)</f>
        <v>7</v>
      </c>
      <c r="Z12" s="172"/>
      <c r="AA12" s="172"/>
      <c r="AB12" s="172"/>
      <c r="AC12" s="169"/>
      <c r="AD12" s="169"/>
      <c r="AE12" s="169"/>
      <c r="AF12" s="169">
        <v>4.5</v>
      </c>
      <c r="AG12" s="169">
        <v>4</v>
      </c>
      <c r="AH12" s="169">
        <v>3.5</v>
      </c>
      <c r="AI12" s="169" t="s">
        <v>424</v>
      </c>
      <c r="AK12" s="261" t="s">
        <v>449</v>
      </c>
      <c r="AL12" s="255">
        <v>17</v>
      </c>
      <c r="AM12" s="262">
        <v>0</v>
      </c>
      <c r="AN12" s="287" t="s">
        <v>450</v>
      </c>
      <c r="AO12" s="256"/>
      <c r="AP12" s="258">
        <v>1.99</v>
      </c>
      <c r="AQ12" s="256"/>
      <c r="AR12" s="258">
        <v>2.99</v>
      </c>
      <c r="AS12" s="249">
        <v>4</v>
      </c>
      <c r="AT12" s="249">
        <v>4.99</v>
      </c>
      <c r="AU12" s="263">
        <v>5</v>
      </c>
      <c r="AV12" s="289">
        <v>5.99</v>
      </c>
      <c r="AW12" s="256"/>
      <c r="AX12" s="258">
        <v>1.99</v>
      </c>
      <c r="AY12" s="263">
        <v>5</v>
      </c>
      <c r="AZ12" s="289">
        <v>5.99</v>
      </c>
      <c r="BA12" s="256"/>
      <c r="BB12" s="256"/>
      <c r="BC12" s="254">
        <v>41412</v>
      </c>
      <c r="BD12" s="154"/>
    </row>
    <row r="13" spans="1:56" x14ac:dyDescent="0.25">
      <c r="A13" s="155" t="s">
        <v>653</v>
      </c>
      <c r="B13" s="156">
        <v>16</v>
      </c>
      <c r="C13" s="157">
        <f ca="1">A32-43400+6-112-110-112</f>
        <v>33</v>
      </c>
      <c r="D13" s="158" t="s">
        <v>183</v>
      </c>
      <c r="E13" s="159">
        <f t="shared" ref="E13:E17" ca="1" si="8">F13-TODAY()</f>
        <v>79</v>
      </c>
      <c r="F13" s="160">
        <v>43840</v>
      </c>
      <c r="G13" s="196" t="s">
        <v>419</v>
      </c>
      <c r="H13" s="191" t="s">
        <v>417</v>
      </c>
      <c r="I13" s="161" t="s">
        <v>407</v>
      </c>
      <c r="J13" s="156"/>
      <c r="K13" s="167">
        <v>1.99</v>
      </c>
      <c r="L13" s="156"/>
      <c r="M13" s="167">
        <v>4.99</v>
      </c>
      <c r="N13" s="163">
        <v>3</v>
      </c>
      <c r="O13" s="164">
        <v>3.99</v>
      </c>
      <c r="P13" s="192">
        <v>3</v>
      </c>
      <c r="Q13" s="193">
        <v>5.99</v>
      </c>
      <c r="R13" s="165">
        <v>3</v>
      </c>
      <c r="S13" s="166">
        <v>3.99</v>
      </c>
      <c r="T13" s="156"/>
      <c r="U13" s="167">
        <v>3.99</v>
      </c>
      <c r="V13" s="156"/>
      <c r="W13" s="156"/>
      <c r="X13" s="168">
        <f t="shared" ref="X13" si="9">7-(COUNTBLANK(J13)+COUNTBLANK(L13)+COUNTBLANK(N13)+COUNTBLANK(P13)+COUNTBLANK(R13)+COUNTBLANK(T13)+COUNTBLANK(V13))</f>
        <v>3</v>
      </c>
      <c r="Y13" s="161">
        <f t="shared" ref="Y13" si="10">COUNT(W13,S13,U13,Q13,O13,M13,K13)</f>
        <v>6</v>
      </c>
      <c r="Z13" s="161"/>
      <c r="AA13" s="161"/>
      <c r="AB13" s="161"/>
      <c r="AC13" s="169"/>
      <c r="AD13" s="169"/>
      <c r="AE13" s="169"/>
      <c r="AF13" s="169"/>
      <c r="AG13" s="169">
        <v>5</v>
      </c>
      <c r="AH13" s="169">
        <v>5.5</v>
      </c>
      <c r="AI13" s="169" t="s">
        <v>424</v>
      </c>
      <c r="AK13" s="261" t="s">
        <v>459</v>
      </c>
      <c r="AL13" s="255">
        <v>18</v>
      </c>
      <c r="AM13" s="262">
        <v>1781</v>
      </c>
      <c r="AN13" s="287"/>
      <c r="AO13" s="264"/>
      <c r="AP13" s="264"/>
      <c r="AQ13" s="269">
        <v>6</v>
      </c>
      <c r="AR13" s="270">
        <v>6.99</v>
      </c>
      <c r="AS13" s="266">
        <v>3</v>
      </c>
      <c r="AT13" s="266">
        <v>3.99</v>
      </c>
      <c r="AU13" s="269">
        <v>5</v>
      </c>
      <c r="AV13" s="272">
        <v>5.99</v>
      </c>
      <c r="AW13" s="265">
        <v>4</v>
      </c>
      <c r="AX13" s="274">
        <v>5.99</v>
      </c>
      <c r="AY13" s="264"/>
      <c r="AZ13" s="265">
        <v>3.99</v>
      </c>
      <c r="BA13" s="264"/>
      <c r="BB13" s="264"/>
      <c r="BC13" s="291"/>
      <c r="BD13" s="273"/>
    </row>
    <row r="14" spans="1:56" x14ac:dyDescent="0.25">
      <c r="A14" s="195" t="s">
        <v>937</v>
      </c>
      <c r="B14" s="156">
        <v>15</v>
      </c>
      <c r="C14" s="157">
        <f ca="1">-2679+A33</f>
        <v>84</v>
      </c>
      <c r="D14" s="158"/>
      <c r="E14" s="159">
        <f ca="1">F14-TODAY()</f>
        <v>140</v>
      </c>
      <c r="F14" s="160">
        <v>43901</v>
      </c>
      <c r="G14" s="196" t="s">
        <v>419</v>
      </c>
      <c r="H14" s="162" t="s">
        <v>408</v>
      </c>
      <c r="I14" s="161" t="s">
        <v>407</v>
      </c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63">
        <v>3</v>
      </c>
      <c r="U14" s="164">
        <v>3.99</v>
      </c>
      <c r="V14" s="171"/>
      <c r="W14" s="194">
        <v>6.99</v>
      </c>
      <c r="X14" s="168">
        <f>7-(COUNTBLANK(J14)+COUNTBLANK(L14)+COUNTBLANK(N14)+COUNTBLANK(P14)+COUNTBLANK(R14)+COUNTBLANK(T14)+COUNTBLANK(V14))</f>
        <v>1</v>
      </c>
      <c r="Y14" s="161">
        <f>COUNT(W14,S14,U14,Q14,O14,M14,K14)</f>
        <v>2</v>
      </c>
      <c r="Z14" s="172"/>
      <c r="AA14" s="172"/>
      <c r="AB14" s="172"/>
      <c r="AC14" s="169"/>
      <c r="AD14" s="169"/>
      <c r="AE14" s="169"/>
      <c r="AF14" s="169"/>
      <c r="AG14" s="169"/>
      <c r="AH14" s="169"/>
      <c r="AI14" s="169"/>
      <c r="AK14" s="261" t="s">
        <v>460</v>
      </c>
      <c r="AL14" s="255">
        <v>16</v>
      </c>
      <c r="AM14" s="262">
        <v>1807</v>
      </c>
      <c r="AN14" s="287" t="s">
        <v>450</v>
      </c>
      <c r="AO14" s="264"/>
      <c r="AP14" s="264"/>
      <c r="AQ14" s="275">
        <v>3</v>
      </c>
      <c r="AR14" s="266">
        <v>3.99</v>
      </c>
      <c r="AS14" s="269">
        <v>5</v>
      </c>
      <c r="AT14" s="272">
        <v>5.99</v>
      </c>
      <c r="AU14" s="266">
        <v>7</v>
      </c>
      <c r="AV14" s="267">
        <v>7</v>
      </c>
      <c r="AW14" s="264"/>
      <c r="AX14" s="265">
        <v>1.99</v>
      </c>
      <c r="AY14" s="269">
        <v>3</v>
      </c>
      <c r="AZ14" s="269">
        <v>3.99</v>
      </c>
      <c r="BA14" s="264"/>
      <c r="BB14" s="264"/>
      <c r="BC14" s="276"/>
      <c r="BD14" s="154"/>
    </row>
    <row r="15" spans="1:56" x14ac:dyDescent="0.25">
      <c r="A15" s="170" t="s">
        <v>427</v>
      </c>
      <c r="B15" s="156">
        <v>17</v>
      </c>
      <c r="C15" s="157">
        <f ca="1">A33-2100-6-93-112+2-62-112-112-112</f>
        <v>56</v>
      </c>
      <c r="D15" s="158" t="s">
        <v>0</v>
      </c>
      <c r="E15" s="159">
        <f t="shared" ca="1" si="8"/>
        <v>-56</v>
      </c>
      <c r="F15" s="160">
        <v>43705</v>
      </c>
      <c r="G15" s="215"/>
      <c r="H15" s="162" t="s">
        <v>410</v>
      </c>
      <c r="I15" s="161" t="s">
        <v>407</v>
      </c>
      <c r="J15" s="171"/>
      <c r="K15" s="171"/>
      <c r="L15" s="165">
        <v>3</v>
      </c>
      <c r="M15" s="166">
        <v>3.99</v>
      </c>
      <c r="N15" s="163">
        <v>4</v>
      </c>
      <c r="O15" s="164">
        <v>4.99</v>
      </c>
      <c r="P15" s="171"/>
      <c r="Q15" s="193">
        <v>5.99</v>
      </c>
      <c r="R15" s="165">
        <v>4</v>
      </c>
      <c r="S15" s="166">
        <v>4.99</v>
      </c>
      <c r="T15" s="171"/>
      <c r="U15" s="167">
        <v>3.99</v>
      </c>
      <c r="V15" s="171"/>
      <c r="W15" s="167">
        <v>3.99</v>
      </c>
      <c r="X15" s="168">
        <f>7-(COUNTBLANK(J15)+COUNTBLANK(L15)+COUNTBLANK(N15)+COUNTBLANK(P15)+COUNTBLANK(R15)+COUNTBLANK(T15)+COUNTBLANK(V15))</f>
        <v>3</v>
      </c>
      <c r="Y15" s="161">
        <f>COUNT(W15,S15,U15,Q15,O15,M15,K15)</f>
        <v>6</v>
      </c>
      <c r="Z15" s="172"/>
      <c r="AA15" s="172"/>
      <c r="AB15" s="172"/>
      <c r="AC15" s="169"/>
      <c r="AD15" s="169"/>
      <c r="AE15" s="169"/>
      <c r="AF15" s="169"/>
      <c r="AG15" s="169"/>
      <c r="AH15" s="169"/>
      <c r="AI15" s="169" t="s">
        <v>411</v>
      </c>
      <c r="AK15" s="261" t="s">
        <v>461</v>
      </c>
      <c r="AL15" s="255">
        <v>18</v>
      </c>
      <c r="AM15" s="262">
        <v>1778</v>
      </c>
      <c r="AN15" s="287" t="s">
        <v>396</v>
      </c>
      <c r="AO15" s="264"/>
      <c r="AP15" s="265">
        <v>1.99</v>
      </c>
      <c r="AQ15" s="266">
        <v>2</v>
      </c>
      <c r="AR15" s="266">
        <v>2.99</v>
      </c>
      <c r="AS15" s="266">
        <v>1</v>
      </c>
      <c r="AT15" s="266">
        <v>1.99</v>
      </c>
      <c r="AU15" s="264"/>
      <c r="AV15" s="265">
        <v>1.99</v>
      </c>
      <c r="AW15" s="264"/>
      <c r="AX15" s="274">
        <v>5.99</v>
      </c>
      <c r="AY15" s="266">
        <v>4</v>
      </c>
      <c r="AZ15" s="266">
        <v>4.99</v>
      </c>
      <c r="BA15" s="266">
        <v>5</v>
      </c>
      <c r="BB15" s="267">
        <v>5.99</v>
      </c>
      <c r="BC15" s="290"/>
      <c r="BD15" s="154"/>
    </row>
    <row r="16" spans="1:56" x14ac:dyDescent="0.25">
      <c r="A16" s="195" t="s">
        <v>428</v>
      </c>
      <c r="B16" s="171">
        <v>17</v>
      </c>
      <c r="C16" s="157">
        <f ca="1">A33-2100-5-93-112+6-36-112-112-12-112</f>
        <v>75</v>
      </c>
      <c r="D16" s="158"/>
      <c r="E16" s="159">
        <f t="shared" ca="1" si="8"/>
        <v>-75</v>
      </c>
      <c r="F16" s="160">
        <v>43686</v>
      </c>
      <c r="G16" s="161"/>
      <c r="H16" s="162" t="s">
        <v>408</v>
      </c>
      <c r="I16" s="161" t="s">
        <v>407</v>
      </c>
      <c r="J16" s="171"/>
      <c r="K16" s="171"/>
      <c r="L16" s="165">
        <v>4</v>
      </c>
      <c r="M16" s="166">
        <v>4.99</v>
      </c>
      <c r="N16" s="163">
        <v>2</v>
      </c>
      <c r="O16" s="164">
        <v>2.99</v>
      </c>
      <c r="P16" s="171"/>
      <c r="Q16" s="167">
        <v>3.99</v>
      </c>
      <c r="R16" s="171"/>
      <c r="S16" s="167">
        <v>2.99</v>
      </c>
      <c r="T16" s="171"/>
      <c r="U16" s="193">
        <v>5.99</v>
      </c>
      <c r="V16" s="171"/>
      <c r="W16" s="171"/>
      <c r="X16" s="168">
        <f>7-(COUNTBLANK(J16)+COUNTBLANK(L16)+COUNTBLANK(N16)+COUNTBLANK(P16)+COUNTBLANK(R16)+COUNTBLANK(T16)+COUNTBLANK(V16))</f>
        <v>2</v>
      </c>
      <c r="Y16" s="161">
        <f>COUNT(W16,S16,U16,Q16,O16,M16,K16)</f>
        <v>5</v>
      </c>
      <c r="Z16" s="172"/>
      <c r="AA16" s="172"/>
      <c r="AB16" s="172"/>
      <c r="AC16" s="169"/>
      <c r="AD16" s="169"/>
      <c r="AE16" s="169"/>
      <c r="AF16" s="169">
        <v>3.5</v>
      </c>
      <c r="AG16" s="169"/>
      <c r="AH16" s="169"/>
      <c r="AI16" s="169" t="s">
        <v>411</v>
      </c>
      <c r="AK16" s="261" t="s">
        <v>462</v>
      </c>
      <c r="AL16" s="255">
        <v>17</v>
      </c>
      <c r="AM16" s="262">
        <v>1683</v>
      </c>
      <c r="AN16" s="287"/>
      <c r="AO16" s="264"/>
      <c r="AP16" s="264"/>
      <c r="AQ16" s="269">
        <v>6</v>
      </c>
      <c r="AR16" s="270">
        <v>6.99</v>
      </c>
      <c r="AS16" s="266">
        <v>1</v>
      </c>
      <c r="AT16" s="266">
        <v>1.99</v>
      </c>
      <c r="AU16" s="266">
        <v>2</v>
      </c>
      <c r="AV16" s="266">
        <v>2.99</v>
      </c>
      <c r="AW16" s="265">
        <v>3</v>
      </c>
      <c r="AX16" s="265">
        <v>4.99</v>
      </c>
      <c r="AY16" s="264"/>
      <c r="AZ16" s="265">
        <v>2.99</v>
      </c>
      <c r="BA16" s="266">
        <v>4</v>
      </c>
      <c r="BB16" s="266">
        <v>4.99</v>
      </c>
      <c r="BC16" s="291"/>
      <c r="BD16" s="273"/>
    </row>
    <row r="17" spans="1:56" x14ac:dyDescent="0.25">
      <c r="A17" s="195" t="s">
        <v>429</v>
      </c>
      <c r="B17" s="156">
        <v>17</v>
      </c>
      <c r="C17" s="157">
        <f ca="1">A33-2100-6-116+4-112-112-6-112-112</f>
        <v>91</v>
      </c>
      <c r="D17" s="158"/>
      <c r="E17" s="159">
        <f t="shared" ca="1" si="8"/>
        <v>-91</v>
      </c>
      <c r="F17" s="160">
        <v>43670</v>
      </c>
      <c r="G17" s="196" t="s">
        <v>419</v>
      </c>
      <c r="H17" s="162" t="s">
        <v>408</v>
      </c>
      <c r="I17" s="161" t="s">
        <v>407</v>
      </c>
      <c r="J17" s="171"/>
      <c r="K17" s="167">
        <v>1.99</v>
      </c>
      <c r="L17" s="171"/>
      <c r="M17" s="167">
        <v>2.99</v>
      </c>
      <c r="N17" s="163">
        <v>4</v>
      </c>
      <c r="O17" s="164">
        <v>4.99</v>
      </c>
      <c r="P17" s="171"/>
      <c r="Q17" s="167">
        <v>4.99</v>
      </c>
      <c r="R17" s="192">
        <v>4</v>
      </c>
      <c r="S17" s="193">
        <v>5.99</v>
      </c>
      <c r="T17" s="165">
        <v>2</v>
      </c>
      <c r="U17" s="166">
        <v>2.99</v>
      </c>
      <c r="V17" s="171"/>
      <c r="W17" s="194">
        <v>6.99</v>
      </c>
      <c r="X17" s="168">
        <f>7-(COUNTBLANK(J17)+COUNTBLANK(L17)+COUNTBLANK(N17)+COUNTBLANK(P17)+COUNTBLANK(R17)+COUNTBLANK(T17)+COUNTBLANK(V17))</f>
        <v>3</v>
      </c>
      <c r="Y17" s="161">
        <f>COUNT(W17,S17,U17,Q17,O17,M17,K17)</f>
        <v>7</v>
      </c>
      <c r="Z17" s="172"/>
      <c r="AA17" s="172">
        <v>11</v>
      </c>
      <c r="AB17" s="172"/>
      <c r="AC17" s="169"/>
      <c r="AD17" s="169"/>
      <c r="AE17" s="169"/>
      <c r="AF17" s="169">
        <v>4.5</v>
      </c>
      <c r="AG17" s="169">
        <v>4.5</v>
      </c>
      <c r="AH17" s="169"/>
      <c r="AI17" s="169" t="s">
        <v>411</v>
      </c>
      <c r="AK17" s="261" t="s">
        <v>463</v>
      </c>
      <c r="AL17" s="255">
        <v>16</v>
      </c>
      <c r="AM17" s="262">
        <v>1772</v>
      </c>
      <c r="AN17" s="287"/>
      <c r="AO17" s="264"/>
      <c r="AP17" s="265">
        <v>1.99</v>
      </c>
      <c r="AQ17" s="275">
        <v>3</v>
      </c>
      <c r="AR17" s="266">
        <v>3.99</v>
      </c>
      <c r="AS17" s="269">
        <v>4</v>
      </c>
      <c r="AT17" s="269">
        <v>4.99</v>
      </c>
      <c r="AU17" s="266">
        <v>5</v>
      </c>
      <c r="AV17" s="267">
        <v>5.99</v>
      </c>
      <c r="AW17" s="264"/>
      <c r="AX17" s="265">
        <v>4.99</v>
      </c>
      <c r="AY17" s="266">
        <v>2</v>
      </c>
      <c r="AZ17" s="266">
        <v>2.99</v>
      </c>
      <c r="BA17" s="266">
        <v>4</v>
      </c>
      <c r="BB17" s="266">
        <v>4.99</v>
      </c>
      <c r="BC17" s="291"/>
      <c r="BD17" s="273"/>
    </row>
    <row r="18" spans="1:56" x14ac:dyDescent="0.25">
      <c r="A18" s="216" t="s">
        <v>413</v>
      </c>
      <c r="B18" s="216"/>
      <c r="C18" s="216"/>
      <c r="D18" s="217"/>
      <c r="E18" s="216"/>
      <c r="F18" s="218"/>
      <c r="G18" s="219"/>
      <c r="H18" s="218"/>
      <c r="I18" s="218"/>
      <c r="J18" s="220" t="s">
        <v>414</v>
      </c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18"/>
      <c r="Y18" s="218"/>
      <c r="Z18" s="218"/>
      <c r="AA18" s="218"/>
      <c r="AB18" s="218"/>
      <c r="AC18" s="221" t="s">
        <v>415</v>
      </c>
      <c r="AD18" s="221"/>
      <c r="AE18" s="221"/>
      <c r="AF18" s="221"/>
      <c r="AG18" s="221"/>
      <c r="AH18" s="221"/>
      <c r="AI18" s="222"/>
      <c r="AK18" s="261" t="s">
        <v>464</v>
      </c>
      <c r="AL18" s="255">
        <v>17</v>
      </c>
      <c r="AM18" s="262">
        <v>1733</v>
      </c>
      <c r="AN18" s="287" t="s">
        <v>465</v>
      </c>
      <c r="AO18" s="264"/>
      <c r="AP18" s="265">
        <v>1.99</v>
      </c>
      <c r="AQ18" s="269">
        <v>4</v>
      </c>
      <c r="AR18" s="269">
        <v>4.99</v>
      </c>
      <c r="AS18" s="269">
        <v>3</v>
      </c>
      <c r="AT18" s="269">
        <v>3.99</v>
      </c>
      <c r="AU18" s="269">
        <v>6</v>
      </c>
      <c r="AV18" s="270">
        <v>6.99</v>
      </c>
      <c r="AW18" s="264"/>
      <c r="AX18" s="265">
        <v>4.99</v>
      </c>
      <c r="AY18" s="264"/>
      <c r="AZ18" s="265">
        <v>2.99</v>
      </c>
      <c r="BA18" s="264"/>
      <c r="BB18" s="265">
        <v>4.99</v>
      </c>
      <c r="BC18" s="291"/>
      <c r="BD18" s="154"/>
    </row>
    <row r="19" spans="1:56" x14ac:dyDescent="0.25">
      <c r="A19" s="223" t="s">
        <v>2</v>
      </c>
      <c r="B19" s="223" t="s">
        <v>390</v>
      </c>
      <c r="C19" s="223" t="s">
        <v>4</v>
      </c>
      <c r="D19" s="224" t="s">
        <v>391</v>
      </c>
      <c r="E19" s="223" t="s">
        <v>392</v>
      </c>
      <c r="F19" s="224" t="str">
        <f>F11</f>
        <v>Promoción</v>
      </c>
      <c r="G19" s="225" t="str">
        <f>G11</f>
        <v>Gen</v>
      </c>
      <c r="H19" s="224" t="str">
        <f>H11</f>
        <v>u20</v>
      </c>
      <c r="I19" s="224" t="str">
        <f>I11</f>
        <v>Lid</v>
      </c>
      <c r="J19" s="223" t="s">
        <v>24</v>
      </c>
      <c r="K19" s="223" t="str">
        <f t="shared" ref="K19:Z19" si="11">K11</f>
        <v>Pot</v>
      </c>
      <c r="L19" s="226" t="str">
        <f t="shared" si="11"/>
        <v>DEF</v>
      </c>
      <c r="M19" s="226" t="str">
        <f t="shared" si="11"/>
        <v>Pot</v>
      </c>
      <c r="N19" s="223" t="str">
        <f t="shared" si="11"/>
        <v>JUG</v>
      </c>
      <c r="O19" s="223" t="str">
        <f t="shared" si="11"/>
        <v>Pot</v>
      </c>
      <c r="P19" s="226" t="str">
        <f t="shared" si="11"/>
        <v>LAT</v>
      </c>
      <c r="Q19" s="226" t="str">
        <f t="shared" si="11"/>
        <v>Pot</v>
      </c>
      <c r="R19" s="223" t="str">
        <f t="shared" si="11"/>
        <v>PAS</v>
      </c>
      <c r="S19" s="223" t="str">
        <f t="shared" si="11"/>
        <v>Pot</v>
      </c>
      <c r="T19" s="226" t="str">
        <f t="shared" si="11"/>
        <v>ANO</v>
      </c>
      <c r="U19" s="226" t="str">
        <f t="shared" si="11"/>
        <v>Pot</v>
      </c>
      <c r="V19" s="223" t="str">
        <f t="shared" si="11"/>
        <v>BP</v>
      </c>
      <c r="W19" s="223" t="str">
        <f t="shared" si="11"/>
        <v>Pot</v>
      </c>
      <c r="X19" s="227" t="str">
        <f t="shared" si="11"/>
        <v>HAB</v>
      </c>
      <c r="Y19" s="227" t="str">
        <f t="shared" si="11"/>
        <v>POT</v>
      </c>
      <c r="Z19" s="224" t="str">
        <f t="shared" si="11"/>
        <v>Cap</v>
      </c>
      <c r="AA19" s="224" t="s">
        <v>41</v>
      </c>
      <c r="AB19" s="224" t="str">
        <f t="shared" ref="AB19:AI19" si="12">AB11</f>
        <v>HTMS</v>
      </c>
      <c r="AC19" s="228" t="str">
        <f t="shared" si="12"/>
        <v>PR</v>
      </c>
      <c r="AD19" s="228" t="str">
        <f t="shared" si="12"/>
        <v>DL</v>
      </c>
      <c r="AE19" s="228" t="str">
        <f t="shared" si="12"/>
        <v>DC</v>
      </c>
      <c r="AF19" s="228" t="str">
        <f t="shared" si="12"/>
        <v>In</v>
      </c>
      <c r="AG19" s="228" t="str">
        <f t="shared" si="12"/>
        <v>ExO</v>
      </c>
      <c r="AH19" s="228" t="str">
        <f t="shared" si="12"/>
        <v>DV</v>
      </c>
      <c r="AI19" s="225" t="str">
        <f t="shared" si="12"/>
        <v>Atributs</v>
      </c>
      <c r="AK19" s="261" t="s">
        <v>466</v>
      </c>
      <c r="AL19" s="255">
        <v>17</v>
      </c>
      <c r="AM19" s="262">
        <v>1665</v>
      </c>
      <c r="AN19" s="287"/>
      <c r="AO19" s="269">
        <v>1</v>
      </c>
      <c r="AP19" s="269">
        <v>1.99</v>
      </c>
      <c r="AQ19" s="269">
        <v>2</v>
      </c>
      <c r="AR19" s="269">
        <v>2.99</v>
      </c>
      <c r="AS19" s="266">
        <v>5</v>
      </c>
      <c r="AT19" s="267">
        <v>5.99</v>
      </c>
      <c r="AU19" s="266">
        <v>3</v>
      </c>
      <c r="AV19" s="266">
        <v>3.99</v>
      </c>
      <c r="AW19" s="264"/>
      <c r="AX19" s="265">
        <v>4.99</v>
      </c>
      <c r="AY19" s="266">
        <v>2</v>
      </c>
      <c r="AZ19" s="266">
        <v>2.99</v>
      </c>
      <c r="BA19" s="264"/>
      <c r="BB19" s="265">
        <v>2.99</v>
      </c>
      <c r="BC19" s="291"/>
      <c r="BD19" s="154"/>
    </row>
    <row r="20" spans="1:56" x14ac:dyDescent="0.25">
      <c r="A20" s="170"/>
      <c r="B20" s="171">
        <v>17</v>
      </c>
      <c r="C20" s="190">
        <f ca="1">A33-2100-6-93+31-112-29-112-112-87-112</f>
        <v>31</v>
      </c>
      <c r="D20" s="158"/>
      <c r="E20" s="159">
        <f t="shared" ref="E20" ca="1" si="13">F20-TODAY()</f>
        <v>-43761</v>
      </c>
      <c r="F20" s="160"/>
      <c r="G20" s="191"/>
      <c r="H20" s="161" t="s">
        <v>417</v>
      </c>
      <c r="I20" s="161" t="s">
        <v>407</v>
      </c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68">
        <f>7-(COUNTBLANK(J20)+COUNTBLANK(L20)+COUNTBLANK(N20)+COUNTBLANK(P20)+COUNTBLANK(R20)+COUNTBLANK(T20)+COUNTBLANK(V20))</f>
        <v>0</v>
      </c>
      <c r="Y20" s="161">
        <f>COUNT(W20,S20,U20,Q20,O20,M20,K20)</f>
        <v>0</v>
      </c>
      <c r="Z20" s="172"/>
      <c r="AA20" s="172"/>
      <c r="AB20" s="172"/>
      <c r="AC20" s="169"/>
      <c r="AD20" s="169"/>
      <c r="AE20" s="169"/>
      <c r="AF20" s="169"/>
      <c r="AG20" s="169"/>
      <c r="AH20" s="169"/>
      <c r="AI20" s="169"/>
      <c r="AK20" s="261" t="s">
        <v>467</v>
      </c>
      <c r="AL20" s="255">
        <v>17</v>
      </c>
      <c r="AM20" s="262">
        <v>1585</v>
      </c>
      <c r="AN20" s="287" t="s">
        <v>454</v>
      </c>
      <c r="AO20" s="276"/>
      <c r="AP20" s="276"/>
      <c r="AQ20" s="266">
        <v>4</v>
      </c>
      <c r="AR20" s="266">
        <v>4.99</v>
      </c>
      <c r="AS20" s="276"/>
      <c r="AT20" s="265">
        <v>2.99</v>
      </c>
      <c r="AU20" s="269">
        <v>5</v>
      </c>
      <c r="AV20" s="272">
        <v>5.99</v>
      </c>
      <c r="AW20" s="276"/>
      <c r="AX20" s="265">
        <v>1.99</v>
      </c>
      <c r="AY20" s="276"/>
      <c r="AZ20" s="265">
        <v>3.99</v>
      </c>
      <c r="BA20" s="276"/>
      <c r="BB20" s="265">
        <v>2.99</v>
      </c>
      <c r="BC20" s="276"/>
      <c r="BD20" s="154"/>
    </row>
    <row r="21" spans="1:56" x14ac:dyDescent="0.25">
      <c r="A21" s="230" t="s">
        <v>956</v>
      </c>
      <c r="B21" s="156">
        <v>16</v>
      </c>
      <c r="C21" s="231">
        <f ca="1">A33-2700</f>
        <v>63</v>
      </c>
      <c r="D21" s="158"/>
      <c r="E21" s="159">
        <f ca="1">F21-TODAY()</f>
        <v>94</v>
      </c>
      <c r="F21" s="160">
        <v>43855</v>
      </c>
      <c r="G21" s="191"/>
      <c r="H21" s="161" t="s">
        <v>417</v>
      </c>
      <c r="I21" s="161" t="s">
        <v>407</v>
      </c>
      <c r="J21" s="156"/>
      <c r="K21" s="156"/>
      <c r="L21" s="156"/>
      <c r="M21" s="156"/>
      <c r="N21" s="156"/>
      <c r="O21" s="156"/>
      <c r="P21" s="192">
        <v>1</v>
      </c>
      <c r="Q21" s="156"/>
      <c r="R21" s="156"/>
      <c r="S21" s="156"/>
      <c r="T21" s="156"/>
      <c r="U21" s="193">
        <v>5.99</v>
      </c>
      <c r="V21" s="156"/>
      <c r="W21" s="156"/>
      <c r="X21" s="168">
        <f>7-(COUNTBLANK(J21)+COUNTBLANK(L21)+COUNTBLANK(N21)+COUNTBLANK(P21)+COUNTBLANK(R21)+COUNTBLANK(T21)+COUNTBLANK(V21))</f>
        <v>1</v>
      </c>
      <c r="Y21" s="161">
        <f>COUNT(W21,S21,U21,Q21,O21,M21,K21)</f>
        <v>1</v>
      </c>
      <c r="Z21" s="161"/>
      <c r="AA21" s="161"/>
      <c r="AB21" s="161"/>
      <c r="AC21" s="169"/>
      <c r="AD21" s="169"/>
      <c r="AE21" s="169"/>
      <c r="AF21" s="169"/>
      <c r="AG21" s="169"/>
      <c r="AH21" s="169"/>
      <c r="AI21" s="169"/>
      <c r="AK21" s="261" t="s">
        <v>468</v>
      </c>
      <c r="AL21" s="255">
        <v>16</v>
      </c>
      <c r="AM21" s="262">
        <v>1687</v>
      </c>
      <c r="AN21" s="287" t="s">
        <v>457</v>
      </c>
      <c r="AO21" s="276"/>
      <c r="AP21" s="265">
        <v>1.99</v>
      </c>
      <c r="AQ21" s="269">
        <v>5</v>
      </c>
      <c r="AR21" s="272">
        <v>5.99</v>
      </c>
      <c r="AS21" s="266">
        <v>5</v>
      </c>
      <c r="AT21" s="267">
        <v>5.99</v>
      </c>
      <c r="AU21" s="276"/>
      <c r="AV21" s="265">
        <v>3.99</v>
      </c>
      <c r="AW21" s="276"/>
      <c r="AX21" s="265">
        <v>4.99</v>
      </c>
      <c r="AY21" s="266">
        <v>2</v>
      </c>
      <c r="AZ21" s="266">
        <v>2.99</v>
      </c>
      <c r="BA21" s="276"/>
      <c r="BB21" s="265">
        <v>4.99</v>
      </c>
      <c r="BC21" s="276"/>
      <c r="BD21" s="154"/>
    </row>
    <row r="22" spans="1:56" x14ac:dyDescent="0.25">
      <c r="A22" s="230" t="s">
        <v>716</v>
      </c>
      <c r="B22" s="156">
        <v>16</v>
      </c>
      <c r="C22" s="157">
        <f ca="1">A33-2679</f>
        <v>84</v>
      </c>
      <c r="D22" s="158"/>
      <c r="E22" s="159">
        <f ca="1">F22-TODAY()</f>
        <v>59</v>
      </c>
      <c r="F22" s="160">
        <v>43820</v>
      </c>
      <c r="G22" s="161"/>
      <c r="H22" s="191" t="s">
        <v>417</v>
      </c>
      <c r="I22" s="161" t="s">
        <v>407</v>
      </c>
      <c r="J22" s="156"/>
      <c r="K22" s="156"/>
      <c r="L22" s="192">
        <v>4</v>
      </c>
      <c r="M22" s="156"/>
      <c r="N22" s="156"/>
      <c r="O22" s="156"/>
      <c r="P22" s="156"/>
      <c r="Q22" s="156"/>
      <c r="R22" s="156"/>
      <c r="S22" s="167">
        <v>3.99</v>
      </c>
      <c r="T22" s="156"/>
      <c r="U22" s="156"/>
      <c r="V22" s="156"/>
      <c r="W22" s="156"/>
      <c r="X22" s="168">
        <f>7-(COUNTBLANK(J22)+COUNTBLANK(L22)+COUNTBLANK(N22)+COUNTBLANK(P22)+COUNTBLANK(R22)+COUNTBLANK(T22)+COUNTBLANK(V22))</f>
        <v>1</v>
      </c>
      <c r="Y22" s="161">
        <f>COUNT(W22,S22,U22,Q22,O22,M22,K22)</f>
        <v>1</v>
      </c>
      <c r="Z22" s="161"/>
      <c r="AA22" s="161"/>
      <c r="AB22" s="161"/>
      <c r="AC22" s="169"/>
      <c r="AD22" s="169"/>
      <c r="AE22" s="169"/>
      <c r="AF22" s="169"/>
      <c r="AG22" s="169"/>
      <c r="AH22" s="169"/>
      <c r="AI22" s="169" t="s">
        <v>424</v>
      </c>
      <c r="AK22" s="261" t="s">
        <v>472</v>
      </c>
      <c r="AL22" s="255">
        <v>16</v>
      </c>
      <c r="AM22" s="262">
        <v>1596</v>
      </c>
      <c r="AN22" s="287"/>
      <c r="AO22" s="276"/>
      <c r="AP22" s="276"/>
      <c r="AQ22" s="269">
        <v>1</v>
      </c>
      <c r="AR22" s="269">
        <v>1.99</v>
      </c>
      <c r="AS22" s="266">
        <v>6</v>
      </c>
      <c r="AT22" s="267">
        <v>6.99</v>
      </c>
      <c r="AU22" s="266">
        <v>3</v>
      </c>
      <c r="AV22" s="266">
        <v>3.99</v>
      </c>
      <c r="AW22" s="266">
        <v>3</v>
      </c>
      <c r="AX22" s="266">
        <v>3.99</v>
      </c>
      <c r="AY22" s="266">
        <v>4</v>
      </c>
      <c r="AZ22" s="266">
        <v>4.99</v>
      </c>
      <c r="BA22" s="276"/>
      <c r="BB22" s="265">
        <v>4.99</v>
      </c>
      <c r="BC22" s="276"/>
      <c r="BD22" s="154"/>
    </row>
    <row r="23" spans="1:56" x14ac:dyDescent="0.25">
      <c r="A23" s="155" t="s">
        <v>420</v>
      </c>
      <c r="B23" s="156">
        <v>16</v>
      </c>
      <c r="C23" s="157">
        <f ca="1">A33-2100-6-116+4-112-112-113-112</f>
        <v>96</v>
      </c>
      <c r="D23" s="158" t="s">
        <v>421</v>
      </c>
      <c r="E23" s="159">
        <f ca="1">F23-TODAY()</f>
        <v>16</v>
      </c>
      <c r="F23" s="160">
        <v>43777</v>
      </c>
      <c r="G23" s="191"/>
      <c r="H23" s="197" t="s">
        <v>422</v>
      </c>
      <c r="I23" s="161" t="s">
        <v>407</v>
      </c>
      <c r="J23" s="156"/>
      <c r="K23" s="156"/>
      <c r="L23" s="192">
        <v>3</v>
      </c>
      <c r="M23" s="156"/>
      <c r="N23" s="156"/>
      <c r="O23" s="167">
        <v>2.99</v>
      </c>
      <c r="P23" s="156"/>
      <c r="Q23" s="167">
        <v>4.99</v>
      </c>
      <c r="R23" s="156"/>
      <c r="S23" s="167">
        <v>4.99</v>
      </c>
      <c r="T23" s="165">
        <v>2</v>
      </c>
      <c r="U23" s="166">
        <v>2.99</v>
      </c>
      <c r="V23" s="156"/>
      <c r="W23" s="156"/>
      <c r="X23" s="168">
        <f>7-(COUNTBLANK(J23)+COUNTBLANK(L23)+COUNTBLANK(N23)+COUNTBLANK(P23)+COUNTBLANK(R23)+COUNTBLANK(T23)+COUNTBLANK(V23))</f>
        <v>2</v>
      </c>
      <c r="Y23" s="161">
        <f>COUNT(W23,S23,U23,Q23,O23,M23,K23)</f>
        <v>4</v>
      </c>
      <c r="Z23" s="161"/>
      <c r="AA23" s="161"/>
      <c r="AB23" s="161"/>
      <c r="AC23" s="169"/>
      <c r="AD23" s="169"/>
      <c r="AE23" s="169"/>
      <c r="AF23" s="169"/>
      <c r="AG23" s="169">
        <v>4.5</v>
      </c>
      <c r="AH23" s="169"/>
      <c r="AI23" s="169" t="s">
        <v>411</v>
      </c>
      <c r="AK23" s="261" t="s">
        <v>469</v>
      </c>
      <c r="AL23" s="255">
        <v>18</v>
      </c>
      <c r="AM23" s="262">
        <v>1648</v>
      </c>
      <c r="AN23" s="287" t="s">
        <v>450</v>
      </c>
      <c r="AO23" s="276"/>
      <c r="AP23" s="265">
        <v>2.99</v>
      </c>
      <c r="AQ23" s="269">
        <v>4</v>
      </c>
      <c r="AR23" s="269">
        <v>4.99</v>
      </c>
      <c r="AS23" s="265">
        <v>3</v>
      </c>
      <c r="AT23" s="265">
        <v>4.99</v>
      </c>
      <c r="AU23" s="266">
        <v>1</v>
      </c>
      <c r="AV23" s="266">
        <v>1.99</v>
      </c>
      <c r="AW23" s="276"/>
      <c r="AX23" s="265">
        <v>1.99</v>
      </c>
      <c r="AY23" s="276"/>
      <c r="AZ23" s="265">
        <v>4.99</v>
      </c>
      <c r="BA23" s="266">
        <v>4</v>
      </c>
      <c r="BB23" s="266">
        <v>4.99</v>
      </c>
      <c r="BC23" s="276"/>
      <c r="BD23" s="154"/>
    </row>
    <row r="24" spans="1:56" x14ac:dyDescent="0.25">
      <c r="A24" s="230" t="s">
        <v>430</v>
      </c>
      <c r="B24" s="156">
        <v>18</v>
      </c>
      <c r="C24" s="157">
        <f ca="1">A33-2150+2-112+7-112-78-112-112</f>
        <v>96</v>
      </c>
      <c r="D24" s="158" t="s">
        <v>94</v>
      </c>
      <c r="E24" s="159">
        <f t="shared" ref="E24:E28" ca="1" si="14">F24-TODAY()</f>
        <v>0</v>
      </c>
      <c r="F24" s="160">
        <f ca="1">TODAY()</f>
        <v>43761</v>
      </c>
      <c r="G24" s="196" t="s">
        <v>419</v>
      </c>
      <c r="H24" s="191" t="s">
        <v>417</v>
      </c>
      <c r="I24" s="161" t="s">
        <v>407</v>
      </c>
      <c r="J24" s="156"/>
      <c r="K24" s="167">
        <v>1.99</v>
      </c>
      <c r="L24" s="156"/>
      <c r="M24" s="167">
        <v>3.99</v>
      </c>
      <c r="N24" s="165">
        <v>2</v>
      </c>
      <c r="O24" s="166">
        <v>2.99</v>
      </c>
      <c r="P24" s="192">
        <v>4</v>
      </c>
      <c r="Q24" s="194">
        <v>6.99</v>
      </c>
      <c r="R24" s="163">
        <v>4</v>
      </c>
      <c r="S24" s="164">
        <v>4.99</v>
      </c>
      <c r="T24" s="156"/>
      <c r="U24" s="167">
        <v>3.99</v>
      </c>
      <c r="V24" s="156"/>
      <c r="W24" s="193">
        <v>5.99</v>
      </c>
      <c r="X24" s="168">
        <f t="shared" ref="X24:X28" si="15">7-(COUNTBLANK(J24)+COUNTBLANK(L24)+COUNTBLANK(N24)+COUNTBLANK(P24)+COUNTBLANK(R24)+COUNTBLANK(T24)+COUNTBLANK(V24))</f>
        <v>3</v>
      </c>
      <c r="Y24" s="161">
        <f t="shared" ref="Y24:Y28" si="16">COUNT(W24,S24,U24,Q24,O24,M24,K24)</f>
        <v>7</v>
      </c>
      <c r="Z24" s="161"/>
      <c r="AA24" s="161"/>
      <c r="AB24" s="161"/>
      <c r="AC24" s="169"/>
      <c r="AD24" s="169">
        <v>3.5</v>
      </c>
      <c r="AE24" s="169"/>
      <c r="AF24" s="169"/>
      <c r="AG24" s="169"/>
      <c r="AH24" s="169"/>
      <c r="AI24" s="169" t="s">
        <v>411</v>
      </c>
      <c r="AK24" s="261" t="s">
        <v>470</v>
      </c>
      <c r="AL24" s="255">
        <v>19</v>
      </c>
      <c r="AM24" s="262">
        <v>1525</v>
      </c>
      <c r="AN24" s="287"/>
      <c r="AO24" s="264"/>
      <c r="AP24" s="265">
        <v>0.99</v>
      </c>
      <c r="AQ24" s="266">
        <v>4</v>
      </c>
      <c r="AR24" s="266">
        <v>4.99</v>
      </c>
      <c r="AS24" s="264"/>
      <c r="AT24" s="265">
        <v>2.99</v>
      </c>
      <c r="AU24" s="269">
        <v>4</v>
      </c>
      <c r="AV24" s="269">
        <v>4.99</v>
      </c>
      <c r="AW24" s="264"/>
      <c r="AX24" s="265">
        <v>2.99</v>
      </c>
      <c r="AY24" s="264"/>
      <c r="AZ24" s="265">
        <v>4.99</v>
      </c>
      <c r="BA24" s="266">
        <v>4</v>
      </c>
      <c r="BB24" s="266">
        <v>4.99</v>
      </c>
      <c r="BC24" s="276"/>
      <c r="BD24" s="154"/>
    </row>
    <row r="25" spans="1:56" x14ac:dyDescent="0.25">
      <c r="A25" s="195" t="s">
        <v>431</v>
      </c>
      <c r="B25" s="156">
        <v>18</v>
      </c>
      <c r="C25" s="157">
        <f ca="1">A33-2150+2-112+7-112-72-112-112</f>
        <v>102</v>
      </c>
      <c r="D25" s="158"/>
      <c r="E25" s="159">
        <f t="shared" ca="1" si="14"/>
        <v>0</v>
      </c>
      <c r="F25" s="160">
        <f ca="1">TODAY()</f>
        <v>43761</v>
      </c>
      <c r="G25" s="215" t="s">
        <v>432</v>
      </c>
      <c r="H25" s="191" t="s">
        <v>417</v>
      </c>
      <c r="I25" s="161" t="s">
        <v>407</v>
      </c>
      <c r="J25" s="156"/>
      <c r="K25" s="167">
        <v>1.99</v>
      </c>
      <c r="L25" s="165">
        <v>2</v>
      </c>
      <c r="M25" s="166">
        <v>2.99</v>
      </c>
      <c r="N25" s="163">
        <v>3</v>
      </c>
      <c r="O25" s="164">
        <v>3.99</v>
      </c>
      <c r="P25" s="165">
        <v>4</v>
      </c>
      <c r="Q25" s="166">
        <v>4.99</v>
      </c>
      <c r="R25" s="171"/>
      <c r="S25" s="194">
        <v>6.99</v>
      </c>
      <c r="T25" s="165">
        <v>2</v>
      </c>
      <c r="U25" s="166">
        <v>2.99</v>
      </c>
      <c r="V25" s="156"/>
      <c r="W25" s="156"/>
      <c r="X25" s="168">
        <f t="shared" si="15"/>
        <v>4</v>
      </c>
      <c r="Y25" s="161">
        <f t="shared" si="16"/>
        <v>6</v>
      </c>
      <c r="Z25" s="161"/>
      <c r="AA25" s="161"/>
      <c r="AB25" s="161"/>
      <c r="AC25" s="169"/>
      <c r="AD25" s="169">
        <v>2</v>
      </c>
      <c r="AE25" s="169">
        <v>3</v>
      </c>
      <c r="AF25" s="169">
        <v>5</v>
      </c>
      <c r="AG25" s="169">
        <v>5.5</v>
      </c>
      <c r="AH25" s="169">
        <v>4.5</v>
      </c>
      <c r="AI25" s="169" t="s">
        <v>424</v>
      </c>
      <c r="AK25" s="261" t="s">
        <v>471</v>
      </c>
      <c r="AL25" s="255">
        <v>16</v>
      </c>
      <c r="AM25" s="262">
        <v>-624</v>
      </c>
      <c r="AN25" s="287"/>
      <c r="AO25" s="276"/>
      <c r="AP25" s="276"/>
      <c r="AQ25" s="266">
        <v>2</v>
      </c>
      <c r="AR25" s="266">
        <v>2.99</v>
      </c>
      <c r="AS25" s="266">
        <v>5</v>
      </c>
      <c r="AT25" s="267">
        <v>5.99</v>
      </c>
      <c r="AU25" s="269">
        <v>6</v>
      </c>
      <c r="AV25" s="270">
        <v>6.99</v>
      </c>
      <c r="AW25" s="269">
        <v>4</v>
      </c>
      <c r="AX25" s="269">
        <v>4.99</v>
      </c>
      <c r="AY25" s="266">
        <v>4</v>
      </c>
      <c r="AZ25" s="266">
        <v>4.99</v>
      </c>
      <c r="BA25" s="266">
        <v>3</v>
      </c>
      <c r="BB25" s="266">
        <v>3.99</v>
      </c>
      <c r="BC25" s="276"/>
      <c r="BD25" s="154"/>
    </row>
    <row r="26" spans="1:56" x14ac:dyDescent="0.25">
      <c r="A26" s="195" t="s">
        <v>433</v>
      </c>
      <c r="B26" s="156">
        <v>17</v>
      </c>
      <c r="C26" s="157">
        <f ca="1">88+A33-2516-112-112</f>
        <v>111</v>
      </c>
      <c r="D26" s="158"/>
      <c r="E26" s="159">
        <v>0</v>
      </c>
      <c r="F26" s="160">
        <v>43650</v>
      </c>
      <c r="G26" s="196" t="s">
        <v>419</v>
      </c>
      <c r="H26" s="162" t="s">
        <v>408</v>
      </c>
      <c r="I26" s="161" t="s">
        <v>407</v>
      </c>
      <c r="J26" s="192">
        <v>3</v>
      </c>
      <c r="K26" s="167">
        <v>4.99</v>
      </c>
      <c r="L26" s="192">
        <v>3</v>
      </c>
      <c r="M26" s="167">
        <v>4.99</v>
      </c>
      <c r="N26" s="171"/>
      <c r="O26" s="167">
        <v>0.99</v>
      </c>
      <c r="P26" s="171"/>
      <c r="Q26" s="167">
        <v>1.99</v>
      </c>
      <c r="R26" s="171"/>
      <c r="S26" s="167">
        <v>1.99</v>
      </c>
      <c r="T26" s="165">
        <v>0</v>
      </c>
      <c r="U26" s="166">
        <v>0.99</v>
      </c>
      <c r="V26" s="171"/>
      <c r="W26" s="167">
        <v>1.99</v>
      </c>
      <c r="X26" s="168">
        <f t="shared" si="15"/>
        <v>3</v>
      </c>
      <c r="Y26" s="161">
        <f t="shared" si="16"/>
        <v>7</v>
      </c>
      <c r="Z26" s="172">
        <v>1</v>
      </c>
      <c r="AA26" s="172"/>
      <c r="AB26" s="172"/>
      <c r="AC26" s="169">
        <v>4</v>
      </c>
      <c r="AD26" s="169"/>
      <c r="AE26" s="169"/>
      <c r="AF26" s="169"/>
      <c r="AG26" s="169"/>
      <c r="AH26" s="169">
        <v>6.5</v>
      </c>
      <c r="AI26" s="169" t="s">
        <v>411</v>
      </c>
      <c r="AK26" s="261" t="s">
        <v>473</v>
      </c>
      <c r="AL26" s="255">
        <v>16</v>
      </c>
      <c r="AM26" s="262">
        <v>1566</v>
      </c>
      <c r="AN26" s="287" t="s">
        <v>450</v>
      </c>
      <c r="AO26" s="276"/>
      <c r="AP26" s="276"/>
      <c r="AQ26" s="265">
        <v>2</v>
      </c>
      <c r="AR26" s="276"/>
      <c r="AS26" s="269">
        <v>4</v>
      </c>
      <c r="AT26" s="269">
        <v>4.99</v>
      </c>
      <c r="AU26" s="266">
        <v>4</v>
      </c>
      <c r="AV26" s="266">
        <v>4.99</v>
      </c>
      <c r="AW26" s="269">
        <v>6</v>
      </c>
      <c r="AX26" s="270">
        <v>6.99</v>
      </c>
      <c r="AY26" s="266">
        <v>4</v>
      </c>
      <c r="AZ26" s="266">
        <v>4.99</v>
      </c>
      <c r="BA26" s="276"/>
      <c r="BB26" s="265">
        <v>3.99</v>
      </c>
      <c r="BC26" s="276"/>
      <c r="BD26" s="154"/>
    </row>
    <row r="27" spans="1:56" x14ac:dyDescent="0.25">
      <c r="A27" s="195" t="s">
        <v>434</v>
      </c>
      <c r="B27" s="171">
        <v>18</v>
      </c>
      <c r="C27" s="157">
        <f ca="1">A32-43400+6-112-112-112</f>
        <v>31</v>
      </c>
      <c r="D27" s="158"/>
      <c r="E27" s="159">
        <f t="shared" ca="1" si="14"/>
        <v>0</v>
      </c>
      <c r="F27" s="160">
        <f ca="1">TODAY()</f>
        <v>43761</v>
      </c>
      <c r="G27" s="191" t="s">
        <v>419</v>
      </c>
      <c r="H27" s="161" t="s">
        <v>417</v>
      </c>
      <c r="I27" s="161" t="s">
        <v>407</v>
      </c>
      <c r="J27" s="171"/>
      <c r="K27" s="167">
        <v>1.99</v>
      </c>
      <c r="L27" s="165">
        <v>2</v>
      </c>
      <c r="M27" s="166">
        <v>2.99</v>
      </c>
      <c r="N27" s="171"/>
      <c r="O27" s="167">
        <v>4.99</v>
      </c>
      <c r="P27" s="165">
        <v>4</v>
      </c>
      <c r="Q27" s="166">
        <v>4.99</v>
      </c>
      <c r="R27" s="171"/>
      <c r="S27" s="167">
        <v>4.99</v>
      </c>
      <c r="T27" s="171"/>
      <c r="U27" s="167">
        <v>3.99</v>
      </c>
      <c r="V27" s="171"/>
      <c r="W27" s="171"/>
      <c r="X27" s="168">
        <f t="shared" si="15"/>
        <v>2</v>
      </c>
      <c r="Y27" s="161">
        <f t="shared" si="16"/>
        <v>6</v>
      </c>
      <c r="Z27" s="172"/>
      <c r="AA27" s="172"/>
      <c r="AB27" s="172"/>
      <c r="AC27" s="169"/>
      <c r="AD27" s="169"/>
      <c r="AE27" s="169">
        <v>3</v>
      </c>
      <c r="AF27" s="169">
        <v>4.5</v>
      </c>
      <c r="AG27" s="169">
        <v>4.5</v>
      </c>
      <c r="AH27" s="169">
        <v>5</v>
      </c>
      <c r="AI27" s="169" t="s">
        <v>424</v>
      </c>
      <c r="AK27" s="261" t="s">
        <v>474</v>
      </c>
      <c r="AL27" s="255">
        <v>19</v>
      </c>
      <c r="AM27" s="262">
        <v>1449</v>
      </c>
      <c r="AN27" s="287" t="s">
        <v>457</v>
      </c>
      <c r="AO27" s="264"/>
      <c r="AP27" s="265">
        <v>1.99</v>
      </c>
      <c r="AQ27" s="266">
        <v>4</v>
      </c>
      <c r="AR27" s="266">
        <v>4.99</v>
      </c>
      <c r="AS27" s="266">
        <v>2</v>
      </c>
      <c r="AT27" s="266">
        <v>2.99</v>
      </c>
      <c r="AU27" s="266">
        <v>4</v>
      </c>
      <c r="AV27" s="266">
        <v>4.99</v>
      </c>
      <c r="AW27" s="269">
        <v>3</v>
      </c>
      <c r="AX27" s="269">
        <v>3.99</v>
      </c>
      <c r="AY27" s="265">
        <v>5</v>
      </c>
      <c r="AZ27" s="277">
        <v>6.99</v>
      </c>
      <c r="BA27" s="275">
        <v>0</v>
      </c>
      <c r="BB27" s="266">
        <v>0.99</v>
      </c>
      <c r="BC27" s="290"/>
      <c r="BD27" s="154"/>
    </row>
    <row r="28" spans="1:56" x14ac:dyDescent="0.25">
      <c r="A28" s="195" t="s">
        <v>435</v>
      </c>
      <c r="B28" s="171">
        <v>18</v>
      </c>
      <c r="C28" s="157">
        <f ca="1">A33-2100-6-93-112+6-36-112-112-112</f>
        <v>86</v>
      </c>
      <c r="D28" s="158"/>
      <c r="E28" s="159">
        <f t="shared" ca="1" si="14"/>
        <v>0</v>
      </c>
      <c r="F28" s="160">
        <f ca="1">TODAY()</f>
        <v>43761</v>
      </c>
      <c r="G28" s="191" t="s">
        <v>436</v>
      </c>
      <c r="H28" s="161" t="s">
        <v>417</v>
      </c>
      <c r="I28" s="161" t="s">
        <v>407</v>
      </c>
      <c r="J28" s="171"/>
      <c r="K28" s="171"/>
      <c r="L28" s="171"/>
      <c r="M28" s="167">
        <v>2.99</v>
      </c>
      <c r="N28" s="171"/>
      <c r="O28" s="167">
        <v>3.99</v>
      </c>
      <c r="P28" s="163">
        <v>4</v>
      </c>
      <c r="Q28" s="164">
        <v>4.99</v>
      </c>
      <c r="R28" s="165">
        <v>2</v>
      </c>
      <c r="S28" s="166">
        <v>2.99</v>
      </c>
      <c r="T28" s="171"/>
      <c r="U28" s="167">
        <v>2.99</v>
      </c>
      <c r="V28" s="171"/>
      <c r="W28" s="171"/>
      <c r="X28" s="168">
        <f t="shared" si="15"/>
        <v>2</v>
      </c>
      <c r="Y28" s="161">
        <f t="shared" si="16"/>
        <v>5</v>
      </c>
      <c r="Z28" s="172"/>
      <c r="AA28" s="172"/>
      <c r="AB28" s="172"/>
      <c r="AC28" s="169">
        <v>1</v>
      </c>
      <c r="AD28" s="169"/>
      <c r="AE28" s="169">
        <v>3.5</v>
      </c>
      <c r="AF28" s="169">
        <v>4</v>
      </c>
      <c r="AG28" s="169">
        <v>4</v>
      </c>
      <c r="AH28" s="169"/>
      <c r="AI28" s="169" t="s">
        <v>411</v>
      </c>
      <c r="AK28" s="261" t="s">
        <v>475</v>
      </c>
      <c r="AL28" s="255">
        <v>16</v>
      </c>
      <c r="AM28" s="262">
        <v>1524</v>
      </c>
      <c r="AN28" s="287"/>
      <c r="AO28" s="264"/>
      <c r="AP28" s="265">
        <v>1.99</v>
      </c>
      <c r="AQ28" s="264"/>
      <c r="AR28" s="265">
        <v>2.99</v>
      </c>
      <c r="AS28" s="266">
        <v>4</v>
      </c>
      <c r="AT28" s="266">
        <v>4.99</v>
      </c>
      <c r="AU28" s="266">
        <v>1</v>
      </c>
      <c r="AV28" s="266">
        <v>1.99</v>
      </c>
      <c r="AW28" s="269">
        <v>6</v>
      </c>
      <c r="AX28" s="270">
        <v>6.99</v>
      </c>
      <c r="AY28" s="266">
        <v>3</v>
      </c>
      <c r="AZ28" s="266">
        <v>3.99</v>
      </c>
      <c r="BA28" s="264"/>
      <c r="BB28" s="264"/>
      <c r="BC28" s="290"/>
      <c r="BD28" s="154"/>
    </row>
    <row r="29" spans="1:56" x14ac:dyDescent="0.25">
      <c r="A29" s="156"/>
      <c r="B29" s="156"/>
      <c r="C29" s="156"/>
      <c r="D29" s="232"/>
      <c r="E29" s="156"/>
      <c r="F29" s="232"/>
      <c r="G29" s="233"/>
      <c r="H29" s="232"/>
      <c r="I29" s="232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232"/>
      <c r="Y29" s="232"/>
      <c r="Z29" s="232"/>
      <c r="AA29" s="232"/>
      <c r="AB29" s="232"/>
      <c r="AC29" s="234"/>
      <c r="AD29" s="234"/>
      <c r="AE29" s="234"/>
      <c r="AF29" s="234"/>
      <c r="AG29" s="234"/>
      <c r="AH29" s="234"/>
      <c r="AI29" s="233"/>
      <c r="AK29" s="261" t="s">
        <v>476</v>
      </c>
      <c r="AL29" s="255">
        <v>18</v>
      </c>
      <c r="AM29" s="262">
        <v>1507</v>
      </c>
      <c r="AN29" s="287" t="s">
        <v>396</v>
      </c>
      <c r="AO29" s="278"/>
      <c r="AP29" s="265">
        <v>1.99</v>
      </c>
      <c r="AQ29" s="278"/>
      <c r="AR29" s="265">
        <v>1.99</v>
      </c>
      <c r="AS29" s="265">
        <v>5</v>
      </c>
      <c r="AT29" s="277">
        <v>6.99</v>
      </c>
      <c r="AU29" s="266">
        <v>2</v>
      </c>
      <c r="AV29" s="266">
        <v>2.99</v>
      </c>
      <c r="AW29" s="266">
        <v>2</v>
      </c>
      <c r="AX29" s="266">
        <v>2.99</v>
      </c>
      <c r="AY29" s="266">
        <v>4</v>
      </c>
      <c r="AZ29" s="266">
        <v>4.99</v>
      </c>
      <c r="BA29" s="266">
        <v>4</v>
      </c>
      <c r="BB29" s="266">
        <v>4.99</v>
      </c>
      <c r="BC29" s="292"/>
      <c r="BD29" s="279"/>
    </row>
    <row r="30" spans="1:56" x14ac:dyDescent="0.25">
      <c r="A30" s="171"/>
      <c r="B30" s="171"/>
      <c r="C30" s="190"/>
      <c r="D30" s="172"/>
      <c r="E30" s="171"/>
      <c r="F30" s="172"/>
      <c r="G30" s="196"/>
      <c r="H30" s="172"/>
      <c r="I30" s="172"/>
      <c r="J30" s="154"/>
      <c r="K30" s="154"/>
      <c r="L30" s="154"/>
      <c r="M30" s="154"/>
      <c r="N30" s="154"/>
      <c r="O30" s="154"/>
      <c r="P30" s="171"/>
      <c r="Q30" s="171"/>
      <c r="R30" s="171"/>
      <c r="S30" s="171"/>
      <c r="T30" s="171"/>
      <c r="U30" s="171"/>
      <c r="V30" s="171"/>
      <c r="W30" s="171"/>
      <c r="X30" s="172"/>
      <c r="Y30" s="172"/>
      <c r="Z30" s="172"/>
      <c r="AA30" s="172"/>
      <c r="AB30" s="172"/>
      <c r="AC30" s="229"/>
      <c r="AD30" s="229"/>
      <c r="AE30" s="229"/>
      <c r="AF30" s="229"/>
      <c r="AG30" s="235"/>
      <c r="AH30" s="235"/>
      <c r="AI30" s="236"/>
      <c r="AK30" s="261" t="s">
        <v>477</v>
      </c>
      <c r="AL30" s="255">
        <v>19</v>
      </c>
      <c r="AM30" s="262">
        <v>1392</v>
      </c>
      <c r="AN30" s="287" t="s">
        <v>478</v>
      </c>
      <c r="AO30" s="276"/>
      <c r="AP30" s="265">
        <v>1.99</v>
      </c>
      <c r="AQ30" s="265">
        <v>4</v>
      </c>
      <c r="AR30" s="274">
        <v>5.99</v>
      </c>
      <c r="AS30" s="269">
        <v>4</v>
      </c>
      <c r="AT30" s="269">
        <v>4.99</v>
      </c>
      <c r="AU30" s="266">
        <v>1</v>
      </c>
      <c r="AV30" s="266">
        <v>1.99</v>
      </c>
      <c r="AW30" s="266">
        <v>5</v>
      </c>
      <c r="AX30" s="266">
        <v>5.99</v>
      </c>
      <c r="AY30" s="266">
        <v>2</v>
      </c>
      <c r="AZ30" s="266">
        <v>2.99</v>
      </c>
      <c r="BA30" s="276"/>
      <c r="BB30" s="276"/>
      <c r="BC30" s="276"/>
      <c r="BD30" s="154"/>
    </row>
    <row r="31" spans="1:56" x14ac:dyDescent="0.25">
      <c r="A31" s="237" t="s">
        <v>437</v>
      </c>
      <c r="B31" s="171"/>
      <c r="C31" s="171"/>
      <c r="D31" s="172"/>
      <c r="E31" s="171"/>
      <c r="F31" s="172"/>
      <c r="G31" s="526"/>
      <c r="H31" s="526"/>
      <c r="I31" s="526"/>
      <c r="J31" s="526"/>
      <c r="K31" s="526"/>
      <c r="L31" s="526"/>
      <c r="M31" s="526"/>
      <c r="N31" s="526"/>
      <c r="O31" s="154"/>
      <c r="P31" s="156"/>
      <c r="Q31" s="156"/>
      <c r="R31" s="171"/>
      <c r="S31" s="171"/>
      <c r="T31" s="171"/>
      <c r="U31" s="171"/>
      <c r="V31" s="171"/>
      <c r="W31" s="171"/>
      <c r="X31" s="172"/>
      <c r="Y31" s="172"/>
      <c r="Z31" s="172"/>
      <c r="AA31" s="172"/>
      <c r="AB31" s="172"/>
      <c r="AC31" s="229"/>
      <c r="AD31" s="229"/>
      <c r="AE31" s="238"/>
      <c r="AF31" s="238"/>
      <c r="AG31" s="229"/>
      <c r="AH31" s="229"/>
      <c r="AI31" s="196"/>
      <c r="AK31" s="261" t="s">
        <v>479</v>
      </c>
      <c r="AL31" s="255">
        <v>18</v>
      </c>
      <c r="AM31" s="262">
        <v>1470</v>
      </c>
      <c r="AN31" s="287"/>
      <c r="AO31" s="276"/>
      <c r="AP31" s="265">
        <v>1.99</v>
      </c>
      <c r="AQ31" s="266">
        <v>3</v>
      </c>
      <c r="AR31" s="266">
        <v>3.99</v>
      </c>
      <c r="AS31" s="266">
        <v>3</v>
      </c>
      <c r="AT31" s="266">
        <v>3.99</v>
      </c>
      <c r="AU31" s="269">
        <v>6</v>
      </c>
      <c r="AV31" s="270">
        <v>6.99</v>
      </c>
      <c r="AW31" s="266">
        <v>2</v>
      </c>
      <c r="AX31" s="266">
        <v>2.99</v>
      </c>
      <c r="AY31" s="266">
        <v>4</v>
      </c>
      <c r="AZ31" s="266">
        <v>4.99</v>
      </c>
      <c r="BA31" s="276"/>
      <c r="BB31" s="265">
        <v>3.99</v>
      </c>
      <c r="BC31" s="280" t="s">
        <v>480</v>
      </c>
    </row>
    <row r="32" spans="1:56" x14ac:dyDescent="0.25">
      <c r="A32" s="239">
        <f ca="1">TODAY()</f>
        <v>43761</v>
      </c>
      <c r="B32" s="171"/>
      <c r="C32" s="171"/>
      <c r="D32" s="240"/>
      <c r="E32" s="171"/>
      <c r="F32" s="241"/>
      <c r="G32" s="242"/>
      <c r="H32" s="241"/>
      <c r="I32" s="241"/>
      <c r="J32" s="171"/>
      <c r="K32" s="171"/>
      <c r="L32" s="171"/>
      <c r="M32" s="171"/>
      <c r="N32" s="171"/>
      <c r="O32" s="171"/>
      <c r="P32" s="156"/>
      <c r="Q32" s="156"/>
      <c r="R32" s="171"/>
      <c r="S32" s="171"/>
      <c r="T32" s="171"/>
      <c r="U32" s="171"/>
      <c r="V32" s="241"/>
      <c r="W32" s="241"/>
      <c r="X32" s="241"/>
      <c r="Y32" s="241"/>
      <c r="Z32" s="241"/>
      <c r="AA32" s="241"/>
      <c r="AB32" s="241"/>
      <c r="AC32" s="229"/>
      <c r="AD32" s="229"/>
      <c r="AE32" s="229"/>
      <c r="AF32" s="229"/>
      <c r="AG32" s="229"/>
      <c r="AH32" s="229"/>
      <c r="AI32" s="196"/>
      <c r="AK32" s="261" t="s">
        <v>481</v>
      </c>
      <c r="AL32" s="255">
        <v>17</v>
      </c>
      <c r="AM32" s="262">
        <v>1357</v>
      </c>
      <c r="AN32" s="287" t="s">
        <v>454</v>
      </c>
      <c r="AO32" s="276"/>
      <c r="AP32" s="276"/>
      <c r="AQ32" s="276"/>
      <c r="AR32" s="265">
        <v>2.99</v>
      </c>
      <c r="AS32" s="269">
        <v>5</v>
      </c>
      <c r="AT32" s="272">
        <v>5.99</v>
      </c>
      <c r="AU32" s="269">
        <v>6</v>
      </c>
      <c r="AV32" s="270">
        <v>6.99</v>
      </c>
      <c r="AW32" s="266">
        <v>3</v>
      </c>
      <c r="AX32" s="266">
        <v>3.99</v>
      </c>
      <c r="AY32" s="266">
        <v>3</v>
      </c>
      <c r="AZ32" s="266">
        <v>3.99</v>
      </c>
      <c r="BA32" s="276"/>
      <c r="BB32" s="265">
        <v>2.99</v>
      </c>
      <c r="BC32" s="280">
        <v>42287</v>
      </c>
    </row>
    <row r="33" spans="1:55" x14ac:dyDescent="0.25">
      <c r="A33" s="190">
        <f ca="1">411+A36</f>
        <v>2763</v>
      </c>
      <c r="B33" s="171"/>
      <c r="C33" s="171"/>
      <c r="D33" s="172"/>
      <c r="E33" s="171"/>
      <c r="F33" s="241"/>
      <c r="G33" s="242"/>
      <c r="H33" s="241"/>
      <c r="I33" s="241"/>
      <c r="J33" s="171"/>
      <c r="K33" s="171"/>
      <c r="L33" s="171"/>
      <c r="M33" s="171"/>
      <c r="N33" s="171"/>
      <c r="O33" s="171"/>
      <c r="P33" s="156"/>
      <c r="Q33" s="156"/>
      <c r="R33" s="171"/>
      <c r="S33" s="171"/>
      <c r="T33" s="171"/>
      <c r="U33" s="171"/>
      <c r="V33" s="171"/>
      <c r="W33" s="241"/>
      <c r="X33" s="241"/>
      <c r="Y33" s="241"/>
      <c r="Z33" s="241"/>
      <c r="AA33" s="241"/>
      <c r="AB33" s="241"/>
      <c r="AC33" s="243"/>
      <c r="AD33" s="243"/>
      <c r="AE33" s="229"/>
      <c r="AF33" s="229"/>
      <c r="AG33" s="229"/>
      <c r="AH33" s="229"/>
      <c r="AI33" s="196"/>
      <c r="AK33" s="261" t="s">
        <v>482</v>
      </c>
      <c r="AL33" s="255">
        <v>17</v>
      </c>
      <c r="AM33" s="262">
        <v>1358</v>
      </c>
      <c r="AN33" s="287" t="s">
        <v>457</v>
      </c>
      <c r="AO33" s="276"/>
      <c r="AP33" s="276"/>
      <c r="AQ33" s="269">
        <v>4</v>
      </c>
      <c r="AR33" s="269">
        <v>4.99</v>
      </c>
      <c r="AS33" s="269">
        <v>5</v>
      </c>
      <c r="AT33" s="272">
        <v>5.99</v>
      </c>
      <c r="AU33" s="266">
        <v>2</v>
      </c>
      <c r="AV33" s="266">
        <v>2.99</v>
      </c>
      <c r="AW33" s="266">
        <v>3</v>
      </c>
      <c r="AX33" s="266">
        <v>3.99</v>
      </c>
      <c r="AY33" s="266">
        <v>3</v>
      </c>
      <c r="AZ33" s="266">
        <v>3.99</v>
      </c>
      <c r="BA33" s="266">
        <v>3</v>
      </c>
      <c r="BB33" s="266">
        <v>3.99</v>
      </c>
      <c r="BC33" s="280" t="s">
        <v>480</v>
      </c>
    </row>
    <row r="34" spans="1:55" x14ac:dyDescent="0.25">
      <c r="A34" s="171"/>
      <c r="B34" s="171"/>
      <c r="C34" s="171"/>
      <c r="D34" s="172"/>
      <c r="E34" s="171"/>
      <c r="F34" s="172"/>
      <c r="G34" s="196"/>
      <c r="H34" s="172"/>
      <c r="I34" s="172"/>
      <c r="J34" s="171"/>
      <c r="K34" s="171"/>
      <c r="L34" s="171"/>
      <c r="M34" s="171"/>
      <c r="N34" s="171"/>
      <c r="O34" s="171"/>
      <c r="P34" s="156"/>
      <c r="Q34" s="156"/>
      <c r="R34" s="171"/>
      <c r="S34" s="171"/>
      <c r="T34" s="156"/>
      <c r="U34" s="171"/>
      <c r="V34" s="171"/>
      <c r="W34" s="171"/>
      <c r="X34" s="172"/>
      <c r="Y34" s="172"/>
      <c r="Z34" s="172"/>
      <c r="AA34" s="172"/>
      <c r="AB34" s="172"/>
      <c r="AC34" s="229"/>
      <c r="AD34" s="229"/>
      <c r="AE34" s="234"/>
      <c r="AF34" s="234"/>
      <c r="AG34" s="229"/>
      <c r="AH34" s="229"/>
      <c r="AI34" s="196"/>
      <c r="AK34" s="261" t="s">
        <v>483</v>
      </c>
      <c r="AL34" s="255">
        <v>17</v>
      </c>
      <c r="AM34" s="262">
        <v>1417</v>
      </c>
      <c r="AN34" s="287" t="s">
        <v>465</v>
      </c>
      <c r="AO34" s="264"/>
      <c r="AP34" s="264"/>
      <c r="AQ34" s="264"/>
      <c r="AR34" s="265">
        <v>2.99</v>
      </c>
      <c r="AS34" s="269">
        <v>5</v>
      </c>
      <c r="AT34" s="272">
        <v>5.99</v>
      </c>
      <c r="AU34" s="266">
        <v>3</v>
      </c>
      <c r="AV34" s="266">
        <v>3.99</v>
      </c>
      <c r="AW34" s="266">
        <v>3</v>
      </c>
      <c r="AX34" s="266">
        <v>3.99</v>
      </c>
      <c r="AY34" s="264"/>
      <c r="AZ34" s="265">
        <v>4.99</v>
      </c>
      <c r="BA34" s="264"/>
      <c r="BB34" s="265">
        <v>3.99</v>
      </c>
      <c r="BC34" s="280" t="s">
        <v>480</v>
      </c>
    </row>
    <row r="35" spans="1:55" x14ac:dyDescent="0.25">
      <c r="A35" s="244">
        <v>41409</v>
      </c>
      <c r="B35" s="171"/>
      <c r="C35" s="171"/>
      <c r="D35" s="172"/>
      <c r="E35" s="171"/>
      <c r="F35" s="172"/>
      <c r="G35" s="196"/>
      <c r="H35" s="172"/>
      <c r="I35" s="172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2"/>
      <c r="Y35" s="172"/>
      <c r="Z35" s="172"/>
      <c r="AA35" s="172"/>
      <c r="AB35" s="172"/>
      <c r="AC35" s="229"/>
      <c r="AD35" s="229"/>
      <c r="AE35" s="229"/>
      <c r="AF35" s="229"/>
      <c r="AG35" s="229"/>
      <c r="AH35" s="229"/>
      <c r="AI35" s="196"/>
      <c r="AK35" s="261" t="s">
        <v>484</v>
      </c>
      <c r="AL35" s="255">
        <v>17</v>
      </c>
      <c r="AM35" s="262">
        <v>1296</v>
      </c>
      <c r="AN35" s="287"/>
      <c r="AO35" s="276"/>
      <c r="AP35" s="265">
        <v>1.99</v>
      </c>
      <c r="AQ35" s="276"/>
      <c r="AR35" s="265">
        <v>2.99</v>
      </c>
      <c r="AS35" s="266">
        <v>6</v>
      </c>
      <c r="AT35" s="267">
        <v>6.99</v>
      </c>
      <c r="AU35" s="266">
        <v>3</v>
      </c>
      <c r="AV35" s="266">
        <v>3.99</v>
      </c>
      <c r="AW35" s="269">
        <v>5</v>
      </c>
      <c r="AX35" s="272">
        <v>5.99</v>
      </c>
      <c r="AY35" s="266">
        <v>4</v>
      </c>
      <c r="AZ35" s="266">
        <v>4.99</v>
      </c>
      <c r="BA35" s="266">
        <v>1</v>
      </c>
      <c r="BB35" s="266">
        <v>1.99</v>
      </c>
      <c r="BC35" s="280">
        <v>42348</v>
      </c>
    </row>
    <row r="36" spans="1:55" x14ac:dyDescent="0.25">
      <c r="A36" s="245">
        <f ca="1">A32-A35</f>
        <v>2352</v>
      </c>
      <c r="B36" s="171"/>
      <c r="C36" s="190"/>
      <c r="D36" s="172"/>
      <c r="E36" s="171"/>
      <c r="F36" s="246"/>
      <c r="G36" s="196"/>
      <c r="H36" s="172"/>
      <c r="I36" s="172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2"/>
      <c r="Y36" s="172"/>
      <c r="Z36" s="172"/>
      <c r="AA36" s="172"/>
      <c r="AB36" s="172"/>
      <c r="AC36" s="229"/>
      <c r="AD36" s="229"/>
      <c r="AE36" s="229"/>
      <c r="AF36" s="229"/>
      <c r="AG36" s="229"/>
      <c r="AH36" s="229"/>
      <c r="AI36" s="196"/>
      <c r="AK36" s="261" t="s">
        <v>485</v>
      </c>
      <c r="AL36" s="255">
        <v>17</v>
      </c>
      <c r="AM36" s="262">
        <v>1312</v>
      </c>
      <c r="AN36" s="287" t="s">
        <v>478</v>
      </c>
      <c r="AO36" s="276"/>
      <c r="AP36" s="265">
        <v>1.99</v>
      </c>
      <c r="AQ36" s="269">
        <v>2</v>
      </c>
      <c r="AR36" s="269">
        <v>2.99</v>
      </c>
      <c r="AS36" s="269">
        <v>6</v>
      </c>
      <c r="AT36" s="270">
        <v>6.99</v>
      </c>
      <c r="AU36" s="276"/>
      <c r="AV36" s="276">
        <v>2.99</v>
      </c>
      <c r="AW36" s="265">
        <v>3</v>
      </c>
      <c r="AX36" s="276">
        <v>3.99</v>
      </c>
      <c r="AY36" s="266">
        <v>4</v>
      </c>
      <c r="AZ36" s="266">
        <v>4.99</v>
      </c>
      <c r="BA36" s="276"/>
      <c r="BB36" s="276"/>
      <c r="BC36" s="280">
        <v>42358</v>
      </c>
    </row>
    <row r="37" spans="1:55" x14ac:dyDescent="0.25">
      <c r="A37" s="171"/>
      <c r="B37" s="171"/>
      <c r="C37" s="171"/>
      <c r="D37" s="172"/>
      <c r="E37" s="171"/>
      <c r="F37" s="172"/>
      <c r="G37" s="196"/>
      <c r="H37" s="172"/>
      <c r="I37" s="172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2"/>
      <c r="Y37" s="172"/>
      <c r="Z37" s="172"/>
      <c r="AA37" s="172"/>
      <c r="AB37" s="172"/>
      <c r="AC37" s="229"/>
      <c r="AD37" s="229"/>
      <c r="AE37" s="229"/>
      <c r="AF37" s="229"/>
      <c r="AG37" s="229"/>
      <c r="AH37" s="229"/>
      <c r="AI37" s="196"/>
      <c r="AK37" s="261" t="s">
        <v>486</v>
      </c>
      <c r="AL37" s="255">
        <v>17</v>
      </c>
      <c r="AM37" s="262">
        <v>1277</v>
      </c>
      <c r="AN37" s="287"/>
      <c r="AO37" s="276"/>
      <c r="AP37" s="276"/>
      <c r="AQ37" s="276"/>
      <c r="AR37" s="265">
        <v>2.99</v>
      </c>
      <c r="AS37" s="269">
        <v>5</v>
      </c>
      <c r="AT37" s="272">
        <v>5.99</v>
      </c>
      <c r="AU37" s="276"/>
      <c r="AV37" s="265">
        <v>3.99</v>
      </c>
      <c r="AW37" s="269">
        <v>5</v>
      </c>
      <c r="AX37" s="272">
        <v>5.99</v>
      </c>
      <c r="AY37" s="269">
        <v>5</v>
      </c>
      <c r="AZ37" s="272">
        <v>5.99</v>
      </c>
      <c r="BA37" s="276"/>
      <c r="BB37" s="276"/>
      <c r="BC37" s="280">
        <v>42369</v>
      </c>
    </row>
    <row r="38" spans="1:55" x14ac:dyDescent="0.25">
      <c r="A38" s="171"/>
      <c r="B38" s="171"/>
      <c r="C38" s="171"/>
      <c r="D38" s="172"/>
      <c r="E38" s="171"/>
      <c r="F38" s="172"/>
      <c r="G38" s="196"/>
      <c r="H38" s="172"/>
      <c r="I38" s="172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2"/>
      <c r="Y38" s="172"/>
      <c r="Z38" s="172"/>
      <c r="AA38" s="172"/>
      <c r="AB38" s="172"/>
      <c r="AC38" s="229"/>
      <c r="AD38" s="229"/>
      <c r="AE38" s="229"/>
      <c r="AF38" s="229"/>
      <c r="AG38" s="229"/>
      <c r="AH38" s="229"/>
      <c r="AI38" s="196"/>
      <c r="AK38" s="261" t="s">
        <v>487</v>
      </c>
      <c r="AL38" s="255">
        <v>18</v>
      </c>
      <c r="AM38" s="262">
        <v>1366</v>
      </c>
      <c r="AN38" s="287"/>
      <c r="AO38" s="264"/>
      <c r="AP38" s="265">
        <v>0.99</v>
      </c>
      <c r="AQ38" s="265">
        <v>4</v>
      </c>
      <c r="AR38" s="277">
        <v>6.99</v>
      </c>
      <c r="AS38" s="269">
        <v>5</v>
      </c>
      <c r="AT38" s="272">
        <v>5.99</v>
      </c>
      <c r="AU38" s="264"/>
      <c r="AV38" s="265">
        <v>3.99</v>
      </c>
      <c r="AW38" s="266">
        <v>3</v>
      </c>
      <c r="AX38" s="266">
        <v>3.99</v>
      </c>
      <c r="AY38" s="266">
        <v>6</v>
      </c>
      <c r="AZ38" s="267">
        <v>6.99</v>
      </c>
      <c r="BA38" s="264"/>
      <c r="BB38" s="265">
        <v>4.99</v>
      </c>
      <c r="BC38" s="280" t="s">
        <v>480</v>
      </c>
    </row>
    <row r="39" spans="1:55" x14ac:dyDescent="0.25">
      <c r="A39" s="171"/>
      <c r="B39" s="171"/>
      <c r="C39" s="171"/>
      <c r="D39" s="172"/>
      <c r="E39" s="171"/>
      <c r="F39" s="172"/>
      <c r="G39" s="196"/>
      <c r="H39" s="172"/>
      <c r="I39" s="172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2"/>
      <c r="Y39" s="172"/>
      <c r="Z39" s="172"/>
      <c r="AA39" s="172"/>
      <c r="AB39" s="172"/>
      <c r="AC39" s="229"/>
      <c r="AD39" s="229"/>
      <c r="AE39" s="229"/>
      <c r="AF39" s="229"/>
      <c r="AG39" s="229"/>
      <c r="AH39" s="229"/>
      <c r="AI39" s="196"/>
      <c r="AK39" s="261" t="s">
        <v>488</v>
      </c>
      <c r="AL39" s="255">
        <v>17</v>
      </c>
      <c r="AM39" s="262">
        <v>1283</v>
      </c>
      <c r="AN39" s="287"/>
      <c r="AO39" s="276"/>
      <c r="AP39" s="265">
        <v>1.99</v>
      </c>
      <c r="AQ39" s="269">
        <v>4</v>
      </c>
      <c r="AR39" s="269">
        <v>4.99</v>
      </c>
      <c r="AS39" s="266">
        <v>2</v>
      </c>
      <c r="AT39" s="266">
        <v>2.99</v>
      </c>
      <c r="AU39" s="266">
        <v>3</v>
      </c>
      <c r="AV39" s="266">
        <v>3.99</v>
      </c>
      <c r="AW39" s="269">
        <v>6</v>
      </c>
      <c r="AX39" s="270">
        <v>6.99</v>
      </c>
      <c r="AY39" s="266">
        <v>3</v>
      </c>
      <c r="AZ39" s="266">
        <v>3.99</v>
      </c>
      <c r="BA39" s="276"/>
      <c r="BB39" s="265">
        <v>2.99</v>
      </c>
      <c r="BC39" s="280">
        <v>42361</v>
      </c>
    </row>
    <row r="40" spans="1:55" x14ac:dyDescent="0.25">
      <c r="AK40" s="261" t="s">
        <v>489</v>
      </c>
      <c r="AL40" s="255">
        <v>16</v>
      </c>
      <c r="AM40" s="262">
        <v>1347</v>
      </c>
      <c r="AN40" s="287"/>
      <c r="AO40" s="276"/>
      <c r="AP40" s="276"/>
      <c r="AQ40" s="265">
        <v>4</v>
      </c>
      <c r="AR40" s="274">
        <v>5.99</v>
      </c>
      <c r="AS40" s="269">
        <v>2</v>
      </c>
      <c r="AT40" s="269">
        <v>2.99</v>
      </c>
      <c r="AU40" s="266">
        <v>4</v>
      </c>
      <c r="AV40" s="266">
        <v>4.99</v>
      </c>
      <c r="AW40" s="269">
        <v>6</v>
      </c>
      <c r="AX40" s="270">
        <v>6.99</v>
      </c>
      <c r="AY40" s="266">
        <v>4</v>
      </c>
      <c r="AZ40" s="266">
        <v>4.99</v>
      </c>
      <c r="BA40" s="276"/>
      <c r="BB40" s="276"/>
      <c r="BC40" s="280">
        <v>42409</v>
      </c>
    </row>
    <row r="41" spans="1:55" x14ac:dyDescent="0.25">
      <c r="AK41" s="261" t="s">
        <v>490</v>
      </c>
      <c r="AL41" s="255">
        <v>17</v>
      </c>
      <c r="AM41" s="262">
        <v>1269</v>
      </c>
      <c r="AN41" s="287" t="s">
        <v>457</v>
      </c>
      <c r="AO41" s="264"/>
      <c r="AP41" s="265">
        <v>1.99</v>
      </c>
      <c r="AQ41" s="269">
        <v>5</v>
      </c>
      <c r="AR41" s="272">
        <v>5.99</v>
      </c>
      <c r="AS41" s="266">
        <v>5</v>
      </c>
      <c r="AT41" s="267">
        <v>5.99</v>
      </c>
      <c r="AU41" s="269">
        <v>3</v>
      </c>
      <c r="AV41" s="269">
        <v>3.99</v>
      </c>
      <c r="AW41" s="266">
        <v>2</v>
      </c>
      <c r="AX41" s="266">
        <v>2.99</v>
      </c>
      <c r="AY41" s="266">
        <v>2</v>
      </c>
      <c r="AZ41" s="266">
        <v>2.99</v>
      </c>
      <c r="BA41" s="264"/>
      <c r="BB41" s="264"/>
      <c r="BC41" s="280">
        <v>42375</v>
      </c>
    </row>
    <row r="42" spans="1:55" x14ac:dyDescent="0.25">
      <c r="AK42" s="261" t="s">
        <v>491</v>
      </c>
      <c r="AL42" s="255">
        <v>17</v>
      </c>
      <c r="AM42" s="262">
        <v>1213</v>
      </c>
      <c r="AN42" s="287" t="s">
        <v>457</v>
      </c>
      <c r="AO42" s="276"/>
      <c r="AP42" s="276"/>
      <c r="AQ42" s="276"/>
      <c r="AR42" s="265">
        <v>2.99</v>
      </c>
      <c r="AS42" s="269">
        <v>5</v>
      </c>
      <c r="AT42" s="272">
        <v>5.99</v>
      </c>
      <c r="AU42" s="276"/>
      <c r="AV42" s="265">
        <v>2.99</v>
      </c>
      <c r="AW42" s="269">
        <v>3</v>
      </c>
      <c r="AX42" s="276">
        <v>3.99</v>
      </c>
      <c r="AY42" s="269">
        <v>6</v>
      </c>
      <c r="AZ42" s="270">
        <v>6.99</v>
      </c>
      <c r="BA42" s="266">
        <v>2</v>
      </c>
      <c r="BB42" s="266">
        <v>2.99</v>
      </c>
      <c r="BC42" s="280">
        <v>42431</v>
      </c>
    </row>
    <row r="43" spans="1:55" x14ac:dyDescent="0.25">
      <c r="AK43" s="261" t="s">
        <v>492</v>
      </c>
      <c r="AL43" s="255">
        <v>17</v>
      </c>
      <c r="AM43" s="262">
        <v>1214</v>
      </c>
      <c r="AN43" s="287"/>
      <c r="AO43" s="276"/>
      <c r="AP43" s="265">
        <v>1.99</v>
      </c>
      <c r="AQ43" s="269">
        <v>4</v>
      </c>
      <c r="AR43" s="269">
        <v>4.99</v>
      </c>
      <c r="AS43" s="266">
        <v>5</v>
      </c>
      <c r="AT43" s="267">
        <v>5.99</v>
      </c>
      <c r="AU43" s="276"/>
      <c r="AV43" s="265">
        <v>4.99</v>
      </c>
      <c r="AW43" s="269">
        <v>5</v>
      </c>
      <c r="AX43" s="272">
        <v>5.99</v>
      </c>
      <c r="AY43" s="266">
        <v>3</v>
      </c>
      <c r="AZ43" s="266">
        <v>3.99</v>
      </c>
      <c r="BA43" s="266">
        <v>2</v>
      </c>
      <c r="BB43" s="266">
        <v>2.99</v>
      </c>
      <c r="BC43" s="280">
        <v>42430</v>
      </c>
    </row>
    <row r="44" spans="1:55" x14ac:dyDescent="0.25">
      <c r="AK44" s="261" t="s">
        <v>493</v>
      </c>
      <c r="AL44" s="255">
        <v>17</v>
      </c>
      <c r="AM44" s="262">
        <v>1221</v>
      </c>
      <c r="AN44" s="287"/>
      <c r="AO44" s="276"/>
      <c r="AP44" s="276"/>
      <c r="AQ44" s="266">
        <v>3</v>
      </c>
      <c r="AR44" s="266">
        <v>3.99</v>
      </c>
      <c r="AS44" s="269">
        <v>4</v>
      </c>
      <c r="AT44" s="269">
        <v>4.99</v>
      </c>
      <c r="AU44" s="269">
        <v>4</v>
      </c>
      <c r="AV44" s="269">
        <v>4.99</v>
      </c>
      <c r="AW44" s="276"/>
      <c r="AX44" s="265">
        <v>4.99</v>
      </c>
      <c r="AY44" s="269">
        <v>5</v>
      </c>
      <c r="AZ44" s="272">
        <v>5.99</v>
      </c>
      <c r="BA44" s="266">
        <v>1</v>
      </c>
      <c r="BB44" s="266">
        <v>1.99</v>
      </c>
      <c r="BC44" s="280">
        <v>42516</v>
      </c>
    </row>
    <row r="45" spans="1:55" x14ac:dyDescent="0.25">
      <c r="AK45" s="261" t="s">
        <v>494</v>
      </c>
      <c r="AL45" s="255">
        <v>16</v>
      </c>
      <c r="AM45" s="262">
        <v>1228</v>
      </c>
      <c r="AN45" s="287" t="s">
        <v>454</v>
      </c>
      <c r="AO45" s="276"/>
      <c r="AP45" s="265">
        <v>1.99</v>
      </c>
      <c r="AQ45" s="269">
        <v>5</v>
      </c>
      <c r="AR45" s="272">
        <v>5.99</v>
      </c>
      <c r="AS45" s="269">
        <v>5</v>
      </c>
      <c r="AT45" s="272">
        <v>5.99</v>
      </c>
      <c r="AU45" s="269">
        <v>3</v>
      </c>
      <c r="AV45" s="269">
        <v>3.99</v>
      </c>
      <c r="AW45" s="269">
        <v>3</v>
      </c>
      <c r="AX45" s="269">
        <v>3.99</v>
      </c>
      <c r="AY45" s="266">
        <v>1</v>
      </c>
      <c r="AZ45" s="266">
        <v>1.99</v>
      </c>
      <c r="BA45" s="276"/>
      <c r="BB45" s="276"/>
      <c r="BC45" s="280">
        <v>42528</v>
      </c>
    </row>
    <row r="46" spans="1:55" x14ac:dyDescent="0.25">
      <c r="AK46" s="261" t="s">
        <v>495</v>
      </c>
      <c r="AL46" s="255">
        <v>18</v>
      </c>
      <c r="AM46" s="262">
        <v>1205</v>
      </c>
      <c r="AN46" s="287"/>
      <c r="AO46" s="276"/>
      <c r="AP46" s="276"/>
      <c r="AQ46" s="269">
        <v>6</v>
      </c>
      <c r="AR46" s="270">
        <v>6.99</v>
      </c>
      <c r="AS46" s="266">
        <v>4</v>
      </c>
      <c r="AT46" s="266">
        <v>4.99</v>
      </c>
      <c r="AU46" s="276"/>
      <c r="AV46" s="265">
        <v>2.99</v>
      </c>
      <c r="AW46" s="269">
        <v>3</v>
      </c>
      <c r="AX46" s="269">
        <v>3.99</v>
      </c>
      <c r="AY46" s="266">
        <v>2</v>
      </c>
      <c r="AZ46" s="266">
        <v>2.99</v>
      </c>
      <c r="BA46" s="266">
        <v>2</v>
      </c>
      <c r="BB46" s="266">
        <v>2.99</v>
      </c>
      <c r="BC46" s="280">
        <v>42327</v>
      </c>
    </row>
    <row r="47" spans="1:55" x14ac:dyDescent="0.25">
      <c r="AK47" s="261" t="s">
        <v>496</v>
      </c>
      <c r="AL47" s="255">
        <v>17</v>
      </c>
      <c r="AM47" s="262">
        <v>1042</v>
      </c>
      <c r="AN47" s="287"/>
      <c r="AO47" s="276"/>
      <c r="AP47" s="276"/>
      <c r="AQ47" s="266">
        <v>4</v>
      </c>
      <c r="AR47" s="266">
        <v>4.99</v>
      </c>
      <c r="AS47" s="266">
        <v>5</v>
      </c>
      <c r="AT47" s="267">
        <v>5.99</v>
      </c>
      <c r="AU47" s="276"/>
      <c r="AV47" s="265">
        <v>2.99</v>
      </c>
      <c r="AW47" s="276"/>
      <c r="AX47" s="265">
        <v>3.99</v>
      </c>
      <c r="AY47" s="266">
        <v>3</v>
      </c>
      <c r="AZ47" s="266">
        <v>3.99</v>
      </c>
      <c r="BA47" s="276"/>
      <c r="BB47" s="276"/>
      <c r="BC47" s="280">
        <v>42602</v>
      </c>
    </row>
    <row r="48" spans="1:55" x14ac:dyDescent="0.25">
      <c r="AK48" s="261" t="s">
        <v>497</v>
      </c>
      <c r="AL48" s="255">
        <v>19</v>
      </c>
      <c r="AM48" s="262">
        <v>1021</v>
      </c>
      <c r="AN48" s="287"/>
      <c r="AO48" s="276"/>
      <c r="AP48" s="276"/>
      <c r="AQ48" s="266">
        <v>4</v>
      </c>
      <c r="AR48" s="266">
        <v>4.99</v>
      </c>
      <c r="AS48" s="269">
        <v>4</v>
      </c>
      <c r="AT48" s="269">
        <v>4.99</v>
      </c>
      <c r="AU48" s="276"/>
      <c r="AV48" s="265">
        <v>4.99</v>
      </c>
      <c r="AW48" s="265">
        <v>3</v>
      </c>
      <c r="AX48" s="265">
        <v>4.99</v>
      </c>
      <c r="AY48" s="266">
        <v>2</v>
      </c>
      <c r="AZ48" s="266">
        <v>2.99</v>
      </c>
      <c r="BA48" s="276"/>
      <c r="BB48" s="265">
        <v>2.99</v>
      </c>
      <c r="BC48" s="280">
        <v>42429</v>
      </c>
    </row>
    <row r="49" spans="37:55" x14ac:dyDescent="0.25">
      <c r="AK49" s="261" t="s">
        <v>498</v>
      </c>
      <c r="AL49" s="255">
        <v>18</v>
      </c>
      <c r="AM49" s="262">
        <v>1127</v>
      </c>
      <c r="AN49" s="287"/>
      <c r="AO49" s="276"/>
      <c r="AP49" s="276"/>
      <c r="AQ49" s="266">
        <v>4</v>
      </c>
      <c r="AR49" s="266">
        <v>4.99</v>
      </c>
      <c r="AS49" s="266">
        <v>4</v>
      </c>
      <c r="AT49" s="266">
        <v>4.99</v>
      </c>
      <c r="AU49" s="276"/>
      <c r="AV49" s="265">
        <v>3.99</v>
      </c>
      <c r="AW49" s="265">
        <v>4</v>
      </c>
      <c r="AX49" s="274">
        <v>5.99</v>
      </c>
      <c r="AY49" s="266">
        <v>4</v>
      </c>
      <c r="AZ49" s="266">
        <v>4.99</v>
      </c>
      <c r="BA49" s="276"/>
      <c r="BB49" s="277">
        <v>6.99</v>
      </c>
      <c r="BC49" s="280">
        <v>42405</v>
      </c>
    </row>
    <row r="50" spans="37:55" x14ac:dyDescent="0.25">
      <c r="AK50" s="261" t="s">
        <v>499</v>
      </c>
      <c r="AL50" s="255">
        <v>17</v>
      </c>
      <c r="AM50" s="262">
        <v>1013</v>
      </c>
      <c r="AN50" s="287"/>
      <c r="AO50" s="276"/>
      <c r="AP50" s="265">
        <v>1.99</v>
      </c>
      <c r="AQ50" s="266">
        <v>6</v>
      </c>
      <c r="AR50" s="267">
        <v>6.99</v>
      </c>
      <c r="AS50" s="269">
        <v>4</v>
      </c>
      <c r="AT50" s="269">
        <v>4.99</v>
      </c>
      <c r="AU50" s="266">
        <v>3</v>
      </c>
      <c r="AV50" s="266">
        <v>3.99</v>
      </c>
      <c r="AW50" s="276"/>
      <c r="AX50" s="276"/>
      <c r="AY50" s="266">
        <v>4</v>
      </c>
      <c r="AZ50" s="266">
        <v>4.99</v>
      </c>
      <c r="BA50" s="276"/>
      <c r="BB50" s="265">
        <v>3.99</v>
      </c>
      <c r="BC50" s="280">
        <v>42631</v>
      </c>
    </row>
    <row r="51" spans="37:55" x14ac:dyDescent="0.25">
      <c r="AK51" s="261" t="s">
        <v>500</v>
      </c>
      <c r="AL51" s="255">
        <v>18</v>
      </c>
      <c r="AM51" s="262">
        <v>1024</v>
      </c>
      <c r="AN51" s="287" t="s">
        <v>396</v>
      </c>
      <c r="AO51" s="276"/>
      <c r="AP51" s="276">
        <v>1.99</v>
      </c>
      <c r="AQ51" s="266">
        <v>4</v>
      </c>
      <c r="AR51" s="266">
        <v>4.99</v>
      </c>
      <c r="AS51" s="269">
        <v>3</v>
      </c>
      <c r="AT51" s="269">
        <v>3.99</v>
      </c>
      <c r="AU51" s="276"/>
      <c r="AV51" s="277">
        <v>6.99</v>
      </c>
      <c r="AW51" s="276"/>
      <c r="AX51" s="276">
        <v>5.99</v>
      </c>
      <c r="AY51" s="276"/>
      <c r="AZ51" s="265">
        <v>2.99</v>
      </c>
      <c r="BA51" s="276"/>
      <c r="BB51" s="276"/>
      <c r="BC51" s="280">
        <v>42610</v>
      </c>
    </row>
    <row r="52" spans="37:55" x14ac:dyDescent="0.25">
      <c r="AK52" s="261" t="s">
        <v>501</v>
      </c>
      <c r="AL52" s="255">
        <v>18</v>
      </c>
      <c r="AM52" s="262">
        <v>1049</v>
      </c>
      <c r="AN52" s="287"/>
      <c r="AO52" s="276"/>
      <c r="AP52" s="265">
        <v>0.99</v>
      </c>
      <c r="AQ52" s="266">
        <v>1</v>
      </c>
      <c r="AR52" s="266">
        <v>1.99</v>
      </c>
      <c r="AS52" s="269">
        <v>6</v>
      </c>
      <c r="AT52" s="270">
        <v>6.99</v>
      </c>
      <c r="AU52" s="269">
        <v>4</v>
      </c>
      <c r="AV52" s="269">
        <v>4.99</v>
      </c>
      <c r="AW52" s="276"/>
      <c r="AX52" s="265">
        <v>4.99</v>
      </c>
      <c r="AY52" s="266">
        <v>4</v>
      </c>
      <c r="AZ52" s="266">
        <v>4.99</v>
      </c>
      <c r="BA52" s="276"/>
      <c r="BB52" s="265">
        <v>1.99</v>
      </c>
      <c r="BC52" s="280">
        <v>42597</v>
      </c>
    </row>
    <row r="53" spans="37:55" x14ac:dyDescent="0.25">
      <c r="AK53" s="261" t="s">
        <v>502</v>
      </c>
      <c r="AL53" s="255">
        <v>17</v>
      </c>
      <c r="AM53" s="262">
        <v>1042</v>
      </c>
      <c r="AN53" s="287"/>
      <c r="AO53" s="276"/>
      <c r="AP53" s="265">
        <v>1.99</v>
      </c>
      <c r="AQ53" s="265">
        <v>2</v>
      </c>
      <c r="AR53" s="265">
        <v>3.99</v>
      </c>
      <c r="AS53" s="266">
        <v>5</v>
      </c>
      <c r="AT53" s="267">
        <v>5.99</v>
      </c>
      <c r="AU53" s="276"/>
      <c r="AV53" s="265">
        <v>2.99</v>
      </c>
      <c r="AW53" s="276"/>
      <c r="AX53" s="265">
        <v>3.99</v>
      </c>
      <c r="AY53" s="269">
        <v>5</v>
      </c>
      <c r="AZ53" s="272">
        <v>5.99</v>
      </c>
      <c r="BA53" s="276"/>
      <c r="BB53" s="276"/>
      <c r="BC53" s="280">
        <v>42667</v>
      </c>
    </row>
    <row r="54" spans="37:55" x14ac:dyDescent="0.25">
      <c r="AK54" s="261" t="s">
        <v>503</v>
      </c>
      <c r="AL54" s="255">
        <v>18</v>
      </c>
      <c r="AM54" s="262">
        <v>1049</v>
      </c>
      <c r="AN54" s="287"/>
      <c r="AO54" s="265">
        <v>4</v>
      </c>
      <c r="AP54" s="277">
        <v>6.99</v>
      </c>
      <c r="AQ54" s="266">
        <v>4</v>
      </c>
      <c r="AR54" s="266">
        <v>4.99</v>
      </c>
      <c r="AS54" s="276"/>
      <c r="AT54" s="265">
        <v>0.99</v>
      </c>
      <c r="AU54" s="276"/>
      <c r="AV54" s="265">
        <v>1.99</v>
      </c>
      <c r="AW54" s="269">
        <v>1</v>
      </c>
      <c r="AX54" s="269">
        <v>1.99</v>
      </c>
      <c r="AY54" s="266">
        <v>1</v>
      </c>
      <c r="AZ54" s="266">
        <v>1.99</v>
      </c>
      <c r="BA54" s="266">
        <v>2</v>
      </c>
      <c r="BB54" s="266">
        <v>2.99</v>
      </c>
      <c r="BC54" s="280">
        <v>42483</v>
      </c>
    </row>
    <row r="55" spans="37:55" x14ac:dyDescent="0.25">
      <c r="AK55" s="261" t="s">
        <v>504</v>
      </c>
      <c r="AL55" s="255">
        <v>17</v>
      </c>
      <c r="AM55" s="262">
        <v>911</v>
      </c>
      <c r="AN55" s="287"/>
      <c r="AO55" s="276"/>
      <c r="AP55" s="265">
        <v>1.99</v>
      </c>
      <c r="AQ55" s="269">
        <v>4</v>
      </c>
      <c r="AR55" s="269">
        <v>4.99</v>
      </c>
      <c r="AS55" s="269">
        <v>6</v>
      </c>
      <c r="AT55" s="270">
        <v>6.99</v>
      </c>
      <c r="AU55" s="266">
        <v>5</v>
      </c>
      <c r="AV55" s="267">
        <v>5.99</v>
      </c>
      <c r="AW55" s="269">
        <v>4</v>
      </c>
      <c r="AX55" s="269">
        <v>4.99</v>
      </c>
      <c r="AY55" s="266">
        <v>3</v>
      </c>
      <c r="AZ55" s="266">
        <v>3.99</v>
      </c>
      <c r="BA55" s="276"/>
      <c r="BB55" s="276"/>
      <c r="BC55" s="280">
        <v>42733</v>
      </c>
    </row>
    <row r="56" spans="37:55" x14ac:dyDescent="0.25">
      <c r="AK56" s="261" t="s">
        <v>505</v>
      </c>
      <c r="AL56" s="255">
        <v>17</v>
      </c>
      <c r="AM56" s="262">
        <v>914</v>
      </c>
      <c r="AN56" s="287" t="s">
        <v>450</v>
      </c>
      <c r="AO56" s="276"/>
      <c r="AP56" s="265">
        <v>1.99</v>
      </c>
      <c r="AQ56" s="276"/>
      <c r="AR56" s="276">
        <v>4.99</v>
      </c>
      <c r="AS56" s="269">
        <v>5</v>
      </c>
      <c r="AT56" s="272">
        <v>5.99</v>
      </c>
      <c r="AU56" s="269">
        <v>2</v>
      </c>
      <c r="AV56" s="269">
        <v>2.99</v>
      </c>
      <c r="AW56" s="276"/>
      <c r="AX56" s="276"/>
      <c r="AY56" s="266">
        <v>2</v>
      </c>
      <c r="AZ56" s="266">
        <v>2.99</v>
      </c>
      <c r="BA56" s="276"/>
      <c r="BB56" s="276"/>
      <c r="BC56" s="280">
        <v>42737</v>
      </c>
    </row>
    <row r="57" spans="37:55" x14ac:dyDescent="0.25">
      <c r="AK57" s="261" t="s">
        <v>506</v>
      </c>
      <c r="AL57" s="255">
        <v>17</v>
      </c>
      <c r="AM57" s="262">
        <v>954</v>
      </c>
      <c r="AN57" s="287"/>
      <c r="AO57" s="276"/>
      <c r="AP57" s="276"/>
      <c r="AQ57" s="269">
        <v>5</v>
      </c>
      <c r="AR57" s="272">
        <v>5.99</v>
      </c>
      <c r="AS57" s="266">
        <v>2</v>
      </c>
      <c r="AT57" s="266">
        <v>2.99</v>
      </c>
      <c r="AU57" s="266">
        <v>3</v>
      </c>
      <c r="AV57" s="266">
        <v>3.99</v>
      </c>
      <c r="AW57" s="265">
        <v>2</v>
      </c>
      <c r="AX57" s="265">
        <v>3.99</v>
      </c>
      <c r="AY57" s="266">
        <v>2</v>
      </c>
      <c r="AZ57" s="266">
        <v>2.99</v>
      </c>
      <c r="BA57" s="276"/>
      <c r="BB57" s="276"/>
      <c r="BC57" s="280">
        <v>42690</v>
      </c>
    </row>
    <row r="58" spans="37:55" x14ac:dyDescent="0.25">
      <c r="AK58" s="261" t="s">
        <v>507</v>
      </c>
      <c r="AL58" s="255">
        <v>19</v>
      </c>
      <c r="AM58" s="262">
        <v>909</v>
      </c>
      <c r="AN58" s="287" t="s">
        <v>465</v>
      </c>
      <c r="AO58" s="276"/>
      <c r="AP58" s="265">
        <v>1.99</v>
      </c>
      <c r="AQ58" s="266">
        <v>2</v>
      </c>
      <c r="AR58" s="266">
        <v>2.99</v>
      </c>
      <c r="AS58" s="266">
        <v>5</v>
      </c>
      <c r="AT58" s="267">
        <v>5.99</v>
      </c>
      <c r="AU58" s="276"/>
      <c r="AV58" s="265">
        <v>2.99</v>
      </c>
      <c r="AW58" s="265">
        <v>4</v>
      </c>
      <c r="AX58" s="277">
        <v>7</v>
      </c>
      <c r="AY58" s="266">
        <v>1</v>
      </c>
      <c r="AZ58" s="266">
        <v>1.99</v>
      </c>
      <c r="BA58" s="276"/>
      <c r="BB58" s="276"/>
      <c r="BC58" s="280">
        <v>42654</v>
      </c>
    </row>
    <row r="59" spans="37:55" x14ac:dyDescent="0.25">
      <c r="AK59" s="261" t="s">
        <v>508</v>
      </c>
      <c r="AL59" s="255">
        <v>16</v>
      </c>
      <c r="AM59" s="262">
        <v>992</v>
      </c>
      <c r="AN59" s="287"/>
      <c r="AO59" s="276"/>
      <c r="AP59" s="265">
        <v>1.99</v>
      </c>
      <c r="AQ59" s="269">
        <v>2</v>
      </c>
      <c r="AR59" s="269">
        <v>2.99</v>
      </c>
      <c r="AS59" s="269">
        <v>4</v>
      </c>
      <c r="AT59" s="269">
        <v>4.99</v>
      </c>
      <c r="AU59" s="266">
        <v>4</v>
      </c>
      <c r="AV59" s="266">
        <v>4.99</v>
      </c>
      <c r="AW59" s="269">
        <v>5</v>
      </c>
      <c r="AX59" s="272">
        <v>5.99</v>
      </c>
      <c r="AY59" s="266">
        <v>3</v>
      </c>
      <c r="AZ59" s="266">
        <v>3.99</v>
      </c>
      <c r="BA59" s="276"/>
      <c r="BB59" s="276"/>
      <c r="BC59" s="280">
        <v>42764</v>
      </c>
    </row>
    <row r="60" spans="37:55" x14ac:dyDescent="0.25">
      <c r="AK60" s="261" t="s">
        <v>509</v>
      </c>
      <c r="AL60" s="255">
        <v>16</v>
      </c>
      <c r="AM60" s="262">
        <v>980</v>
      </c>
      <c r="AN60" s="287"/>
      <c r="AO60" s="276"/>
      <c r="AP60" s="265">
        <v>1.99</v>
      </c>
      <c r="AQ60" s="266">
        <v>3</v>
      </c>
      <c r="AR60" s="266">
        <v>3.99</v>
      </c>
      <c r="AS60" s="269">
        <v>6</v>
      </c>
      <c r="AT60" s="270">
        <v>6.99</v>
      </c>
      <c r="AU60" s="266">
        <v>2</v>
      </c>
      <c r="AV60" s="266">
        <v>2.99</v>
      </c>
      <c r="AW60" s="276"/>
      <c r="AX60" s="265">
        <v>2.99</v>
      </c>
      <c r="AY60" s="266">
        <v>4</v>
      </c>
      <c r="AZ60" s="266">
        <v>4.99</v>
      </c>
      <c r="BA60" s="276"/>
      <c r="BB60" s="265">
        <v>3.99</v>
      </c>
      <c r="BC60" s="280">
        <v>42776</v>
      </c>
    </row>
    <row r="61" spans="37:55" x14ac:dyDescent="0.25">
      <c r="AK61" s="261" t="s">
        <v>510</v>
      </c>
      <c r="AL61" s="255">
        <v>17</v>
      </c>
      <c r="AM61" s="262">
        <v>936</v>
      </c>
      <c r="AN61" s="287"/>
      <c r="AO61" s="276"/>
      <c r="AP61" s="265">
        <v>1.99</v>
      </c>
      <c r="AQ61" s="269">
        <v>5</v>
      </c>
      <c r="AR61" s="272">
        <v>5.99</v>
      </c>
      <c r="AS61" s="269">
        <v>3</v>
      </c>
      <c r="AT61" s="269">
        <v>3.99</v>
      </c>
      <c r="AU61" s="276"/>
      <c r="AV61" s="265">
        <v>2.99</v>
      </c>
      <c r="AW61" s="269">
        <v>4</v>
      </c>
      <c r="AX61" s="269">
        <v>4.99</v>
      </c>
      <c r="AY61" s="276"/>
      <c r="AZ61" s="274">
        <v>5.99</v>
      </c>
      <c r="BA61" s="276"/>
      <c r="BB61" s="265">
        <v>2.99</v>
      </c>
      <c r="BC61" s="280">
        <v>42754</v>
      </c>
    </row>
    <row r="62" spans="37:55" x14ac:dyDescent="0.25">
      <c r="AK62" s="261" t="s">
        <v>511</v>
      </c>
      <c r="AL62" s="255">
        <v>17</v>
      </c>
      <c r="AM62" s="262">
        <v>840</v>
      </c>
      <c r="AN62" s="287"/>
      <c r="AO62" s="276"/>
      <c r="AP62" s="265">
        <v>1.99</v>
      </c>
      <c r="AQ62" s="265">
        <v>6</v>
      </c>
      <c r="AR62" s="277">
        <v>7</v>
      </c>
      <c r="AS62" s="276"/>
      <c r="AT62" s="265">
        <v>2.99</v>
      </c>
      <c r="AU62" s="269">
        <v>5</v>
      </c>
      <c r="AV62" s="272">
        <v>5.99</v>
      </c>
      <c r="AW62" s="269">
        <v>3</v>
      </c>
      <c r="AX62" s="269">
        <v>3.99</v>
      </c>
      <c r="AY62" s="266">
        <v>3</v>
      </c>
      <c r="AZ62" s="266">
        <v>3.99</v>
      </c>
      <c r="BA62" s="276"/>
      <c r="BB62" s="265">
        <v>3.99</v>
      </c>
      <c r="BC62" s="280">
        <v>42804</v>
      </c>
    </row>
    <row r="63" spans="37:55" x14ac:dyDescent="0.25">
      <c r="AK63" s="261" t="s">
        <v>512</v>
      </c>
      <c r="AL63" s="255">
        <v>16</v>
      </c>
      <c r="AM63" s="262">
        <v>944</v>
      </c>
      <c r="AN63" s="287"/>
      <c r="AO63" s="276"/>
      <c r="AP63" s="276">
        <v>1.99</v>
      </c>
      <c r="AQ63" s="266">
        <v>2</v>
      </c>
      <c r="AR63" s="266">
        <v>2.99</v>
      </c>
      <c r="AS63" s="269">
        <v>5</v>
      </c>
      <c r="AT63" s="272">
        <v>5.99</v>
      </c>
      <c r="AU63" s="266">
        <v>4</v>
      </c>
      <c r="AV63" s="266">
        <v>4.99</v>
      </c>
      <c r="AW63" s="266">
        <v>3</v>
      </c>
      <c r="AX63" s="266">
        <v>3.99</v>
      </c>
      <c r="AY63" s="266">
        <v>3</v>
      </c>
      <c r="AZ63" s="266">
        <v>3.99</v>
      </c>
      <c r="BA63" s="276"/>
      <c r="BB63" s="276">
        <v>4.99</v>
      </c>
      <c r="BC63" s="280">
        <v>42812</v>
      </c>
    </row>
    <row r="64" spans="37:55" x14ac:dyDescent="0.25">
      <c r="AK64" s="261" t="s">
        <v>513</v>
      </c>
      <c r="AL64" s="255">
        <v>17</v>
      </c>
      <c r="AM64" s="262">
        <v>887</v>
      </c>
      <c r="AN64" s="287"/>
      <c r="AO64" s="276"/>
      <c r="AP64" s="276"/>
      <c r="AQ64" s="266">
        <v>4</v>
      </c>
      <c r="AR64" s="266">
        <v>4.99</v>
      </c>
      <c r="AS64" s="269">
        <v>4</v>
      </c>
      <c r="AT64" s="269">
        <v>4.99</v>
      </c>
      <c r="AU64" s="276"/>
      <c r="AV64" s="265">
        <v>4.99</v>
      </c>
      <c r="AW64" s="265">
        <v>5</v>
      </c>
      <c r="AX64" s="277">
        <v>6.99</v>
      </c>
      <c r="AY64" s="266">
        <v>3</v>
      </c>
      <c r="AZ64" s="266">
        <v>3.99</v>
      </c>
      <c r="BA64" s="276"/>
      <c r="BB64" s="276"/>
      <c r="BC64" s="280">
        <v>42779</v>
      </c>
    </row>
    <row r="65" spans="37:58" x14ac:dyDescent="0.25">
      <c r="AK65" s="261" t="s">
        <v>514</v>
      </c>
      <c r="AL65" s="255">
        <v>17</v>
      </c>
      <c r="AM65" s="262">
        <v>804</v>
      </c>
      <c r="AN65" s="287" t="s">
        <v>450</v>
      </c>
      <c r="AO65" s="276"/>
      <c r="AP65" s="276"/>
      <c r="AQ65" s="266">
        <v>2</v>
      </c>
      <c r="AR65" s="266">
        <v>2.99</v>
      </c>
      <c r="AS65" s="269">
        <v>4</v>
      </c>
      <c r="AT65" s="269">
        <v>4.99</v>
      </c>
      <c r="AU65" s="266">
        <v>3</v>
      </c>
      <c r="AV65" s="266">
        <v>3.99</v>
      </c>
      <c r="AW65" s="269">
        <v>6</v>
      </c>
      <c r="AX65" s="270">
        <v>6.99</v>
      </c>
      <c r="AY65" s="266">
        <v>3</v>
      </c>
      <c r="AZ65" s="266">
        <v>3.99</v>
      </c>
      <c r="BA65" s="276"/>
      <c r="BB65" s="265">
        <v>2.99</v>
      </c>
      <c r="BC65" s="280">
        <v>42840</v>
      </c>
    </row>
    <row r="66" spans="37:58" x14ac:dyDescent="0.25">
      <c r="AK66" s="261" t="s">
        <v>515</v>
      </c>
      <c r="AL66" s="255">
        <v>17</v>
      </c>
      <c r="AM66" s="262">
        <v>886</v>
      </c>
      <c r="AN66" s="287"/>
      <c r="AO66" s="276"/>
      <c r="AP66" s="276"/>
      <c r="AQ66" s="269">
        <v>4</v>
      </c>
      <c r="AR66" s="269">
        <v>4.99</v>
      </c>
      <c r="AS66" s="269">
        <v>4</v>
      </c>
      <c r="AT66" s="269">
        <v>4.99</v>
      </c>
      <c r="AU66" s="265">
        <v>5</v>
      </c>
      <c r="AV66" s="277">
        <v>6.99</v>
      </c>
      <c r="AW66" s="276"/>
      <c r="AX66" s="265">
        <v>3.99</v>
      </c>
      <c r="AY66" s="266">
        <v>3</v>
      </c>
      <c r="AZ66" s="266">
        <v>3.99</v>
      </c>
      <c r="BA66" s="276"/>
      <c r="BB66" s="276"/>
      <c r="BC66" s="280">
        <v>42828</v>
      </c>
    </row>
    <row r="67" spans="37:58" x14ac:dyDescent="0.25">
      <c r="AK67" s="261" t="s">
        <v>516</v>
      </c>
      <c r="AL67" s="255">
        <v>17</v>
      </c>
      <c r="AM67" s="262">
        <v>785</v>
      </c>
      <c r="AN67" s="287"/>
      <c r="AO67" s="276"/>
      <c r="AP67" s="276"/>
      <c r="AQ67" s="269">
        <v>4</v>
      </c>
      <c r="AR67" s="269">
        <v>4.99</v>
      </c>
      <c r="AS67" s="269">
        <v>5</v>
      </c>
      <c r="AT67" s="272">
        <v>5.99</v>
      </c>
      <c r="AU67" s="276"/>
      <c r="AV67" s="276"/>
      <c r="AW67" s="276"/>
      <c r="AX67" s="276"/>
      <c r="AY67" s="276"/>
      <c r="AZ67" s="265">
        <v>4.99</v>
      </c>
      <c r="BA67" s="276"/>
      <c r="BB67" s="276"/>
      <c r="BC67" s="280">
        <v>42863</v>
      </c>
    </row>
    <row r="68" spans="37:58" x14ac:dyDescent="0.25">
      <c r="AK68" s="261" t="s">
        <v>517</v>
      </c>
      <c r="AL68" s="255">
        <v>16</v>
      </c>
      <c r="AM68" s="262">
        <v>883</v>
      </c>
      <c r="AN68" s="287" t="s">
        <v>450</v>
      </c>
      <c r="AO68" s="276"/>
      <c r="AP68" s="276"/>
      <c r="AQ68" s="269">
        <v>4</v>
      </c>
      <c r="AR68" s="269">
        <v>4.99</v>
      </c>
      <c r="AS68" s="269">
        <v>3</v>
      </c>
      <c r="AT68" s="269">
        <v>3.99</v>
      </c>
      <c r="AU68" s="276"/>
      <c r="AV68" s="265">
        <v>2.99</v>
      </c>
      <c r="AW68" s="269">
        <v>5</v>
      </c>
      <c r="AX68" s="272">
        <v>5.99</v>
      </c>
      <c r="AY68" s="269">
        <v>5</v>
      </c>
      <c r="AZ68" s="272">
        <v>5.99</v>
      </c>
      <c r="BA68" s="276"/>
      <c r="BB68" s="276"/>
      <c r="BC68" s="280">
        <v>42873</v>
      </c>
    </row>
    <row r="69" spans="37:58" x14ac:dyDescent="0.25">
      <c r="AK69" s="261" t="s">
        <v>518</v>
      </c>
      <c r="AL69" s="255">
        <v>17</v>
      </c>
      <c r="AM69" s="262">
        <v>787</v>
      </c>
      <c r="AN69" s="287" t="s">
        <v>519</v>
      </c>
      <c r="AO69" s="276"/>
      <c r="AP69" s="265">
        <v>1.99</v>
      </c>
      <c r="AQ69" s="269">
        <v>4</v>
      </c>
      <c r="AR69" s="269">
        <v>4.99</v>
      </c>
      <c r="AS69" s="265">
        <v>6</v>
      </c>
      <c r="AT69" s="277">
        <v>7</v>
      </c>
      <c r="AU69" s="276"/>
      <c r="AV69" s="265">
        <v>3.99</v>
      </c>
      <c r="AW69" s="269">
        <v>3</v>
      </c>
      <c r="AX69" s="269">
        <v>3.99</v>
      </c>
      <c r="AY69" s="266">
        <v>2</v>
      </c>
      <c r="AZ69" s="266">
        <v>2.99</v>
      </c>
      <c r="BA69" s="276"/>
      <c r="BB69" s="276"/>
      <c r="BC69" s="280">
        <v>42886</v>
      </c>
    </row>
    <row r="70" spans="37:58" x14ac:dyDescent="0.25">
      <c r="AK70" s="261" t="s">
        <v>520</v>
      </c>
      <c r="AL70" s="255">
        <v>17</v>
      </c>
      <c r="AM70" s="262">
        <v>812</v>
      </c>
      <c r="AN70" s="287" t="s">
        <v>396</v>
      </c>
      <c r="AO70" s="276"/>
      <c r="AP70" s="276"/>
      <c r="AQ70" s="276"/>
      <c r="AR70" s="265">
        <v>4.99</v>
      </c>
      <c r="AS70" s="269">
        <v>5</v>
      </c>
      <c r="AT70" s="272">
        <v>5.99</v>
      </c>
      <c r="AU70" s="276"/>
      <c r="AV70" s="265">
        <v>2.99</v>
      </c>
      <c r="AW70" s="276"/>
      <c r="AX70" s="276">
        <v>2.99</v>
      </c>
      <c r="AY70" s="265">
        <v>4</v>
      </c>
      <c r="AZ70" s="274">
        <v>5.99</v>
      </c>
      <c r="BA70" s="276"/>
      <c r="BB70" s="276"/>
      <c r="BC70" s="280">
        <v>42912</v>
      </c>
    </row>
    <row r="71" spans="37:58" x14ac:dyDescent="0.25">
      <c r="AK71" s="261" t="s">
        <v>521</v>
      </c>
      <c r="AL71" s="255">
        <v>17</v>
      </c>
      <c r="AM71" s="262">
        <v>-1523</v>
      </c>
      <c r="AN71" s="287" t="s">
        <v>457</v>
      </c>
      <c r="AO71" s="276"/>
      <c r="AP71" s="265">
        <v>1.99</v>
      </c>
      <c r="AQ71" s="266">
        <v>4</v>
      </c>
      <c r="AR71" s="266">
        <v>4.99</v>
      </c>
      <c r="AS71" s="276"/>
      <c r="AT71" s="276"/>
      <c r="AU71" s="276"/>
      <c r="AV71" s="265">
        <v>1.99</v>
      </c>
      <c r="AW71" s="269">
        <v>6</v>
      </c>
      <c r="AX71" s="270">
        <v>6.99</v>
      </c>
      <c r="AY71" s="266">
        <v>3</v>
      </c>
      <c r="AZ71" s="266">
        <v>3.99</v>
      </c>
      <c r="BA71" s="276"/>
      <c r="BB71" s="265">
        <v>2.99</v>
      </c>
      <c r="BC71" s="280">
        <v>45167</v>
      </c>
    </row>
    <row r="72" spans="37:58" x14ac:dyDescent="0.25">
      <c r="AK72" s="261" t="s">
        <v>522</v>
      </c>
      <c r="AL72" s="255">
        <v>18</v>
      </c>
      <c r="AM72" s="262">
        <v>793</v>
      </c>
      <c r="AN72" s="287"/>
      <c r="AO72" s="276"/>
      <c r="AP72" s="274">
        <v>5.99</v>
      </c>
      <c r="AQ72" s="269">
        <v>4</v>
      </c>
      <c r="AR72" s="269">
        <v>4.99</v>
      </c>
      <c r="AS72" s="266">
        <v>1</v>
      </c>
      <c r="AT72" s="266">
        <v>1.99</v>
      </c>
      <c r="AU72" s="266">
        <v>0</v>
      </c>
      <c r="AV72" s="266">
        <v>0.99</v>
      </c>
      <c r="AW72" s="266">
        <v>0</v>
      </c>
      <c r="AX72" s="266">
        <v>0.99</v>
      </c>
      <c r="AY72" s="266">
        <v>0</v>
      </c>
      <c r="AZ72" s="266">
        <v>0.99</v>
      </c>
      <c r="BA72" s="276"/>
      <c r="BB72" s="276"/>
      <c r="BC72" s="280">
        <v>42739</v>
      </c>
    </row>
    <row r="73" spans="37:58" x14ac:dyDescent="0.25">
      <c r="AK73" s="261" t="s">
        <v>523</v>
      </c>
      <c r="AL73" s="255">
        <v>18</v>
      </c>
      <c r="AM73" s="262">
        <v>770</v>
      </c>
      <c r="AN73" s="287" t="s">
        <v>457</v>
      </c>
      <c r="AO73" s="276"/>
      <c r="AP73" s="276"/>
      <c r="AQ73" s="266">
        <v>3</v>
      </c>
      <c r="AR73" s="266">
        <v>3.99</v>
      </c>
      <c r="AS73" s="269">
        <v>5</v>
      </c>
      <c r="AT73" s="272">
        <v>5.99</v>
      </c>
      <c r="AU73" s="276"/>
      <c r="AV73" s="277">
        <v>6.99</v>
      </c>
      <c r="AW73" s="265">
        <v>2</v>
      </c>
      <c r="AX73" s="276"/>
      <c r="AY73" s="266">
        <v>3</v>
      </c>
      <c r="AZ73" s="266">
        <v>3.99</v>
      </c>
      <c r="BA73" s="276"/>
      <c r="BB73" s="276"/>
      <c r="BC73" s="280">
        <v>42835</v>
      </c>
    </row>
    <row r="74" spans="37:58" x14ac:dyDescent="0.25">
      <c r="AK74" s="261" t="s">
        <v>524</v>
      </c>
      <c r="AL74" s="255">
        <v>16</v>
      </c>
      <c r="AM74" s="262">
        <v>778</v>
      </c>
      <c r="AN74" s="287"/>
      <c r="AO74" s="276"/>
      <c r="AP74" s="276"/>
      <c r="AQ74" s="276"/>
      <c r="AR74" s="265">
        <v>2.99</v>
      </c>
      <c r="AS74" s="269">
        <v>3</v>
      </c>
      <c r="AT74" s="276">
        <v>3.99</v>
      </c>
      <c r="AU74" s="276"/>
      <c r="AV74" s="265">
        <v>3.99</v>
      </c>
      <c r="AW74" s="269">
        <v>6</v>
      </c>
      <c r="AX74" s="270">
        <v>6.99</v>
      </c>
      <c r="AY74" s="266">
        <v>4</v>
      </c>
      <c r="AZ74" s="266">
        <v>4.99</v>
      </c>
      <c r="BA74" s="276"/>
      <c r="BB74" s="276"/>
      <c r="BC74" s="280">
        <v>42978</v>
      </c>
    </row>
    <row r="75" spans="37:58" x14ac:dyDescent="0.25">
      <c r="AK75" s="261" t="s">
        <v>525</v>
      </c>
      <c r="AL75" s="255">
        <v>16</v>
      </c>
      <c r="AM75" s="262">
        <v>745</v>
      </c>
      <c r="AN75" s="287" t="s">
        <v>457</v>
      </c>
      <c r="AO75" s="276"/>
      <c r="AP75" s="265">
        <v>1.99</v>
      </c>
      <c r="AQ75" s="276"/>
      <c r="AR75" s="265">
        <v>2.99</v>
      </c>
      <c r="AS75" s="266">
        <v>3</v>
      </c>
      <c r="AT75" s="266">
        <v>3.99</v>
      </c>
      <c r="AU75" s="269">
        <v>3</v>
      </c>
      <c r="AV75" s="282">
        <v>3.99</v>
      </c>
      <c r="AW75" s="269">
        <v>5</v>
      </c>
      <c r="AX75" s="272">
        <v>5.99</v>
      </c>
      <c r="AY75" s="269">
        <v>6</v>
      </c>
      <c r="AZ75" s="270">
        <v>6.99</v>
      </c>
      <c r="BA75" s="276"/>
      <c r="BB75" s="276"/>
      <c r="BC75" s="280">
        <v>43011</v>
      </c>
    </row>
    <row r="76" spans="37:58" x14ac:dyDescent="0.25">
      <c r="AK76" s="261" t="s">
        <v>526</v>
      </c>
      <c r="AL76" s="255">
        <v>16</v>
      </c>
      <c r="AM76" s="262">
        <v>725</v>
      </c>
      <c r="AN76" s="287"/>
      <c r="AO76" s="276"/>
      <c r="AP76" s="276"/>
      <c r="AQ76" s="276"/>
      <c r="AR76" s="265">
        <v>3.99</v>
      </c>
      <c r="AS76" s="269">
        <v>3</v>
      </c>
      <c r="AT76" s="269">
        <v>3.99</v>
      </c>
      <c r="AU76" s="269">
        <v>6</v>
      </c>
      <c r="AV76" s="270">
        <v>6.99</v>
      </c>
      <c r="AW76" s="266">
        <v>1</v>
      </c>
      <c r="AX76" s="266">
        <v>1.99</v>
      </c>
      <c r="AY76" s="265">
        <v>4</v>
      </c>
      <c r="AZ76" s="274">
        <v>5.99</v>
      </c>
      <c r="BA76" s="276"/>
      <c r="BB76" s="265">
        <v>2.99</v>
      </c>
      <c r="BC76" s="280">
        <v>43031</v>
      </c>
    </row>
    <row r="77" spans="37:58" x14ac:dyDescent="0.25">
      <c r="AK77" s="261" t="s">
        <v>527</v>
      </c>
      <c r="AL77" s="255">
        <v>18</v>
      </c>
      <c r="AM77" s="262">
        <v>706</v>
      </c>
      <c r="AN77" s="287"/>
      <c r="AO77" s="276"/>
      <c r="AP77" s="265">
        <v>1.99</v>
      </c>
      <c r="AQ77" s="265">
        <v>3</v>
      </c>
      <c r="AR77" s="265">
        <v>4.99</v>
      </c>
      <c r="AS77" s="266">
        <v>3</v>
      </c>
      <c r="AT77" s="266">
        <v>3.99</v>
      </c>
      <c r="AU77" s="265">
        <v>5</v>
      </c>
      <c r="AV77" s="277">
        <v>6.99</v>
      </c>
      <c r="AW77" s="266">
        <v>2</v>
      </c>
      <c r="AX77" s="266">
        <v>2.99</v>
      </c>
      <c r="AY77" s="276"/>
      <c r="AZ77" s="265">
        <v>2.99</v>
      </c>
      <c r="BA77" s="276"/>
      <c r="BB77" s="276">
        <v>3.99</v>
      </c>
      <c r="BC77" s="280">
        <v>42928</v>
      </c>
    </row>
    <row r="78" spans="37:58" x14ac:dyDescent="0.25">
      <c r="AK78" s="261" t="s">
        <v>528</v>
      </c>
      <c r="AL78" s="255">
        <v>17</v>
      </c>
      <c r="AM78" s="262">
        <v>585</v>
      </c>
      <c r="AN78" s="287"/>
      <c r="AO78" s="276"/>
      <c r="AP78" s="265">
        <v>1.99</v>
      </c>
      <c r="AQ78" s="276"/>
      <c r="AR78" s="265">
        <v>3.99</v>
      </c>
      <c r="AS78" s="265">
        <v>6</v>
      </c>
      <c r="AT78" s="277">
        <v>7</v>
      </c>
      <c r="AU78" s="269">
        <v>6</v>
      </c>
      <c r="AV78" s="270">
        <v>6.99</v>
      </c>
      <c r="AW78" s="269">
        <v>2</v>
      </c>
      <c r="AX78" s="269">
        <v>2.99</v>
      </c>
      <c r="AY78" s="266">
        <v>4</v>
      </c>
      <c r="AZ78" s="266">
        <v>4.99</v>
      </c>
      <c r="BA78" s="276"/>
      <c r="BB78" s="265">
        <v>4.99</v>
      </c>
      <c r="BC78" s="280">
        <v>43059</v>
      </c>
    </row>
    <row r="79" spans="37:58" x14ac:dyDescent="0.25">
      <c r="AK79" s="261" t="s">
        <v>529</v>
      </c>
      <c r="AL79" s="255">
        <v>16</v>
      </c>
      <c r="AM79" s="262">
        <v>656</v>
      </c>
      <c r="AN79" s="287"/>
      <c r="AO79" s="276"/>
      <c r="AP79" s="265">
        <v>1.99</v>
      </c>
      <c r="AQ79" s="266">
        <v>2</v>
      </c>
      <c r="AR79" s="266">
        <v>2.99</v>
      </c>
      <c r="AS79" s="266">
        <v>4</v>
      </c>
      <c r="AT79" s="266">
        <v>4.99</v>
      </c>
      <c r="AU79" s="269">
        <v>3</v>
      </c>
      <c r="AV79" s="269">
        <v>3.99</v>
      </c>
      <c r="AW79" s="269">
        <v>5</v>
      </c>
      <c r="AX79" s="272">
        <v>5.99</v>
      </c>
      <c r="AY79" s="266">
        <v>1</v>
      </c>
      <c r="AZ79" s="266">
        <v>1.99</v>
      </c>
      <c r="BA79" s="276"/>
      <c r="BB79" s="276"/>
      <c r="BC79" s="280">
        <v>43100</v>
      </c>
      <c r="BD79" s="154"/>
      <c r="BE79" s="154"/>
      <c r="BF79" s="154"/>
    </row>
    <row r="80" spans="37:58" x14ac:dyDescent="0.25">
      <c r="AK80" s="261" t="s">
        <v>530</v>
      </c>
      <c r="AL80" s="255">
        <v>17</v>
      </c>
      <c r="AM80" s="262">
        <v>535</v>
      </c>
      <c r="AN80" s="287"/>
      <c r="AO80" s="276"/>
      <c r="AP80" s="276"/>
      <c r="AQ80" s="276"/>
      <c r="AR80" s="265">
        <v>2.99</v>
      </c>
      <c r="AS80" s="269">
        <v>6</v>
      </c>
      <c r="AT80" s="270">
        <v>6.6</v>
      </c>
      <c r="AU80" s="269">
        <v>5</v>
      </c>
      <c r="AV80" s="272">
        <v>5.99</v>
      </c>
      <c r="AW80" s="269">
        <v>4</v>
      </c>
      <c r="AX80" s="269">
        <v>4.99</v>
      </c>
      <c r="AY80" s="276"/>
      <c r="AZ80" s="265">
        <v>2.99</v>
      </c>
      <c r="BA80" s="276"/>
      <c r="BB80" s="276"/>
      <c r="BC80" s="280">
        <v>43109</v>
      </c>
      <c r="BD80" s="154"/>
      <c r="BE80" s="154"/>
      <c r="BF80" s="154"/>
    </row>
    <row r="81" spans="37:58" x14ac:dyDescent="0.25">
      <c r="AK81" s="261" t="s">
        <v>531</v>
      </c>
      <c r="AL81" s="255">
        <v>16</v>
      </c>
      <c r="AM81" s="262">
        <v>581</v>
      </c>
      <c r="AN81" s="287" t="s">
        <v>532</v>
      </c>
      <c r="AO81" s="276"/>
      <c r="AP81" s="276"/>
      <c r="AQ81" s="276"/>
      <c r="AR81" s="265">
        <v>3.99</v>
      </c>
      <c r="AS81" s="266">
        <v>4</v>
      </c>
      <c r="AT81" s="266">
        <v>4.99</v>
      </c>
      <c r="AU81" s="276"/>
      <c r="AV81" s="274">
        <v>5.99</v>
      </c>
      <c r="AW81" s="269">
        <v>1</v>
      </c>
      <c r="AX81" s="269">
        <v>1.99</v>
      </c>
      <c r="AY81" s="276"/>
      <c r="AZ81" s="265">
        <v>3.99</v>
      </c>
      <c r="BA81" s="276"/>
      <c r="BB81" s="276"/>
      <c r="BC81" s="280">
        <v>43175</v>
      </c>
      <c r="BD81" s="154"/>
      <c r="BE81" s="154"/>
      <c r="BF81" s="154"/>
    </row>
    <row r="82" spans="37:58" x14ac:dyDescent="0.25">
      <c r="AK82" s="261" t="s">
        <v>533</v>
      </c>
      <c r="AL82" s="255">
        <v>17</v>
      </c>
      <c r="AM82" s="262">
        <v>473</v>
      </c>
      <c r="AN82" s="287" t="s">
        <v>532</v>
      </c>
      <c r="AO82" s="276"/>
      <c r="AP82" s="265">
        <v>0.99</v>
      </c>
      <c r="AQ82" s="266">
        <v>3</v>
      </c>
      <c r="AR82" s="266">
        <v>3.99</v>
      </c>
      <c r="AS82" s="266">
        <v>5</v>
      </c>
      <c r="AT82" s="266">
        <v>5.99</v>
      </c>
      <c r="AU82" s="276"/>
      <c r="AV82" s="265">
        <v>2.99</v>
      </c>
      <c r="AW82" s="276"/>
      <c r="AX82" s="276"/>
      <c r="AY82" s="266">
        <v>2</v>
      </c>
      <c r="AZ82" s="266">
        <v>2.99</v>
      </c>
      <c r="BA82" s="276"/>
      <c r="BB82" s="276"/>
      <c r="BC82" s="280">
        <v>43192</v>
      </c>
      <c r="BD82" s="154"/>
      <c r="BE82" s="154"/>
      <c r="BF82" s="154"/>
    </row>
    <row r="83" spans="37:58" x14ac:dyDescent="0.25">
      <c r="AK83" s="261" t="s">
        <v>534</v>
      </c>
      <c r="AL83" s="255">
        <v>18</v>
      </c>
      <c r="AM83" s="262">
        <v>539</v>
      </c>
      <c r="AN83" s="287"/>
      <c r="AO83" s="276"/>
      <c r="AP83" s="265">
        <v>1.99</v>
      </c>
      <c r="AQ83" s="266">
        <v>3</v>
      </c>
      <c r="AR83" s="266">
        <v>3.99</v>
      </c>
      <c r="AS83" s="266">
        <v>4</v>
      </c>
      <c r="AT83" s="266">
        <v>4.99</v>
      </c>
      <c r="AU83" s="266">
        <v>2</v>
      </c>
      <c r="AV83" s="266">
        <v>2.99</v>
      </c>
      <c r="AW83" s="266">
        <v>4</v>
      </c>
      <c r="AX83" s="266">
        <v>4.99</v>
      </c>
      <c r="AY83" s="269">
        <v>4</v>
      </c>
      <c r="AZ83" s="269">
        <v>4.99</v>
      </c>
      <c r="BA83" s="276"/>
      <c r="BB83" s="265">
        <v>2.99</v>
      </c>
      <c r="BC83" s="280">
        <v>42919</v>
      </c>
      <c r="BD83" s="154"/>
      <c r="BE83" s="154"/>
      <c r="BF83" s="154"/>
    </row>
    <row r="84" spans="37:58" x14ac:dyDescent="0.25">
      <c r="AK84" s="261" t="s">
        <v>535</v>
      </c>
      <c r="AL84" s="255">
        <v>18</v>
      </c>
      <c r="AM84" s="262">
        <v>539</v>
      </c>
      <c r="AN84" s="287" t="s">
        <v>94</v>
      </c>
      <c r="AO84" s="276"/>
      <c r="AP84" s="265">
        <v>0.99</v>
      </c>
      <c r="AQ84" s="269">
        <v>3</v>
      </c>
      <c r="AR84" s="269">
        <v>3.99</v>
      </c>
      <c r="AS84" s="269">
        <v>3</v>
      </c>
      <c r="AT84" s="269">
        <v>3.99</v>
      </c>
      <c r="AU84" s="269">
        <v>3</v>
      </c>
      <c r="AV84" s="269">
        <v>3.99</v>
      </c>
      <c r="AW84" s="265">
        <v>4</v>
      </c>
      <c r="AX84" s="277">
        <v>7</v>
      </c>
      <c r="AY84" s="276"/>
      <c r="AZ84" s="274">
        <v>5.99</v>
      </c>
      <c r="BA84" s="276"/>
      <c r="BB84" s="265">
        <v>1.99</v>
      </c>
      <c r="BC84" s="280">
        <v>43067</v>
      </c>
      <c r="BD84" s="154"/>
      <c r="BE84" s="154"/>
      <c r="BF84" s="154"/>
    </row>
    <row r="85" spans="37:58" x14ac:dyDescent="0.25">
      <c r="AK85" s="261" t="s">
        <v>536</v>
      </c>
      <c r="AL85" s="255">
        <v>18</v>
      </c>
      <c r="AM85" s="262">
        <v>-1718</v>
      </c>
      <c r="AN85" s="287" t="s">
        <v>450</v>
      </c>
      <c r="AO85" s="276"/>
      <c r="AP85" s="265">
        <v>1.99</v>
      </c>
      <c r="AQ85" s="266">
        <v>2</v>
      </c>
      <c r="AR85" s="266">
        <v>2.99</v>
      </c>
      <c r="AS85" s="266">
        <v>4</v>
      </c>
      <c r="AT85" s="266">
        <v>4.99</v>
      </c>
      <c r="AU85" s="276"/>
      <c r="AV85" s="265">
        <v>3.99</v>
      </c>
      <c r="AW85" s="265">
        <v>2</v>
      </c>
      <c r="AX85" s="265">
        <v>3.99</v>
      </c>
      <c r="AY85" s="276"/>
      <c r="AZ85" s="265">
        <v>2.99</v>
      </c>
      <c r="BA85" s="276"/>
      <c r="BB85" s="276"/>
      <c r="BC85" s="280">
        <v>45250</v>
      </c>
      <c r="BD85" s="154"/>
      <c r="BE85" s="154"/>
      <c r="BF85" s="154"/>
    </row>
    <row r="86" spans="37:58" x14ac:dyDescent="0.25">
      <c r="AK86" s="261" t="s">
        <v>537</v>
      </c>
      <c r="AL86" s="255">
        <v>17</v>
      </c>
      <c r="AM86" s="262">
        <v>423</v>
      </c>
      <c r="AN86" s="287"/>
      <c r="AO86" s="276"/>
      <c r="AP86" s="265">
        <v>1.99</v>
      </c>
      <c r="AQ86" s="269">
        <v>4</v>
      </c>
      <c r="AR86" s="269">
        <v>4.99</v>
      </c>
      <c r="AS86" s="266">
        <v>3</v>
      </c>
      <c r="AT86" s="266">
        <v>3.99</v>
      </c>
      <c r="AU86" s="265">
        <v>5</v>
      </c>
      <c r="AV86" s="277">
        <v>6.99</v>
      </c>
      <c r="AW86" s="266">
        <v>1</v>
      </c>
      <c r="AX86" s="266">
        <v>1.99</v>
      </c>
      <c r="AY86" s="266">
        <v>1</v>
      </c>
      <c r="AZ86" s="266">
        <v>1.99</v>
      </c>
      <c r="BA86" s="276"/>
      <c r="BB86" s="276"/>
      <c r="BC86" s="280">
        <v>43221</v>
      </c>
      <c r="BD86" s="154"/>
      <c r="BE86" s="154"/>
      <c r="BF86" s="154"/>
    </row>
    <row r="87" spans="37:58" x14ac:dyDescent="0.25">
      <c r="AK87" s="261" t="s">
        <v>538</v>
      </c>
      <c r="AL87" s="255">
        <v>18</v>
      </c>
      <c r="AM87" s="262">
        <v>413</v>
      </c>
      <c r="AN87" s="287"/>
      <c r="AO87" s="276"/>
      <c r="AP87" s="265">
        <v>0.99</v>
      </c>
      <c r="AQ87" s="269">
        <v>6</v>
      </c>
      <c r="AR87" s="270">
        <v>6.99</v>
      </c>
      <c r="AS87" s="269">
        <v>4</v>
      </c>
      <c r="AT87" s="269">
        <v>4.99</v>
      </c>
      <c r="AU87" s="265">
        <v>4</v>
      </c>
      <c r="AV87" s="274">
        <v>5.99</v>
      </c>
      <c r="AW87" s="276"/>
      <c r="AX87" s="265">
        <v>3.99</v>
      </c>
      <c r="AY87" s="276"/>
      <c r="AZ87" s="265">
        <v>4.99</v>
      </c>
      <c r="BA87" s="276"/>
      <c r="BB87" s="265">
        <v>2.99</v>
      </c>
      <c r="BC87" s="280">
        <v>43143</v>
      </c>
      <c r="BD87" s="154"/>
      <c r="BE87" s="154"/>
      <c r="BF87" s="154"/>
    </row>
    <row r="88" spans="37:58" x14ac:dyDescent="0.25">
      <c r="AK88" s="261" t="s">
        <v>539</v>
      </c>
      <c r="AL88" s="255">
        <v>16</v>
      </c>
      <c r="AM88" s="262">
        <v>467</v>
      </c>
      <c r="AN88" s="287" t="s">
        <v>0</v>
      </c>
      <c r="AO88" s="276"/>
      <c r="AP88" s="265">
        <v>0.99</v>
      </c>
      <c r="AQ88" s="269">
        <v>7</v>
      </c>
      <c r="AR88" s="270">
        <v>7</v>
      </c>
      <c r="AS88" s="269">
        <v>4</v>
      </c>
      <c r="AT88" s="269">
        <v>4.99</v>
      </c>
      <c r="AU88" s="269">
        <v>4</v>
      </c>
      <c r="AV88" s="269">
        <v>4.99</v>
      </c>
      <c r="AW88" s="266">
        <v>3</v>
      </c>
      <c r="AX88" s="266">
        <v>3.99</v>
      </c>
      <c r="AY88" s="276"/>
      <c r="AZ88" s="265">
        <v>2.99</v>
      </c>
      <c r="BA88" s="276"/>
      <c r="BB88" s="265">
        <v>3.99</v>
      </c>
      <c r="BC88" s="280">
        <v>43289</v>
      </c>
      <c r="BD88" s="154"/>
      <c r="BE88" s="154"/>
      <c r="BF88" s="154"/>
    </row>
    <row r="89" spans="37:58" x14ac:dyDescent="0.25">
      <c r="AK89" s="261" t="s">
        <v>540</v>
      </c>
      <c r="AL89" s="255">
        <v>16</v>
      </c>
      <c r="AM89" s="262">
        <v>386</v>
      </c>
      <c r="AN89" s="287"/>
      <c r="AO89" s="276"/>
      <c r="AP89" s="276"/>
      <c r="AQ89" s="265">
        <v>3</v>
      </c>
      <c r="AR89" s="276"/>
      <c r="AS89" s="276"/>
      <c r="AT89" s="276"/>
      <c r="AU89" s="276"/>
      <c r="AV89" s="265">
        <v>3.99</v>
      </c>
      <c r="AW89" s="265">
        <v>4</v>
      </c>
      <c r="AX89" s="277">
        <v>6.99</v>
      </c>
      <c r="AY89" s="276"/>
      <c r="AZ89" s="265">
        <v>4.99</v>
      </c>
      <c r="BA89" s="276"/>
      <c r="BB89" s="276"/>
      <c r="BC89" s="280">
        <v>43370</v>
      </c>
      <c r="BD89" s="154"/>
      <c r="BE89" s="154"/>
      <c r="BF89" s="154"/>
    </row>
    <row r="90" spans="37:58" x14ac:dyDescent="0.25">
      <c r="AK90" s="261" t="s">
        <v>541</v>
      </c>
      <c r="AL90" s="255">
        <v>16</v>
      </c>
      <c r="AM90" s="262">
        <v>429</v>
      </c>
      <c r="AN90" s="287"/>
      <c r="AO90" s="276"/>
      <c r="AP90" s="265">
        <v>1.99</v>
      </c>
      <c r="AQ90" s="266">
        <v>4</v>
      </c>
      <c r="AR90" s="266">
        <v>4.99</v>
      </c>
      <c r="AS90" s="276"/>
      <c r="AT90" s="265">
        <v>4.99</v>
      </c>
      <c r="AU90" s="269">
        <v>5</v>
      </c>
      <c r="AV90" s="272">
        <v>5.99</v>
      </c>
      <c r="AW90" s="276"/>
      <c r="AX90" s="265">
        <v>2.99</v>
      </c>
      <c r="AY90" s="276"/>
      <c r="AZ90" s="265">
        <v>3.99</v>
      </c>
      <c r="BA90" s="276"/>
      <c r="BB90" s="276"/>
      <c r="BC90" s="280">
        <v>43327</v>
      </c>
      <c r="BD90" s="154"/>
      <c r="BE90" s="154"/>
      <c r="BF90" s="154"/>
    </row>
    <row r="91" spans="37:58" x14ac:dyDescent="0.25">
      <c r="AK91" s="261" t="s">
        <v>182</v>
      </c>
      <c r="AL91" s="255">
        <v>17</v>
      </c>
      <c r="AM91" s="262">
        <v>211</v>
      </c>
      <c r="AN91" s="287" t="s">
        <v>40</v>
      </c>
      <c r="AO91" s="276"/>
      <c r="AP91" s="265">
        <v>1.99</v>
      </c>
      <c r="AQ91" s="293">
        <v>2</v>
      </c>
      <c r="AR91" s="266">
        <v>2.99</v>
      </c>
      <c r="AS91" s="294" t="s">
        <v>542</v>
      </c>
      <c r="AT91" s="295">
        <v>5.99</v>
      </c>
      <c r="AU91" s="294">
        <v>5.5</v>
      </c>
      <c r="AV91" s="295">
        <v>5.5</v>
      </c>
      <c r="AW91" s="294">
        <v>4.4000000000000004</v>
      </c>
      <c r="AX91" s="266">
        <v>4.4000000000000004</v>
      </c>
      <c r="AY91" s="294">
        <v>3</v>
      </c>
      <c r="AZ91" s="266">
        <v>3.99</v>
      </c>
      <c r="BA91" s="276"/>
      <c r="BB91" s="276"/>
      <c r="BC91" s="280">
        <v>43433</v>
      </c>
      <c r="BD91" s="154"/>
      <c r="BE91" s="154"/>
      <c r="BF91" s="154"/>
    </row>
    <row r="92" spans="37:58" x14ac:dyDescent="0.25">
      <c r="AK92" s="261" t="s">
        <v>543</v>
      </c>
      <c r="AL92" s="255">
        <v>17</v>
      </c>
      <c r="AM92" s="262">
        <v>172</v>
      </c>
      <c r="AN92" s="287"/>
      <c r="AO92" s="276"/>
      <c r="AP92" s="265">
        <v>0.99</v>
      </c>
      <c r="AQ92" s="276"/>
      <c r="AR92" s="265">
        <v>3.99</v>
      </c>
      <c r="AS92" s="293">
        <v>2</v>
      </c>
      <c r="AT92" s="266">
        <v>2.99</v>
      </c>
      <c r="AU92" s="296">
        <v>5</v>
      </c>
      <c r="AV92" s="277">
        <v>6.99</v>
      </c>
      <c r="AW92" s="294">
        <v>5</v>
      </c>
      <c r="AX92" s="267">
        <v>5.99</v>
      </c>
      <c r="AY92" s="297">
        <v>6</v>
      </c>
      <c r="AZ92" s="270">
        <v>6.99</v>
      </c>
      <c r="BA92" s="294">
        <v>4</v>
      </c>
      <c r="BB92" s="266">
        <v>4.99</v>
      </c>
      <c r="BC92" s="280">
        <v>43472</v>
      </c>
      <c r="BD92" s="154"/>
      <c r="BE92" s="154"/>
      <c r="BF92" s="154"/>
    </row>
    <row r="93" spans="37:58" x14ac:dyDescent="0.25">
      <c r="AK93" s="261" t="s">
        <v>544</v>
      </c>
      <c r="AL93" s="255">
        <v>16</v>
      </c>
      <c r="AM93" s="262">
        <v>271</v>
      </c>
      <c r="AN93" s="287"/>
      <c r="AO93" s="276"/>
      <c r="AP93" s="265">
        <v>1.99</v>
      </c>
      <c r="AQ93" s="294">
        <v>5.0999999999999996</v>
      </c>
      <c r="AR93" s="267">
        <v>5.99</v>
      </c>
      <c r="AS93" s="297">
        <v>6.5</v>
      </c>
      <c r="AT93" s="270">
        <v>6.99</v>
      </c>
      <c r="AU93" s="294">
        <v>3</v>
      </c>
      <c r="AV93" s="266">
        <v>3.99</v>
      </c>
      <c r="AW93" s="293">
        <v>2</v>
      </c>
      <c r="AX93" s="266">
        <v>2.99</v>
      </c>
      <c r="AY93" s="294">
        <v>3</v>
      </c>
      <c r="AZ93" s="266">
        <v>3.99</v>
      </c>
      <c r="BA93" s="276"/>
      <c r="BB93" s="276"/>
      <c r="BC93" s="280">
        <v>43485</v>
      </c>
      <c r="BD93" s="154"/>
      <c r="BE93" s="154"/>
      <c r="BF93" s="154"/>
    </row>
    <row r="94" spans="37:58" x14ac:dyDescent="0.25">
      <c r="AK94" s="261" t="s">
        <v>545</v>
      </c>
      <c r="AL94" s="255">
        <v>18</v>
      </c>
      <c r="AM94" s="262">
        <v>257</v>
      </c>
      <c r="AN94" s="287"/>
      <c r="AO94" s="276"/>
      <c r="AP94" s="265">
        <v>1.99</v>
      </c>
      <c r="AQ94" s="276"/>
      <c r="AR94" s="265">
        <v>4.99</v>
      </c>
      <c r="AS94" s="296">
        <v>5</v>
      </c>
      <c r="AT94" s="277">
        <v>6.99</v>
      </c>
      <c r="AU94" s="276"/>
      <c r="AV94" s="265">
        <v>2.99</v>
      </c>
      <c r="AW94" s="294">
        <v>3</v>
      </c>
      <c r="AX94" s="266">
        <v>3.99</v>
      </c>
      <c r="AY94" s="276"/>
      <c r="AZ94" s="277">
        <v>6.99</v>
      </c>
      <c r="BA94" s="293">
        <v>2</v>
      </c>
      <c r="BB94" s="266">
        <v>2.99</v>
      </c>
      <c r="BC94" s="280">
        <v>43644</v>
      </c>
      <c r="BD94" s="154"/>
      <c r="BE94" s="154"/>
      <c r="BF94" s="154"/>
    </row>
    <row r="95" spans="37:58" x14ac:dyDescent="0.25">
      <c r="AK95" s="261" t="s">
        <v>546</v>
      </c>
      <c r="AL95" s="255">
        <v>19</v>
      </c>
      <c r="AM95" s="262">
        <v>148</v>
      </c>
      <c r="AN95" s="287"/>
      <c r="AO95" s="276"/>
      <c r="AP95" s="265">
        <v>1.99</v>
      </c>
      <c r="AQ95" s="294">
        <v>4</v>
      </c>
      <c r="AR95" s="266">
        <v>4.99</v>
      </c>
      <c r="AS95" s="276"/>
      <c r="AT95" s="265">
        <v>4.99</v>
      </c>
      <c r="AU95" s="276"/>
      <c r="AV95" s="265">
        <v>4.99</v>
      </c>
      <c r="AW95" s="294">
        <v>3</v>
      </c>
      <c r="AX95" s="266">
        <v>3.99</v>
      </c>
      <c r="AY95" s="296">
        <v>3</v>
      </c>
      <c r="AZ95" s="265">
        <v>4.99</v>
      </c>
      <c r="BA95" s="294">
        <v>1</v>
      </c>
      <c r="BB95" s="266">
        <v>1.99</v>
      </c>
      <c r="BC95" s="280">
        <v>43644</v>
      </c>
      <c r="BD95" s="154"/>
      <c r="BE95" s="154"/>
      <c r="BF95" s="154"/>
    </row>
    <row r="96" spans="37:58" x14ac:dyDescent="0.25">
      <c r="AK96" s="261" t="s">
        <v>547</v>
      </c>
      <c r="AL96" s="255">
        <v>19</v>
      </c>
      <c r="AM96" s="262">
        <v>135</v>
      </c>
      <c r="AN96" s="287"/>
      <c r="AO96" s="276"/>
      <c r="AP96" s="265">
        <v>0.99</v>
      </c>
      <c r="AQ96" s="294">
        <v>4</v>
      </c>
      <c r="AR96" s="266">
        <v>4.99</v>
      </c>
      <c r="AS96" s="294">
        <v>4</v>
      </c>
      <c r="AT96" s="266">
        <v>4.99</v>
      </c>
      <c r="AU96" s="293">
        <v>2</v>
      </c>
      <c r="AV96" s="266">
        <v>2.99</v>
      </c>
      <c r="AW96" s="276"/>
      <c r="AX96" s="274">
        <v>5.99</v>
      </c>
      <c r="AY96" s="294">
        <v>4</v>
      </c>
      <c r="AZ96" s="266">
        <v>4.99</v>
      </c>
      <c r="BA96" s="293">
        <v>2</v>
      </c>
      <c r="BB96" s="266">
        <v>2.99</v>
      </c>
      <c r="BC96" s="280">
        <v>43644</v>
      </c>
      <c r="BD96" s="154"/>
      <c r="BE96" s="154"/>
      <c r="BF96" s="154"/>
    </row>
    <row r="97" spans="37:58" x14ac:dyDescent="0.25">
      <c r="AK97" s="261" t="s">
        <v>548</v>
      </c>
      <c r="AL97" s="255">
        <v>16</v>
      </c>
      <c r="AM97" s="262">
        <v>167</v>
      </c>
      <c r="AN97" s="287"/>
      <c r="AO97" s="276"/>
      <c r="AP97" s="265">
        <v>0.99</v>
      </c>
      <c r="AQ97" s="294">
        <v>1</v>
      </c>
      <c r="AR97" s="266">
        <v>1.99</v>
      </c>
      <c r="AS97" s="297">
        <v>5</v>
      </c>
      <c r="AT97" s="272">
        <v>5.99</v>
      </c>
      <c r="AU97" s="297">
        <v>6</v>
      </c>
      <c r="AV97" s="270">
        <v>6.99</v>
      </c>
      <c r="AW97" s="297">
        <v>4</v>
      </c>
      <c r="AX97" s="269">
        <v>4.99</v>
      </c>
      <c r="AY97" s="297" t="s">
        <v>549</v>
      </c>
      <c r="AZ97" s="269">
        <v>3.99</v>
      </c>
      <c r="BA97" s="276"/>
      <c r="BB97" s="276"/>
      <c r="BC97" s="280">
        <v>43589</v>
      </c>
      <c r="BD97" s="154"/>
      <c r="BE97" s="154"/>
      <c r="BF97" s="154"/>
    </row>
    <row r="98" spans="37:58" x14ac:dyDescent="0.25">
      <c r="AK98" s="261" t="s">
        <v>324</v>
      </c>
      <c r="AL98" s="255">
        <v>18</v>
      </c>
      <c r="AM98" s="262">
        <f>88-444+[1]Jugadores!AM33-112-112-102-6+17-112-5+3-112-35+68-112-112+88-112-8+34-80-7+47-36-112-112-112-27-70-21-2-179+69-112-112+50-112-112</f>
        <v>-2126</v>
      </c>
      <c r="AN98" s="287"/>
      <c r="AO98" s="296">
        <v>4</v>
      </c>
      <c r="AP98" s="277">
        <v>6.99</v>
      </c>
      <c r="AQ98" s="297">
        <v>3</v>
      </c>
      <c r="AR98" s="269">
        <v>3.99</v>
      </c>
      <c r="AS98" s="294">
        <v>0</v>
      </c>
      <c r="AT98" s="266">
        <v>0.99</v>
      </c>
      <c r="AU98" s="294">
        <v>0</v>
      </c>
      <c r="AV98" s="266">
        <v>0.99</v>
      </c>
      <c r="AW98" s="276"/>
      <c r="AX98" s="265">
        <v>1.99</v>
      </c>
      <c r="AY98" s="294">
        <v>1</v>
      </c>
      <c r="AZ98" s="266">
        <v>1.99</v>
      </c>
      <c r="BA98" s="276"/>
      <c r="BB98" s="276"/>
      <c r="BC98" s="280">
        <v>43644</v>
      </c>
      <c r="BD98" s="154"/>
      <c r="BE98" s="154"/>
      <c r="BF98" s="154"/>
    </row>
    <row r="99" spans="37:58" x14ac:dyDescent="0.25">
      <c r="AK99" s="261" t="s">
        <v>550</v>
      </c>
      <c r="AL99" s="255">
        <v>18</v>
      </c>
      <c r="AM99" s="262">
        <f>88-444+[1]Jugadores!AM33-112-112-102-6+17-112-5+3-112-35+68-112-112+88-112-8+34-80-7+47-36-112-112-112-27-70-21-2-179+33+39-112+43-112-112-112</f>
        <v>-2130</v>
      </c>
      <c r="AN99" s="287"/>
      <c r="AO99" s="276"/>
      <c r="AP99" s="276"/>
      <c r="AQ99" s="296">
        <v>5</v>
      </c>
      <c r="AR99" s="277">
        <v>6.99</v>
      </c>
      <c r="AS99" s="294">
        <v>2</v>
      </c>
      <c r="AT99" s="266">
        <v>2.99</v>
      </c>
      <c r="AU99" s="293">
        <v>2</v>
      </c>
      <c r="AV99" s="266">
        <v>2.99</v>
      </c>
      <c r="AW99" s="293">
        <v>2</v>
      </c>
      <c r="AX99" s="266">
        <v>2.99</v>
      </c>
      <c r="AY99" s="297">
        <v>4</v>
      </c>
      <c r="AZ99" s="269">
        <v>4.99</v>
      </c>
      <c r="BA99" s="276"/>
      <c r="BB99" s="276"/>
      <c r="BC99" s="280">
        <v>43644</v>
      </c>
      <c r="BD99" s="154"/>
      <c r="BE99" s="154"/>
      <c r="BF99" s="154"/>
    </row>
    <row r="100" spans="37:58" x14ac:dyDescent="0.25">
      <c r="AK100" s="261" t="s">
        <v>551</v>
      </c>
      <c r="AL100" s="255">
        <v>16</v>
      </c>
      <c r="AM100" s="262">
        <f>88-444+[1]Jugadores!AM33-1629-102</f>
        <v>-2087</v>
      </c>
      <c r="AN100" s="287"/>
      <c r="AO100" s="281"/>
      <c r="AP100" s="281"/>
      <c r="AQ100" s="296">
        <v>5</v>
      </c>
      <c r="AR100" s="277">
        <v>6.99</v>
      </c>
      <c r="AS100" s="294">
        <v>3.3</v>
      </c>
      <c r="AT100" s="266">
        <v>3.99</v>
      </c>
      <c r="AU100" s="297">
        <v>1</v>
      </c>
      <c r="AV100" s="269">
        <v>1.99</v>
      </c>
      <c r="AW100" s="294">
        <v>3</v>
      </c>
      <c r="AX100" s="266">
        <v>3.99</v>
      </c>
      <c r="AY100" s="281"/>
      <c r="AZ100" s="274">
        <v>5.99</v>
      </c>
      <c r="BA100" s="281"/>
      <c r="BB100" s="281"/>
      <c r="BC100" s="280">
        <v>45870</v>
      </c>
      <c r="BD100" s="154"/>
      <c r="BE100" s="154"/>
      <c r="BF100" s="154"/>
    </row>
    <row r="101" spans="37:58" x14ac:dyDescent="0.25">
      <c r="AK101" s="261" t="s">
        <v>552</v>
      </c>
      <c r="AL101" s="255">
        <v>16</v>
      </c>
      <c r="AM101" s="262">
        <f>88-444+[1]Jugadores!AM33-1629-112</f>
        <v>-2097</v>
      </c>
      <c r="AN101" s="287"/>
      <c r="AO101" s="276"/>
      <c r="AP101" s="276"/>
      <c r="AQ101" s="296">
        <v>4</v>
      </c>
      <c r="AR101" s="274">
        <v>5.99</v>
      </c>
      <c r="AS101" s="294">
        <v>3</v>
      </c>
      <c r="AT101" s="266">
        <v>3.99</v>
      </c>
      <c r="AU101" s="294">
        <v>4</v>
      </c>
      <c r="AV101" s="266">
        <v>4.99</v>
      </c>
      <c r="AW101" s="293">
        <v>2</v>
      </c>
      <c r="AX101" s="266">
        <v>2.99</v>
      </c>
      <c r="AY101" s="276"/>
      <c r="AZ101" s="265">
        <v>3.99</v>
      </c>
      <c r="BA101" s="276"/>
      <c r="BB101" s="265">
        <v>4.99</v>
      </c>
      <c r="BC101" s="280">
        <v>45853</v>
      </c>
      <c r="BD101" s="154"/>
      <c r="BE101" s="154"/>
      <c r="BF101" s="154"/>
    </row>
    <row r="102" spans="37:58" x14ac:dyDescent="0.25">
      <c r="AK102" s="261" t="s">
        <v>553</v>
      </c>
      <c r="AL102" s="255">
        <v>16</v>
      </c>
      <c r="AM102" s="262">
        <f>42-584+[1]Jugadores!AM33-112-112+6-112+3-112+21-112+67-112-6-40-34-12-105+55-75+11-112-112+4-112-30-112-112-9-112+100-103-112</f>
        <v>-2145</v>
      </c>
      <c r="AN102" s="287"/>
      <c r="AO102" s="276"/>
      <c r="AP102" s="276"/>
      <c r="AQ102" s="297">
        <v>5</v>
      </c>
      <c r="AR102" s="272">
        <v>5.99</v>
      </c>
      <c r="AS102" s="294">
        <v>4</v>
      </c>
      <c r="AT102" s="266">
        <v>4.99</v>
      </c>
      <c r="AU102" s="276"/>
      <c r="AV102" s="265">
        <v>1.99</v>
      </c>
      <c r="AW102" s="276"/>
      <c r="AX102" s="265">
        <v>3.99</v>
      </c>
      <c r="AY102" s="296">
        <v>3</v>
      </c>
      <c r="AZ102" s="276"/>
      <c r="BA102" s="276"/>
      <c r="BB102" s="276"/>
      <c r="BC102" s="280">
        <v>45901</v>
      </c>
      <c r="BD102" s="154"/>
      <c r="BE102" s="154"/>
      <c r="BF102" s="154"/>
    </row>
    <row r="103" spans="37:58" x14ac:dyDescent="0.25">
      <c r="AK103" s="261" t="s">
        <v>554</v>
      </c>
      <c r="AL103" s="255">
        <v>18</v>
      </c>
      <c r="AM103" s="262">
        <f>42-584+[1]Jugadores!AM33-112-112+6-112+3-112+21-112+67-112-6-40-34-12-105+55+11-112+1-23-112-112-112-115-42-112-112-112</f>
        <v>-2211</v>
      </c>
      <c r="AN103" s="287" t="s">
        <v>0</v>
      </c>
      <c r="AO103" s="276"/>
      <c r="AP103" s="265">
        <v>1.99</v>
      </c>
      <c r="AQ103" s="293">
        <v>2</v>
      </c>
      <c r="AR103" s="266">
        <v>2.99</v>
      </c>
      <c r="AS103" s="293">
        <v>2</v>
      </c>
      <c r="AT103" s="266">
        <v>2.99</v>
      </c>
      <c r="AU103" s="294">
        <v>3</v>
      </c>
      <c r="AV103" s="266">
        <v>3.99</v>
      </c>
      <c r="AW103" s="296">
        <v>4</v>
      </c>
      <c r="AX103" s="274">
        <v>5.99</v>
      </c>
      <c r="AY103" s="276"/>
      <c r="AZ103" s="265">
        <v>3.99</v>
      </c>
      <c r="BA103" s="276"/>
      <c r="BB103" s="265">
        <v>4.99</v>
      </c>
      <c r="BC103" s="280">
        <v>43644</v>
      </c>
      <c r="BD103" s="154"/>
      <c r="BE103" s="154"/>
      <c r="BF103" s="154"/>
    </row>
    <row r="104" spans="37:58" x14ac:dyDescent="0.25">
      <c r="AK104" s="261" t="s">
        <v>555</v>
      </c>
      <c r="AL104" s="255">
        <v>16</v>
      </c>
      <c r="AM104" s="262">
        <f>88-444+[1]Jugadores!AM33-112-112-102-6+17-112-5+3-112-35+68-112-112+88-112-8+34-80-7+47-36-112-57-112+76-112-115-6-112-70-112-112-86+1-80</f>
        <v>-2171</v>
      </c>
      <c r="AN104" s="287" t="s">
        <v>183</v>
      </c>
      <c r="AO104" s="281"/>
      <c r="AP104" s="265">
        <v>1.99</v>
      </c>
      <c r="AQ104" s="293">
        <v>2</v>
      </c>
      <c r="AR104" s="266">
        <v>2.99</v>
      </c>
      <c r="AS104" s="296">
        <v>3</v>
      </c>
      <c r="AT104" s="265">
        <v>4.99</v>
      </c>
      <c r="AU104" s="281"/>
      <c r="AV104" s="277">
        <v>6.99</v>
      </c>
      <c r="AW104" s="281"/>
      <c r="AX104" s="265">
        <v>4.99</v>
      </c>
      <c r="AY104" s="296">
        <v>3</v>
      </c>
      <c r="AZ104" s="265">
        <v>4.99</v>
      </c>
      <c r="BA104" s="281"/>
      <c r="BB104" s="281"/>
      <c r="BC104" s="280">
        <v>45934</v>
      </c>
      <c r="BD104" s="154"/>
      <c r="BE104" s="154"/>
      <c r="BF104" s="154"/>
    </row>
    <row r="105" spans="37:58" x14ac:dyDescent="0.25">
      <c r="AK105" s="261" t="s">
        <v>556</v>
      </c>
      <c r="AL105" s="255">
        <v>17</v>
      </c>
      <c r="AM105" s="262">
        <f>88-444+[1]Jugadores!AM33-112-112-102-6+17-112-5+3-112-35+68-112-112+88-112-8+34-80-7+47-36-112-112-112-27-70-21-2-179+33+15-112-75+7-112+52-28-112-36-112</f>
        <v>-2277</v>
      </c>
      <c r="AN105" s="287"/>
      <c r="AO105" s="276"/>
      <c r="AP105" s="265">
        <v>0.99</v>
      </c>
      <c r="AQ105" s="296">
        <v>4</v>
      </c>
      <c r="AR105" s="274">
        <v>5.99</v>
      </c>
      <c r="AS105" s="294">
        <v>2</v>
      </c>
      <c r="AT105" s="266">
        <v>2.99</v>
      </c>
      <c r="AU105" s="294">
        <v>4</v>
      </c>
      <c r="AV105" s="266">
        <v>4.99</v>
      </c>
      <c r="AW105" s="294">
        <v>2</v>
      </c>
      <c r="AX105" s="266">
        <v>2.99</v>
      </c>
      <c r="AY105" s="296">
        <v>5</v>
      </c>
      <c r="AZ105" s="277">
        <v>6.99</v>
      </c>
      <c r="BA105" s="276"/>
      <c r="BB105" s="276"/>
      <c r="BC105" s="280">
        <v>43644</v>
      </c>
      <c r="BD105" s="154"/>
      <c r="BE105" s="154"/>
      <c r="BF105" s="154"/>
    </row>
    <row r="106" spans="37:58" x14ac:dyDescent="0.25">
      <c r="AK106" s="261" t="s">
        <v>557</v>
      </c>
      <c r="AL106" s="255">
        <v>18</v>
      </c>
      <c r="AM106" s="262">
        <f>42-584+[1]Jugadores!AM33-112-112+6-112+3-112+21-112+67-112-6-40-34-12-105+55+11-112+1-23-112-112-112-115-52-112-112-112</f>
        <v>-2221</v>
      </c>
      <c r="AN106" s="287"/>
      <c r="AO106" s="276"/>
      <c r="AP106" s="265">
        <v>1.99</v>
      </c>
      <c r="AQ106" s="297">
        <v>5</v>
      </c>
      <c r="AR106" s="272">
        <v>5.99</v>
      </c>
      <c r="AS106" s="294">
        <v>4.0999999999999996</v>
      </c>
      <c r="AT106" s="266">
        <v>4.99</v>
      </c>
      <c r="AU106" s="293">
        <v>2</v>
      </c>
      <c r="AV106" s="266">
        <v>2.99</v>
      </c>
      <c r="AW106" s="276"/>
      <c r="AX106" s="274">
        <v>5.99</v>
      </c>
      <c r="AY106" s="297">
        <v>3</v>
      </c>
      <c r="AZ106" s="269">
        <v>3.99</v>
      </c>
      <c r="BA106" s="276"/>
      <c r="BB106" s="265">
        <v>2.99</v>
      </c>
      <c r="BC106" s="280">
        <v>43644</v>
      </c>
      <c r="BD106" s="154"/>
      <c r="BE106" s="154"/>
      <c r="BF106" s="154"/>
    </row>
    <row r="107" spans="37:58" x14ac:dyDescent="0.25">
      <c r="AK107" s="261" t="s">
        <v>558</v>
      </c>
      <c r="AL107" s="255">
        <v>18</v>
      </c>
      <c r="AM107" s="262">
        <f>[1]Jugadores!AM33-2150+2-112</f>
        <v>-2260</v>
      </c>
      <c r="AN107" s="287" t="s">
        <v>94</v>
      </c>
      <c r="AO107" s="276"/>
      <c r="AP107" s="265">
        <v>1.99</v>
      </c>
      <c r="AQ107" s="293">
        <v>2</v>
      </c>
      <c r="AR107" s="266">
        <v>2.99</v>
      </c>
      <c r="AS107" s="294">
        <v>3</v>
      </c>
      <c r="AT107" s="266">
        <v>3.99</v>
      </c>
      <c r="AU107" s="294">
        <v>3</v>
      </c>
      <c r="AV107" s="266">
        <v>3.99</v>
      </c>
      <c r="AW107" s="293">
        <v>2</v>
      </c>
      <c r="AX107" s="266">
        <v>2.99</v>
      </c>
      <c r="AY107" s="294">
        <v>5</v>
      </c>
      <c r="AZ107" s="267">
        <v>5.99</v>
      </c>
      <c r="BA107" s="276"/>
      <c r="BB107" s="276"/>
      <c r="BC107" s="280">
        <v>43644</v>
      </c>
      <c r="BD107" s="154"/>
      <c r="BE107" s="154"/>
      <c r="BF107" s="154"/>
    </row>
    <row r="108" spans="37:58" x14ac:dyDescent="0.25">
      <c r="AK108" s="261" t="s">
        <v>559</v>
      </c>
      <c r="AL108" s="255">
        <v>17</v>
      </c>
      <c r="AM108" s="262">
        <f>88+AK143-2254-112-112</f>
        <v>-2390</v>
      </c>
      <c r="AN108" s="287"/>
      <c r="AO108" s="276"/>
      <c r="AP108" s="265">
        <v>0.99</v>
      </c>
      <c r="AQ108" s="294">
        <v>2</v>
      </c>
      <c r="AR108" s="266">
        <v>2.99</v>
      </c>
      <c r="AS108" s="294">
        <v>4</v>
      </c>
      <c r="AT108" s="266">
        <v>4.99</v>
      </c>
      <c r="AU108" s="294">
        <v>2</v>
      </c>
      <c r="AV108" s="266">
        <v>2.99</v>
      </c>
      <c r="AW108" s="294">
        <v>3</v>
      </c>
      <c r="AX108" s="266">
        <v>3.99</v>
      </c>
      <c r="AY108" s="297">
        <v>5</v>
      </c>
      <c r="AZ108" s="272">
        <v>5.99</v>
      </c>
      <c r="BA108" s="276"/>
      <c r="BB108" s="276"/>
      <c r="BC108" s="280">
        <v>43644</v>
      </c>
      <c r="BD108" s="154"/>
      <c r="BE108" s="154"/>
      <c r="BF108" s="154"/>
    </row>
    <row r="109" spans="37:58" x14ac:dyDescent="0.25">
      <c r="AK109" s="261" t="s">
        <v>560</v>
      </c>
      <c r="AL109" s="255">
        <v>17</v>
      </c>
      <c r="AM109" s="262">
        <f>88-444+[1]Jugadores!AM33-112-112-102-6+17-112-5+3-112-35+68-112-112+88-112-8+34-80-7+47-36-112-112-112-27-70-21-2-179+33+39-112-112+20-112+7-69+8-212-112</f>
        <v>-2419</v>
      </c>
      <c r="AN109" s="287"/>
      <c r="AO109" s="281"/>
      <c r="AP109" s="265">
        <v>0.99</v>
      </c>
      <c r="AQ109" s="297">
        <v>3</v>
      </c>
      <c r="AR109" s="269">
        <v>3.99</v>
      </c>
      <c r="AS109" s="281"/>
      <c r="AT109" s="265">
        <v>3.99</v>
      </c>
      <c r="AU109" s="294">
        <v>6</v>
      </c>
      <c r="AV109" s="267">
        <v>6.99</v>
      </c>
      <c r="AW109" s="294">
        <v>4</v>
      </c>
      <c r="AX109" s="266">
        <v>4.99</v>
      </c>
      <c r="AY109" s="298">
        <v>1</v>
      </c>
      <c r="AZ109" s="269">
        <v>1.99</v>
      </c>
      <c r="BA109" s="281"/>
      <c r="BB109" s="281"/>
      <c r="BC109" s="280">
        <v>46063</v>
      </c>
      <c r="BD109" s="154"/>
      <c r="BE109" s="154"/>
      <c r="BF109" s="154"/>
    </row>
    <row r="110" spans="37:58" x14ac:dyDescent="0.25">
      <c r="AK110" s="261" t="s">
        <v>561</v>
      </c>
      <c r="AL110" s="255">
        <v>16</v>
      </c>
      <c r="AM110" s="262">
        <f>-1500+[1]Jugadores!AM33-770+30-112</f>
        <v>-2352</v>
      </c>
      <c r="AN110" s="287" t="s">
        <v>183</v>
      </c>
      <c r="AO110" s="276"/>
      <c r="AP110" s="265">
        <v>1.99</v>
      </c>
      <c r="AQ110" s="296">
        <v>3</v>
      </c>
      <c r="AR110" s="265">
        <v>4.99</v>
      </c>
      <c r="AS110" s="276"/>
      <c r="AT110" s="265">
        <v>2.99</v>
      </c>
      <c r="AU110" s="294">
        <v>5</v>
      </c>
      <c r="AV110" s="267">
        <v>5.99</v>
      </c>
      <c r="AW110" s="294">
        <v>4</v>
      </c>
      <c r="AX110" s="266">
        <v>4.99</v>
      </c>
      <c r="AY110" s="294">
        <v>4</v>
      </c>
      <c r="AZ110" s="266">
        <v>4.99</v>
      </c>
      <c r="BA110" s="276"/>
      <c r="BB110" s="276"/>
      <c r="BC110" s="280">
        <v>41322</v>
      </c>
      <c r="BD110" s="154"/>
      <c r="BE110" s="154"/>
      <c r="BF110" s="154"/>
    </row>
    <row r="111" spans="37:58" x14ac:dyDescent="0.25">
      <c r="AK111" s="261" t="s">
        <v>562</v>
      </c>
      <c r="AL111" s="255">
        <v>16</v>
      </c>
      <c r="AM111" s="262">
        <f>-1500+[1]Jugadores!AM33-770-112</f>
        <v>-2382</v>
      </c>
      <c r="AN111" s="287" t="s">
        <v>421</v>
      </c>
      <c r="AO111" s="276"/>
      <c r="AP111" s="265">
        <v>1.99</v>
      </c>
      <c r="AQ111" s="296">
        <v>4</v>
      </c>
      <c r="AR111" s="274">
        <v>5.99</v>
      </c>
      <c r="AS111" s="293">
        <v>2</v>
      </c>
      <c r="AT111" s="266">
        <v>2.99</v>
      </c>
      <c r="AU111" s="293">
        <v>2</v>
      </c>
      <c r="AV111" s="266">
        <v>2.99</v>
      </c>
      <c r="AW111" s="297">
        <v>4</v>
      </c>
      <c r="AX111" s="269">
        <v>4.99</v>
      </c>
      <c r="AY111" s="297">
        <v>5</v>
      </c>
      <c r="AZ111" s="272">
        <v>5.99</v>
      </c>
      <c r="BA111" s="276"/>
      <c r="BB111" s="276"/>
      <c r="BC111" s="280">
        <v>46138</v>
      </c>
      <c r="BD111" s="154"/>
      <c r="BE111" s="154"/>
      <c r="BF111" s="154"/>
    </row>
    <row r="112" spans="37:58" x14ac:dyDescent="0.25">
      <c r="AK112" s="261" t="s">
        <v>563</v>
      </c>
      <c r="AL112" s="255">
        <v>16</v>
      </c>
      <c r="AM112" s="262">
        <f>[1]Jugadores!AM33-2100-6-93+31-112-26+34-112</f>
        <v>-2384</v>
      </c>
      <c r="AN112" s="287"/>
      <c r="AO112" s="276"/>
      <c r="AP112" s="265">
        <v>1.99</v>
      </c>
      <c r="AQ112" s="294">
        <v>3</v>
      </c>
      <c r="AR112" s="266">
        <v>3.99</v>
      </c>
      <c r="AS112" s="276"/>
      <c r="AT112" s="265">
        <v>2.99</v>
      </c>
      <c r="AU112" s="297">
        <v>6</v>
      </c>
      <c r="AV112" s="270">
        <v>6.99</v>
      </c>
      <c r="AW112" s="297">
        <v>2</v>
      </c>
      <c r="AX112" s="269">
        <v>2.99</v>
      </c>
      <c r="AY112" s="296">
        <v>4</v>
      </c>
      <c r="AZ112" s="277">
        <v>6.99</v>
      </c>
      <c r="BA112" s="276"/>
      <c r="BB112" s="276"/>
      <c r="BC112" s="280">
        <v>46140</v>
      </c>
      <c r="BD112" s="154"/>
      <c r="BE112" s="154"/>
      <c r="BF112" s="154"/>
    </row>
    <row r="113" spans="37:58" x14ac:dyDescent="0.25">
      <c r="AK113" s="261" t="s">
        <v>564</v>
      </c>
      <c r="AL113" s="255">
        <v>16</v>
      </c>
      <c r="AM113" s="262">
        <f>[1]Jugadores!AM33-2100-6-93+31-112-26-44-112</f>
        <v>-2462</v>
      </c>
      <c r="AN113" s="287" t="s">
        <v>421</v>
      </c>
      <c r="AO113" s="276"/>
      <c r="AP113" s="276"/>
      <c r="AQ113" s="297">
        <v>1</v>
      </c>
      <c r="AR113" s="269">
        <v>1.99</v>
      </c>
      <c r="AS113" s="276"/>
      <c r="AT113" s="265">
        <v>2.99</v>
      </c>
      <c r="AU113" s="294">
        <v>6</v>
      </c>
      <c r="AV113" s="267">
        <v>6.99</v>
      </c>
      <c r="AW113" s="276"/>
      <c r="AX113" s="265">
        <v>2.99</v>
      </c>
      <c r="AY113" s="294">
        <v>4</v>
      </c>
      <c r="AZ113" s="266">
        <v>4.99</v>
      </c>
      <c r="BA113" s="276"/>
      <c r="BB113" s="276"/>
      <c r="BC113" s="280">
        <v>46218</v>
      </c>
      <c r="BD113" s="154"/>
      <c r="BE113" s="154"/>
      <c r="BF113" s="154"/>
    </row>
    <row r="114" spans="37:58" x14ac:dyDescent="0.25">
      <c r="AK114" s="261" t="s">
        <v>565</v>
      </c>
      <c r="AL114" s="255">
        <v>18</v>
      </c>
      <c r="AM114" s="262">
        <f>88+[1]Jugadores!AM33-2254-112-112+6-112-112</f>
        <v>-2608</v>
      </c>
      <c r="AN114" s="287" t="s">
        <v>94</v>
      </c>
      <c r="AO114" s="276"/>
      <c r="AP114" s="276"/>
      <c r="AQ114" s="296">
        <v>5</v>
      </c>
      <c r="AR114" s="277">
        <v>6.99</v>
      </c>
      <c r="AS114" s="296">
        <v>5</v>
      </c>
      <c r="AT114" s="277">
        <v>6.99</v>
      </c>
      <c r="AU114" s="294">
        <v>2</v>
      </c>
      <c r="AV114" s="266">
        <v>2.99</v>
      </c>
      <c r="AW114" s="296">
        <v>5</v>
      </c>
      <c r="AX114" s="277">
        <v>6.99</v>
      </c>
      <c r="AY114" s="294">
        <v>3</v>
      </c>
      <c r="AZ114" s="266">
        <v>3.99</v>
      </c>
      <c r="BA114" s="276"/>
      <c r="BB114" s="276"/>
      <c r="BC114" s="280">
        <v>43644</v>
      </c>
      <c r="BD114" s="154"/>
      <c r="BE114" s="154"/>
      <c r="BF114" s="154"/>
    </row>
    <row r="115" spans="37:58" x14ac:dyDescent="0.25">
      <c r="AK115" s="261" t="s">
        <v>566</v>
      </c>
      <c r="AL115" s="255">
        <v>16</v>
      </c>
      <c r="AM115" s="262">
        <f>88+[1]Jugadores!AM33-2254-112-112+6-112</f>
        <v>-2496</v>
      </c>
      <c r="AN115" s="287" t="s">
        <v>183</v>
      </c>
      <c r="AO115" s="276"/>
      <c r="AP115" s="265">
        <v>2.99</v>
      </c>
      <c r="AQ115" s="296">
        <v>4</v>
      </c>
      <c r="AR115" s="277">
        <v>6.99</v>
      </c>
      <c r="AS115" s="276"/>
      <c r="AT115" s="276"/>
      <c r="AU115" s="297">
        <v>3</v>
      </c>
      <c r="AV115" s="269">
        <v>3.99</v>
      </c>
      <c r="AW115" s="276"/>
      <c r="AX115" s="265">
        <v>4.99</v>
      </c>
      <c r="AY115" s="296">
        <v>2</v>
      </c>
      <c r="AZ115" s="276"/>
      <c r="BA115" s="276"/>
      <c r="BB115" s="276"/>
      <c r="BC115" s="280">
        <v>46252</v>
      </c>
      <c r="BD115" s="154"/>
      <c r="BE115" s="154"/>
      <c r="BF115" s="154"/>
    </row>
    <row r="116" spans="37:58" x14ac:dyDescent="0.25">
      <c r="AK116" s="261" t="s">
        <v>406</v>
      </c>
      <c r="AL116" s="255">
        <v>17</v>
      </c>
      <c r="AM116" s="262">
        <v>3</v>
      </c>
      <c r="AN116" s="287"/>
      <c r="AO116" s="276"/>
      <c r="AP116" s="276"/>
      <c r="AQ116" s="297">
        <v>5</v>
      </c>
      <c r="AR116" s="272">
        <v>5.99</v>
      </c>
      <c r="AS116" s="297">
        <v>4</v>
      </c>
      <c r="AT116" s="269">
        <v>4.99</v>
      </c>
      <c r="AU116" s="297">
        <v>5</v>
      </c>
      <c r="AV116" s="272">
        <v>5.99</v>
      </c>
      <c r="AW116" s="294">
        <v>2</v>
      </c>
      <c r="AX116" s="266">
        <v>2.99</v>
      </c>
      <c r="AY116" s="276"/>
      <c r="AZ116" s="265">
        <v>3.99</v>
      </c>
      <c r="BA116" s="276"/>
      <c r="BB116" s="276"/>
      <c r="BC116" s="280">
        <v>43648</v>
      </c>
      <c r="BD116" s="154"/>
      <c r="BE116" s="154"/>
      <c r="BF116" s="154"/>
    </row>
    <row r="117" spans="37:58" x14ac:dyDescent="0.25">
      <c r="AK117" s="437" t="s">
        <v>426</v>
      </c>
      <c r="AL117" s="276">
        <v>17</v>
      </c>
      <c r="AM117" s="438">
        <v>54</v>
      </c>
      <c r="AN117" s="439"/>
      <c r="AO117" s="276"/>
      <c r="AP117" s="265">
        <v>0.99</v>
      </c>
      <c r="AQ117" s="294">
        <v>3</v>
      </c>
      <c r="AR117" s="266">
        <v>3.99</v>
      </c>
      <c r="AS117" s="294">
        <v>4</v>
      </c>
      <c r="AT117" s="266">
        <v>4.99</v>
      </c>
      <c r="AU117" s="296">
        <v>4</v>
      </c>
      <c r="AV117" s="274">
        <v>5.99</v>
      </c>
      <c r="AW117" s="296">
        <v>4</v>
      </c>
      <c r="AX117" s="277">
        <v>6.99</v>
      </c>
      <c r="AY117" s="297">
        <v>5</v>
      </c>
      <c r="AZ117" s="272">
        <v>5.99</v>
      </c>
      <c r="BA117" s="440"/>
      <c r="BB117" s="440"/>
      <c r="BC117" s="254">
        <v>43699</v>
      </c>
      <c r="BD117" s="154"/>
      <c r="BE117" s="154"/>
      <c r="BF117" s="154"/>
    </row>
    <row r="118" spans="37:58" x14ac:dyDescent="0.25">
      <c r="AK118" s="437" t="s">
        <v>409</v>
      </c>
      <c r="AL118" s="276">
        <v>17</v>
      </c>
      <c r="AM118" s="438">
        <v>0</v>
      </c>
      <c r="AN118" s="439"/>
      <c r="AO118" s="276"/>
      <c r="AP118" s="265">
        <v>1.99</v>
      </c>
      <c r="AQ118" s="297">
        <v>5</v>
      </c>
      <c r="AR118" s="272">
        <v>5.99</v>
      </c>
      <c r="AS118" s="276"/>
      <c r="AT118" s="265">
        <v>3.99</v>
      </c>
      <c r="AU118" s="276"/>
      <c r="AV118" s="265">
        <v>2.99</v>
      </c>
      <c r="AW118" s="276"/>
      <c r="AX118" s="265">
        <v>2.99</v>
      </c>
      <c r="AY118" s="276"/>
      <c r="AZ118" s="265">
        <v>3.99</v>
      </c>
      <c r="BA118" s="276"/>
      <c r="BB118" s="265">
        <v>4.99</v>
      </c>
      <c r="BC118" s="254">
        <v>43704</v>
      </c>
      <c r="BD118" s="154"/>
      <c r="BE118" s="154"/>
      <c r="BF118" s="154"/>
    </row>
    <row r="119" spans="37:58" x14ac:dyDescent="0.25">
      <c r="AK119" s="443" t="s">
        <v>418</v>
      </c>
      <c r="AL119" s="276">
        <v>17</v>
      </c>
      <c r="AM119" s="438">
        <v>10</v>
      </c>
      <c r="AN119" s="439" t="s">
        <v>94</v>
      </c>
      <c r="AO119" s="276"/>
      <c r="AP119" s="276"/>
      <c r="AQ119" s="276"/>
      <c r="AR119" s="265">
        <v>3.99</v>
      </c>
      <c r="AS119" s="276"/>
      <c r="AT119" s="265">
        <v>4.99</v>
      </c>
      <c r="AU119" s="297">
        <v>3</v>
      </c>
      <c r="AV119" s="269">
        <v>3.99</v>
      </c>
      <c r="AW119" s="294">
        <v>2</v>
      </c>
      <c r="AX119" s="266">
        <v>2.99</v>
      </c>
      <c r="AY119" s="296">
        <v>6</v>
      </c>
      <c r="AZ119" s="277">
        <v>7</v>
      </c>
      <c r="BA119" s="276"/>
      <c r="BB119" s="276"/>
      <c r="BC119" s="254">
        <v>43730</v>
      </c>
      <c r="BD119" s="154"/>
      <c r="BE119" s="154"/>
      <c r="BF119" s="154"/>
    </row>
    <row r="120" spans="37:58" x14ac:dyDescent="0.25">
      <c r="AK120" s="437" t="s">
        <v>416</v>
      </c>
      <c r="AL120" s="276">
        <v>17</v>
      </c>
      <c r="AM120" s="447">
        <v>13</v>
      </c>
      <c r="AN120" s="439"/>
      <c r="AO120" s="276"/>
      <c r="AP120" s="276"/>
      <c r="AQ120" s="294">
        <v>3</v>
      </c>
      <c r="AR120" s="266">
        <v>3.99</v>
      </c>
      <c r="AS120" s="296">
        <v>4</v>
      </c>
      <c r="AT120" s="274">
        <v>5.99</v>
      </c>
      <c r="AU120" s="294">
        <v>1</v>
      </c>
      <c r="AV120" s="266">
        <v>1.99</v>
      </c>
      <c r="AW120" s="448">
        <v>5</v>
      </c>
      <c r="AX120" s="295">
        <v>5.99</v>
      </c>
      <c r="AY120" s="296">
        <v>6</v>
      </c>
      <c r="AZ120" s="277">
        <v>7</v>
      </c>
      <c r="BA120" s="276"/>
      <c r="BB120" s="276"/>
      <c r="BC120" s="254">
        <v>43744</v>
      </c>
      <c r="BD120" s="154"/>
      <c r="BE120" s="154"/>
      <c r="BF120" s="154"/>
    </row>
  </sheetData>
  <mergeCells count="1">
    <mergeCell ref="G31:N31"/>
  </mergeCells>
  <conditionalFormatting sqref="AC7:AH8 AC3:AH3 AC20:AH28 AC12:AH17">
    <cfRule type="cellIs" dxfId="55" priority="726" stopIfTrue="1" operator="between">
      <formula>4</formula>
      <formula>5</formula>
    </cfRule>
    <cfRule type="cellIs" dxfId="54" priority="727" stopIfTrue="1" operator="lessThan">
      <formula>4</formula>
    </cfRule>
    <cfRule type="cellIs" dxfId="53" priority="728" stopIfTrue="1" operator="greaterThan">
      <formula>5</formula>
    </cfRule>
  </conditionalFormatting>
  <conditionalFormatting sqref="E7:E8 E3 E20:E28 E12:E17">
    <cfRule type="cellIs" dxfId="52" priority="725" stopIfTrue="1" operator="greaterThan">
      <formula>50</formula>
    </cfRule>
  </conditionalFormatting>
  <conditionalFormatting sqref="E7:E8 E3 E20:E28 E12:E17">
    <cfRule type="cellIs" dxfId="51" priority="723" stopIfTrue="1" operator="lessThan">
      <formula>1</formula>
    </cfRule>
    <cfRule type="cellIs" dxfId="50" priority="724" stopIfTrue="1" operator="between">
      <formula>1</formula>
      <formula>50</formula>
    </cfRule>
  </conditionalFormatting>
  <conditionalFormatting sqref="AC12:AH12">
    <cfRule type="cellIs" dxfId="49" priority="714" stopIfTrue="1" operator="between">
      <formula>4</formula>
      <formula>5</formula>
    </cfRule>
    <cfRule type="cellIs" dxfId="48" priority="715" stopIfTrue="1" operator="lessThan">
      <formula>4</formula>
    </cfRule>
    <cfRule type="cellIs" dxfId="47" priority="716" stopIfTrue="1" operator="greaterThan">
      <formula>5</formula>
    </cfRule>
  </conditionalFormatting>
  <conditionalFormatting sqref="AC15:AH15">
    <cfRule type="cellIs" dxfId="46" priority="711" stopIfTrue="1" operator="between">
      <formula>4</formula>
      <formula>5</formula>
    </cfRule>
    <cfRule type="cellIs" dxfId="45" priority="712" stopIfTrue="1" operator="lessThan">
      <formula>4</formula>
    </cfRule>
    <cfRule type="cellIs" dxfId="44" priority="713" stopIfTrue="1" operator="greaterThan">
      <formula>5</formula>
    </cfRule>
  </conditionalFormatting>
  <conditionalFormatting sqref="BC31:BC43">
    <cfRule type="cellIs" dxfId="43" priority="55" stopIfTrue="1" operator="lessThan">
      <formula>4</formula>
    </cfRule>
    <cfRule type="cellIs" dxfId="42" priority="56" stopIfTrue="1" operator="greaterThan">
      <formula>6.4</formula>
    </cfRule>
  </conditionalFormatting>
  <conditionalFormatting sqref="BC31:BC43">
    <cfRule type="cellIs" dxfId="41" priority="53" stopIfTrue="1" operator="lessThan">
      <formula>4</formula>
    </cfRule>
    <cfRule type="cellIs" dxfId="40" priority="54" stopIfTrue="1" operator="greaterThan">
      <formula>6.4</formula>
    </cfRule>
  </conditionalFormatting>
  <conditionalFormatting sqref="BC31:BC43">
    <cfRule type="cellIs" dxfId="39" priority="51" stopIfTrue="1" operator="lessThan">
      <formula>4</formula>
    </cfRule>
    <cfRule type="cellIs" dxfId="38" priority="52" stopIfTrue="1" operator="greaterThan">
      <formula>6.4</formula>
    </cfRule>
  </conditionalFormatting>
  <conditionalFormatting sqref="BC31:BC43">
    <cfRule type="cellIs" dxfId="37" priority="49" stopIfTrue="1" operator="lessThan">
      <formula>4</formula>
    </cfRule>
    <cfRule type="cellIs" dxfId="36" priority="50" stopIfTrue="1" operator="greaterThan">
      <formula>6.4</formula>
    </cfRule>
  </conditionalFormatting>
  <conditionalFormatting sqref="BC31:BC43">
    <cfRule type="cellIs" dxfId="35" priority="47" stopIfTrue="1" operator="lessThan">
      <formula>4</formula>
    </cfRule>
    <cfRule type="cellIs" dxfId="34" priority="48" stopIfTrue="1" operator="greaterThan">
      <formula>6.4</formula>
    </cfRule>
  </conditionalFormatting>
  <conditionalFormatting sqref="BC31:BC43">
    <cfRule type="cellIs" dxfId="33" priority="45" stopIfTrue="1" operator="lessThan">
      <formula>4</formula>
    </cfRule>
    <cfRule type="cellIs" dxfId="32" priority="46" stopIfTrue="1" operator="greaterThan">
      <formula>6.4</formula>
    </cfRule>
  </conditionalFormatting>
  <conditionalFormatting sqref="BC31:BC43">
    <cfRule type="cellIs" dxfId="31" priority="43" stopIfTrue="1" operator="lessThan">
      <formula>4</formula>
    </cfRule>
    <cfRule type="cellIs" dxfId="30" priority="44" stopIfTrue="1" operator="greaterThan">
      <formula>6.4</formula>
    </cfRule>
  </conditionalFormatting>
  <conditionalFormatting sqref="AC13:AH13">
    <cfRule type="cellIs" dxfId="29" priority="32" stopIfTrue="1" operator="between">
      <formula>4</formula>
      <formula>5</formula>
    </cfRule>
    <cfRule type="cellIs" dxfId="28" priority="33" stopIfTrue="1" operator="lessThan">
      <formula>4</formula>
    </cfRule>
    <cfRule type="cellIs" dxfId="27" priority="34" stopIfTrue="1" operator="greaterThan">
      <formula>5</formula>
    </cfRule>
  </conditionalFormatting>
  <conditionalFormatting sqref="E13">
    <cfRule type="cellIs" dxfId="26" priority="28" stopIfTrue="1" operator="greaterThan">
      <formula>50</formula>
    </cfRule>
  </conditionalFormatting>
  <conditionalFormatting sqref="E13">
    <cfRule type="cellIs" dxfId="25" priority="26" stopIfTrue="1" operator="lessThan">
      <formula>1</formula>
    </cfRule>
    <cfRule type="cellIs" dxfId="24" priority="27" stopIfTrue="1" operator="between">
      <formula>1</formula>
      <formula>50</formula>
    </cfRule>
  </conditionalFormatting>
  <conditionalFormatting sqref="X20:Y28 X7:Y8 X3:Y3 X12:Y17">
    <cfRule type="colorScale" priority="5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46A2-3538-4D47-8E5E-2A4A1F671CEC}">
  <sheetPr>
    <tabColor theme="5" tint="0.59999389629810485"/>
  </sheetPr>
  <dimension ref="A1:W19"/>
  <sheetViews>
    <sheetView zoomScale="110" zoomScaleNormal="110" workbookViewId="0">
      <selection activeCell="D17" sqref="D17"/>
    </sheetView>
  </sheetViews>
  <sheetFormatPr baseColWidth="10" defaultRowHeight="15" x14ac:dyDescent="0.25"/>
  <cols>
    <col min="1" max="1" width="23.28515625" style="125" bestFit="1" customWidth="1"/>
    <col min="2" max="2" width="10.85546875" style="125" bestFit="1" customWidth="1"/>
    <col min="3" max="3" width="14.140625" style="125" bestFit="1" customWidth="1"/>
    <col min="4" max="4" width="9.85546875" style="125" bestFit="1" customWidth="1"/>
    <col min="5" max="6" width="14.140625" style="125" bestFit="1" customWidth="1"/>
    <col min="7" max="7" width="5.7109375" style="125" bestFit="1" customWidth="1"/>
    <col min="8" max="8" width="9.28515625" style="125" bestFit="1" customWidth="1"/>
    <col min="9" max="9" width="10.5703125" style="125" bestFit="1" customWidth="1"/>
    <col min="10" max="10" width="9.28515625" style="125" bestFit="1" customWidth="1"/>
    <col min="11" max="11" width="10.5703125" style="125" bestFit="1" customWidth="1"/>
    <col min="12" max="12" width="8.5703125" style="125" bestFit="1" customWidth="1"/>
    <col min="13" max="14" width="6.140625" style="125" bestFit="1" customWidth="1"/>
    <col min="15" max="15" width="7.42578125" style="125" bestFit="1" customWidth="1"/>
    <col min="16" max="18" width="4.5703125" style="125" bestFit="1" customWidth="1"/>
    <col min="19" max="19" width="4.140625" style="125" bestFit="1" customWidth="1"/>
    <col min="20" max="20" width="4.5703125" style="125" bestFit="1" customWidth="1"/>
    <col min="21" max="21" width="4.5703125" style="125" customWidth="1"/>
    <col min="22" max="22" width="27" style="125" bestFit="1" customWidth="1"/>
    <col min="23" max="23" width="11.7109375" style="125" bestFit="1" customWidth="1"/>
  </cols>
  <sheetData>
    <row r="1" spans="1:23" x14ac:dyDescent="0.25">
      <c r="A1" s="499" t="s">
        <v>921</v>
      </c>
      <c r="B1" s="499" t="s">
        <v>832</v>
      </c>
      <c r="C1" s="499" t="s">
        <v>824</v>
      </c>
      <c r="D1" s="499" t="s">
        <v>844</v>
      </c>
      <c r="E1" s="499" t="s">
        <v>826</v>
      </c>
      <c r="F1" s="499" t="s">
        <v>827</v>
      </c>
      <c r="G1" s="499" t="s">
        <v>861</v>
      </c>
      <c r="H1" s="499" t="s">
        <v>11</v>
      </c>
      <c r="I1" s="499" t="s">
        <v>616</v>
      </c>
      <c r="J1" s="499" t="s">
        <v>639</v>
      </c>
      <c r="K1" s="499" t="s">
        <v>640</v>
      </c>
      <c r="L1" s="499" t="s">
        <v>643</v>
      </c>
      <c r="M1" s="499" t="s">
        <v>821</v>
      </c>
      <c r="N1" s="499" t="s">
        <v>822</v>
      </c>
      <c r="O1" s="499" t="s">
        <v>641</v>
      </c>
      <c r="P1" s="499" t="s">
        <v>94</v>
      </c>
      <c r="Q1" s="499" t="s">
        <v>0</v>
      </c>
      <c r="R1" s="499" t="s">
        <v>40</v>
      </c>
      <c r="S1" s="499" t="s">
        <v>421</v>
      </c>
      <c r="T1" s="499" t="s">
        <v>183</v>
      </c>
      <c r="U1" s="499" t="s">
        <v>862</v>
      </c>
      <c r="V1" s="499" t="s">
        <v>595</v>
      </c>
      <c r="W1" s="499" t="s">
        <v>828</v>
      </c>
    </row>
    <row r="2" spans="1:23" x14ac:dyDescent="0.25">
      <c r="A2" s="125" t="s">
        <v>823</v>
      </c>
      <c r="B2" s="141">
        <v>41884</v>
      </c>
      <c r="C2" s="125" t="s">
        <v>825</v>
      </c>
      <c r="D2" s="125" t="s">
        <v>846</v>
      </c>
      <c r="E2" s="500">
        <v>47129110</v>
      </c>
      <c r="F2" s="500">
        <v>36220760</v>
      </c>
      <c r="G2" s="125">
        <v>115</v>
      </c>
      <c r="H2" s="501">
        <v>1109350</v>
      </c>
      <c r="I2" s="500">
        <v>294908</v>
      </c>
      <c r="J2" s="501">
        <v>1036370</v>
      </c>
      <c r="K2" s="500">
        <v>264270</v>
      </c>
      <c r="L2" s="125">
        <v>5.5</v>
      </c>
      <c r="M2" s="125">
        <v>6.5</v>
      </c>
      <c r="N2" s="125">
        <v>5.5</v>
      </c>
      <c r="O2" s="125" t="s">
        <v>860</v>
      </c>
      <c r="P2" s="125">
        <v>0</v>
      </c>
      <c r="Q2" s="125">
        <v>5</v>
      </c>
      <c r="R2" s="125">
        <v>0</v>
      </c>
      <c r="S2" s="125">
        <v>1</v>
      </c>
      <c r="T2" s="125">
        <v>5</v>
      </c>
      <c r="U2" s="125">
        <f>SUM(P2:T2)</f>
        <v>11</v>
      </c>
      <c r="V2" s="125" t="s">
        <v>870</v>
      </c>
      <c r="W2" s="125" t="s">
        <v>829</v>
      </c>
    </row>
    <row r="3" spans="1:23" x14ac:dyDescent="0.25">
      <c r="A3" s="125" t="s">
        <v>830</v>
      </c>
      <c r="B3" s="141">
        <v>39559</v>
      </c>
      <c r="C3" s="125" t="s">
        <v>831</v>
      </c>
      <c r="D3" s="125" t="s">
        <v>845</v>
      </c>
      <c r="E3" s="500">
        <v>256348598</v>
      </c>
      <c r="F3" s="500">
        <v>272162542</v>
      </c>
      <c r="G3" s="125">
        <v>482</v>
      </c>
      <c r="H3" s="501">
        <v>1213540</v>
      </c>
      <c r="I3" s="500">
        <v>226018</v>
      </c>
      <c r="J3" s="501">
        <v>1085590</v>
      </c>
      <c r="K3" s="500">
        <v>181988</v>
      </c>
      <c r="L3" s="125">
        <v>5.75</v>
      </c>
      <c r="M3" s="125">
        <v>6.75</v>
      </c>
      <c r="N3" s="125">
        <v>4.5</v>
      </c>
      <c r="O3" s="125" t="s">
        <v>859</v>
      </c>
      <c r="P3" s="125">
        <v>0</v>
      </c>
      <c r="Q3" s="125">
        <v>1</v>
      </c>
      <c r="R3" s="125">
        <v>1</v>
      </c>
      <c r="S3" s="125">
        <v>1</v>
      </c>
      <c r="T3" s="125">
        <v>1</v>
      </c>
      <c r="U3" s="125">
        <f t="shared" ref="U3:U9" si="0">SUM(P3:T3)</f>
        <v>4</v>
      </c>
      <c r="V3" s="125" t="s">
        <v>869</v>
      </c>
      <c r="W3" s="125" t="s">
        <v>833</v>
      </c>
    </row>
    <row r="4" spans="1:23" x14ac:dyDescent="0.25">
      <c r="A4" s="125" t="s">
        <v>834</v>
      </c>
      <c r="B4" s="141">
        <v>42028</v>
      </c>
      <c r="C4" s="125" t="s">
        <v>835</v>
      </c>
      <c r="D4" s="125" t="s">
        <v>847</v>
      </c>
      <c r="E4" s="500">
        <v>90598139</v>
      </c>
      <c r="F4" s="500">
        <v>95834988</v>
      </c>
      <c r="G4" s="125">
        <v>246</v>
      </c>
      <c r="H4" s="501">
        <v>1323480</v>
      </c>
      <c r="I4" s="500">
        <v>367712</v>
      </c>
      <c r="J4" s="501">
        <v>1200260</v>
      </c>
      <c r="K4" s="500">
        <v>313134</v>
      </c>
      <c r="L4" s="125">
        <v>6</v>
      </c>
      <c r="M4" s="125">
        <v>6</v>
      </c>
      <c r="N4" s="125">
        <v>5.5</v>
      </c>
      <c r="O4" s="125" t="s">
        <v>858</v>
      </c>
      <c r="P4" s="125">
        <v>2</v>
      </c>
      <c r="Q4" s="125">
        <v>1</v>
      </c>
      <c r="R4" s="125">
        <v>0</v>
      </c>
      <c r="S4" s="125">
        <v>3</v>
      </c>
      <c r="T4" s="125">
        <v>0</v>
      </c>
      <c r="U4" s="125">
        <f t="shared" si="0"/>
        <v>6</v>
      </c>
      <c r="V4" s="125" t="s">
        <v>868</v>
      </c>
      <c r="W4" s="125" t="s">
        <v>836</v>
      </c>
    </row>
    <row r="5" spans="1:23" x14ac:dyDescent="0.25">
      <c r="A5" s="125" t="s">
        <v>837</v>
      </c>
      <c r="B5" s="141">
        <v>39638</v>
      </c>
      <c r="C5" s="125" t="s">
        <v>835</v>
      </c>
      <c r="D5" s="125" t="s">
        <v>848</v>
      </c>
      <c r="E5" s="500">
        <v>101904410</v>
      </c>
      <c r="F5" s="500">
        <v>106728274</v>
      </c>
      <c r="G5" s="125">
        <v>369</v>
      </c>
      <c r="H5" s="501">
        <v>1091490</v>
      </c>
      <c r="I5" s="500">
        <v>314820</v>
      </c>
      <c r="J5" s="501">
        <v>1035660</v>
      </c>
      <c r="K5" s="500">
        <v>295298</v>
      </c>
      <c r="L5" s="125">
        <v>5.25</v>
      </c>
      <c r="M5" s="125">
        <v>5</v>
      </c>
      <c r="N5" s="125">
        <v>6.25</v>
      </c>
      <c r="O5" s="125" t="s">
        <v>857</v>
      </c>
      <c r="P5" s="125">
        <v>0</v>
      </c>
      <c r="Q5" s="125">
        <v>2</v>
      </c>
      <c r="R5" s="125">
        <v>0</v>
      </c>
      <c r="S5" s="125">
        <v>2</v>
      </c>
      <c r="T5" s="125">
        <v>0</v>
      </c>
      <c r="U5" s="125">
        <f t="shared" si="0"/>
        <v>4</v>
      </c>
      <c r="V5" s="125" t="s">
        <v>867</v>
      </c>
      <c r="W5" s="125" t="s">
        <v>838</v>
      </c>
    </row>
    <row r="6" spans="1:23" x14ac:dyDescent="0.25">
      <c r="A6" s="125" t="s">
        <v>839</v>
      </c>
      <c r="B6" s="141">
        <v>38176</v>
      </c>
      <c r="C6" s="125" t="s">
        <v>840</v>
      </c>
      <c r="D6" s="125" t="s">
        <v>845</v>
      </c>
      <c r="E6" s="500">
        <v>114552212</v>
      </c>
      <c r="F6" s="500">
        <v>106068085</v>
      </c>
      <c r="G6" s="125">
        <v>332</v>
      </c>
      <c r="H6" s="501">
        <v>613770</v>
      </c>
      <c r="I6" s="500">
        <v>214342</v>
      </c>
      <c r="J6" s="501">
        <v>594970</v>
      </c>
      <c r="K6" s="500">
        <v>196056</v>
      </c>
      <c r="L6" s="125">
        <v>5.75</v>
      </c>
      <c r="M6" s="125">
        <v>6.5</v>
      </c>
      <c r="N6" s="125">
        <v>5.25</v>
      </c>
      <c r="O6" s="125" t="s">
        <v>856</v>
      </c>
      <c r="P6" s="125">
        <v>0</v>
      </c>
      <c r="Q6" s="125">
        <v>2</v>
      </c>
      <c r="R6" s="125">
        <v>2</v>
      </c>
      <c r="S6" s="125">
        <v>0</v>
      </c>
      <c r="T6" s="125">
        <v>0</v>
      </c>
      <c r="U6" s="125">
        <f t="shared" si="0"/>
        <v>4</v>
      </c>
      <c r="V6" s="125" t="s">
        <v>866</v>
      </c>
      <c r="W6" s="125" t="s">
        <v>841</v>
      </c>
    </row>
    <row r="7" spans="1:23" x14ac:dyDescent="0.25">
      <c r="A7" s="125" t="s">
        <v>842</v>
      </c>
      <c r="B7" s="141">
        <v>37938</v>
      </c>
      <c r="C7" s="125" t="s">
        <v>843</v>
      </c>
      <c r="D7" s="125" t="s">
        <v>845</v>
      </c>
      <c r="E7" s="500">
        <v>152808114</v>
      </c>
      <c r="F7" s="500">
        <v>152569289</v>
      </c>
      <c r="G7" s="125">
        <v>454</v>
      </c>
      <c r="H7" s="501">
        <v>735430</v>
      </c>
      <c r="I7" s="500">
        <v>218146</v>
      </c>
      <c r="J7" s="501">
        <v>656840</v>
      </c>
      <c r="K7" s="500">
        <v>183738</v>
      </c>
      <c r="L7" s="125">
        <v>6.25</v>
      </c>
      <c r="M7" s="125">
        <v>6.5</v>
      </c>
      <c r="N7" s="125">
        <v>5.5</v>
      </c>
      <c r="O7" s="125" t="s">
        <v>855</v>
      </c>
      <c r="P7" s="125">
        <v>0</v>
      </c>
      <c r="Q7" s="125">
        <v>0</v>
      </c>
      <c r="R7" s="125">
        <v>0</v>
      </c>
      <c r="S7" s="125">
        <v>2</v>
      </c>
      <c r="T7" s="125">
        <v>1</v>
      </c>
      <c r="U7" s="125">
        <f t="shared" si="0"/>
        <v>3</v>
      </c>
      <c r="V7" s="125" t="s">
        <v>865</v>
      </c>
      <c r="W7" s="125">
        <v>352</v>
      </c>
    </row>
    <row r="8" spans="1:23" x14ac:dyDescent="0.25">
      <c r="A8" s="125" t="s">
        <v>849</v>
      </c>
      <c r="B8" s="141">
        <v>40968</v>
      </c>
      <c r="C8" s="125" t="s">
        <v>840</v>
      </c>
      <c r="D8" s="125" t="s">
        <v>850</v>
      </c>
      <c r="E8" s="500">
        <v>37248599</v>
      </c>
      <c r="F8" s="500">
        <v>18434858</v>
      </c>
      <c r="G8" s="125">
        <v>83</v>
      </c>
      <c r="H8" s="501">
        <v>926910</v>
      </c>
      <c r="I8" s="500">
        <v>175590</v>
      </c>
      <c r="J8" s="501">
        <v>811840</v>
      </c>
      <c r="K8" s="500">
        <v>152758</v>
      </c>
      <c r="L8" s="125">
        <v>6</v>
      </c>
      <c r="M8" s="125">
        <v>5.75</v>
      </c>
      <c r="N8" s="125">
        <v>5.75</v>
      </c>
      <c r="O8" s="125" t="s">
        <v>854</v>
      </c>
      <c r="P8" s="125">
        <v>1</v>
      </c>
      <c r="Q8" s="125">
        <v>0</v>
      </c>
      <c r="R8" s="125">
        <v>2</v>
      </c>
      <c r="S8" s="125">
        <v>4</v>
      </c>
      <c r="T8" s="125">
        <v>1</v>
      </c>
      <c r="U8" s="125">
        <f t="shared" si="0"/>
        <v>8</v>
      </c>
      <c r="V8" s="125" t="s">
        <v>864</v>
      </c>
      <c r="W8" s="125" t="s">
        <v>829</v>
      </c>
    </row>
    <row r="9" spans="1:23" x14ac:dyDescent="0.25">
      <c r="A9" s="143" t="s">
        <v>369</v>
      </c>
      <c r="B9" s="141">
        <v>40792</v>
      </c>
      <c r="C9" s="125" t="s">
        <v>843</v>
      </c>
      <c r="D9" s="125" t="s">
        <v>851</v>
      </c>
      <c r="E9" s="500">
        <v>276071009</v>
      </c>
      <c r="F9" s="500">
        <v>299255460</v>
      </c>
      <c r="G9" s="125">
        <v>893</v>
      </c>
      <c r="H9" s="501">
        <v>1389140</v>
      </c>
      <c r="I9" s="500">
        <v>226850</v>
      </c>
      <c r="J9" s="501">
        <v>1203640</v>
      </c>
      <c r="K9" s="500">
        <v>176410</v>
      </c>
      <c r="L9" s="125">
        <v>5.25</v>
      </c>
      <c r="M9" s="125">
        <v>6.25</v>
      </c>
      <c r="N9" s="125">
        <v>4.5</v>
      </c>
      <c r="O9" s="125" t="s">
        <v>853</v>
      </c>
      <c r="P9" s="125">
        <v>1</v>
      </c>
      <c r="Q9" s="125">
        <v>1</v>
      </c>
      <c r="R9" s="125">
        <v>3</v>
      </c>
      <c r="S9" s="125">
        <v>0</v>
      </c>
      <c r="T9" s="125">
        <v>6</v>
      </c>
      <c r="U9" s="125">
        <f t="shared" si="0"/>
        <v>11</v>
      </c>
      <c r="V9" s="125" t="s">
        <v>863</v>
      </c>
      <c r="W9" s="125" t="s">
        <v>852</v>
      </c>
    </row>
    <row r="11" spans="1:23" x14ac:dyDescent="0.25">
      <c r="A11" s="499" t="s">
        <v>920</v>
      </c>
      <c r="B11" s="499" t="s">
        <v>832</v>
      </c>
      <c r="C11" s="499" t="s">
        <v>824</v>
      </c>
      <c r="D11" s="499" t="s">
        <v>844</v>
      </c>
      <c r="E11" s="499" t="s">
        <v>826</v>
      </c>
      <c r="F11" s="499" t="s">
        <v>827</v>
      </c>
      <c r="G11" s="499" t="s">
        <v>861</v>
      </c>
      <c r="H11" s="499" t="s">
        <v>11</v>
      </c>
      <c r="I11" s="499" t="s">
        <v>616</v>
      </c>
      <c r="J11" s="499" t="s">
        <v>639</v>
      </c>
      <c r="K11" s="499" t="s">
        <v>640</v>
      </c>
      <c r="L11" s="499" t="s">
        <v>643</v>
      </c>
      <c r="M11" s="499" t="s">
        <v>821</v>
      </c>
      <c r="N11" s="499" t="s">
        <v>822</v>
      </c>
      <c r="O11" s="499" t="s">
        <v>641</v>
      </c>
      <c r="P11" s="499" t="s">
        <v>94</v>
      </c>
      <c r="Q11" s="499" t="s">
        <v>0</v>
      </c>
      <c r="R11" s="499" t="s">
        <v>40</v>
      </c>
      <c r="S11" s="499" t="s">
        <v>421</v>
      </c>
      <c r="T11" s="499" t="s">
        <v>183</v>
      </c>
      <c r="U11" s="499" t="s">
        <v>862</v>
      </c>
      <c r="V11" s="499" t="s">
        <v>595</v>
      </c>
      <c r="W11" s="499" t="s">
        <v>828</v>
      </c>
    </row>
    <row r="12" spans="1:23" x14ac:dyDescent="0.25">
      <c r="A12" s="125" t="s">
        <v>877</v>
      </c>
      <c r="B12" s="141">
        <v>42188</v>
      </c>
      <c r="C12" s="125" t="s">
        <v>878</v>
      </c>
      <c r="D12" s="125" t="s">
        <v>879</v>
      </c>
      <c r="E12" s="500">
        <v>82460995</v>
      </c>
      <c r="F12" s="500">
        <v>96298020</v>
      </c>
      <c r="G12" s="125">
        <v>203</v>
      </c>
      <c r="H12" s="501">
        <v>815450</v>
      </c>
      <c r="I12" s="500">
        <v>255716</v>
      </c>
      <c r="J12" s="501">
        <v>694460</v>
      </c>
      <c r="K12" s="500">
        <v>181616</v>
      </c>
      <c r="L12" s="125">
        <v>5.5</v>
      </c>
      <c r="M12" s="125">
        <v>6.25</v>
      </c>
      <c r="N12" s="125">
        <v>5.5</v>
      </c>
      <c r="O12" s="125" t="s">
        <v>860</v>
      </c>
      <c r="P12" s="125">
        <v>2</v>
      </c>
      <c r="Q12" s="125">
        <v>1</v>
      </c>
      <c r="R12" s="125">
        <v>2</v>
      </c>
      <c r="S12" s="125">
        <v>1</v>
      </c>
      <c r="T12" s="125">
        <v>0</v>
      </c>
      <c r="U12" s="125">
        <f>SUM(P12:T12)</f>
        <v>6</v>
      </c>
      <c r="V12" s="125" t="s">
        <v>865</v>
      </c>
      <c r="W12" s="125" t="s">
        <v>880</v>
      </c>
    </row>
    <row r="13" spans="1:23" x14ac:dyDescent="0.25">
      <c r="A13" s="125" t="s">
        <v>881</v>
      </c>
      <c r="B13" s="141">
        <v>41373</v>
      </c>
      <c r="C13" s="125" t="s">
        <v>882</v>
      </c>
      <c r="D13" s="125" t="s">
        <v>883</v>
      </c>
      <c r="E13" s="500">
        <v>60889118</v>
      </c>
      <c r="F13" s="500">
        <v>48697720</v>
      </c>
      <c r="G13" s="125">
        <v>89</v>
      </c>
      <c r="H13" s="501">
        <v>1177340</v>
      </c>
      <c r="I13" s="500">
        <v>300932</v>
      </c>
      <c r="J13" s="501">
        <v>1140440</v>
      </c>
      <c r="K13" s="500">
        <v>291780</v>
      </c>
      <c r="L13" s="125">
        <v>5.75</v>
      </c>
      <c r="M13" s="125">
        <v>6.25</v>
      </c>
      <c r="N13" s="125">
        <v>6.5</v>
      </c>
      <c r="O13" s="125" t="s">
        <v>858</v>
      </c>
      <c r="P13" s="125">
        <v>0</v>
      </c>
      <c r="Q13" s="125">
        <v>1</v>
      </c>
      <c r="R13" s="125">
        <v>0</v>
      </c>
      <c r="S13" s="125">
        <v>1</v>
      </c>
      <c r="T13" s="125">
        <v>0</v>
      </c>
      <c r="U13" s="125">
        <f t="shared" ref="U13:U19" si="1">SUM(P13:T13)</f>
        <v>2</v>
      </c>
      <c r="V13" s="125" t="s">
        <v>884</v>
      </c>
      <c r="W13" s="125">
        <v>352</v>
      </c>
    </row>
    <row r="14" spans="1:23" x14ac:dyDescent="0.25">
      <c r="A14" s="125" t="s">
        <v>885</v>
      </c>
      <c r="B14" s="141">
        <v>40967</v>
      </c>
      <c r="C14" s="125" t="s">
        <v>878</v>
      </c>
      <c r="D14" s="125" t="s">
        <v>847</v>
      </c>
      <c r="E14" s="500">
        <v>82442500</v>
      </c>
      <c r="F14" s="500">
        <v>87332141</v>
      </c>
      <c r="G14" s="125">
        <v>178</v>
      </c>
      <c r="H14" s="501">
        <v>777010</v>
      </c>
      <c r="I14" s="500">
        <v>290792</v>
      </c>
      <c r="J14" s="501">
        <v>723210</v>
      </c>
      <c r="K14" s="500">
        <v>261158</v>
      </c>
      <c r="L14" s="125">
        <v>5.5</v>
      </c>
      <c r="M14" s="125">
        <v>5.75</v>
      </c>
      <c r="N14" s="125">
        <v>6.75</v>
      </c>
      <c r="O14" s="125" t="s">
        <v>886</v>
      </c>
      <c r="P14" s="125">
        <v>0</v>
      </c>
      <c r="Q14" s="125">
        <v>2</v>
      </c>
      <c r="R14" s="125">
        <v>2</v>
      </c>
      <c r="S14" s="125">
        <v>4</v>
      </c>
      <c r="T14" s="125">
        <v>2</v>
      </c>
      <c r="U14" s="125">
        <f t="shared" si="1"/>
        <v>10</v>
      </c>
      <c r="V14" s="125" t="s">
        <v>866</v>
      </c>
      <c r="W14" s="125">
        <v>352</v>
      </c>
    </row>
    <row r="15" spans="1:23" x14ac:dyDescent="0.25">
      <c r="A15" s="125" t="s">
        <v>887</v>
      </c>
      <c r="B15" s="141">
        <v>38761</v>
      </c>
      <c r="C15" s="125" t="s">
        <v>888</v>
      </c>
      <c r="D15" s="125" t="s">
        <v>889</v>
      </c>
      <c r="E15" s="500">
        <v>338220879</v>
      </c>
      <c r="F15" s="500">
        <v>354040033</v>
      </c>
      <c r="G15" s="125">
        <v>1243</v>
      </c>
      <c r="H15" s="501">
        <v>643900</v>
      </c>
      <c r="I15" s="500">
        <v>150312</v>
      </c>
      <c r="J15" s="501">
        <v>556130</v>
      </c>
      <c r="K15" s="500">
        <v>111082</v>
      </c>
      <c r="L15" s="125">
        <v>6</v>
      </c>
      <c r="M15" s="125">
        <v>6.25</v>
      </c>
      <c r="N15" s="125">
        <v>6.25</v>
      </c>
      <c r="O15" s="125" t="s">
        <v>890</v>
      </c>
      <c r="P15" s="125">
        <v>1</v>
      </c>
      <c r="Q15" s="125">
        <v>4</v>
      </c>
      <c r="R15" s="125">
        <v>1</v>
      </c>
      <c r="S15" s="125">
        <v>1</v>
      </c>
      <c r="T15" s="125">
        <v>0</v>
      </c>
      <c r="U15" s="125">
        <f t="shared" si="1"/>
        <v>7</v>
      </c>
      <c r="V15" s="125" t="s">
        <v>867</v>
      </c>
      <c r="W15" s="125" t="s">
        <v>891</v>
      </c>
    </row>
    <row r="16" spans="1:23" x14ac:dyDescent="0.25">
      <c r="A16" s="125" t="s">
        <v>892</v>
      </c>
      <c r="B16" s="141">
        <v>42114</v>
      </c>
      <c r="C16" s="125" t="s">
        <v>878</v>
      </c>
      <c r="D16" s="125" t="s">
        <v>893</v>
      </c>
      <c r="E16" s="500">
        <v>46709570</v>
      </c>
      <c r="F16" s="500">
        <v>37113808</v>
      </c>
      <c r="G16" s="125">
        <v>218</v>
      </c>
      <c r="H16" s="501">
        <v>829470</v>
      </c>
      <c r="I16" s="500">
        <v>182412</v>
      </c>
      <c r="J16" s="501">
        <v>756500</v>
      </c>
      <c r="K16" s="500">
        <v>160334</v>
      </c>
      <c r="L16" s="125">
        <v>5.25</v>
      </c>
      <c r="M16" s="125">
        <v>6.5</v>
      </c>
      <c r="N16" s="125">
        <v>5</v>
      </c>
      <c r="O16" s="125" t="s">
        <v>894</v>
      </c>
      <c r="P16" s="125">
        <v>2</v>
      </c>
      <c r="Q16" s="125">
        <v>3</v>
      </c>
      <c r="R16" s="125">
        <v>1</v>
      </c>
      <c r="S16" s="125">
        <v>1</v>
      </c>
      <c r="T16" s="125">
        <v>2</v>
      </c>
      <c r="U16" s="125">
        <f t="shared" si="1"/>
        <v>9</v>
      </c>
      <c r="V16" s="125" t="s">
        <v>895</v>
      </c>
      <c r="W16" s="125" t="s">
        <v>896</v>
      </c>
    </row>
    <row r="17" spans="1:23" x14ac:dyDescent="0.25">
      <c r="A17" s="125" t="s">
        <v>897</v>
      </c>
      <c r="B17" s="141">
        <v>42081</v>
      </c>
      <c r="C17" s="125" t="s">
        <v>898</v>
      </c>
      <c r="D17" s="125" t="s">
        <v>879</v>
      </c>
      <c r="E17" s="500">
        <v>65518666</v>
      </c>
      <c r="F17" s="500">
        <v>79171407</v>
      </c>
      <c r="G17" s="125">
        <v>144</v>
      </c>
      <c r="H17" s="501">
        <v>1116530</v>
      </c>
      <c r="I17" s="500">
        <v>355742</v>
      </c>
      <c r="J17" s="501">
        <v>1052690</v>
      </c>
      <c r="K17" s="500">
        <v>319518</v>
      </c>
      <c r="L17" s="125">
        <v>5.25</v>
      </c>
      <c r="M17" s="125">
        <v>6.25</v>
      </c>
      <c r="N17" s="125">
        <v>5.75</v>
      </c>
      <c r="O17" s="125" t="s">
        <v>899</v>
      </c>
      <c r="P17" s="125">
        <v>0</v>
      </c>
      <c r="Q17" s="125">
        <v>2</v>
      </c>
      <c r="R17" s="125">
        <v>0</v>
      </c>
      <c r="S17" s="125">
        <v>1</v>
      </c>
      <c r="T17" s="125">
        <v>1</v>
      </c>
      <c r="U17" s="125">
        <f t="shared" si="1"/>
        <v>4</v>
      </c>
      <c r="V17" s="125" t="s">
        <v>900</v>
      </c>
      <c r="W17" s="125" t="s">
        <v>901</v>
      </c>
    </row>
    <row r="18" spans="1:23" x14ac:dyDescent="0.25">
      <c r="A18" s="125" t="s">
        <v>902</v>
      </c>
      <c r="B18" s="141">
        <v>42987</v>
      </c>
      <c r="C18" s="125" t="s">
        <v>843</v>
      </c>
      <c r="D18" s="125" t="s">
        <v>903</v>
      </c>
      <c r="E18" s="500">
        <v>12127780</v>
      </c>
      <c r="F18" s="500">
        <v>10570244</v>
      </c>
      <c r="G18" s="125">
        <v>41</v>
      </c>
      <c r="H18" s="501">
        <v>485360</v>
      </c>
      <c r="I18" s="500">
        <v>114784</v>
      </c>
      <c r="J18" s="501">
        <v>416940</v>
      </c>
      <c r="K18" s="500">
        <v>101762</v>
      </c>
      <c r="L18" s="125">
        <v>6</v>
      </c>
      <c r="M18" s="125">
        <v>6.5</v>
      </c>
      <c r="N18" s="125">
        <v>3.5</v>
      </c>
      <c r="O18" s="125" t="s">
        <v>904</v>
      </c>
      <c r="P18" s="125">
        <v>4</v>
      </c>
      <c r="Q18" s="125">
        <v>0</v>
      </c>
      <c r="R18" s="125">
        <v>1</v>
      </c>
      <c r="S18" s="125">
        <v>0</v>
      </c>
      <c r="T18" s="125">
        <v>3</v>
      </c>
      <c r="U18" s="125">
        <f t="shared" si="1"/>
        <v>8</v>
      </c>
      <c r="V18" s="125" t="s">
        <v>905</v>
      </c>
      <c r="W18" s="125">
        <v>343</v>
      </c>
    </row>
    <row r="19" spans="1:23" x14ac:dyDescent="0.25">
      <c r="A19" s="143" t="s">
        <v>369</v>
      </c>
      <c r="B19" s="141">
        <v>40792</v>
      </c>
      <c r="C19" s="125" t="s">
        <v>843</v>
      </c>
      <c r="D19" s="125" t="s">
        <v>851</v>
      </c>
      <c r="E19" s="500">
        <v>276071009</v>
      </c>
      <c r="F19" s="500">
        <v>299255460</v>
      </c>
      <c r="G19" s="125">
        <v>893</v>
      </c>
      <c r="H19" s="501">
        <v>1389140</v>
      </c>
      <c r="I19" s="500">
        <v>226850</v>
      </c>
      <c r="J19" s="501">
        <v>1203640</v>
      </c>
      <c r="K19" s="500">
        <v>176410</v>
      </c>
      <c r="L19" s="125">
        <v>5.25</v>
      </c>
      <c r="M19" s="125">
        <v>6.25</v>
      </c>
      <c r="N19" s="125">
        <v>4.5</v>
      </c>
      <c r="O19" s="125" t="s">
        <v>853</v>
      </c>
      <c r="P19" s="125">
        <v>1</v>
      </c>
      <c r="Q19" s="125">
        <v>1</v>
      </c>
      <c r="R19" s="125">
        <v>3</v>
      </c>
      <c r="S19" s="125">
        <v>0</v>
      </c>
      <c r="T19" s="125">
        <v>6</v>
      </c>
      <c r="U19" s="125">
        <f t="shared" si="1"/>
        <v>11</v>
      </c>
      <c r="V19" s="125" t="s">
        <v>863</v>
      </c>
      <c r="W19" s="125" t="s">
        <v>852</v>
      </c>
    </row>
  </sheetData>
  <conditionalFormatting sqref="E2:F9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:H9 J2:J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 K2:K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1">
      <colorScale>
        <cfvo type="min"/>
        <cfvo type="max"/>
        <color rgb="FFFCFCFF"/>
        <color rgb="FFF8696B"/>
      </colorScale>
    </cfRule>
  </conditionalFormatting>
  <conditionalFormatting sqref="M2:M9">
    <cfRule type="colorScale" priority="10">
      <colorScale>
        <cfvo type="min"/>
        <cfvo type="max"/>
        <color rgb="FFFCFCFF"/>
        <color rgb="FFF8696B"/>
      </colorScale>
    </cfRule>
  </conditionalFormatting>
  <conditionalFormatting sqref="N2:N9">
    <cfRule type="colorScale" priority="9">
      <colorScale>
        <cfvo type="min"/>
        <cfvo type="max"/>
        <color rgb="FFFCFCFF"/>
        <color rgb="FF63BE7B"/>
      </colorScale>
    </cfRule>
  </conditionalFormatting>
  <conditionalFormatting sqref="U2:U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7">
      <colorScale>
        <cfvo type="min"/>
        <cfvo type="max"/>
        <color rgb="FFFCFCFF"/>
        <color rgb="FFF8696B"/>
      </colorScale>
    </cfRule>
  </conditionalFormatting>
  <conditionalFormatting sqref="H12:H19 J12:J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9 K1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9">
    <cfRule type="colorScale" priority="4">
      <colorScale>
        <cfvo type="min"/>
        <cfvo type="max"/>
        <color rgb="FFFCFCFF"/>
        <color rgb="FFF8696B"/>
      </colorScale>
    </cfRule>
  </conditionalFormatting>
  <conditionalFormatting sqref="M12:M19">
    <cfRule type="colorScale" priority="3">
      <colorScale>
        <cfvo type="min"/>
        <cfvo type="max"/>
        <color rgb="FFFCFCFF"/>
        <color rgb="FFF8696B"/>
      </colorScale>
    </cfRule>
  </conditionalFormatting>
  <conditionalFormatting sqref="N12:N19">
    <cfRule type="colorScale" priority="2">
      <colorScale>
        <cfvo type="min"/>
        <cfvo type="max"/>
        <color rgb="FFFCFCFF"/>
        <color rgb="FF63BE7B"/>
      </colorScale>
    </cfRule>
  </conditionalFormatting>
  <conditionalFormatting sqref="U12:U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0"/>
  <sheetViews>
    <sheetView zoomScaleNormal="100" workbookViewId="0">
      <selection activeCell="E12" sqref="E12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2" width="4.5703125" bestFit="1" customWidth="1"/>
    <col min="13" max="13" width="5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59" bestFit="1" customWidth="1"/>
    <col min="44" max="45" width="6.140625" style="59" customWidth="1"/>
  </cols>
  <sheetData>
    <row r="1" spans="1:45" x14ac:dyDescent="0.25">
      <c r="N1" s="87">
        <f>SUM(N3:N15)</f>
        <v>192970</v>
      </c>
      <c r="AH1" s="87">
        <f>SUM(AH3:AH15)</f>
        <v>189855.48</v>
      </c>
    </row>
    <row r="2" spans="1:45" x14ac:dyDescent="0.25">
      <c r="A2" s="119" t="s">
        <v>91</v>
      </c>
      <c r="B2" s="119" t="s">
        <v>1</v>
      </c>
      <c r="C2" s="119" t="s">
        <v>59</v>
      </c>
      <c r="D2" s="119" t="s">
        <v>92</v>
      </c>
      <c r="E2" s="119" t="s">
        <v>187</v>
      </c>
      <c r="F2" s="119" t="s">
        <v>188</v>
      </c>
      <c r="G2" s="119" t="s">
        <v>14</v>
      </c>
      <c r="H2" s="119" t="s">
        <v>15</v>
      </c>
      <c r="I2" s="119" t="s">
        <v>16</v>
      </c>
      <c r="J2" s="119" t="s">
        <v>17</v>
      </c>
      <c r="K2" s="119" t="s">
        <v>18</v>
      </c>
      <c r="L2" s="119" t="s">
        <v>19</v>
      </c>
      <c r="M2" s="119" t="s">
        <v>5</v>
      </c>
      <c r="N2" s="119" t="s">
        <v>45</v>
      </c>
      <c r="O2" s="119" t="s">
        <v>189</v>
      </c>
      <c r="P2" s="119" t="s">
        <v>190</v>
      </c>
      <c r="Q2" s="119" t="s">
        <v>191</v>
      </c>
      <c r="R2" s="119" t="s">
        <v>192</v>
      </c>
      <c r="S2" s="119" t="s">
        <v>193</v>
      </c>
      <c r="T2" s="119" t="s">
        <v>194</v>
      </c>
      <c r="U2" s="119" t="s">
        <v>195</v>
      </c>
      <c r="V2" s="119" t="s">
        <v>196</v>
      </c>
      <c r="X2" s="10" t="s">
        <v>91</v>
      </c>
      <c r="Y2" s="10" t="s">
        <v>187</v>
      </c>
      <c r="Z2" s="10" t="s">
        <v>188</v>
      </c>
      <c r="AA2" s="10" t="s">
        <v>14</v>
      </c>
      <c r="AB2" s="10" t="s">
        <v>15</v>
      </c>
      <c r="AC2" s="10" t="s">
        <v>16</v>
      </c>
      <c r="AD2" s="10" t="s">
        <v>17</v>
      </c>
      <c r="AE2" s="10" t="s">
        <v>18</v>
      </c>
      <c r="AF2" s="10" t="s">
        <v>19</v>
      </c>
      <c r="AG2" s="10" t="s">
        <v>5</v>
      </c>
      <c r="AH2" s="10" t="s">
        <v>45</v>
      </c>
      <c r="AI2" s="10" t="s">
        <v>189</v>
      </c>
      <c r="AJ2" s="10" t="s">
        <v>190</v>
      </c>
      <c r="AK2" s="10" t="s">
        <v>191</v>
      </c>
      <c r="AL2" s="10" t="s">
        <v>192</v>
      </c>
      <c r="AM2" s="10" t="s">
        <v>193</v>
      </c>
      <c r="AN2" s="10" t="s">
        <v>194</v>
      </c>
      <c r="AO2" s="10" t="s">
        <v>195</v>
      </c>
      <c r="AP2" s="10" t="s">
        <v>196</v>
      </c>
    </row>
    <row r="3" spans="1:45" x14ac:dyDescent="0.25">
      <c r="A3" t="s">
        <v>25</v>
      </c>
      <c r="B3" s="15" t="s">
        <v>24</v>
      </c>
      <c r="C3" s="17"/>
      <c r="D3" s="17" t="s">
        <v>342</v>
      </c>
      <c r="E3" s="3">
        <f>Plantilla!E4</f>
        <v>23</v>
      </c>
      <c r="F3" s="24">
        <f ca="1">Plantilla!F4</f>
        <v>60</v>
      </c>
      <c r="G3" s="102">
        <f>Plantilla!X4</f>
        <v>15</v>
      </c>
      <c r="H3" s="102">
        <f>Plantilla!Y4</f>
        <v>12.1</v>
      </c>
      <c r="I3" s="102">
        <f>Plantilla!Z4</f>
        <v>0</v>
      </c>
      <c r="J3" s="102">
        <f>Plantilla!AA4</f>
        <v>0</v>
      </c>
      <c r="K3" s="102">
        <f>Plantilla!AB4</f>
        <v>0</v>
      </c>
      <c r="L3" s="102">
        <f>Plantilla!AC4</f>
        <v>1</v>
      </c>
      <c r="M3" s="102">
        <f>Plantilla!AD4</f>
        <v>1</v>
      </c>
      <c r="N3" s="41">
        <f>Plantilla!V4</f>
        <v>28790</v>
      </c>
      <c r="O3" s="115">
        <v>51.5</v>
      </c>
      <c r="P3" s="115">
        <v>57</v>
      </c>
      <c r="Q3" s="115">
        <v>0</v>
      </c>
      <c r="R3" s="86">
        <v>0</v>
      </c>
      <c r="S3" s="86">
        <v>0</v>
      </c>
      <c r="T3" s="86">
        <v>0</v>
      </c>
      <c r="U3" s="86">
        <v>0</v>
      </c>
      <c r="V3" s="450">
        <f>SUM(O3:U3)</f>
        <v>108.5</v>
      </c>
      <c r="X3" t="s">
        <v>25</v>
      </c>
      <c r="Y3" s="17">
        <f>E3</f>
        <v>23</v>
      </c>
      <c r="Z3" s="3">
        <f ca="1">F3+(7*$AR$8)</f>
        <v>60</v>
      </c>
      <c r="AA3" s="60">
        <f>G3</f>
        <v>15</v>
      </c>
      <c r="AB3" s="60">
        <f>11+6/10</f>
        <v>11.6</v>
      </c>
      <c r="AC3" s="60">
        <f t="shared" ref="AB3:AG15" si="0">I3</f>
        <v>0</v>
      </c>
      <c r="AD3" s="60">
        <f t="shared" si="0"/>
        <v>0</v>
      </c>
      <c r="AE3" s="60">
        <f t="shared" si="0"/>
        <v>0</v>
      </c>
      <c r="AF3" s="60">
        <f t="shared" si="0"/>
        <v>1</v>
      </c>
      <c r="AG3" s="60">
        <f t="shared" si="0"/>
        <v>1</v>
      </c>
      <c r="AH3" s="41">
        <f>(24270+2300)*1.008</f>
        <v>26782.560000000001</v>
      </c>
      <c r="AI3" s="115">
        <f>O3</f>
        <v>51.5</v>
      </c>
      <c r="AJ3" s="115">
        <f>P3+$AR$8</f>
        <v>57</v>
      </c>
      <c r="AK3" s="115">
        <f t="shared" ref="AK3:AO3" si="1">Q3</f>
        <v>0</v>
      </c>
      <c r="AL3" s="115">
        <f t="shared" si="1"/>
        <v>0</v>
      </c>
      <c r="AM3" s="115">
        <f t="shared" si="1"/>
        <v>0</v>
      </c>
      <c r="AN3" s="115">
        <f t="shared" si="1"/>
        <v>0</v>
      </c>
      <c r="AO3" s="115">
        <f t="shared" si="1"/>
        <v>0</v>
      </c>
      <c r="AP3" s="450">
        <f>SUM(AI3:AO3)</f>
        <v>108.5</v>
      </c>
    </row>
    <row r="4" spans="1:45" x14ac:dyDescent="0.25">
      <c r="A4" t="s">
        <v>28</v>
      </c>
      <c r="B4" s="15" t="s">
        <v>26</v>
      </c>
      <c r="C4" s="3"/>
      <c r="D4" s="3" t="s">
        <v>333</v>
      </c>
      <c r="E4" s="3">
        <f>Plantilla!E6</f>
        <v>23</v>
      </c>
      <c r="F4" s="3">
        <f ca="1">Plantilla!F6</f>
        <v>57</v>
      </c>
      <c r="G4" s="102">
        <f>Plantilla!X6</f>
        <v>0</v>
      </c>
      <c r="H4" s="102">
        <f>Plantilla!Y6</f>
        <v>15.340972222222222</v>
      </c>
      <c r="I4" s="102">
        <f>Plantilla!Z6</f>
        <v>5</v>
      </c>
      <c r="J4" s="102">
        <f>Plantilla!AA6</f>
        <v>5.4</v>
      </c>
      <c r="K4" s="102">
        <f>Plantilla!AB6</f>
        <v>6</v>
      </c>
      <c r="L4" s="102">
        <f>Plantilla!AC6</f>
        <v>2</v>
      </c>
      <c r="M4" s="102">
        <f>Plantilla!AD6</f>
        <v>1</v>
      </c>
      <c r="N4" s="41">
        <f>Plantilla!V6</f>
        <v>27800</v>
      </c>
      <c r="O4" s="115">
        <v>0</v>
      </c>
      <c r="P4" s="115">
        <f>96+0.28*18/1</f>
        <v>101.04</v>
      </c>
      <c r="Q4" s="115">
        <v>9</v>
      </c>
      <c r="R4" s="86">
        <v>6</v>
      </c>
      <c r="S4" s="86">
        <v>10</v>
      </c>
      <c r="T4" s="86">
        <v>0</v>
      </c>
      <c r="U4" s="86">
        <v>0</v>
      </c>
      <c r="V4" s="450">
        <f t="shared" ref="V4:V13" si="2">SUM(O4:U4)</f>
        <v>126.04</v>
      </c>
      <c r="X4" t="s">
        <v>28</v>
      </c>
      <c r="Y4" s="17">
        <f t="shared" ref="Y4:Y5" si="3">E4</f>
        <v>23</v>
      </c>
      <c r="Z4" s="3">
        <f t="shared" ref="Z4:Z5" ca="1" si="4">F4+(7*$AR$8)</f>
        <v>57</v>
      </c>
      <c r="AA4" s="60">
        <f t="shared" ref="AA4:AA15" si="5">G4</f>
        <v>0</v>
      </c>
      <c r="AB4" s="60">
        <f>15+3/18</f>
        <v>15.166666666666666</v>
      </c>
      <c r="AC4" s="60">
        <f t="shared" si="0"/>
        <v>5</v>
      </c>
      <c r="AD4" s="60">
        <f>5+2/10</f>
        <v>5.2</v>
      </c>
      <c r="AE4" s="60">
        <f t="shared" si="0"/>
        <v>6</v>
      </c>
      <c r="AF4" s="60">
        <f t="shared" si="0"/>
        <v>2</v>
      </c>
      <c r="AG4" s="60">
        <f t="shared" si="0"/>
        <v>1</v>
      </c>
      <c r="AH4" s="41">
        <f>(28000+135+130+135)*1.004</f>
        <v>28513.599999999999</v>
      </c>
      <c r="AI4" s="117">
        <f t="shared" ref="AI4:AI15" si="6">O4</f>
        <v>0</v>
      </c>
      <c r="AJ4" s="117">
        <f t="shared" ref="AJ4:AJ15" si="7">P4+$AR$8</f>
        <v>101.04</v>
      </c>
      <c r="AK4" s="117">
        <f t="shared" ref="AK4:AK15" si="8">Q4</f>
        <v>9</v>
      </c>
      <c r="AL4" s="117">
        <f t="shared" ref="AL4:AL15" si="9">R4</f>
        <v>6</v>
      </c>
      <c r="AM4" s="117">
        <f t="shared" ref="AM4:AM15" si="10">S4</f>
        <v>10</v>
      </c>
      <c r="AN4" s="117">
        <f t="shared" ref="AN4:AN15" si="11">T4</f>
        <v>0</v>
      </c>
      <c r="AO4" s="117">
        <f t="shared" ref="AO4:AO15" si="12">U4</f>
        <v>0</v>
      </c>
      <c r="AP4" s="450">
        <f>SUM(AI4:AO4)</f>
        <v>126.04</v>
      </c>
    </row>
    <row r="5" spans="1:45" x14ac:dyDescent="0.25">
      <c r="A5" t="s">
        <v>29</v>
      </c>
      <c r="B5" s="15" t="s">
        <v>26</v>
      </c>
      <c r="C5" s="3"/>
      <c r="D5" s="3" t="s">
        <v>334</v>
      </c>
      <c r="E5" s="3">
        <f>Plantilla!E8</f>
        <v>23</v>
      </c>
      <c r="F5" s="3">
        <f ca="1">Plantilla!F8</f>
        <v>88</v>
      </c>
      <c r="G5" s="102">
        <f>Plantilla!X8</f>
        <v>0</v>
      </c>
      <c r="H5" s="102">
        <f>Plantilla!Y8</f>
        <v>13.833333333333334</v>
      </c>
      <c r="I5" s="102">
        <f>Plantilla!Z8</f>
        <v>3</v>
      </c>
      <c r="J5" s="102">
        <f>Plantilla!AA8</f>
        <v>7.1999999999999993</v>
      </c>
      <c r="K5" s="102">
        <f>Plantilla!AB8</f>
        <v>10.125</v>
      </c>
      <c r="L5" s="102">
        <f>Plantilla!AC8</f>
        <v>3</v>
      </c>
      <c r="M5" s="102">
        <f>Plantilla!AD8</f>
        <v>2</v>
      </c>
      <c r="N5" s="41">
        <f>Plantilla!V8</f>
        <v>11670</v>
      </c>
      <c r="O5" s="115">
        <v>0</v>
      </c>
      <c r="P5" s="115">
        <v>77</v>
      </c>
      <c r="Q5" s="115">
        <v>3</v>
      </c>
      <c r="R5" s="86">
        <v>11.5</v>
      </c>
      <c r="S5" s="86">
        <v>30</v>
      </c>
      <c r="T5" s="86">
        <v>2</v>
      </c>
      <c r="U5" s="86">
        <v>0</v>
      </c>
      <c r="V5" s="450">
        <f>SUM(O5:U5)</f>
        <v>123.5</v>
      </c>
      <c r="X5" t="s">
        <v>29</v>
      </c>
      <c r="Y5" s="17">
        <f t="shared" si="3"/>
        <v>23</v>
      </c>
      <c r="Z5" s="3">
        <f t="shared" ca="1" si="4"/>
        <v>88</v>
      </c>
      <c r="AA5" s="60">
        <f t="shared" si="5"/>
        <v>0</v>
      </c>
      <c r="AB5" s="60">
        <f>13+5/12</f>
        <v>13.416666666666666</v>
      </c>
      <c r="AC5" s="60">
        <f t="shared" si="0"/>
        <v>3</v>
      </c>
      <c r="AD5" s="60">
        <f>7+1/12</f>
        <v>7.083333333333333</v>
      </c>
      <c r="AE5" s="60">
        <f t="shared" si="0"/>
        <v>10.125</v>
      </c>
      <c r="AF5" s="60">
        <f t="shared" si="0"/>
        <v>3</v>
      </c>
      <c r="AG5" s="60">
        <f t="shared" si="0"/>
        <v>2</v>
      </c>
      <c r="AH5" s="41">
        <f>(195+13000+190)*1.008</f>
        <v>13492.08</v>
      </c>
      <c r="AI5" s="117">
        <f t="shared" si="6"/>
        <v>0</v>
      </c>
      <c r="AJ5" s="117">
        <f t="shared" si="7"/>
        <v>77</v>
      </c>
      <c r="AK5" s="117">
        <f t="shared" si="8"/>
        <v>3</v>
      </c>
      <c r="AL5" s="117">
        <f t="shared" si="9"/>
        <v>11.5</v>
      </c>
      <c r="AM5" s="117">
        <f t="shared" si="10"/>
        <v>30</v>
      </c>
      <c r="AN5" s="117">
        <f t="shared" si="11"/>
        <v>2</v>
      </c>
      <c r="AO5" s="117">
        <f t="shared" si="12"/>
        <v>0</v>
      </c>
      <c r="AP5" s="450">
        <f>SUM(AI5:AO5)</f>
        <v>123.5</v>
      </c>
    </row>
    <row r="6" spans="1:45" x14ac:dyDescent="0.25">
      <c r="A6" t="s">
        <v>35</v>
      </c>
      <c r="B6" s="15" t="s">
        <v>26</v>
      </c>
      <c r="C6" s="3"/>
      <c r="D6" s="3" t="s">
        <v>336</v>
      </c>
      <c r="E6" s="3">
        <f>Plantilla!E7</f>
        <v>23</v>
      </c>
      <c r="F6" s="24">
        <f ca="1">Plantilla!F7</f>
        <v>38</v>
      </c>
      <c r="G6" s="102">
        <f>Plantilla!X7</f>
        <v>0</v>
      </c>
      <c r="H6" s="102">
        <f>Plantilla!Y7</f>
        <v>15.3125</v>
      </c>
      <c r="I6" s="102">
        <f>Plantilla!Z7</f>
        <v>5</v>
      </c>
      <c r="J6" s="102">
        <f>Plantilla!AA7</f>
        <v>7</v>
      </c>
      <c r="K6" s="102">
        <f>Plantilla!AB7</f>
        <v>5.25</v>
      </c>
      <c r="L6" s="102">
        <f>Plantilla!AC7</f>
        <v>1</v>
      </c>
      <c r="M6" s="102">
        <f>Plantilla!AD7</f>
        <v>0</v>
      </c>
      <c r="N6" s="41">
        <f>Plantilla!V7</f>
        <v>29460</v>
      </c>
      <c r="O6" s="115">
        <v>0</v>
      </c>
      <c r="P6" s="115">
        <f>95+0.31*18/1</f>
        <v>100.58</v>
      </c>
      <c r="Q6" s="115">
        <v>9</v>
      </c>
      <c r="R6" s="86">
        <v>10.5</v>
      </c>
      <c r="S6" s="86">
        <v>8</v>
      </c>
      <c r="T6" s="86">
        <v>0</v>
      </c>
      <c r="U6" s="86">
        <v>0</v>
      </c>
      <c r="V6" s="450">
        <f>SUM(O6:U6)</f>
        <v>128.07999999999998</v>
      </c>
      <c r="X6" t="s">
        <v>35</v>
      </c>
      <c r="Y6" s="17">
        <f>E6</f>
        <v>23</v>
      </c>
      <c r="Z6" s="3">
        <f ca="1">F6+(7*$AR$8)</f>
        <v>38</v>
      </c>
      <c r="AA6" s="60">
        <f t="shared" si="5"/>
        <v>0</v>
      </c>
      <c r="AB6" s="60">
        <f>15+3/18</f>
        <v>15.166666666666666</v>
      </c>
      <c r="AC6" s="60">
        <f t="shared" si="0"/>
        <v>5</v>
      </c>
      <c r="AD6" s="60">
        <f>J6+(0.5*AR9)/4</f>
        <v>7</v>
      </c>
      <c r="AE6" s="60">
        <f t="shared" si="0"/>
        <v>5.25</v>
      </c>
      <c r="AF6" s="60">
        <f t="shared" si="0"/>
        <v>1</v>
      </c>
      <c r="AG6" s="60">
        <f t="shared" si="0"/>
        <v>0</v>
      </c>
      <c r="AH6" s="41">
        <f>(28000+135+130+135)*1.004</f>
        <v>28513.599999999999</v>
      </c>
      <c r="AI6" s="117">
        <f t="shared" si="6"/>
        <v>0</v>
      </c>
      <c r="AJ6" s="117">
        <f t="shared" si="7"/>
        <v>100.58</v>
      </c>
      <c r="AK6" s="117">
        <f t="shared" si="8"/>
        <v>9</v>
      </c>
      <c r="AL6" s="117">
        <f t="shared" si="9"/>
        <v>10.5</v>
      </c>
      <c r="AM6" s="117">
        <f t="shared" si="10"/>
        <v>8</v>
      </c>
      <c r="AN6" s="117">
        <f t="shared" si="11"/>
        <v>0</v>
      </c>
      <c r="AO6" s="117">
        <f t="shared" si="12"/>
        <v>0</v>
      </c>
      <c r="AP6" s="450">
        <f>SUM(AI6:AO6)</f>
        <v>128.07999999999998</v>
      </c>
    </row>
    <row r="7" spans="1:45" x14ac:dyDescent="0.25">
      <c r="A7" t="s">
        <v>37</v>
      </c>
      <c r="B7" s="15" t="s">
        <v>26</v>
      </c>
      <c r="C7" s="3"/>
      <c r="D7" s="3" t="s">
        <v>340</v>
      </c>
      <c r="E7" s="3">
        <f>Plantilla!E9</f>
        <v>23</v>
      </c>
      <c r="F7" s="24">
        <f ca="1">Plantilla!F9</f>
        <v>73</v>
      </c>
      <c r="G7" s="102">
        <f>Plantilla!X9</f>
        <v>0</v>
      </c>
      <c r="H7" s="102">
        <f>Plantilla!Y9</f>
        <v>12.090909090909092</v>
      </c>
      <c r="I7" s="102">
        <f>Plantilla!Z9</f>
        <v>11</v>
      </c>
      <c r="J7" s="102">
        <f>Plantilla!AA9</f>
        <v>4</v>
      </c>
      <c r="K7" s="102">
        <f>Plantilla!AB9</f>
        <v>9.1428571428571423</v>
      </c>
      <c r="L7" s="102">
        <f>Plantilla!AC9</f>
        <v>4</v>
      </c>
      <c r="M7" s="102">
        <f>Plantilla!AD9</f>
        <v>1</v>
      </c>
      <c r="N7" s="41">
        <f>Plantilla!V9</f>
        <v>7670</v>
      </c>
      <c r="O7" s="115">
        <v>0</v>
      </c>
      <c r="P7" s="115">
        <v>57</v>
      </c>
      <c r="Q7" s="115">
        <v>40</v>
      </c>
      <c r="R7" s="86">
        <v>3.5</v>
      </c>
      <c r="S7" s="86">
        <v>24</v>
      </c>
      <c r="T7" s="86">
        <v>5</v>
      </c>
      <c r="U7" s="86">
        <v>0</v>
      </c>
      <c r="V7" s="450">
        <f t="shared" si="2"/>
        <v>129.5</v>
      </c>
      <c r="X7" t="s">
        <v>37</v>
      </c>
      <c r="Y7" s="17">
        <f>E7</f>
        <v>23</v>
      </c>
      <c r="Z7" s="3">
        <f ca="1">F7+(7*$AR$8)</f>
        <v>73</v>
      </c>
      <c r="AA7" s="60">
        <f t="shared" si="5"/>
        <v>0</v>
      </c>
      <c r="AB7" s="60">
        <f>11+7/10</f>
        <v>11.7</v>
      </c>
      <c r="AC7" s="60">
        <f t="shared" si="0"/>
        <v>11</v>
      </c>
      <c r="AD7" s="60">
        <f t="shared" si="0"/>
        <v>4</v>
      </c>
      <c r="AE7" s="60">
        <f t="shared" si="0"/>
        <v>9.1428571428571423</v>
      </c>
      <c r="AF7" s="60">
        <f t="shared" si="0"/>
        <v>4</v>
      </c>
      <c r="AG7" s="60">
        <f t="shared" si="0"/>
        <v>1</v>
      </c>
      <c r="AH7" s="41">
        <f>(6800+2505+145)*1.008</f>
        <v>9525.6</v>
      </c>
      <c r="AI7" s="117">
        <f t="shared" si="6"/>
        <v>0</v>
      </c>
      <c r="AJ7" s="117">
        <f t="shared" si="7"/>
        <v>57</v>
      </c>
      <c r="AK7" s="117">
        <f t="shared" si="8"/>
        <v>40</v>
      </c>
      <c r="AL7" s="117">
        <f t="shared" si="9"/>
        <v>3.5</v>
      </c>
      <c r="AM7" s="117">
        <f t="shared" si="10"/>
        <v>24</v>
      </c>
      <c r="AN7" s="117">
        <f t="shared" si="11"/>
        <v>5</v>
      </c>
      <c r="AO7" s="117">
        <f t="shared" si="12"/>
        <v>0</v>
      </c>
      <c r="AP7" s="450">
        <f t="shared" ref="AP7:AP13" si="13">SUM(AI7:AO7)</f>
        <v>129.5</v>
      </c>
      <c r="AR7" s="103" t="s">
        <v>228</v>
      </c>
      <c r="AS7" s="103" t="s">
        <v>229</v>
      </c>
    </row>
    <row r="8" spans="1:45" x14ac:dyDescent="0.25">
      <c r="A8" t="s">
        <v>34</v>
      </c>
      <c r="B8" s="15" t="s">
        <v>26</v>
      </c>
      <c r="C8" s="3"/>
      <c r="D8" s="3" t="s">
        <v>713</v>
      </c>
      <c r="E8" s="3">
        <f>Plantilla!E10</f>
        <v>24</v>
      </c>
      <c r="F8" s="24">
        <f ca="1">Plantilla!F10</f>
        <v>4</v>
      </c>
      <c r="G8" s="102">
        <f>Plantilla!X10</f>
        <v>0</v>
      </c>
      <c r="H8" s="102">
        <f>Plantilla!Y10</f>
        <v>13.75</v>
      </c>
      <c r="I8" s="102">
        <f>Plantilla!Z10</f>
        <v>5</v>
      </c>
      <c r="J8" s="102">
        <f>Plantilla!AA10</f>
        <v>2</v>
      </c>
      <c r="K8" s="102">
        <f>Plantilla!AB10</f>
        <v>10</v>
      </c>
      <c r="L8" s="102">
        <f>Plantilla!AC10</f>
        <v>6</v>
      </c>
      <c r="M8" s="102">
        <f>Plantilla!AD10</f>
        <v>0</v>
      </c>
      <c r="N8" s="41">
        <f>Plantilla!V10</f>
        <v>18390</v>
      </c>
      <c r="O8" s="115">
        <v>0</v>
      </c>
      <c r="P8" s="115">
        <v>76</v>
      </c>
      <c r="Q8" s="115">
        <v>9</v>
      </c>
      <c r="R8" s="86">
        <v>0</v>
      </c>
      <c r="S8" s="86">
        <v>29</v>
      </c>
      <c r="T8" s="86">
        <v>12</v>
      </c>
      <c r="U8" s="86">
        <v>0</v>
      </c>
      <c r="V8" s="450">
        <f t="shared" si="2"/>
        <v>126</v>
      </c>
      <c r="X8" t="s">
        <v>34</v>
      </c>
      <c r="Y8" s="17">
        <f>E8+1</f>
        <v>25</v>
      </c>
      <c r="Z8" s="3">
        <f ca="1">F8+(7*$AR$8)-112</f>
        <v>-108</v>
      </c>
      <c r="AA8" s="60">
        <f t="shared" si="5"/>
        <v>0</v>
      </c>
      <c r="AB8" s="60">
        <f t="shared" si="0"/>
        <v>13.75</v>
      </c>
      <c r="AC8" s="60">
        <f t="shared" si="0"/>
        <v>5</v>
      </c>
      <c r="AD8" s="60">
        <f t="shared" si="0"/>
        <v>2</v>
      </c>
      <c r="AE8" s="60">
        <f t="shared" si="0"/>
        <v>10</v>
      </c>
      <c r="AF8" s="60">
        <f t="shared" si="0"/>
        <v>6</v>
      </c>
      <c r="AG8" s="60">
        <f t="shared" si="0"/>
        <v>0</v>
      </c>
      <c r="AH8" s="41"/>
      <c r="AI8" s="125">
        <f t="shared" ref="AI8" si="14">O8</f>
        <v>0</v>
      </c>
      <c r="AJ8" s="125">
        <f t="shared" ref="AJ8" si="15">P8+$AR$8</f>
        <v>76</v>
      </c>
      <c r="AK8" s="125">
        <f t="shared" ref="AK8" si="16">Q8</f>
        <v>9</v>
      </c>
      <c r="AL8" s="125">
        <f t="shared" ref="AL8" si="17">R8</f>
        <v>0</v>
      </c>
      <c r="AM8" s="125">
        <f t="shared" ref="AM8" si="18">S8</f>
        <v>29</v>
      </c>
      <c r="AN8" s="125">
        <f t="shared" ref="AN8" si="19">T8</f>
        <v>12</v>
      </c>
      <c r="AO8" s="125">
        <f t="shared" ref="AO8" si="20">U8</f>
        <v>0</v>
      </c>
      <c r="AP8" s="450">
        <f t="shared" ref="AP8" si="21">SUM(AI8:AO8)</f>
        <v>126</v>
      </c>
      <c r="AQ8" s="103" t="s">
        <v>26</v>
      </c>
      <c r="AR8" s="59">
        <v>0</v>
      </c>
      <c r="AS8" s="120">
        <f>AR8/16</f>
        <v>0</v>
      </c>
    </row>
    <row r="9" spans="1:45" x14ac:dyDescent="0.25">
      <c r="A9" t="s">
        <v>31</v>
      </c>
      <c r="B9" s="15" t="s">
        <v>26</v>
      </c>
      <c r="C9" s="3" t="s">
        <v>183</v>
      </c>
      <c r="D9" s="3" t="s">
        <v>326</v>
      </c>
      <c r="E9" s="3">
        <f>Plantilla!E11</f>
        <v>23</v>
      </c>
      <c r="F9" s="3">
        <f ca="1">Plantilla!F11</f>
        <v>53</v>
      </c>
      <c r="G9" s="102">
        <f>Plantilla!X11</f>
        <v>0</v>
      </c>
      <c r="H9" s="102">
        <f>Plantilla!Y11</f>
        <v>13.25</v>
      </c>
      <c r="I9" s="102">
        <f>Plantilla!Z11</f>
        <v>4</v>
      </c>
      <c r="J9" s="102">
        <f>Plantilla!AA11</f>
        <v>12.666666666666666</v>
      </c>
      <c r="K9" s="102">
        <f>Plantilla!AB11</f>
        <v>4.5</v>
      </c>
      <c r="L9" s="102">
        <f>Plantilla!AC11</f>
        <v>7</v>
      </c>
      <c r="M9" s="102">
        <f>Plantilla!AD11</f>
        <v>3</v>
      </c>
      <c r="N9" s="41">
        <f>Plantilla!V11</f>
        <v>13050</v>
      </c>
      <c r="O9" s="115">
        <v>0</v>
      </c>
      <c r="P9" s="115">
        <v>70</v>
      </c>
      <c r="Q9" s="115">
        <v>6</v>
      </c>
      <c r="R9" s="86">
        <v>40.5</v>
      </c>
      <c r="S9" s="86">
        <v>6</v>
      </c>
      <c r="T9" s="86">
        <v>16</v>
      </c>
      <c r="U9" s="86">
        <v>1</v>
      </c>
      <c r="V9" s="450">
        <f t="shared" si="2"/>
        <v>139.5</v>
      </c>
      <c r="X9" t="s">
        <v>31</v>
      </c>
      <c r="Y9" s="17">
        <f>E9</f>
        <v>23</v>
      </c>
      <c r="Z9" s="3">
        <f ca="1">F9+(7*$AR$8)</f>
        <v>53</v>
      </c>
      <c r="AA9" s="60">
        <f t="shared" si="5"/>
        <v>0</v>
      </c>
      <c r="AB9" s="60">
        <f>12+10/11</f>
        <v>12.909090909090908</v>
      </c>
      <c r="AC9" s="60">
        <f t="shared" si="0"/>
        <v>4</v>
      </c>
      <c r="AD9" s="60">
        <v>12.5</v>
      </c>
      <c r="AE9" s="60">
        <f t="shared" si="0"/>
        <v>4.5</v>
      </c>
      <c r="AF9" s="60">
        <f t="shared" si="0"/>
        <v>7</v>
      </c>
      <c r="AG9" s="60">
        <f t="shared" si="0"/>
        <v>3</v>
      </c>
      <c r="AH9" s="41">
        <f>(12930+2985+125+125+245)*1.012</f>
        <v>16606.920000000002</v>
      </c>
      <c r="AI9" s="117">
        <f t="shared" si="6"/>
        <v>0</v>
      </c>
      <c r="AJ9" s="117">
        <f t="shared" si="7"/>
        <v>70</v>
      </c>
      <c r="AK9" s="117">
        <f t="shared" si="8"/>
        <v>6</v>
      </c>
      <c r="AL9" s="117">
        <f t="shared" si="9"/>
        <v>40.5</v>
      </c>
      <c r="AM9" s="117">
        <f t="shared" si="10"/>
        <v>6</v>
      </c>
      <c r="AN9" s="117">
        <f t="shared" si="11"/>
        <v>16</v>
      </c>
      <c r="AO9" s="117">
        <f t="shared" si="12"/>
        <v>1</v>
      </c>
      <c r="AP9" s="450">
        <f t="shared" si="13"/>
        <v>139.5</v>
      </c>
      <c r="AR9" s="121"/>
      <c r="AS9" s="121"/>
    </row>
    <row r="10" spans="1:45" x14ac:dyDescent="0.25">
      <c r="A10" t="s">
        <v>27</v>
      </c>
      <c r="B10" s="15" t="s">
        <v>26</v>
      </c>
      <c r="C10" s="3" t="s">
        <v>183</v>
      </c>
      <c r="D10" s="3" t="s">
        <v>198</v>
      </c>
      <c r="E10" s="3">
        <f>Plantilla!E13</f>
        <v>23</v>
      </c>
      <c r="F10" s="3">
        <f ca="1">Plantilla!F13</f>
        <v>53</v>
      </c>
      <c r="G10" s="102">
        <f>Plantilla!X13</f>
        <v>0</v>
      </c>
      <c r="H10" s="102">
        <f>Plantilla!Y13</f>
        <v>12</v>
      </c>
      <c r="I10" s="102">
        <f>Plantilla!Z13</f>
        <v>3</v>
      </c>
      <c r="J10" s="102">
        <f>Plantilla!AA13</f>
        <v>12</v>
      </c>
      <c r="K10" s="102">
        <f>Plantilla!AB13</f>
        <v>6.2000000000000011</v>
      </c>
      <c r="L10" s="102">
        <f>Plantilla!AC13</f>
        <v>7.25</v>
      </c>
      <c r="M10" s="102">
        <f>Plantilla!AD13</f>
        <v>3</v>
      </c>
      <c r="N10" s="41">
        <f>Plantilla!V13</f>
        <v>7790</v>
      </c>
      <c r="O10" s="115">
        <v>0</v>
      </c>
      <c r="P10" s="115">
        <v>56</v>
      </c>
      <c r="Q10" s="115">
        <v>3</v>
      </c>
      <c r="R10" s="86">
        <v>32.5</v>
      </c>
      <c r="S10" s="86">
        <v>11</v>
      </c>
      <c r="T10" s="86">
        <v>17</v>
      </c>
      <c r="U10" s="86">
        <v>1</v>
      </c>
      <c r="V10" s="450">
        <f t="shared" si="2"/>
        <v>120.5</v>
      </c>
      <c r="X10" t="s">
        <v>27</v>
      </c>
      <c r="Y10" s="17">
        <f>E10</f>
        <v>23</v>
      </c>
      <c r="Z10" s="3">
        <f ca="1">F10+(7*$AR$8)</f>
        <v>53</v>
      </c>
      <c r="AA10" s="60">
        <f t="shared" si="5"/>
        <v>0</v>
      </c>
      <c r="AB10" s="60">
        <v>12</v>
      </c>
      <c r="AC10" s="60">
        <f t="shared" si="0"/>
        <v>3</v>
      </c>
      <c r="AD10" s="60">
        <v>11.9</v>
      </c>
      <c r="AE10" s="60">
        <f t="shared" si="0"/>
        <v>6.2000000000000011</v>
      </c>
      <c r="AF10" s="60">
        <f t="shared" si="0"/>
        <v>7.25</v>
      </c>
      <c r="AG10" s="60">
        <f t="shared" si="0"/>
        <v>3</v>
      </c>
      <c r="AH10" s="41">
        <f>(12930+2985+125+125+245)*1.012</f>
        <v>16606.920000000002</v>
      </c>
      <c r="AI10" s="117">
        <f t="shared" si="6"/>
        <v>0</v>
      </c>
      <c r="AJ10" s="117">
        <f t="shared" si="7"/>
        <v>56</v>
      </c>
      <c r="AK10" s="117">
        <f t="shared" si="8"/>
        <v>3</v>
      </c>
      <c r="AL10" s="117">
        <f t="shared" si="9"/>
        <v>32.5</v>
      </c>
      <c r="AM10" s="117">
        <f t="shared" si="10"/>
        <v>11</v>
      </c>
      <c r="AN10" s="117">
        <f t="shared" si="11"/>
        <v>17</v>
      </c>
      <c r="AO10" s="117">
        <f t="shared" si="12"/>
        <v>1</v>
      </c>
      <c r="AP10" s="450">
        <f t="shared" si="13"/>
        <v>120.5</v>
      </c>
      <c r="AR10" s="121"/>
      <c r="AS10" s="121"/>
    </row>
    <row r="11" spans="1:45" x14ac:dyDescent="0.25">
      <c r="A11" t="s">
        <v>38</v>
      </c>
      <c r="B11" s="15" t="s">
        <v>230</v>
      </c>
      <c r="C11" s="3" t="s">
        <v>40</v>
      </c>
      <c r="D11" s="3" t="s">
        <v>763</v>
      </c>
      <c r="E11" s="3">
        <f>Plantilla!E16</f>
        <v>23</v>
      </c>
      <c r="F11" s="24">
        <f ca="1">Plantilla!F16</f>
        <v>23</v>
      </c>
      <c r="G11" s="102">
        <f>Plantilla!X16</f>
        <v>0</v>
      </c>
      <c r="H11" s="102">
        <f>Plantilla!Y16</f>
        <v>12.181818181818182</v>
      </c>
      <c r="I11" s="102">
        <f>Plantilla!Z16</f>
        <v>9</v>
      </c>
      <c r="J11" s="102">
        <f>Plantilla!AA16</f>
        <v>4</v>
      </c>
      <c r="K11" s="102">
        <f>Plantilla!AB16</f>
        <v>6</v>
      </c>
      <c r="L11" s="102">
        <f>Plantilla!AC16</f>
        <v>4</v>
      </c>
      <c r="M11" s="102">
        <f>Plantilla!AD16</f>
        <v>15</v>
      </c>
      <c r="N11" s="41">
        <f>Plantilla!V16</f>
        <v>11340</v>
      </c>
      <c r="O11" s="125">
        <v>0</v>
      </c>
      <c r="P11" s="125">
        <v>58</v>
      </c>
      <c r="Q11" s="125">
        <v>26</v>
      </c>
      <c r="R11" s="86">
        <v>3.5</v>
      </c>
      <c r="S11" s="86">
        <v>10</v>
      </c>
      <c r="T11" s="86">
        <v>5</v>
      </c>
      <c r="U11" s="86">
        <v>18</v>
      </c>
      <c r="V11" s="450">
        <f>SUM(O11:U11)</f>
        <v>120.5</v>
      </c>
      <c r="X11" t="s">
        <v>38</v>
      </c>
      <c r="Y11" s="17">
        <f>E11</f>
        <v>23</v>
      </c>
      <c r="Z11" s="3">
        <f ca="1">F11+(7*$AR$8)</f>
        <v>23</v>
      </c>
      <c r="AA11" s="60">
        <f t="shared" si="5"/>
        <v>0</v>
      </c>
      <c r="AB11" s="60">
        <f>H11+2/10</f>
        <v>12.381818181818181</v>
      </c>
      <c r="AC11" s="60">
        <f t="shared" si="0"/>
        <v>9</v>
      </c>
      <c r="AD11" s="60">
        <f t="shared" si="0"/>
        <v>4</v>
      </c>
      <c r="AE11" s="60">
        <f t="shared" si="0"/>
        <v>6</v>
      </c>
      <c r="AF11" s="60">
        <f t="shared" si="0"/>
        <v>4</v>
      </c>
      <c r="AG11" s="60">
        <f t="shared" si="0"/>
        <v>15</v>
      </c>
      <c r="AH11" s="41">
        <f>N11</f>
        <v>11340</v>
      </c>
      <c r="AI11" s="117">
        <f t="shared" si="6"/>
        <v>0</v>
      </c>
      <c r="AJ11" s="125">
        <f t="shared" si="7"/>
        <v>58</v>
      </c>
      <c r="AK11" s="117">
        <f t="shared" si="8"/>
        <v>26</v>
      </c>
      <c r="AL11" s="117">
        <f t="shared" si="9"/>
        <v>3.5</v>
      </c>
      <c r="AM11" s="117">
        <f t="shared" si="10"/>
        <v>10</v>
      </c>
      <c r="AN11" s="117">
        <f t="shared" si="11"/>
        <v>5</v>
      </c>
      <c r="AO11" s="117">
        <f t="shared" si="12"/>
        <v>18</v>
      </c>
      <c r="AP11" s="450">
        <f t="shared" si="13"/>
        <v>120.5</v>
      </c>
    </row>
    <row r="12" spans="1:45" x14ac:dyDescent="0.25">
      <c r="A12" t="s">
        <v>33</v>
      </c>
      <c r="B12" s="15" t="s">
        <v>230</v>
      </c>
      <c r="C12" s="3"/>
      <c r="D12" s="3"/>
      <c r="E12" s="3"/>
      <c r="F12" s="3"/>
      <c r="G12" s="102">
        <v>0</v>
      </c>
      <c r="H12" s="70">
        <v>2</v>
      </c>
      <c r="I12" s="102">
        <v>2</v>
      </c>
      <c r="J12" s="70">
        <v>2</v>
      </c>
      <c r="K12" s="102">
        <v>2</v>
      </c>
      <c r="L12" s="70">
        <v>2</v>
      </c>
      <c r="M12" s="102">
        <v>2</v>
      </c>
      <c r="N12" s="41"/>
      <c r="O12" s="115">
        <v>0</v>
      </c>
      <c r="P12" s="115">
        <v>0</v>
      </c>
      <c r="Q12" s="115">
        <v>0</v>
      </c>
      <c r="R12" s="86">
        <v>0</v>
      </c>
      <c r="S12" s="86">
        <v>0</v>
      </c>
      <c r="T12" s="86">
        <v>0</v>
      </c>
      <c r="U12" s="86">
        <v>0</v>
      </c>
      <c r="V12" s="450">
        <f t="shared" si="2"/>
        <v>0</v>
      </c>
      <c r="X12" t="s">
        <v>33</v>
      </c>
      <c r="Y12" s="17"/>
      <c r="Z12" s="3"/>
      <c r="AA12" s="60">
        <f t="shared" si="5"/>
        <v>0</v>
      </c>
      <c r="AB12" s="60">
        <f t="shared" si="0"/>
        <v>2</v>
      </c>
      <c r="AC12" s="60">
        <f t="shared" si="0"/>
        <v>2</v>
      </c>
      <c r="AD12" s="60">
        <f t="shared" si="0"/>
        <v>2</v>
      </c>
      <c r="AE12" s="60">
        <f t="shared" si="0"/>
        <v>2</v>
      </c>
      <c r="AF12" s="60">
        <f t="shared" si="0"/>
        <v>2</v>
      </c>
      <c r="AG12" s="60">
        <f t="shared" si="0"/>
        <v>2</v>
      </c>
      <c r="AH12" s="41"/>
      <c r="AI12" s="117">
        <f t="shared" si="6"/>
        <v>0</v>
      </c>
      <c r="AJ12" s="117">
        <v>0</v>
      </c>
      <c r="AK12" s="117">
        <f t="shared" si="8"/>
        <v>0</v>
      </c>
      <c r="AL12" s="117">
        <f t="shared" si="9"/>
        <v>0</v>
      </c>
      <c r="AM12" s="117">
        <f t="shared" si="10"/>
        <v>0</v>
      </c>
      <c r="AN12" s="117">
        <f t="shared" si="11"/>
        <v>0</v>
      </c>
      <c r="AO12" s="117">
        <f t="shared" si="12"/>
        <v>0</v>
      </c>
      <c r="AP12" s="450">
        <f t="shared" si="13"/>
        <v>0</v>
      </c>
    </row>
    <row r="13" spans="1:45" x14ac:dyDescent="0.25">
      <c r="A13" t="s">
        <v>32</v>
      </c>
      <c r="B13" s="15" t="s">
        <v>46</v>
      </c>
      <c r="C13" s="3" t="s">
        <v>40</v>
      </c>
      <c r="D13" s="3" t="s">
        <v>197</v>
      </c>
      <c r="E13" s="3">
        <f>Plantilla!E14</f>
        <v>23</v>
      </c>
      <c r="F13" s="3">
        <f ca="1">Plantilla!F14</f>
        <v>49</v>
      </c>
      <c r="G13" s="102">
        <f>Plantilla!X14</f>
        <v>0</v>
      </c>
      <c r="H13" s="102">
        <f>Plantilla!Y14</f>
        <v>11</v>
      </c>
      <c r="I13" s="102">
        <f>Plantilla!Z14</f>
        <v>5.7</v>
      </c>
      <c r="J13" s="102">
        <f>Plantilla!AA14</f>
        <v>14.124999999999996</v>
      </c>
      <c r="K13" s="102">
        <f>Plantilla!AB14</f>
        <v>6.2</v>
      </c>
      <c r="L13" s="102">
        <f>Plantilla!AC14</f>
        <v>7.5</v>
      </c>
      <c r="M13" s="102">
        <f>Plantilla!AD14</f>
        <v>5</v>
      </c>
      <c r="N13" s="41">
        <f>Plantilla!V14</f>
        <v>14430</v>
      </c>
      <c r="O13" s="115">
        <v>0</v>
      </c>
      <c r="P13" s="115">
        <v>46</v>
      </c>
      <c r="Q13" s="115">
        <v>10.5</v>
      </c>
      <c r="R13" s="86">
        <v>47.5</v>
      </c>
      <c r="S13" s="86">
        <v>11</v>
      </c>
      <c r="T13" s="86">
        <v>18</v>
      </c>
      <c r="U13" s="86">
        <v>3</v>
      </c>
      <c r="V13" s="450">
        <f t="shared" si="2"/>
        <v>136</v>
      </c>
      <c r="X13" t="s">
        <v>32</v>
      </c>
      <c r="Y13" s="17">
        <f>E13</f>
        <v>23</v>
      </c>
      <c r="Z13" s="3">
        <f ca="1">F13+(7*$AR$8)</f>
        <v>49</v>
      </c>
      <c r="AA13" s="60">
        <f t="shared" si="5"/>
        <v>0</v>
      </c>
      <c r="AB13" s="60">
        <f>10+6/9</f>
        <v>10.666666666666666</v>
      </c>
      <c r="AC13" s="60">
        <f t="shared" si="0"/>
        <v>5.7</v>
      </c>
      <c r="AD13" s="60">
        <v>14</v>
      </c>
      <c r="AE13" s="60">
        <f t="shared" si="0"/>
        <v>6.2</v>
      </c>
      <c r="AF13" s="60">
        <f t="shared" si="0"/>
        <v>7.5</v>
      </c>
      <c r="AG13" s="60">
        <f t="shared" si="0"/>
        <v>5</v>
      </c>
      <c r="AH13" s="41">
        <f>(11610+300+145+150+1200)*1.016</f>
        <v>13619.48</v>
      </c>
      <c r="AI13" s="117">
        <f t="shared" si="6"/>
        <v>0</v>
      </c>
      <c r="AJ13" s="117">
        <f t="shared" si="7"/>
        <v>46</v>
      </c>
      <c r="AK13" s="117">
        <f t="shared" si="8"/>
        <v>10.5</v>
      </c>
      <c r="AL13" s="117">
        <f t="shared" si="9"/>
        <v>47.5</v>
      </c>
      <c r="AM13" s="117">
        <f t="shared" si="10"/>
        <v>11</v>
      </c>
      <c r="AN13" s="117">
        <f t="shared" si="11"/>
        <v>18</v>
      </c>
      <c r="AO13" s="117">
        <f t="shared" si="12"/>
        <v>3</v>
      </c>
      <c r="AP13" s="450">
        <f t="shared" si="13"/>
        <v>136</v>
      </c>
    </row>
    <row r="14" spans="1:45" x14ac:dyDescent="0.25">
      <c r="A14" t="s">
        <v>36</v>
      </c>
      <c r="B14" s="15" t="s">
        <v>46</v>
      </c>
      <c r="C14" s="3" t="s">
        <v>40</v>
      </c>
      <c r="D14" s="3" t="s">
        <v>325</v>
      </c>
      <c r="E14" s="3">
        <f>Plantilla!E12</f>
        <v>23</v>
      </c>
      <c r="F14" s="3">
        <f ca="1">Plantilla!F12</f>
        <v>14</v>
      </c>
      <c r="G14" s="102">
        <f>Plantilla!X12</f>
        <v>0</v>
      </c>
      <c r="H14" s="102">
        <f>Plantilla!Y12</f>
        <v>12.5</v>
      </c>
      <c r="I14" s="102">
        <f>Plantilla!Z12</f>
        <v>3</v>
      </c>
      <c r="J14" s="102">
        <f>Plantilla!AA12</f>
        <v>13</v>
      </c>
      <c r="K14" s="102">
        <f>Plantilla!AB12</f>
        <v>7.25</v>
      </c>
      <c r="L14" s="102">
        <f>Plantilla!AC12</f>
        <v>7</v>
      </c>
      <c r="M14" s="102">
        <f>Plantilla!AD12</f>
        <v>3</v>
      </c>
      <c r="N14" s="41">
        <f>Plantilla!V12</f>
        <v>12390</v>
      </c>
      <c r="O14" s="115">
        <v>0</v>
      </c>
      <c r="P14" s="115">
        <v>61</v>
      </c>
      <c r="Q14" s="115">
        <v>3</v>
      </c>
      <c r="R14" s="86">
        <v>39.5</v>
      </c>
      <c r="S14" s="86">
        <v>15</v>
      </c>
      <c r="T14" s="86">
        <v>16</v>
      </c>
      <c r="U14" s="86">
        <v>1</v>
      </c>
      <c r="V14" s="450">
        <f>SUM(O14:U14)</f>
        <v>135.5</v>
      </c>
      <c r="X14" t="s">
        <v>36</v>
      </c>
      <c r="Y14" s="17">
        <f>E14+1</f>
        <v>24</v>
      </c>
      <c r="Z14" s="3">
        <f ca="1">F14+(7*$AR$8)-112</f>
        <v>-98</v>
      </c>
      <c r="AA14" s="60">
        <f t="shared" si="5"/>
        <v>0</v>
      </c>
      <c r="AB14" s="60">
        <f>12+2/11</f>
        <v>12.181818181818182</v>
      </c>
      <c r="AC14" s="60">
        <f t="shared" si="0"/>
        <v>3</v>
      </c>
      <c r="AD14" s="60">
        <f>12+5/6</f>
        <v>12.833333333333334</v>
      </c>
      <c r="AE14" s="60">
        <f t="shared" si="0"/>
        <v>7.25</v>
      </c>
      <c r="AF14" s="60">
        <f t="shared" si="0"/>
        <v>7</v>
      </c>
      <c r="AG14" s="60">
        <f t="shared" si="0"/>
        <v>3</v>
      </c>
      <c r="AH14" s="41">
        <f>(7000+165+125+245+3505)*1.012</f>
        <v>11172.48</v>
      </c>
      <c r="AI14" s="117">
        <f t="shared" si="6"/>
        <v>0</v>
      </c>
      <c r="AJ14" s="117">
        <f t="shared" si="7"/>
        <v>61</v>
      </c>
      <c r="AK14" s="117">
        <f t="shared" si="8"/>
        <v>3</v>
      </c>
      <c r="AL14" s="117">
        <f t="shared" si="9"/>
        <v>39.5</v>
      </c>
      <c r="AM14" s="117">
        <f t="shared" si="10"/>
        <v>15</v>
      </c>
      <c r="AN14" s="117">
        <f t="shared" si="11"/>
        <v>16</v>
      </c>
      <c r="AO14" s="117">
        <f t="shared" si="12"/>
        <v>1</v>
      </c>
      <c r="AP14" s="450">
        <f>SUM(AI14:AO14)</f>
        <v>135.5</v>
      </c>
    </row>
    <row r="15" spans="1:45" x14ac:dyDescent="0.25">
      <c r="A15" t="s">
        <v>30</v>
      </c>
      <c r="B15" s="15" t="s">
        <v>46</v>
      </c>
      <c r="C15" s="3" t="s">
        <v>183</v>
      </c>
      <c r="D15" s="3" t="s">
        <v>199</v>
      </c>
      <c r="E15" s="3">
        <f>Plantilla!E15</f>
        <v>23</v>
      </c>
      <c r="F15" s="3">
        <f ca="1">Plantilla!F15</f>
        <v>49</v>
      </c>
      <c r="G15" s="102">
        <f>Plantilla!X15</f>
        <v>0</v>
      </c>
      <c r="H15" s="102">
        <f>Plantilla!Y15</f>
        <v>11.4</v>
      </c>
      <c r="I15" s="102">
        <f>Plantilla!Z15</f>
        <v>5</v>
      </c>
      <c r="J15" s="102">
        <f>Plantilla!AA15</f>
        <v>13.19</v>
      </c>
      <c r="K15" s="102">
        <f>Plantilla!AB15</f>
        <v>5.25</v>
      </c>
      <c r="L15" s="102">
        <f>Plantilla!AC15</f>
        <v>7.8016666666666676</v>
      </c>
      <c r="M15" s="102">
        <f>Plantilla!AD15</f>
        <v>3</v>
      </c>
      <c r="N15" s="41">
        <f>Plantilla!V15</f>
        <v>10190</v>
      </c>
      <c r="O15" s="115">
        <v>0</v>
      </c>
      <c r="P15" s="115">
        <v>50</v>
      </c>
      <c r="Q15" s="115">
        <v>9</v>
      </c>
      <c r="R15" s="86">
        <v>39.880000000000003</v>
      </c>
      <c r="S15" s="86">
        <v>8</v>
      </c>
      <c r="T15" s="86">
        <v>19</v>
      </c>
      <c r="U15" s="86">
        <v>1</v>
      </c>
      <c r="V15" s="450">
        <f>SUM(O15:U15)</f>
        <v>126.88</v>
      </c>
      <c r="X15" t="s">
        <v>30</v>
      </c>
      <c r="Y15" s="17">
        <f>E15</f>
        <v>23</v>
      </c>
      <c r="Z15" s="3">
        <f ca="1">F15+(7*$AR$8)</f>
        <v>49</v>
      </c>
      <c r="AA15" s="60">
        <f t="shared" si="5"/>
        <v>0</v>
      </c>
      <c r="AB15" s="60">
        <f>11+1/10</f>
        <v>11.1</v>
      </c>
      <c r="AC15" s="60">
        <f t="shared" si="0"/>
        <v>5</v>
      </c>
      <c r="AD15" s="60">
        <f>13+2/6</f>
        <v>13.333333333333334</v>
      </c>
      <c r="AE15" s="60">
        <f t="shared" si="0"/>
        <v>5.25</v>
      </c>
      <c r="AF15" s="60">
        <f t="shared" si="0"/>
        <v>7.8016666666666676</v>
      </c>
      <c r="AG15" s="60">
        <f t="shared" si="0"/>
        <v>3</v>
      </c>
      <c r="AH15" s="41">
        <f>(9000+135+135+350+3900)*1.012</f>
        <v>13682.24</v>
      </c>
      <c r="AI15" s="117">
        <f t="shared" si="6"/>
        <v>0</v>
      </c>
      <c r="AJ15" s="117">
        <f t="shared" si="7"/>
        <v>50</v>
      </c>
      <c r="AK15" s="117">
        <f t="shared" si="8"/>
        <v>9</v>
      </c>
      <c r="AL15" s="117">
        <f t="shared" si="9"/>
        <v>39.880000000000003</v>
      </c>
      <c r="AM15" s="117">
        <f t="shared" si="10"/>
        <v>8</v>
      </c>
      <c r="AN15" s="117">
        <f t="shared" si="11"/>
        <v>19</v>
      </c>
      <c r="AO15" s="117">
        <f t="shared" si="12"/>
        <v>1</v>
      </c>
      <c r="AP15" s="450">
        <f>SUM(AI15:AO15)</f>
        <v>126.88</v>
      </c>
    </row>
    <row r="16" spans="1:45" x14ac:dyDescent="0.25">
      <c r="N16" s="87">
        <f>SUM(N18:N30)</f>
        <v>205501.18000000002</v>
      </c>
      <c r="AH16" s="87">
        <f>SUM(AH18:AH30)</f>
        <v>236304.655</v>
      </c>
    </row>
    <row r="17" spans="1:45" x14ac:dyDescent="0.25">
      <c r="A17" s="10" t="s">
        <v>91</v>
      </c>
      <c r="B17" s="10" t="s">
        <v>1</v>
      </c>
      <c r="C17" s="10" t="s">
        <v>59</v>
      </c>
      <c r="D17" s="10" t="str">
        <f>D2</f>
        <v>Nombre</v>
      </c>
      <c r="E17" s="10" t="str">
        <f>E2</f>
        <v>Año</v>
      </c>
      <c r="F17" s="10" t="str">
        <f>F2</f>
        <v>Dia</v>
      </c>
      <c r="G17" s="10" t="s">
        <v>14</v>
      </c>
      <c r="H17" s="10" t="s">
        <v>15</v>
      </c>
      <c r="I17" s="10" t="s">
        <v>16</v>
      </c>
      <c r="J17" s="10" t="s">
        <v>17</v>
      </c>
      <c r="K17" s="10" t="s">
        <v>18</v>
      </c>
      <c r="L17" s="10" t="s">
        <v>19</v>
      </c>
      <c r="M17" s="10" t="s">
        <v>5</v>
      </c>
      <c r="N17" s="10" t="s">
        <v>45</v>
      </c>
      <c r="O17" s="10" t="s">
        <v>189</v>
      </c>
      <c r="P17" s="10" t="s">
        <v>190</v>
      </c>
      <c r="Q17" s="10" t="s">
        <v>191</v>
      </c>
      <c r="R17" s="10" t="s">
        <v>192</v>
      </c>
      <c r="S17" s="10" t="s">
        <v>193</v>
      </c>
      <c r="T17" s="10" t="s">
        <v>194</v>
      </c>
      <c r="U17" s="10" t="s">
        <v>195</v>
      </c>
      <c r="V17" s="10" t="s">
        <v>196</v>
      </c>
      <c r="X17" s="10" t="s">
        <v>91</v>
      </c>
      <c r="Y17" s="10" t="str">
        <f>Y2</f>
        <v>Año</v>
      </c>
      <c r="Z17" s="10" t="str">
        <f>Z2</f>
        <v>Dia</v>
      </c>
      <c r="AA17" s="10" t="s">
        <v>14</v>
      </c>
      <c r="AB17" s="10" t="s">
        <v>15</v>
      </c>
      <c r="AC17" s="10" t="s">
        <v>16</v>
      </c>
      <c r="AD17" s="10" t="s">
        <v>17</v>
      </c>
      <c r="AE17" s="10" t="s">
        <v>18</v>
      </c>
      <c r="AF17" s="10" t="s">
        <v>19</v>
      </c>
      <c r="AG17" s="10" t="s">
        <v>5</v>
      </c>
      <c r="AH17" s="10" t="s">
        <v>45</v>
      </c>
      <c r="AI17" s="10" t="s">
        <v>189</v>
      </c>
      <c r="AJ17" s="10" t="s">
        <v>190</v>
      </c>
      <c r="AK17" s="10" t="s">
        <v>191</v>
      </c>
      <c r="AL17" s="10" t="s">
        <v>192</v>
      </c>
      <c r="AM17" s="10" t="s">
        <v>193</v>
      </c>
      <c r="AN17" s="10" t="s">
        <v>194</v>
      </c>
      <c r="AO17" s="10" t="s">
        <v>195</v>
      </c>
      <c r="AP17" s="10" t="s">
        <v>196</v>
      </c>
    </row>
    <row r="18" spans="1:45" x14ac:dyDescent="0.25">
      <c r="A18" t="s">
        <v>25</v>
      </c>
      <c r="B18" s="15" t="s">
        <v>24</v>
      </c>
      <c r="C18" s="17"/>
      <c r="D18" s="17" t="str">
        <f>D3</f>
        <v>C. Fonteboa</v>
      </c>
      <c r="E18" s="17">
        <f t="shared" ref="E18:N25" si="22">Y3</f>
        <v>23</v>
      </c>
      <c r="F18" s="17">
        <f t="shared" ca="1" si="22"/>
        <v>60</v>
      </c>
      <c r="G18" s="60">
        <f t="shared" si="22"/>
        <v>15</v>
      </c>
      <c r="H18" s="60">
        <f t="shared" si="22"/>
        <v>11.6</v>
      </c>
      <c r="I18" s="60">
        <f t="shared" si="22"/>
        <v>0</v>
      </c>
      <c r="J18" s="60">
        <f t="shared" si="22"/>
        <v>0</v>
      </c>
      <c r="K18" s="60">
        <f t="shared" si="22"/>
        <v>0</v>
      </c>
      <c r="L18" s="60">
        <f t="shared" si="22"/>
        <v>1</v>
      </c>
      <c r="M18" s="60">
        <f t="shared" si="22"/>
        <v>1</v>
      </c>
      <c r="N18" s="41">
        <f t="shared" si="22"/>
        <v>26782.560000000001</v>
      </c>
      <c r="O18" s="115">
        <f t="shared" ref="O18:U26" si="23">AI3</f>
        <v>51.5</v>
      </c>
      <c r="P18" s="118">
        <f t="shared" si="23"/>
        <v>57</v>
      </c>
      <c r="Q18" s="118">
        <f t="shared" si="23"/>
        <v>0</v>
      </c>
      <c r="R18" s="118">
        <f t="shared" si="23"/>
        <v>0</v>
      </c>
      <c r="S18" s="118">
        <f t="shared" si="23"/>
        <v>0</v>
      </c>
      <c r="T18" s="118">
        <f t="shared" si="23"/>
        <v>0</v>
      </c>
      <c r="U18" s="118">
        <f t="shared" si="23"/>
        <v>0</v>
      </c>
      <c r="V18" s="450">
        <f>SUM(O18:U18)</f>
        <v>108.5</v>
      </c>
      <c r="X18" t="s">
        <v>25</v>
      </c>
      <c r="Y18" s="17">
        <f>E18+2</f>
        <v>25</v>
      </c>
      <c r="Z18" s="17">
        <f ca="1">F18+(($AR$22+$AR$23)*7)-112-112</f>
        <v>39</v>
      </c>
      <c r="AA18" s="60">
        <f>G18</f>
        <v>15</v>
      </c>
      <c r="AB18" s="60">
        <f>H18</f>
        <v>11.6</v>
      </c>
      <c r="AC18" s="60">
        <f t="shared" ref="AC18:AF19" si="24">I18</f>
        <v>0</v>
      </c>
      <c r="AD18" s="60">
        <f t="shared" si="24"/>
        <v>0</v>
      </c>
      <c r="AE18" s="60">
        <f t="shared" si="24"/>
        <v>0</v>
      </c>
      <c r="AF18" s="60">
        <f t="shared" si="24"/>
        <v>1</v>
      </c>
      <c r="AG18" s="60">
        <v>13.5</v>
      </c>
      <c r="AH18" s="41">
        <f>(24270+2300)*1.038</f>
        <v>27579.66</v>
      </c>
      <c r="AI18" s="115">
        <f>O18</f>
        <v>51.5</v>
      </c>
      <c r="AJ18" s="118">
        <f>P18</f>
        <v>57</v>
      </c>
      <c r="AK18" s="115">
        <f t="shared" ref="AK18:AN30" si="25">Q18</f>
        <v>0</v>
      </c>
      <c r="AL18" s="115">
        <f t="shared" si="25"/>
        <v>0</v>
      </c>
      <c r="AM18" s="115">
        <f t="shared" si="25"/>
        <v>0</v>
      </c>
      <c r="AN18" s="115">
        <f t="shared" si="25"/>
        <v>0</v>
      </c>
      <c r="AO18" s="115">
        <f>U18+$AR$23</f>
        <v>15</v>
      </c>
      <c r="AP18" s="450">
        <f>SUM(AI18:AO18)</f>
        <v>123.5</v>
      </c>
    </row>
    <row r="19" spans="1:45" x14ac:dyDescent="0.25">
      <c r="A19" t="s">
        <v>28</v>
      </c>
      <c r="B19" s="15" t="s">
        <v>26</v>
      </c>
      <c r="C19" s="17"/>
      <c r="D19" s="17" t="str">
        <f>D4</f>
        <v>M. Fernandez</v>
      </c>
      <c r="E19" s="17">
        <f t="shared" si="22"/>
        <v>23</v>
      </c>
      <c r="F19" s="17">
        <f t="shared" ca="1" si="22"/>
        <v>57</v>
      </c>
      <c r="G19" s="60">
        <f t="shared" si="22"/>
        <v>0</v>
      </c>
      <c r="H19" s="60">
        <f t="shared" si="22"/>
        <v>15.166666666666666</v>
      </c>
      <c r="I19" s="60">
        <f t="shared" si="22"/>
        <v>5</v>
      </c>
      <c r="J19" s="60">
        <f t="shared" si="22"/>
        <v>5.2</v>
      </c>
      <c r="K19" s="60">
        <f t="shared" si="22"/>
        <v>6</v>
      </c>
      <c r="L19" s="60">
        <f t="shared" si="22"/>
        <v>2</v>
      </c>
      <c r="M19" s="60">
        <f t="shared" si="22"/>
        <v>1</v>
      </c>
      <c r="N19" s="41">
        <f t="shared" si="22"/>
        <v>28513.599999999999</v>
      </c>
      <c r="O19" s="118">
        <f t="shared" si="23"/>
        <v>0</v>
      </c>
      <c r="P19" s="118">
        <f t="shared" si="23"/>
        <v>101.04</v>
      </c>
      <c r="Q19" s="118">
        <f t="shared" si="23"/>
        <v>9</v>
      </c>
      <c r="R19" s="118">
        <f t="shared" si="23"/>
        <v>6</v>
      </c>
      <c r="S19" s="118">
        <f t="shared" si="23"/>
        <v>10</v>
      </c>
      <c r="T19" s="118">
        <f t="shared" si="23"/>
        <v>0</v>
      </c>
      <c r="U19" s="118">
        <f t="shared" si="23"/>
        <v>0</v>
      </c>
      <c r="V19" s="450">
        <f>SUM(O19:U19)</f>
        <v>126.04</v>
      </c>
      <c r="X19" t="s">
        <v>28</v>
      </c>
      <c r="Y19" s="17">
        <f>E19+2</f>
        <v>25</v>
      </c>
      <c r="Z19" s="17">
        <f ca="1">F19+(($AR$22+$AR$23)*7)-112-112</f>
        <v>36</v>
      </c>
      <c r="AA19" s="60">
        <f>G19</f>
        <v>0</v>
      </c>
      <c r="AB19" s="60">
        <f t="shared" ref="AB19:AB30" si="26">H19</f>
        <v>15.166666666666666</v>
      </c>
      <c r="AC19" s="60">
        <f t="shared" si="24"/>
        <v>5</v>
      </c>
      <c r="AD19" s="60">
        <f t="shared" si="24"/>
        <v>5.2</v>
      </c>
      <c r="AE19" s="60">
        <f>8+3/5</f>
        <v>8.6</v>
      </c>
      <c r="AF19" s="60">
        <f t="shared" si="24"/>
        <v>2</v>
      </c>
      <c r="AG19" s="60">
        <v>13.5</v>
      </c>
      <c r="AH19" s="41">
        <f>(28000+135+140+135)*1.038</f>
        <v>29489.58</v>
      </c>
      <c r="AI19" s="115">
        <f t="shared" ref="AI19:AI30" si="27">O19</f>
        <v>0</v>
      </c>
      <c r="AJ19" s="118">
        <f t="shared" ref="AJ19:AJ30" si="28">P19</f>
        <v>101.04</v>
      </c>
      <c r="AK19" s="115">
        <f t="shared" si="25"/>
        <v>9</v>
      </c>
      <c r="AL19" s="115">
        <f t="shared" si="25"/>
        <v>6</v>
      </c>
      <c r="AM19" s="115">
        <f>S19+$AR$22</f>
        <v>24</v>
      </c>
      <c r="AN19" s="115">
        <f t="shared" si="25"/>
        <v>0</v>
      </c>
      <c r="AO19" s="118">
        <f t="shared" ref="AO19:AO30" si="29">U19+$AR$23</f>
        <v>15</v>
      </c>
      <c r="AP19" s="450">
        <f>SUM(AI19:AO19)</f>
        <v>155.04000000000002</v>
      </c>
    </row>
    <row r="20" spans="1:45" x14ac:dyDescent="0.25">
      <c r="A20" t="s">
        <v>29</v>
      </c>
      <c r="B20" s="15" t="s">
        <v>26</v>
      </c>
      <c r="C20" s="17"/>
      <c r="D20" s="17" t="str">
        <f>D5</f>
        <v>B. Abandero</v>
      </c>
      <c r="E20" s="17">
        <f t="shared" si="22"/>
        <v>23</v>
      </c>
      <c r="F20" s="17">
        <f t="shared" ca="1" si="22"/>
        <v>88</v>
      </c>
      <c r="G20" s="60">
        <f t="shared" si="22"/>
        <v>0</v>
      </c>
      <c r="H20" s="60">
        <f t="shared" si="22"/>
        <v>13.416666666666666</v>
      </c>
      <c r="I20" s="60">
        <f t="shared" si="22"/>
        <v>3</v>
      </c>
      <c r="J20" s="60">
        <f t="shared" si="22"/>
        <v>7.083333333333333</v>
      </c>
      <c r="K20" s="60">
        <f t="shared" si="22"/>
        <v>10.125</v>
      </c>
      <c r="L20" s="60">
        <f t="shared" si="22"/>
        <v>3</v>
      </c>
      <c r="M20" s="60">
        <f t="shared" si="22"/>
        <v>2</v>
      </c>
      <c r="N20" s="41">
        <f t="shared" si="22"/>
        <v>13492.08</v>
      </c>
      <c r="O20" s="118">
        <f t="shared" si="23"/>
        <v>0</v>
      </c>
      <c r="P20" s="118">
        <f t="shared" si="23"/>
        <v>77</v>
      </c>
      <c r="Q20" s="118">
        <f t="shared" si="23"/>
        <v>3</v>
      </c>
      <c r="R20" s="118">
        <f t="shared" si="23"/>
        <v>11.5</v>
      </c>
      <c r="S20" s="118">
        <f t="shared" si="23"/>
        <v>30</v>
      </c>
      <c r="T20" s="118">
        <f t="shared" si="23"/>
        <v>2</v>
      </c>
      <c r="U20" s="118">
        <f t="shared" si="23"/>
        <v>0</v>
      </c>
      <c r="V20" s="450">
        <f>SUM(O20:U20)</f>
        <v>123.5</v>
      </c>
      <c r="X20" t="s">
        <v>29</v>
      </c>
      <c r="Y20" s="17">
        <f>E20+2</f>
        <v>25</v>
      </c>
      <c r="Z20" s="17">
        <f ca="1">F20+(($AR$22+$AR$23)*7)-112-112</f>
        <v>67</v>
      </c>
      <c r="AA20" s="60">
        <f t="shared" ref="AA20:AA30" si="30">G20</f>
        <v>0</v>
      </c>
      <c r="AB20" s="60">
        <f t="shared" si="26"/>
        <v>13.416666666666666</v>
      </c>
      <c r="AC20" s="60">
        <f t="shared" ref="AC20:AC30" si="31">I20</f>
        <v>3</v>
      </c>
      <c r="AD20" s="60">
        <f t="shared" ref="AD20:AD30" si="32">J20</f>
        <v>7.083333333333333</v>
      </c>
      <c r="AE20" s="60">
        <v>12</v>
      </c>
      <c r="AF20" s="60">
        <f t="shared" ref="AF20:AF30" si="33">L20</f>
        <v>3</v>
      </c>
      <c r="AG20" s="60">
        <v>13.5</v>
      </c>
      <c r="AH20" s="41">
        <f>(195+13000+515)*1.038</f>
        <v>14230.98</v>
      </c>
      <c r="AI20" s="115">
        <f t="shared" si="27"/>
        <v>0</v>
      </c>
      <c r="AJ20" s="118">
        <f t="shared" si="28"/>
        <v>77</v>
      </c>
      <c r="AK20" s="115">
        <f t="shared" si="25"/>
        <v>3</v>
      </c>
      <c r="AL20" s="115">
        <f t="shared" si="25"/>
        <v>11.5</v>
      </c>
      <c r="AM20" s="118">
        <f t="shared" ref="AM20:AM30" si="34">S20+$AR$22</f>
        <v>44</v>
      </c>
      <c r="AN20" s="115">
        <f t="shared" si="25"/>
        <v>2</v>
      </c>
      <c r="AO20" s="118">
        <f t="shared" si="29"/>
        <v>15</v>
      </c>
      <c r="AP20" s="450">
        <f>SUM(AI20:AO20)</f>
        <v>152.5</v>
      </c>
      <c r="AQ20" s="103"/>
    </row>
    <row r="21" spans="1:45" x14ac:dyDescent="0.25">
      <c r="A21" t="s">
        <v>35</v>
      </c>
      <c r="B21" s="15" t="s">
        <v>26</v>
      </c>
      <c r="C21" s="3"/>
      <c r="D21" s="17" t="str">
        <f>D6</f>
        <v>I. R. Figueroa</v>
      </c>
      <c r="E21" s="17">
        <f t="shared" si="22"/>
        <v>23</v>
      </c>
      <c r="F21" s="17">
        <f t="shared" ca="1" si="22"/>
        <v>38</v>
      </c>
      <c r="G21" s="60">
        <f t="shared" si="22"/>
        <v>0</v>
      </c>
      <c r="H21" s="60">
        <f t="shared" si="22"/>
        <v>15.166666666666666</v>
      </c>
      <c r="I21" s="60">
        <f t="shared" si="22"/>
        <v>5</v>
      </c>
      <c r="J21" s="60">
        <f t="shared" si="22"/>
        <v>7</v>
      </c>
      <c r="K21" s="60">
        <f t="shared" si="22"/>
        <v>5.25</v>
      </c>
      <c r="L21" s="60">
        <f t="shared" si="22"/>
        <v>1</v>
      </c>
      <c r="M21" s="60">
        <f t="shared" si="22"/>
        <v>0</v>
      </c>
      <c r="N21" s="41">
        <f t="shared" si="22"/>
        <v>28513.599999999999</v>
      </c>
      <c r="O21" s="118">
        <f t="shared" si="23"/>
        <v>0</v>
      </c>
      <c r="P21" s="118">
        <f t="shared" si="23"/>
        <v>100.58</v>
      </c>
      <c r="Q21" s="118">
        <f t="shared" si="23"/>
        <v>9</v>
      </c>
      <c r="R21" s="118">
        <f t="shared" si="23"/>
        <v>10.5</v>
      </c>
      <c r="S21" s="118">
        <f t="shared" si="23"/>
        <v>8</v>
      </c>
      <c r="T21" s="118">
        <f t="shared" si="23"/>
        <v>0</v>
      </c>
      <c r="U21" s="118">
        <f t="shared" si="23"/>
        <v>0</v>
      </c>
      <c r="V21" s="450">
        <f>SUM(O21:U21)</f>
        <v>128.07999999999998</v>
      </c>
      <c r="X21" t="s">
        <v>35</v>
      </c>
      <c r="Y21" s="17">
        <f>E21+2</f>
        <v>25</v>
      </c>
      <c r="Z21" s="17">
        <f ca="1">F21+(($AR$22+$AR$23)*7)-112-112</f>
        <v>17</v>
      </c>
      <c r="AA21" s="60">
        <f t="shared" si="30"/>
        <v>0</v>
      </c>
      <c r="AB21" s="60">
        <f t="shared" si="26"/>
        <v>15.166666666666666</v>
      </c>
      <c r="AC21" s="60">
        <f t="shared" si="31"/>
        <v>5</v>
      </c>
      <c r="AD21" s="60">
        <f t="shared" si="32"/>
        <v>7</v>
      </c>
      <c r="AE21" s="60">
        <f>8+3/5</f>
        <v>8.6</v>
      </c>
      <c r="AF21" s="60">
        <f t="shared" si="33"/>
        <v>1</v>
      </c>
      <c r="AG21" s="60">
        <v>13.5</v>
      </c>
      <c r="AH21" s="41">
        <f>(28000+135+145+135)*1.038</f>
        <v>29494.77</v>
      </c>
      <c r="AI21" s="115">
        <f t="shared" si="27"/>
        <v>0</v>
      </c>
      <c r="AJ21" s="118">
        <f t="shared" si="28"/>
        <v>100.58</v>
      </c>
      <c r="AK21" s="115">
        <f t="shared" si="25"/>
        <v>9</v>
      </c>
      <c r="AL21" s="115">
        <f t="shared" si="25"/>
        <v>10.5</v>
      </c>
      <c r="AM21" s="118">
        <f t="shared" si="34"/>
        <v>22</v>
      </c>
      <c r="AN21" s="115">
        <f t="shared" si="25"/>
        <v>0</v>
      </c>
      <c r="AO21" s="118">
        <f t="shared" si="29"/>
        <v>15</v>
      </c>
      <c r="AP21" s="450">
        <f>SUM(AI21:AO21)</f>
        <v>157.07999999999998</v>
      </c>
      <c r="AQ21" s="103"/>
      <c r="AR21" s="103" t="s">
        <v>228</v>
      </c>
      <c r="AS21" s="103" t="s">
        <v>229</v>
      </c>
    </row>
    <row r="22" spans="1:45" x14ac:dyDescent="0.25">
      <c r="A22" t="s">
        <v>37</v>
      </c>
      <c r="B22" s="15" t="s">
        <v>26</v>
      </c>
      <c r="C22" s="3"/>
      <c r="D22" s="17" t="str">
        <f>D7</f>
        <v>G. Pedrajas</v>
      </c>
      <c r="E22" s="17">
        <f t="shared" si="22"/>
        <v>23</v>
      </c>
      <c r="F22" s="17">
        <f t="shared" ca="1" si="22"/>
        <v>73</v>
      </c>
      <c r="G22" s="60">
        <f t="shared" si="22"/>
        <v>0</v>
      </c>
      <c r="H22" s="60">
        <f t="shared" si="22"/>
        <v>11.7</v>
      </c>
      <c r="I22" s="60">
        <f t="shared" si="22"/>
        <v>11</v>
      </c>
      <c r="J22" s="60">
        <f t="shared" si="22"/>
        <v>4</v>
      </c>
      <c r="K22" s="60">
        <f t="shared" si="22"/>
        <v>9.1428571428571423</v>
      </c>
      <c r="L22" s="60">
        <f t="shared" si="22"/>
        <v>4</v>
      </c>
      <c r="M22" s="60">
        <f t="shared" si="22"/>
        <v>1</v>
      </c>
      <c r="N22" s="41">
        <f t="shared" si="22"/>
        <v>9525.6</v>
      </c>
      <c r="O22" s="118">
        <f t="shared" si="23"/>
        <v>0</v>
      </c>
      <c r="P22" s="118">
        <f t="shared" si="23"/>
        <v>57</v>
      </c>
      <c r="Q22" s="118">
        <f t="shared" si="23"/>
        <v>40</v>
      </c>
      <c r="R22" s="118">
        <f t="shared" si="23"/>
        <v>3.5</v>
      </c>
      <c r="S22" s="118">
        <f t="shared" si="23"/>
        <v>24</v>
      </c>
      <c r="T22" s="118">
        <f t="shared" si="23"/>
        <v>5</v>
      </c>
      <c r="U22" s="118">
        <f t="shared" si="23"/>
        <v>0</v>
      </c>
      <c r="V22" s="450">
        <f t="shared" ref="V22:V28" si="35">SUM(O22:U22)</f>
        <v>129.5</v>
      </c>
      <c r="X22" t="s">
        <v>37</v>
      </c>
      <c r="Y22" s="17">
        <f t="shared" ref="Y22:Y27" si="36">E22+2</f>
        <v>25</v>
      </c>
      <c r="Z22" s="17">
        <f t="shared" ref="Z22:Z27" ca="1" si="37">F22+(($AR$22+$AR$23)*7)-112-112</f>
        <v>52</v>
      </c>
      <c r="AA22" s="60">
        <f t="shared" si="30"/>
        <v>0</v>
      </c>
      <c r="AB22" s="60">
        <f t="shared" si="26"/>
        <v>11.7</v>
      </c>
      <c r="AC22" s="60">
        <f t="shared" si="31"/>
        <v>11</v>
      </c>
      <c r="AD22" s="60">
        <f t="shared" si="32"/>
        <v>4</v>
      </c>
      <c r="AE22" s="60">
        <f>11+1/7</f>
        <v>11.142857142857142</v>
      </c>
      <c r="AF22" s="60">
        <f t="shared" si="33"/>
        <v>4</v>
      </c>
      <c r="AG22" s="60">
        <v>13.5</v>
      </c>
      <c r="AH22" s="41">
        <f>(6800+2505+305)*1.038</f>
        <v>9975.18</v>
      </c>
      <c r="AI22" s="115">
        <f t="shared" si="27"/>
        <v>0</v>
      </c>
      <c r="AJ22" s="118">
        <f t="shared" si="28"/>
        <v>57</v>
      </c>
      <c r="AK22" s="115">
        <f t="shared" si="25"/>
        <v>40</v>
      </c>
      <c r="AL22" s="115">
        <f t="shared" si="25"/>
        <v>3.5</v>
      </c>
      <c r="AM22" s="118">
        <f t="shared" si="34"/>
        <v>38</v>
      </c>
      <c r="AN22" s="115">
        <f t="shared" si="25"/>
        <v>5</v>
      </c>
      <c r="AO22" s="118">
        <f t="shared" si="29"/>
        <v>15</v>
      </c>
      <c r="AP22" s="450">
        <f t="shared" ref="AP22:AP28" si="38">SUM(AI22:AO22)</f>
        <v>158.5</v>
      </c>
      <c r="AQ22" s="103" t="s">
        <v>186</v>
      </c>
      <c r="AR22" s="59">
        <v>14</v>
      </c>
      <c r="AS22" s="120">
        <f>AR22/16</f>
        <v>0.875</v>
      </c>
    </row>
    <row r="23" spans="1:45" x14ac:dyDescent="0.25">
      <c r="A23" t="s">
        <v>34</v>
      </c>
      <c r="B23" s="15" t="s">
        <v>26</v>
      </c>
      <c r="C23" s="3"/>
      <c r="D23" s="3" t="s">
        <v>713</v>
      </c>
      <c r="E23" s="17">
        <f t="shared" si="22"/>
        <v>25</v>
      </c>
      <c r="F23" s="17">
        <f t="shared" ca="1" si="22"/>
        <v>-108</v>
      </c>
      <c r="G23" s="60">
        <f t="shared" si="22"/>
        <v>0</v>
      </c>
      <c r="H23" s="60">
        <f t="shared" si="22"/>
        <v>13.75</v>
      </c>
      <c r="I23" s="60">
        <f t="shared" si="22"/>
        <v>5</v>
      </c>
      <c r="J23" s="60">
        <f t="shared" si="22"/>
        <v>2</v>
      </c>
      <c r="K23" s="60">
        <f t="shared" si="22"/>
        <v>10</v>
      </c>
      <c r="L23" s="60">
        <f t="shared" si="22"/>
        <v>6</v>
      </c>
      <c r="M23" s="60">
        <f t="shared" si="22"/>
        <v>0</v>
      </c>
      <c r="N23" s="41">
        <f t="shared" si="22"/>
        <v>0</v>
      </c>
      <c r="O23" s="125">
        <f t="shared" si="23"/>
        <v>0</v>
      </c>
      <c r="P23" s="125">
        <f t="shared" si="23"/>
        <v>76</v>
      </c>
      <c r="Q23" s="125">
        <f t="shared" si="23"/>
        <v>9</v>
      </c>
      <c r="R23" s="125">
        <f t="shared" si="23"/>
        <v>0</v>
      </c>
      <c r="S23" s="125">
        <f t="shared" si="23"/>
        <v>29</v>
      </c>
      <c r="T23" s="125">
        <f t="shared" si="23"/>
        <v>12</v>
      </c>
      <c r="U23" s="125">
        <f t="shared" si="23"/>
        <v>0</v>
      </c>
      <c r="V23" s="450">
        <f t="shared" si="35"/>
        <v>126</v>
      </c>
      <c r="X23" t="s">
        <v>34</v>
      </c>
      <c r="Y23" s="17">
        <f>E23+1</f>
        <v>26</v>
      </c>
      <c r="Z23" s="17">
        <f ca="1">F23+(($AR$22+$AR$23)*7)-112</f>
        <v>-17</v>
      </c>
      <c r="AA23" s="60">
        <f t="shared" si="30"/>
        <v>0</v>
      </c>
      <c r="AB23" s="60">
        <f t="shared" si="26"/>
        <v>13.75</v>
      </c>
      <c r="AC23" s="60">
        <f t="shared" si="31"/>
        <v>5</v>
      </c>
      <c r="AD23" s="60">
        <f t="shared" si="32"/>
        <v>2</v>
      </c>
      <c r="AE23" s="60">
        <f>10+3/7</f>
        <v>10.428571428571429</v>
      </c>
      <c r="AF23" s="60">
        <f t="shared" si="33"/>
        <v>6</v>
      </c>
      <c r="AG23" s="60">
        <v>13.5</v>
      </c>
      <c r="AH23" s="41">
        <f>(18370+445+200)*1.038</f>
        <v>19737.57</v>
      </c>
      <c r="AI23" s="115">
        <f t="shared" si="27"/>
        <v>0</v>
      </c>
      <c r="AJ23" s="118">
        <f t="shared" si="28"/>
        <v>76</v>
      </c>
      <c r="AK23" s="115">
        <f t="shared" si="25"/>
        <v>9</v>
      </c>
      <c r="AL23" s="115">
        <f t="shared" si="25"/>
        <v>0</v>
      </c>
      <c r="AM23" s="118">
        <f t="shared" si="34"/>
        <v>43</v>
      </c>
      <c r="AN23" s="115">
        <f t="shared" si="25"/>
        <v>12</v>
      </c>
      <c r="AO23" s="118">
        <f t="shared" si="29"/>
        <v>15</v>
      </c>
      <c r="AP23" s="450">
        <f t="shared" si="38"/>
        <v>155</v>
      </c>
      <c r="AQ23" s="103" t="s">
        <v>41</v>
      </c>
      <c r="AR23" s="59">
        <v>15</v>
      </c>
      <c r="AS23" s="120">
        <f>AR23/16</f>
        <v>0.9375</v>
      </c>
    </row>
    <row r="24" spans="1:45" x14ac:dyDescent="0.25">
      <c r="A24" t="s">
        <v>31</v>
      </c>
      <c r="B24" s="15" t="s">
        <v>26</v>
      </c>
      <c r="C24" s="3" t="s">
        <v>183</v>
      </c>
      <c r="D24" s="3" t="s">
        <v>326</v>
      </c>
      <c r="E24" s="17">
        <f t="shared" si="22"/>
        <v>23</v>
      </c>
      <c r="F24" s="17">
        <f t="shared" ca="1" si="22"/>
        <v>53</v>
      </c>
      <c r="G24" s="60">
        <f t="shared" si="22"/>
        <v>0</v>
      </c>
      <c r="H24" s="60">
        <f t="shared" si="22"/>
        <v>12.909090909090908</v>
      </c>
      <c r="I24" s="60">
        <f t="shared" si="22"/>
        <v>4</v>
      </c>
      <c r="J24" s="60">
        <f t="shared" si="22"/>
        <v>12.5</v>
      </c>
      <c r="K24" s="60">
        <f t="shared" si="22"/>
        <v>4.5</v>
      </c>
      <c r="L24" s="60">
        <f t="shared" si="22"/>
        <v>7</v>
      </c>
      <c r="M24" s="60">
        <f t="shared" si="22"/>
        <v>3</v>
      </c>
      <c r="N24" s="41">
        <f t="shared" si="22"/>
        <v>16606.920000000002</v>
      </c>
      <c r="O24" s="118">
        <f t="shared" si="23"/>
        <v>0</v>
      </c>
      <c r="P24" s="118">
        <f t="shared" si="23"/>
        <v>70</v>
      </c>
      <c r="Q24" s="118">
        <f t="shared" si="23"/>
        <v>6</v>
      </c>
      <c r="R24" s="118">
        <f t="shared" si="23"/>
        <v>40.5</v>
      </c>
      <c r="S24" s="118">
        <f t="shared" si="23"/>
        <v>6</v>
      </c>
      <c r="T24" s="118">
        <f t="shared" si="23"/>
        <v>16</v>
      </c>
      <c r="U24" s="118">
        <f t="shared" si="23"/>
        <v>1</v>
      </c>
      <c r="V24" s="450">
        <f t="shared" si="35"/>
        <v>139.5</v>
      </c>
      <c r="X24" t="s">
        <v>31</v>
      </c>
      <c r="Y24" s="17">
        <f>E24+2</f>
        <v>25</v>
      </c>
      <c r="Z24" s="17">
        <f ca="1">F24+(($AR$22+$AR$23)*7)-112-112</f>
        <v>32</v>
      </c>
      <c r="AA24" s="60">
        <f t="shared" si="30"/>
        <v>0</v>
      </c>
      <c r="AB24" s="60">
        <f t="shared" si="26"/>
        <v>12.909090909090908</v>
      </c>
      <c r="AC24" s="60">
        <f t="shared" si="31"/>
        <v>4</v>
      </c>
      <c r="AD24" s="60">
        <f t="shared" si="32"/>
        <v>12.5</v>
      </c>
      <c r="AE24" s="60">
        <f>8+1/5</f>
        <v>8.1999999999999993</v>
      </c>
      <c r="AF24" s="60">
        <f t="shared" si="33"/>
        <v>7</v>
      </c>
      <c r="AG24" s="60">
        <v>14</v>
      </c>
      <c r="AH24" s="41">
        <f>(12930+2985+125+145+245)*1.04</f>
        <v>17087.2</v>
      </c>
      <c r="AI24" s="115">
        <f t="shared" si="27"/>
        <v>0</v>
      </c>
      <c r="AJ24" s="118">
        <f t="shared" si="28"/>
        <v>70</v>
      </c>
      <c r="AK24" s="115">
        <f t="shared" si="25"/>
        <v>6</v>
      </c>
      <c r="AL24" s="115">
        <f t="shared" si="25"/>
        <v>40.5</v>
      </c>
      <c r="AM24" s="118">
        <f t="shared" si="34"/>
        <v>20</v>
      </c>
      <c r="AN24" s="115">
        <f t="shared" si="25"/>
        <v>16</v>
      </c>
      <c r="AO24" s="118">
        <f t="shared" si="29"/>
        <v>16</v>
      </c>
      <c r="AP24" s="450">
        <f t="shared" si="38"/>
        <v>168.5</v>
      </c>
      <c r="AQ24" s="103"/>
    </row>
    <row r="25" spans="1:45" x14ac:dyDescent="0.25">
      <c r="A25" t="s">
        <v>27</v>
      </c>
      <c r="B25" s="15" t="s">
        <v>26</v>
      </c>
      <c r="C25" s="3" t="s">
        <v>183</v>
      </c>
      <c r="D25" s="3" t="s">
        <v>198</v>
      </c>
      <c r="E25" s="17">
        <f t="shared" si="22"/>
        <v>23</v>
      </c>
      <c r="F25" s="17">
        <f t="shared" ca="1" si="22"/>
        <v>53</v>
      </c>
      <c r="G25" s="60">
        <f t="shared" si="22"/>
        <v>0</v>
      </c>
      <c r="H25" s="60">
        <f t="shared" si="22"/>
        <v>12</v>
      </c>
      <c r="I25" s="60">
        <f t="shared" si="22"/>
        <v>3</v>
      </c>
      <c r="J25" s="60">
        <f t="shared" si="22"/>
        <v>11.9</v>
      </c>
      <c r="K25" s="60">
        <f t="shared" si="22"/>
        <v>6.2000000000000011</v>
      </c>
      <c r="L25" s="60">
        <f t="shared" si="22"/>
        <v>7.25</v>
      </c>
      <c r="M25" s="60">
        <f t="shared" si="22"/>
        <v>3</v>
      </c>
      <c r="N25" s="41">
        <f t="shared" si="22"/>
        <v>16606.920000000002</v>
      </c>
      <c r="O25" s="118">
        <f t="shared" si="23"/>
        <v>0</v>
      </c>
      <c r="P25" s="118">
        <f t="shared" si="23"/>
        <v>56</v>
      </c>
      <c r="Q25" s="118">
        <f t="shared" si="23"/>
        <v>3</v>
      </c>
      <c r="R25" s="118">
        <f t="shared" si="23"/>
        <v>32.5</v>
      </c>
      <c r="S25" s="118">
        <f t="shared" si="23"/>
        <v>11</v>
      </c>
      <c r="T25" s="118">
        <f t="shared" si="23"/>
        <v>17</v>
      </c>
      <c r="U25" s="118">
        <f t="shared" si="23"/>
        <v>1</v>
      </c>
      <c r="V25" s="450">
        <f t="shared" si="35"/>
        <v>120.5</v>
      </c>
      <c r="X25" t="s">
        <v>27</v>
      </c>
      <c r="Y25" s="17">
        <f>E25+2</f>
        <v>25</v>
      </c>
      <c r="Z25" s="17">
        <f ca="1">F25+(($AR$22+$AR$23)*7)-112-112</f>
        <v>32</v>
      </c>
      <c r="AA25" s="60">
        <f t="shared" si="30"/>
        <v>0</v>
      </c>
      <c r="AB25" s="60">
        <f t="shared" si="26"/>
        <v>12</v>
      </c>
      <c r="AC25" s="60">
        <f t="shared" si="31"/>
        <v>3</v>
      </c>
      <c r="AD25" s="60">
        <f t="shared" si="32"/>
        <v>11.9</v>
      </c>
      <c r="AE25" s="60">
        <f>9+1/7</f>
        <v>9.1428571428571423</v>
      </c>
      <c r="AF25" s="60">
        <f t="shared" si="33"/>
        <v>7.25</v>
      </c>
      <c r="AG25" s="60">
        <v>14</v>
      </c>
      <c r="AH25" s="41">
        <f>(12930+2985+180+125+245)*1.04</f>
        <v>17123.600000000002</v>
      </c>
      <c r="AI25" s="115">
        <f t="shared" si="27"/>
        <v>0</v>
      </c>
      <c r="AJ25" s="118">
        <f t="shared" si="28"/>
        <v>56</v>
      </c>
      <c r="AK25" s="115">
        <f t="shared" si="25"/>
        <v>3</v>
      </c>
      <c r="AL25" s="115">
        <f t="shared" si="25"/>
        <v>32.5</v>
      </c>
      <c r="AM25" s="118">
        <f t="shared" si="34"/>
        <v>25</v>
      </c>
      <c r="AN25" s="115">
        <f t="shared" si="25"/>
        <v>17</v>
      </c>
      <c r="AO25" s="118">
        <f t="shared" si="29"/>
        <v>16</v>
      </c>
      <c r="AP25" s="450">
        <f t="shared" si="38"/>
        <v>149.5</v>
      </c>
      <c r="AQ25" s="103"/>
    </row>
    <row r="26" spans="1:45" x14ac:dyDescent="0.25">
      <c r="A26" t="s">
        <v>38</v>
      </c>
      <c r="B26" s="15" t="s">
        <v>230</v>
      </c>
      <c r="C26" s="3" t="s">
        <v>40</v>
      </c>
      <c r="D26" s="3" t="str">
        <f>D11</f>
        <v>J. Gräbitz</v>
      </c>
      <c r="E26" s="17">
        <f t="shared" ref="E26" si="39">Y11</f>
        <v>23</v>
      </c>
      <c r="F26" s="17">
        <f t="shared" ref="F26" ca="1" si="40">Z11</f>
        <v>23</v>
      </c>
      <c r="G26" s="60">
        <f t="shared" ref="G26" si="41">AA11</f>
        <v>0</v>
      </c>
      <c r="H26" s="60">
        <f t="shared" ref="H26" si="42">AB11</f>
        <v>12.381818181818181</v>
      </c>
      <c r="I26" s="60">
        <f t="shared" ref="I26" si="43">AC11</f>
        <v>9</v>
      </c>
      <c r="J26" s="60">
        <f t="shared" ref="J26" si="44">AD11</f>
        <v>4</v>
      </c>
      <c r="K26" s="60">
        <f t="shared" ref="K26" si="45">AE11</f>
        <v>6</v>
      </c>
      <c r="L26" s="60">
        <f t="shared" ref="L26" si="46">AF11</f>
        <v>4</v>
      </c>
      <c r="M26" s="60">
        <f t="shared" ref="M26" si="47">AG11</f>
        <v>15</v>
      </c>
      <c r="N26" s="41">
        <f t="shared" ref="N26" si="48">AH11</f>
        <v>11340</v>
      </c>
      <c r="O26" s="118">
        <f>AI11</f>
        <v>0</v>
      </c>
      <c r="P26" s="125">
        <f t="shared" si="23"/>
        <v>58</v>
      </c>
      <c r="Q26" s="125">
        <f t="shared" si="23"/>
        <v>26</v>
      </c>
      <c r="R26" s="125">
        <f t="shared" si="23"/>
        <v>3.5</v>
      </c>
      <c r="S26" s="125">
        <f t="shared" si="23"/>
        <v>10</v>
      </c>
      <c r="T26" s="125">
        <f t="shared" si="23"/>
        <v>5</v>
      </c>
      <c r="U26" s="125">
        <f t="shared" si="23"/>
        <v>18</v>
      </c>
      <c r="V26" s="450">
        <f t="shared" si="35"/>
        <v>120.5</v>
      </c>
      <c r="X26" t="s">
        <v>38</v>
      </c>
      <c r="Y26" s="17">
        <f t="shared" si="36"/>
        <v>25</v>
      </c>
      <c r="Z26" s="17">
        <f t="shared" ca="1" si="37"/>
        <v>2</v>
      </c>
      <c r="AA26" s="60">
        <f t="shared" si="30"/>
        <v>0</v>
      </c>
      <c r="AB26" s="60">
        <f t="shared" si="26"/>
        <v>12.381818181818181</v>
      </c>
      <c r="AC26" s="60">
        <f t="shared" si="31"/>
        <v>9</v>
      </c>
      <c r="AD26" s="60">
        <f t="shared" si="32"/>
        <v>4</v>
      </c>
      <c r="AE26" s="60">
        <f>9+1/6</f>
        <v>9.1666666666666661</v>
      </c>
      <c r="AF26" s="60">
        <f t="shared" si="33"/>
        <v>4</v>
      </c>
      <c r="AG26" s="60">
        <f>20</f>
        <v>20</v>
      </c>
      <c r="AH26" s="41">
        <f>(14490+225+200+125+165)*1.049</f>
        <v>15950.044999999998</v>
      </c>
      <c r="AI26" s="115">
        <f t="shared" si="27"/>
        <v>0</v>
      </c>
      <c r="AJ26" s="118">
        <f t="shared" si="28"/>
        <v>58</v>
      </c>
      <c r="AK26" s="115">
        <f t="shared" si="25"/>
        <v>26</v>
      </c>
      <c r="AL26" s="115">
        <f t="shared" si="25"/>
        <v>3.5</v>
      </c>
      <c r="AM26" s="118">
        <f t="shared" si="34"/>
        <v>24</v>
      </c>
      <c r="AN26" s="115">
        <f t="shared" si="25"/>
        <v>5</v>
      </c>
      <c r="AO26" s="118">
        <f>U26+AR23</f>
        <v>33</v>
      </c>
      <c r="AP26" s="450">
        <f t="shared" si="38"/>
        <v>149.5</v>
      </c>
    </row>
    <row r="27" spans="1:45" x14ac:dyDescent="0.25">
      <c r="A27" t="s">
        <v>33</v>
      </c>
      <c r="B27" s="15" t="s">
        <v>230</v>
      </c>
      <c r="C27" s="3" t="s">
        <v>327</v>
      </c>
      <c r="D27" s="3" t="s">
        <v>343</v>
      </c>
      <c r="E27" s="17">
        <v>23</v>
      </c>
      <c r="F27" s="17">
        <v>50</v>
      </c>
      <c r="G27" s="60">
        <f>AA12</f>
        <v>0</v>
      </c>
      <c r="H27" s="60">
        <v>13</v>
      </c>
      <c r="I27" s="60">
        <v>9</v>
      </c>
      <c r="J27" s="60">
        <v>3</v>
      </c>
      <c r="K27" s="60">
        <v>6</v>
      </c>
      <c r="L27" s="60">
        <v>5</v>
      </c>
      <c r="M27" s="60">
        <v>14</v>
      </c>
      <c r="N27" s="41">
        <f>(14490+225+185+125+165)*1.03</f>
        <v>15645.7</v>
      </c>
      <c r="O27" s="118">
        <f>AI12</f>
        <v>0</v>
      </c>
      <c r="P27" s="125">
        <v>67</v>
      </c>
      <c r="Q27" s="125">
        <v>26</v>
      </c>
      <c r="R27" s="125">
        <v>1.5</v>
      </c>
      <c r="S27" s="125">
        <v>10</v>
      </c>
      <c r="T27" s="125">
        <v>5.5</v>
      </c>
      <c r="U27" s="125">
        <v>16</v>
      </c>
      <c r="V27" s="450">
        <f t="shared" si="35"/>
        <v>126</v>
      </c>
      <c r="X27" t="s">
        <v>33</v>
      </c>
      <c r="Y27" s="17">
        <f t="shared" si="36"/>
        <v>25</v>
      </c>
      <c r="Z27" s="17">
        <f t="shared" si="37"/>
        <v>29</v>
      </c>
      <c r="AA27" s="60">
        <f t="shared" si="30"/>
        <v>0</v>
      </c>
      <c r="AB27" s="60">
        <f t="shared" si="26"/>
        <v>13</v>
      </c>
      <c r="AC27" s="60">
        <f t="shared" si="31"/>
        <v>9</v>
      </c>
      <c r="AD27" s="60">
        <f t="shared" si="32"/>
        <v>3</v>
      </c>
      <c r="AE27" s="60">
        <f>9+5/6</f>
        <v>9.8333333333333339</v>
      </c>
      <c r="AF27" s="60">
        <f t="shared" si="33"/>
        <v>5</v>
      </c>
      <c r="AG27" s="60">
        <v>19</v>
      </c>
      <c r="AH27" s="41">
        <f>(14490+225+200+125+165)*1.049</f>
        <v>15950.044999999998</v>
      </c>
      <c r="AI27" s="115">
        <f t="shared" si="27"/>
        <v>0</v>
      </c>
      <c r="AJ27" s="118">
        <f t="shared" si="28"/>
        <v>67</v>
      </c>
      <c r="AK27" s="115">
        <f t="shared" si="25"/>
        <v>26</v>
      </c>
      <c r="AL27" s="115">
        <f t="shared" si="25"/>
        <v>1.5</v>
      </c>
      <c r="AM27" s="118">
        <f t="shared" si="34"/>
        <v>24</v>
      </c>
      <c r="AN27" s="115">
        <f t="shared" si="25"/>
        <v>5.5</v>
      </c>
      <c r="AO27" s="118">
        <v>31</v>
      </c>
      <c r="AP27" s="450">
        <f t="shared" si="38"/>
        <v>155</v>
      </c>
    </row>
    <row r="28" spans="1:45" x14ac:dyDescent="0.25">
      <c r="A28" t="s">
        <v>32</v>
      </c>
      <c r="B28" s="15" t="s">
        <v>46</v>
      </c>
      <c r="C28" s="3" t="s">
        <v>40</v>
      </c>
      <c r="D28" s="3" t="s">
        <v>197</v>
      </c>
      <c r="E28" s="17">
        <f t="shared" ref="E28:F30" si="49">Y13</f>
        <v>23</v>
      </c>
      <c r="F28" s="17">
        <f t="shared" ca="1" si="49"/>
        <v>49</v>
      </c>
      <c r="G28" s="60">
        <f>AA13</f>
        <v>0</v>
      </c>
      <c r="H28" s="60">
        <f t="shared" ref="H28:N30" si="50">AB13</f>
        <v>10.666666666666666</v>
      </c>
      <c r="I28" s="60">
        <f t="shared" si="50"/>
        <v>5.7</v>
      </c>
      <c r="J28" s="60">
        <f t="shared" si="50"/>
        <v>14</v>
      </c>
      <c r="K28" s="60">
        <f t="shared" si="50"/>
        <v>6.2</v>
      </c>
      <c r="L28" s="60">
        <f t="shared" si="50"/>
        <v>7.5</v>
      </c>
      <c r="M28" s="60">
        <f t="shared" si="50"/>
        <v>5</v>
      </c>
      <c r="N28" s="41">
        <f t="shared" si="50"/>
        <v>13619.48</v>
      </c>
      <c r="O28" s="118">
        <f>AI13</f>
        <v>0</v>
      </c>
      <c r="P28" s="118">
        <f t="shared" ref="P28:U30" si="51">AJ13</f>
        <v>46</v>
      </c>
      <c r="Q28" s="118">
        <f t="shared" si="51"/>
        <v>10.5</v>
      </c>
      <c r="R28" s="118">
        <f t="shared" si="51"/>
        <v>47.5</v>
      </c>
      <c r="S28" s="118">
        <f t="shared" si="51"/>
        <v>11</v>
      </c>
      <c r="T28" s="118">
        <f t="shared" si="51"/>
        <v>18</v>
      </c>
      <c r="U28" s="118">
        <f t="shared" si="51"/>
        <v>3</v>
      </c>
      <c r="V28" s="450">
        <f t="shared" si="35"/>
        <v>136</v>
      </c>
      <c r="X28" t="s">
        <v>32</v>
      </c>
      <c r="Y28" s="17">
        <f>E28+2</f>
        <v>25</v>
      </c>
      <c r="Z28" s="17">
        <f ca="1">F28+(($AR$22+$AR$23)*7)-112-112</f>
        <v>28</v>
      </c>
      <c r="AA28" s="60">
        <f t="shared" si="30"/>
        <v>0</v>
      </c>
      <c r="AB28" s="60">
        <f t="shared" si="26"/>
        <v>10.666666666666666</v>
      </c>
      <c r="AC28" s="60">
        <f t="shared" si="31"/>
        <v>5.7</v>
      </c>
      <c r="AD28" s="60">
        <f t="shared" si="32"/>
        <v>14</v>
      </c>
      <c r="AE28" s="60">
        <f>9+1/7</f>
        <v>9.1428571428571423</v>
      </c>
      <c r="AF28" s="60">
        <f t="shared" si="33"/>
        <v>7.5</v>
      </c>
      <c r="AG28" s="60">
        <v>15</v>
      </c>
      <c r="AH28" s="41">
        <f>(11610+300+185+150+1200)*1.045</f>
        <v>14050.025</v>
      </c>
      <c r="AI28" s="115">
        <f t="shared" si="27"/>
        <v>0</v>
      </c>
      <c r="AJ28" s="118">
        <f t="shared" si="28"/>
        <v>46</v>
      </c>
      <c r="AK28" s="115">
        <f t="shared" si="25"/>
        <v>10.5</v>
      </c>
      <c r="AL28" s="115">
        <f t="shared" si="25"/>
        <v>47.5</v>
      </c>
      <c r="AM28" s="118">
        <f t="shared" si="34"/>
        <v>25</v>
      </c>
      <c r="AN28" s="115">
        <f t="shared" si="25"/>
        <v>18</v>
      </c>
      <c r="AO28" s="118">
        <f t="shared" si="29"/>
        <v>18</v>
      </c>
      <c r="AP28" s="450">
        <f t="shared" si="38"/>
        <v>165</v>
      </c>
    </row>
    <row r="29" spans="1:45" x14ac:dyDescent="0.25">
      <c r="A29" t="s">
        <v>36</v>
      </c>
      <c r="B29" s="15" t="s">
        <v>46</v>
      </c>
      <c r="C29" s="3" t="s">
        <v>40</v>
      </c>
      <c r="D29" s="3" t="s">
        <v>325</v>
      </c>
      <c r="E29" s="17">
        <f t="shared" si="49"/>
        <v>24</v>
      </c>
      <c r="F29" s="17">
        <f t="shared" ca="1" si="49"/>
        <v>-98</v>
      </c>
      <c r="G29" s="60">
        <f>AA14</f>
        <v>0</v>
      </c>
      <c r="H29" s="60">
        <f t="shared" si="50"/>
        <v>12.181818181818182</v>
      </c>
      <c r="I29" s="60">
        <f t="shared" si="50"/>
        <v>3</v>
      </c>
      <c r="J29" s="60">
        <f t="shared" si="50"/>
        <v>12.833333333333334</v>
      </c>
      <c r="K29" s="60">
        <f t="shared" si="50"/>
        <v>7.25</v>
      </c>
      <c r="L29" s="60">
        <f t="shared" si="50"/>
        <v>7</v>
      </c>
      <c r="M29" s="60">
        <f t="shared" si="50"/>
        <v>3</v>
      </c>
      <c r="N29" s="41">
        <f t="shared" si="50"/>
        <v>11172.48</v>
      </c>
      <c r="O29" s="118">
        <f>AI14</f>
        <v>0</v>
      </c>
      <c r="P29" s="118">
        <f t="shared" si="51"/>
        <v>61</v>
      </c>
      <c r="Q29" s="118">
        <f t="shared" si="51"/>
        <v>3</v>
      </c>
      <c r="R29" s="118">
        <f t="shared" si="51"/>
        <v>39.5</v>
      </c>
      <c r="S29" s="118">
        <f t="shared" si="51"/>
        <v>15</v>
      </c>
      <c r="T29" s="118">
        <f t="shared" si="51"/>
        <v>16</v>
      </c>
      <c r="U29" s="118">
        <f t="shared" si="51"/>
        <v>1</v>
      </c>
      <c r="V29" s="450">
        <f>SUM(O29:U29)</f>
        <v>135.5</v>
      </c>
      <c r="X29" t="s">
        <v>36</v>
      </c>
      <c r="Y29" s="17">
        <f>E29+1</f>
        <v>25</v>
      </c>
      <c r="Z29" s="17">
        <f ca="1">F29+(($AR$22+$AR$23)*7)-112</f>
        <v>-7</v>
      </c>
      <c r="AA29" s="60">
        <f t="shared" si="30"/>
        <v>0</v>
      </c>
      <c r="AB29" s="60">
        <f t="shared" si="26"/>
        <v>12.181818181818182</v>
      </c>
      <c r="AC29" s="60">
        <f t="shared" si="31"/>
        <v>3</v>
      </c>
      <c r="AD29" s="60">
        <f t="shared" si="32"/>
        <v>12.833333333333334</v>
      </c>
      <c r="AE29" s="60">
        <f>9+5/6</f>
        <v>9.8333333333333339</v>
      </c>
      <c r="AF29" s="60">
        <f t="shared" si="33"/>
        <v>7</v>
      </c>
      <c r="AG29" s="60">
        <v>14</v>
      </c>
      <c r="AH29" s="41">
        <f>(7000+165+165+245+3505)*1.04</f>
        <v>11523.2</v>
      </c>
      <c r="AI29" s="115">
        <f t="shared" si="27"/>
        <v>0</v>
      </c>
      <c r="AJ29" s="118">
        <f t="shared" si="28"/>
        <v>61</v>
      </c>
      <c r="AK29" s="115">
        <f t="shared" si="25"/>
        <v>3</v>
      </c>
      <c r="AL29" s="115">
        <f t="shared" si="25"/>
        <v>39.5</v>
      </c>
      <c r="AM29" s="118">
        <f t="shared" si="34"/>
        <v>29</v>
      </c>
      <c r="AN29" s="115">
        <f t="shared" si="25"/>
        <v>16</v>
      </c>
      <c r="AO29" s="118">
        <f t="shared" si="29"/>
        <v>16</v>
      </c>
      <c r="AP29" s="450">
        <f>SUM(AI29:AO29)</f>
        <v>164.5</v>
      </c>
    </row>
    <row r="30" spans="1:45" x14ac:dyDescent="0.25">
      <c r="A30" t="s">
        <v>30</v>
      </c>
      <c r="B30" s="15" t="s">
        <v>46</v>
      </c>
      <c r="C30" s="3" t="s">
        <v>183</v>
      </c>
      <c r="D30" s="3" t="s">
        <v>199</v>
      </c>
      <c r="E30" s="17">
        <f t="shared" si="49"/>
        <v>23</v>
      </c>
      <c r="F30" s="17">
        <f t="shared" ca="1" si="49"/>
        <v>49</v>
      </c>
      <c r="G30" s="60">
        <f>AA15</f>
        <v>0</v>
      </c>
      <c r="H30" s="60">
        <f t="shared" si="50"/>
        <v>11.1</v>
      </c>
      <c r="I30" s="60">
        <f t="shared" si="50"/>
        <v>5</v>
      </c>
      <c r="J30" s="60">
        <f t="shared" si="50"/>
        <v>13.333333333333334</v>
      </c>
      <c r="K30" s="60">
        <f t="shared" si="50"/>
        <v>5.25</v>
      </c>
      <c r="L30" s="60">
        <f t="shared" si="50"/>
        <v>7.8016666666666676</v>
      </c>
      <c r="M30" s="60">
        <f t="shared" si="50"/>
        <v>3</v>
      </c>
      <c r="N30" s="41">
        <f t="shared" si="50"/>
        <v>13682.24</v>
      </c>
      <c r="O30" s="118">
        <f>AI15</f>
        <v>0</v>
      </c>
      <c r="P30" s="118">
        <f t="shared" si="51"/>
        <v>50</v>
      </c>
      <c r="Q30" s="118">
        <f t="shared" si="51"/>
        <v>9</v>
      </c>
      <c r="R30" s="118">
        <f t="shared" si="51"/>
        <v>39.880000000000003</v>
      </c>
      <c r="S30" s="118">
        <f t="shared" si="51"/>
        <v>8</v>
      </c>
      <c r="T30" s="118">
        <f t="shared" si="51"/>
        <v>19</v>
      </c>
      <c r="U30" s="118">
        <f t="shared" si="51"/>
        <v>1</v>
      </c>
      <c r="V30" s="450">
        <f>SUM(O30:U30)</f>
        <v>126.88</v>
      </c>
      <c r="X30" t="s">
        <v>30</v>
      </c>
      <c r="Y30" s="17">
        <f>E30+2</f>
        <v>25</v>
      </c>
      <c r="Z30" s="17">
        <f ca="1">F30+(($AR$22+$AR$23)*7)-112-112</f>
        <v>28</v>
      </c>
      <c r="AA30" s="60">
        <f t="shared" si="30"/>
        <v>0</v>
      </c>
      <c r="AB30" s="60">
        <f t="shared" si="26"/>
        <v>11.1</v>
      </c>
      <c r="AC30" s="60">
        <f t="shared" si="31"/>
        <v>5</v>
      </c>
      <c r="AD30" s="60">
        <f t="shared" si="32"/>
        <v>13.333333333333334</v>
      </c>
      <c r="AE30" s="60">
        <f>8+3/5</f>
        <v>8.6</v>
      </c>
      <c r="AF30" s="60">
        <f t="shared" si="33"/>
        <v>7.8016666666666676</v>
      </c>
      <c r="AG30" s="60">
        <v>14</v>
      </c>
      <c r="AH30" s="41">
        <f>(9000+135+185+350+3900)*1.04</f>
        <v>14112.800000000001</v>
      </c>
      <c r="AI30" s="115">
        <f t="shared" si="27"/>
        <v>0</v>
      </c>
      <c r="AJ30" s="118">
        <f t="shared" si="28"/>
        <v>50</v>
      </c>
      <c r="AK30" s="115">
        <f t="shared" si="25"/>
        <v>9</v>
      </c>
      <c r="AL30" s="115">
        <f t="shared" si="25"/>
        <v>39.880000000000003</v>
      </c>
      <c r="AM30" s="118">
        <f t="shared" si="34"/>
        <v>22</v>
      </c>
      <c r="AN30" s="115">
        <f t="shared" si="25"/>
        <v>19</v>
      </c>
      <c r="AO30" s="118">
        <f t="shared" si="29"/>
        <v>16</v>
      </c>
      <c r="AP30" s="450">
        <f>SUM(AI30:AO30)</f>
        <v>155.88</v>
      </c>
    </row>
  </sheetData>
  <conditionalFormatting sqref="G5:M8">
    <cfRule type="colorScale" priority="35">
      <colorScale>
        <cfvo type="min"/>
        <cfvo type="max"/>
        <color rgb="FFFFEF9C"/>
        <color rgb="FF63BE7B"/>
      </colorScale>
    </cfRule>
  </conditionalFormatting>
  <conditionalFormatting sqref="N18:N30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18:V30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18:AO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AP18:AP30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18:AG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8:AH3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conditionalFormatting sqref="G3:M4 G9:M15">
    <cfRule type="colorScale" priority="5713">
      <colorScale>
        <cfvo type="min"/>
        <cfvo type="max"/>
        <color rgb="FFFFEF9C"/>
        <color rgb="FF63BE7B"/>
      </colorScale>
    </cfRule>
  </conditionalFormatting>
  <conditionalFormatting sqref="N3:N15">
    <cfRule type="dataBar" priority="57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5">
    <cfRule type="colorScale" priority="5716">
      <colorScale>
        <cfvo type="min"/>
        <cfvo type="max"/>
        <color rgb="FFFCFCFF"/>
        <color rgb="FFF8696B"/>
      </colorScale>
    </cfRule>
  </conditionalFormatting>
  <conditionalFormatting sqref="V3:V15">
    <cfRule type="dataBar" priority="57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5">
    <cfRule type="colorScale" priority="5718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57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5">
    <cfRule type="colorScale" priority="5720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57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G18:M30">
    <cfRule type="colorScale" priority="5722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572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120"/>
  <sheetViews>
    <sheetView zoomScale="80" zoomScaleNormal="80" workbookViewId="0">
      <pane xSplit="13" ySplit="1" topLeftCell="N2" activePane="bottomRight" state="frozen"/>
      <selection pane="topRight" activeCell="N1" sqref="N1"/>
      <selection pane="bottomLeft" activeCell="A2" sqref="A2"/>
      <selection pane="bottomRight" activeCell="M11" sqref="M11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7" ht="21" x14ac:dyDescent="0.35">
      <c r="A1" s="299"/>
      <c r="B1" s="299"/>
      <c r="C1" s="299"/>
      <c r="D1" s="534" t="s">
        <v>936</v>
      </c>
      <c r="E1" s="535"/>
      <c r="F1" s="535"/>
      <c r="G1" s="535"/>
      <c r="H1" s="535"/>
      <c r="I1" s="536"/>
      <c r="K1" s="299"/>
      <c r="L1" s="300"/>
      <c r="M1" s="300"/>
      <c r="N1" s="301">
        <v>43757</v>
      </c>
      <c r="O1" s="301">
        <f t="shared" ref="O1" si="0">N1+7</f>
        <v>43764</v>
      </c>
      <c r="P1" s="301">
        <f t="shared" ref="P1" si="1">O1+7</f>
        <v>43771</v>
      </c>
      <c r="Q1" s="301">
        <f t="shared" ref="Q1" si="2">P1+7</f>
        <v>43778</v>
      </c>
      <c r="R1" s="301">
        <f t="shared" ref="R1" si="3">Q1+7</f>
        <v>43785</v>
      </c>
      <c r="S1" s="301">
        <f t="shared" ref="S1" si="4">R1+7</f>
        <v>43792</v>
      </c>
      <c r="T1" s="301">
        <f t="shared" ref="T1" si="5">S1+7</f>
        <v>43799</v>
      </c>
      <c r="U1" s="301">
        <f t="shared" ref="U1" si="6">T1+7</f>
        <v>43806</v>
      </c>
      <c r="V1" s="301">
        <f t="shared" ref="V1" si="7">U1+7</f>
        <v>43813</v>
      </c>
      <c r="W1" s="301">
        <f t="shared" ref="W1" si="8">V1+7</f>
        <v>43820</v>
      </c>
      <c r="X1" s="301">
        <f t="shared" ref="X1" si="9">W1+7</f>
        <v>43827</v>
      </c>
      <c r="Y1" s="301">
        <f t="shared" ref="Y1" si="10">X1+7</f>
        <v>43834</v>
      </c>
      <c r="Z1" s="301">
        <f t="shared" ref="Z1" si="11">Y1+7</f>
        <v>43841</v>
      </c>
      <c r="AA1" s="301">
        <f t="shared" ref="AA1" si="12">Z1+7</f>
        <v>43848</v>
      </c>
      <c r="AB1" s="301">
        <f t="shared" ref="AB1" si="13">AA1+7</f>
        <v>43855</v>
      </c>
      <c r="AC1" s="301">
        <f t="shared" ref="AC1" si="14">AB1+7</f>
        <v>43862</v>
      </c>
    </row>
    <row r="2" spans="1:37" x14ac:dyDescent="0.25">
      <c r="A2" s="302"/>
      <c r="B2" s="302"/>
      <c r="C2" s="302"/>
      <c r="D2" s="537" t="s">
        <v>567</v>
      </c>
      <c r="E2" s="538"/>
      <c r="F2" s="539"/>
      <c r="G2" s="539"/>
      <c r="H2" s="539"/>
      <c r="I2" s="540"/>
      <c r="K2" s="303"/>
      <c r="L2" s="303"/>
      <c r="M2" s="303" t="s">
        <v>568</v>
      </c>
      <c r="N2" s="509" t="s">
        <v>570</v>
      </c>
      <c r="O2" s="305" t="s">
        <v>571</v>
      </c>
      <c r="P2" s="305" t="s">
        <v>572</v>
      </c>
      <c r="Q2" s="305" t="s">
        <v>573</v>
      </c>
      <c r="R2" s="305" t="s">
        <v>574</v>
      </c>
      <c r="S2" s="305" t="s">
        <v>575</v>
      </c>
      <c r="T2" s="305" t="s">
        <v>576</v>
      </c>
      <c r="U2" s="305" t="s">
        <v>577</v>
      </c>
      <c r="V2" s="305" t="s">
        <v>578</v>
      </c>
      <c r="W2" s="305" t="s">
        <v>579</v>
      </c>
      <c r="X2" s="305" t="s">
        <v>580</v>
      </c>
      <c r="Y2" s="305" t="s">
        <v>581</v>
      </c>
      <c r="Z2" s="305" t="s">
        <v>582</v>
      </c>
      <c r="AA2" s="305" t="s">
        <v>583</v>
      </c>
      <c r="AB2" s="305" t="s">
        <v>584</v>
      </c>
      <c r="AC2" s="305" t="s">
        <v>569</v>
      </c>
    </row>
    <row r="3" spans="1:37" ht="18.75" x14ac:dyDescent="0.3">
      <c r="A3" s="306"/>
      <c r="B3" s="306"/>
      <c r="C3" s="306"/>
      <c r="D3" s="541" t="s">
        <v>585</v>
      </c>
      <c r="E3" s="542"/>
      <c r="F3" s="307"/>
      <c r="G3" s="543" t="s">
        <v>586</v>
      </c>
      <c r="H3" s="544"/>
      <c r="I3" s="308"/>
      <c r="K3" s="309"/>
      <c r="L3" s="310"/>
      <c r="M3" s="310" t="s">
        <v>587</v>
      </c>
      <c r="N3" s="510">
        <v>2101</v>
      </c>
      <c r="O3" s="312">
        <f>N3+N11/30</f>
        <v>2105</v>
      </c>
      <c r="P3" s="312">
        <f t="shared" ref="P3:AC3" si="15">O3+O11/30</f>
        <v>2113</v>
      </c>
      <c r="Q3" s="312">
        <f t="shared" si="15"/>
        <v>2123</v>
      </c>
      <c r="R3" s="312">
        <f t="shared" si="15"/>
        <v>2133</v>
      </c>
      <c r="S3" s="312">
        <f t="shared" si="15"/>
        <v>2142</v>
      </c>
      <c r="T3" s="312">
        <f t="shared" si="15"/>
        <v>2152</v>
      </c>
      <c r="U3" s="312">
        <f t="shared" si="15"/>
        <v>2160</v>
      </c>
      <c r="V3" s="312">
        <f t="shared" si="15"/>
        <v>2168</v>
      </c>
      <c r="W3" s="312">
        <f t="shared" si="15"/>
        <v>2176</v>
      </c>
      <c r="X3" s="312">
        <f t="shared" si="15"/>
        <v>2184</v>
      </c>
      <c r="Y3" s="312">
        <f t="shared" si="15"/>
        <v>2192</v>
      </c>
      <c r="Z3" s="312">
        <f t="shared" si="15"/>
        <v>2200</v>
      </c>
      <c r="AA3" s="312">
        <f t="shared" si="15"/>
        <v>2206</v>
      </c>
      <c r="AB3" s="312">
        <f t="shared" si="15"/>
        <v>2212</v>
      </c>
      <c r="AC3" s="312">
        <f t="shared" si="15"/>
        <v>2220</v>
      </c>
    </row>
    <row r="4" spans="1:37" ht="18.75" x14ac:dyDescent="0.3">
      <c r="A4" s="306"/>
      <c r="B4" s="306"/>
      <c r="C4" s="306"/>
      <c r="D4" s="313"/>
      <c r="E4" s="314"/>
      <c r="F4" s="315"/>
      <c r="G4" s="316"/>
      <c r="H4" s="315"/>
      <c r="I4" s="317"/>
      <c r="K4" s="318" t="s">
        <v>588</v>
      </c>
      <c r="L4" s="318"/>
      <c r="M4" s="319">
        <f>AD43-AD52</f>
        <v>11299694</v>
      </c>
      <c r="N4" s="517">
        <f>M4</f>
        <v>11299694</v>
      </c>
      <c r="O4" s="320">
        <f>N4-N13+N23</f>
        <v>10799694</v>
      </c>
      <c r="P4" s="320">
        <f t="shared" ref="P4" si="16">O4-O13+O23</f>
        <v>10299694</v>
      </c>
      <c r="Q4" s="320">
        <f t="shared" ref="Q4" si="17">P4-P13+P23</f>
        <v>9799694</v>
      </c>
      <c r="R4" s="320">
        <f t="shared" ref="R4" si="18">Q4-Q13+Q23</f>
        <v>9299694</v>
      </c>
      <c r="S4" s="320">
        <f t="shared" ref="S4" si="19">R4-R13+R23</f>
        <v>8799694</v>
      </c>
      <c r="T4" s="320">
        <f t="shared" ref="T4" si="20">S4-S13+S23</f>
        <v>8299694</v>
      </c>
      <c r="U4" s="320">
        <f t="shared" ref="U4" si="21">T4-T13+T23</f>
        <v>7799694</v>
      </c>
      <c r="V4" s="320">
        <f t="shared" ref="V4" si="22">U4-U13+U23</f>
        <v>7299694</v>
      </c>
      <c r="W4" s="320">
        <f t="shared" ref="W4" si="23">V4-V13+V23</f>
        <v>6799694</v>
      </c>
      <c r="X4" s="320">
        <f t="shared" ref="X4" si="24">W4-W13+W23</f>
        <v>6299694</v>
      </c>
      <c r="Y4" s="320">
        <f t="shared" ref="Y4" si="25">X4-X13+X23</f>
        <v>5799694</v>
      </c>
      <c r="Z4" s="320">
        <f t="shared" ref="Z4" si="26">Y4-Y13+Y23</f>
        <v>5299694</v>
      </c>
      <c r="AA4" s="320">
        <f t="shared" ref="AA4" si="27">Z4-Z13+Z23</f>
        <v>4799694</v>
      </c>
      <c r="AB4" s="320">
        <f t="shared" ref="AB4" si="28">AA4-AA13+AA23</f>
        <v>4299694</v>
      </c>
      <c r="AC4" s="320">
        <f t="shared" ref="AC4" si="29">AB4-AB13+AB23</f>
        <v>3799694</v>
      </c>
    </row>
    <row r="5" spans="1:37" ht="18.75" x14ac:dyDescent="0.3">
      <c r="A5" s="321"/>
      <c r="B5" s="321"/>
      <c r="C5" s="321"/>
      <c r="D5" s="313" t="s">
        <v>589</v>
      </c>
      <c r="E5" s="322">
        <f>SUM(E6:E8)</f>
        <v>6219750</v>
      </c>
      <c r="F5" s="323">
        <f>E5/E35</f>
        <v>8.619008603164563E-2</v>
      </c>
      <c r="G5" s="313" t="s">
        <v>590</v>
      </c>
      <c r="H5" s="324">
        <f>H6+H7</f>
        <v>66666908</v>
      </c>
      <c r="I5" s="325">
        <f>H5/$H$74</f>
        <v>0.80764388557843592</v>
      </c>
      <c r="K5" s="326" t="s">
        <v>591</v>
      </c>
      <c r="L5" s="326"/>
      <c r="M5" s="327">
        <f>AD65</f>
        <v>10158019</v>
      </c>
      <c r="N5" s="517">
        <f>M5</f>
        <v>10158019</v>
      </c>
      <c r="O5" s="328">
        <f t="shared" ref="O5" si="30">N26</f>
        <v>10411148</v>
      </c>
      <c r="P5" s="328">
        <f t="shared" ref="P5" si="31">O26</f>
        <v>10724597.384388324</v>
      </c>
      <c r="Q5" s="328">
        <f t="shared" ref="Q5" si="32">P26</f>
        <v>11515350.603804525</v>
      </c>
      <c r="R5" s="328">
        <f t="shared" ref="R5" si="33">Q26</f>
        <v>12026821.30665792</v>
      </c>
      <c r="S5" s="328">
        <f t="shared" ref="S5" si="34">R26</f>
        <v>12648046.295178747</v>
      </c>
      <c r="T5" s="328">
        <f t="shared" ref="T5" si="35">S26</f>
        <v>13310605.245654313</v>
      </c>
      <c r="U5" s="328">
        <f t="shared" ref="U5" si="36">T26</f>
        <v>13605817.497868154</v>
      </c>
      <c r="V5" s="328">
        <f t="shared" ref="V5" si="37">U26</f>
        <v>14273655.816005249</v>
      </c>
      <c r="W5" s="328">
        <f t="shared" ref="W5" si="38">V26</f>
        <v>14543485.178091178</v>
      </c>
      <c r="X5" s="328">
        <f t="shared" ref="X5" si="39">W26</f>
        <v>15201984.584125943</v>
      </c>
      <c r="Y5" s="328">
        <f t="shared" ref="Y5" si="40">X26</f>
        <v>15479739.034109544</v>
      </c>
      <c r="Z5" s="328">
        <f t="shared" ref="Z5" si="41">Y26</f>
        <v>15748516.528041981</v>
      </c>
      <c r="AA5" s="328">
        <f t="shared" ref="AA5" si="42">Z26</f>
        <v>16429515.065923255</v>
      </c>
      <c r="AB5" s="328">
        <f t="shared" ref="AB5" si="43">AA26</f>
        <v>17148047.66972778</v>
      </c>
      <c r="AC5" s="328">
        <f t="shared" ref="AC5" si="44">AB26</f>
        <v>17439369.317481142</v>
      </c>
    </row>
    <row r="6" spans="1:37" x14ac:dyDescent="0.25">
      <c r="A6" s="329" t="str">
        <f t="shared" ref="A6:A13" si="45">L6</f>
        <v>Taquillas</v>
      </c>
      <c r="B6" s="330">
        <f t="shared" ref="B6:B13" si="46">M6/$M$53</f>
        <v>0.20024518541390554</v>
      </c>
      <c r="D6" s="331" t="s">
        <v>592</v>
      </c>
      <c r="E6" s="332">
        <f>2231620+305380</f>
        <v>2537000</v>
      </c>
      <c r="F6" s="333">
        <f>E6/E35</f>
        <v>3.5156436876447601E-2</v>
      </c>
      <c r="G6" s="334" t="s">
        <v>593</v>
      </c>
      <c r="H6" s="335">
        <v>300000</v>
      </c>
      <c r="I6" s="336">
        <f>H6/$H$74</f>
        <v>3.6343843286316918E-3</v>
      </c>
      <c r="K6" s="337" t="s">
        <v>594</v>
      </c>
      <c r="L6" s="337" t="s">
        <v>594</v>
      </c>
      <c r="M6" s="338">
        <f t="shared" ref="M6:M25" si="47">SUM(N6:AC6)</f>
        <v>3474771</v>
      </c>
      <c r="N6" s="511">
        <v>7904</v>
      </c>
      <c r="O6" s="339">
        <v>74243</v>
      </c>
      <c r="P6" s="339">
        <v>543126</v>
      </c>
      <c r="Q6" s="339">
        <v>259003</v>
      </c>
      <c r="R6" s="339">
        <f>29598+336329</f>
        <v>365927</v>
      </c>
      <c r="S6" s="339">
        <f>36229+369218</f>
        <v>405447</v>
      </c>
      <c r="T6" s="339">
        <v>37304</v>
      </c>
      <c r="U6" s="339">
        <f>400709+8561</f>
        <v>409270</v>
      </c>
      <c r="V6" s="339">
        <v>10821</v>
      </c>
      <c r="W6" s="339">
        <v>399051</v>
      </c>
      <c r="X6" s="339">
        <v>17866</v>
      </c>
      <c r="Y6" s="339">
        <v>8449</v>
      </c>
      <c r="Z6" s="339">
        <v>420290</v>
      </c>
      <c r="AA6" s="339">
        <v>457164</v>
      </c>
      <c r="AB6" s="339">
        <v>29453</v>
      </c>
      <c r="AC6" s="339">
        <v>29453</v>
      </c>
    </row>
    <row r="7" spans="1:37" x14ac:dyDescent="0.25">
      <c r="A7" s="329" t="str">
        <f t="shared" si="45"/>
        <v>Patrocinadores</v>
      </c>
      <c r="B7" s="330">
        <f t="shared" si="46"/>
        <v>0.11081295943361641</v>
      </c>
      <c r="D7" s="331" t="s">
        <v>595</v>
      </c>
      <c r="E7" s="332">
        <f>102000+300+2105000+1475000+450</f>
        <v>3682750</v>
      </c>
      <c r="F7" s="333">
        <f>E7/E35</f>
        <v>5.1033649155198028E-2</v>
      </c>
      <c r="G7" s="334" t="s">
        <v>596</v>
      </c>
      <c r="H7" s="335">
        <f>63754290+151930+937650+1523038</f>
        <v>66366908</v>
      </c>
      <c r="I7" s="336">
        <f>H7/$H$74</f>
        <v>0.80400950124980419</v>
      </c>
      <c r="K7" s="337" t="s">
        <v>597</v>
      </c>
      <c r="L7" s="337" t="s">
        <v>597</v>
      </c>
      <c r="M7" s="338">
        <f t="shared" si="47"/>
        <v>1922890.9652345022</v>
      </c>
      <c r="N7" s="512">
        <v>90655</v>
      </c>
      <c r="O7" s="340">
        <v>104516.38438832403</v>
      </c>
      <c r="P7" s="340">
        <v>112877.21941620202</v>
      </c>
      <c r="Q7" s="340">
        <v>117717.70285339454</v>
      </c>
      <c r="R7" s="340">
        <v>120577.98852082647</v>
      </c>
      <c r="S7" s="340">
        <v>122361.95047556573</v>
      </c>
      <c r="T7" s="340">
        <v>123218.25221384058</v>
      </c>
      <c r="U7" s="340">
        <v>123878.31813709409</v>
      </c>
      <c r="V7" s="340">
        <v>124318.36208592977</v>
      </c>
      <c r="W7" s="340">
        <v>124758.40603476544</v>
      </c>
      <c r="X7" s="340">
        <v>125198.44998360114</v>
      </c>
      <c r="Y7" s="340">
        <v>125638.4939324368</v>
      </c>
      <c r="Z7" s="340">
        <v>126078.53788127248</v>
      </c>
      <c r="AA7" s="340">
        <v>126738.60380452601</v>
      </c>
      <c r="AB7" s="340">
        <v>127178.64775336169</v>
      </c>
      <c r="AC7" s="340">
        <f>AB7</f>
        <v>127178.64775336169</v>
      </c>
    </row>
    <row r="8" spans="1:37" x14ac:dyDescent="0.25">
      <c r="A8" s="329" t="str">
        <f t="shared" si="45"/>
        <v>Ventas</v>
      </c>
      <c r="B8" s="330">
        <f t="shared" si="46"/>
        <v>0</v>
      </c>
      <c r="D8" s="341" t="s">
        <v>598</v>
      </c>
      <c r="E8" s="342">
        <v>0</v>
      </c>
      <c r="F8" s="333">
        <f>E8/E35</f>
        <v>0</v>
      </c>
      <c r="G8" s="343"/>
      <c r="H8" s="344"/>
      <c r="I8" s="325"/>
      <c r="K8" s="337" t="s">
        <v>599</v>
      </c>
      <c r="L8" s="337" t="s">
        <v>600</v>
      </c>
      <c r="M8" s="338">
        <f t="shared" si="47"/>
        <v>0</v>
      </c>
      <c r="N8" s="511">
        <v>0</v>
      </c>
      <c r="O8" s="339">
        <v>0</v>
      </c>
      <c r="P8" s="339">
        <v>0</v>
      </c>
      <c r="Q8" s="339">
        <v>0</v>
      </c>
      <c r="R8" s="339">
        <v>0</v>
      </c>
      <c r="S8" s="339">
        <v>0</v>
      </c>
      <c r="T8" s="339">
        <v>0</v>
      </c>
      <c r="U8" s="339">
        <v>0</v>
      </c>
      <c r="V8" s="339">
        <v>0</v>
      </c>
      <c r="W8" s="339">
        <v>0</v>
      </c>
      <c r="X8" s="339">
        <v>0</v>
      </c>
      <c r="Y8" s="339">
        <v>0</v>
      </c>
      <c r="Z8" s="339">
        <v>0</v>
      </c>
      <c r="AA8" s="339">
        <v>0</v>
      </c>
      <c r="AB8" s="339">
        <v>0</v>
      </c>
      <c r="AC8" s="339">
        <v>0</v>
      </c>
      <c r="AE8" s="345"/>
      <c r="AF8" s="345"/>
    </row>
    <row r="9" spans="1:37" x14ac:dyDescent="0.25">
      <c r="A9" s="329" t="str">
        <f t="shared" si="45"/>
        <v>VentasCantera</v>
      </c>
      <c r="B9" s="330">
        <f t="shared" si="46"/>
        <v>0</v>
      </c>
      <c r="D9" s="346"/>
      <c r="E9" s="314"/>
      <c r="F9" s="323"/>
      <c r="G9" s="343"/>
      <c r="H9" s="344"/>
      <c r="I9" s="325"/>
      <c r="K9" s="337"/>
      <c r="L9" s="337" t="s">
        <v>601</v>
      </c>
      <c r="M9" s="338">
        <f t="shared" si="47"/>
        <v>0</v>
      </c>
      <c r="N9" s="511">
        <v>0</v>
      </c>
      <c r="O9" s="339">
        <v>0</v>
      </c>
      <c r="P9" s="339">
        <v>0</v>
      </c>
      <c r="Q9" s="339">
        <v>0</v>
      </c>
      <c r="R9" s="339">
        <v>0</v>
      </c>
      <c r="S9" s="339">
        <v>0</v>
      </c>
      <c r="T9" s="339">
        <v>0</v>
      </c>
      <c r="U9" s="339">
        <v>0</v>
      </c>
      <c r="V9" s="339">
        <v>0</v>
      </c>
      <c r="W9" s="339">
        <v>0</v>
      </c>
      <c r="X9" s="339">
        <v>0</v>
      </c>
      <c r="Y9" s="339">
        <v>0</v>
      </c>
      <c r="Z9" s="339">
        <v>0</v>
      </c>
      <c r="AA9" s="339">
        <v>0</v>
      </c>
      <c r="AB9" s="339">
        <v>0</v>
      </c>
      <c r="AC9" s="339">
        <v>0</v>
      </c>
    </row>
    <row r="10" spans="1:37" x14ac:dyDescent="0.25">
      <c r="A10" s="329" t="str">
        <f t="shared" si="45"/>
        <v>Comisiones</v>
      </c>
      <c r="B10" s="330">
        <f t="shared" si="46"/>
        <v>1.8441059664780722E-3</v>
      </c>
      <c r="D10" s="313" t="s">
        <v>648</v>
      </c>
      <c r="E10" s="322">
        <f>E11+E12+E13</f>
        <v>3299694</v>
      </c>
      <c r="F10" s="323">
        <f>E10/E35</f>
        <v>4.5725456768858058E-2</v>
      </c>
      <c r="G10" s="313" t="s">
        <v>602</v>
      </c>
      <c r="H10" s="324">
        <f>SUM(H11:H16)</f>
        <v>-364536.03476549778</v>
      </c>
      <c r="I10" s="325">
        <f t="shared" ref="I10:I16" si="48">H10/$H$74</f>
        <v>-4.4162135065775425E-3</v>
      </c>
      <c r="K10" s="337" t="s">
        <v>603</v>
      </c>
      <c r="L10" s="337" t="s">
        <v>603</v>
      </c>
      <c r="M10" s="338">
        <f t="shared" si="47"/>
        <v>32000</v>
      </c>
      <c r="N10" s="512">
        <v>2000</v>
      </c>
      <c r="O10" s="340">
        <f>N10</f>
        <v>2000</v>
      </c>
      <c r="P10" s="340">
        <f t="shared" ref="P10:AC10" si="49">O10</f>
        <v>2000</v>
      </c>
      <c r="Q10" s="340">
        <f t="shared" si="49"/>
        <v>2000</v>
      </c>
      <c r="R10" s="340">
        <f t="shared" si="49"/>
        <v>2000</v>
      </c>
      <c r="S10" s="340">
        <f t="shared" si="49"/>
        <v>2000</v>
      </c>
      <c r="T10" s="340">
        <f t="shared" si="49"/>
        <v>2000</v>
      </c>
      <c r="U10" s="340">
        <f t="shared" si="49"/>
        <v>2000</v>
      </c>
      <c r="V10" s="340">
        <f t="shared" si="49"/>
        <v>2000</v>
      </c>
      <c r="W10" s="340">
        <f t="shared" si="49"/>
        <v>2000</v>
      </c>
      <c r="X10" s="340">
        <f t="shared" si="49"/>
        <v>2000</v>
      </c>
      <c r="Y10" s="340">
        <f t="shared" si="49"/>
        <v>2000</v>
      </c>
      <c r="Z10" s="340">
        <f t="shared" si="49"/>
        <v>2000</v>
      </c>
      <c r="AA10" s="340">
        <f t="shared" si="49"/>
        <v>2000</v>
      </c>
      <c r="AB10" s="340">
        <f t="shared" si="49"/>
        <v>2000</v>
      </c>
      <c r="AC10" s="340">
        <f t="shared" si="49"/>
        <v>2000</v>
      </c>
    </row>
    <row r="11" spans="1:37" x14ac:dyDescent="0.25">
      <c r="A11" s="329" t="str">
        <f t="shared" si="45"/>
        <v>Nuevos Socios</v>
      </c>
      <c r="B11" s="330">
        <f t="shared" si="46"/>
        <v>3.8381607993553928E-3</v>
      </c>
      <c r="D11" s="347" t="s">
        <v>604</v>
      </c>
      <c r="E11" s="348">
        <f>N4</f>
        <v>11299694</v>
      </c>
      <c r="F11" s="333">
        <f>E11/E35</f>
        <v>0.15658532866936292</v>
      </c>
      <c r="G11" s="349" t="s">
        <v>605</v>
      </c>
      <c r="H11" s="350">
        <v>0</v>
      </c>
      <c r="I11" s="336">
        <f t="shared" si="48"/>
        <v>0</v>
      </c>
      <c r="K11" s="545" t="s">
        <v>606</v>
      </c>
      <c r="L11" s="337" t="s">
        <v>607</v>
      </c>
      <c r="M11" s="338">
        <f t="shared" si="47"/>
        <v>66602</v>
      </c>
      <c r="N11" s="512">
        <v>120</v>
      </c>
      <c r="O11" s="340">
        <v>240</v>
      </c>
      <c r="P11" s="340">
        <v>300</v>
      </c>
      <c r="Q11" s="340">
        <v>300</v>
      </c>
      <c r="R11" s="340">
        <v>270</v>
      </c>
      <c r="S11" s="340">
        <v>300</v>
      </c>
      <c r="T11" s="340">
        <v>240</v>
      </c>
      <c r="U11" s="340">
        <v>240</v>
      </c>
      <c r="V11" s="340">
        <v>240</v>
      </c>
      <c r="W11" s="340">
        <v>240</v>
      </c>
      <c r="X11" s="340">
        <f t="shared" ref="X11" si="50">W11</f>
        <v>240</v>
      </c>
      <c r="Y11" s="340">
        <f t="shared" ref="Y11" si="51">X11</f>
        <v>240</v>
      </c>
      <c r="Z11" s="340">
        <v>180</v>
      </c>
      <c r="AA11" s="340">
        <v>180</v>
      </c>
      <c r="AB11" s="340">
        <v>240</v>
      </c>
      <c r="AC11" s="340">
        <f>57032+5730+150+120</f>
        <v>63032</v>
      </c>
    </row>
    <row r="12" spans="1:37" x14ac:dyDescent="0.25">
      <c r="A12" s="329" t="str">
        <f t="shared" si="45"/>
        <v>Premios</v>
      </c>
      <c r="B12" s="330">
        <f t="shared" si="46"/>
        <v>0</v>
      </c>
      <c r="D12" s="347" t="str">
        <f>L13</f>
        <v>Ing Reservas</v>
      </c>
      <c r="E12" s="436">
        <f>M13*-1</f>
        <v>-8000000</v>
      </c>
      <c r="F12" s="333">
        <f>E12/E35</f>
        <v>-0.11085987190050485</v>
      </c>
      <c r="G12" s="351" t="s">
        <v>608</v>
      </c>
      <c r="H12" s="352">
        <v>0</v>
      </c>
      <c r="I12" s="353">
        <f t="shared" si="48"/>
        <v>0</v>
      </c>
      <c r="K12" s="546"/>
      <c r="L12" s="337" t="s">
        <v>609</v>
      </c>
      <c r="M12" s="338">
        <f t="shared" si="47"/>
        <v>0</v>
      </c>
      <c r="N12" s="512">
        <v>0</v>
      </c>
      <c r="O12" s="340">
        <v>0</v>
      </c>
      <c r="P12" s="340">
        <v>0</v>
      </c>
      <c r="Q12" s="340">
        <v>0</v>
      </c>
      <c r="R12" s="340">
        <v>0</v>
      </c>
      <c r="S12" s="340">
        <v>0</v>
      </c>
      <c r="T12" s="340">
        <v>0</v>
      </c>
      <c r="U12" s="340">
        <v>0</v>
      </c>
      <c r="V12" s="340">
        <v>0</v>
      </c>
      <c r="W12" s="340">
        <v>0</v>
      </c>
      <c r="X12" s="340">
        <v>0</v>
      </c>
      <c r="Y12" s="340">
        <v>0</v>
      </c>
      <c r="Z12" s="340">
        <v>0</v>
      </c>
      <c r="AA12" s="340">
        <v>0</v>
      </c>
      <c r="AB12" s="340">
        <v>0</v>
      </c>
      <c r="AC12" s="340">
        <v>0</v>
      </c>
    </row>
    <row r="13" spans="1:37" ht="18.75" x14ac:dyDescent="0.3">
      <c r="A13" s="329" t="str">
        <f t="shared" si="45"/>
        <v>Ing Reservas</v>
      </c>
      <c r="B13" s="330">
        <f t="shared" si="46"/>
        <v>0.46102649161951809</v>
      </c>
      <c r="C13" s="354"/>
      <c r="D13" s="347" t="str">
        <f>L23</f>
        <v>Pago Reservas</v>
      </c>
      <c r="E13" s="348">
        <f>M23</f>
        <v>0</v>
      </c>
      <c r="F13" s="333">
        <f>E13/E35</f>
        <v>0</v>
      </c>
      <c r="G13" s="349" t="s">
        <v>610</v>
      </c>
      <c r="H13" s="350">
        <v>0</v>
      </c>
      <c r="I13" s="336">
        <f t="shared" si="48"/>
        <v>0</v>
      </c>
      <c r="J13" s="355"/>
      <c r="K13" s="547"/>
      <c r="L13" s="337" t="s">
        <v>611</v>
      </c>
      <c r="M13" s="338">
        <f t="shared" si="47"/>
        <v>8000000</v>
      </c>
      <c r="N13" s="512">
        <v>500000</v>
      </c>
      <c r="O13" s="340">
        <f>N13</f>
        <v>500000</v>
      </c>
      <c r="P13" s="340">
        <f t="shared" ref="P13" si="52">O13</f>
        <v>500000</v>
      </c>
      <c r="Q13" s="340">
        <f t="shared" ref="Q13" si="53">P13</f>
        <v>500000</v>
      </c>
      <c r="R13" s="340">
        <f t="shared" ref="R13" si="54">Q13</f>
        <v>500000</v>
      </c>
      <c r="S13" s="340">
        <f t="shared" ref="S13" si="55">R13</f>
        <v>500000</v>
      </c>
      <c r="T13" s="340">
        <f t="shared" ref="T13" si="56">S13</f>
        <v>500000</v>
      </c>
      <c r="U13" s="340">
        <f t="shared" ref="U13" si="57">T13</f>
        <v>500000</v>
      </c>
      <c r="V13" s="340">
        <f t="shared" ref="V13" si="58">U13</f>
        <v>500000</v>
      </c>
      <c r="W13" s="340">
        <f t="shared" ref="W13" si="59">V13</f>
        <v>500000</v>
      </c>
      <c r="X13" s="340">
        <f t="shared" ref="X13" si="60">W13</f>
        <v>500000</v>
      </c>
      <c r="Y13" s="340">
        <f t="shared" ref="Y13" si="61">X13</f>
        <v>500000</v>
      </c>
      <c r="Z13" s="340">
        <f t="shared" ref="Z13:AA13" si="62">Y13</f>
        <v>500000</v>
      </c>
      <c r="AA13" s="340">
        <f t="shared" si="62"/>
        <v>500000</v>
      </c>
      <c r="AB13" s="340">
        <f t="shared" ref="AB13" si="63">AA13</f>
        <v>500000</v>
      </c>
      <c r="AC13" s="340">
        <f t="shared" ref="AC13" si="64">AB13</f>
        <v>500000</v>
      </c>
      <c r="AD13" s="355"/>
      <c r="AE13" s="355"/>
      <c r="AF13" s="355"/>
      <c r="AG13" s="355"/>
      <c r="AH13" s="355"/>
      <c r="AI13" s="355"/>
      <c r="AJ13" s="355"/>
      <c r="AK13" s="355"/>
    </row>
    <row r="14" spans="1:37" ht="18.75" x14ac:dyDescent="0.3">
      <c r="A14" s="354"/>
      <c r="B14" s="356">
        <f>SUM(B6:B13)</f>
        <v>0.77776690323287345</v>
      </c>
      <c r="D14" s="346"/>
      <c r="E14" s="357"/>
      <c r="G14" s="349" t="s">
        <v>612</v>
      </c>
      <c r="H14" s="350">
        <v>0</v>
      </c>
      <c r="I14" s="336">
        <f t="shared" si="48"/>
        <v>0</v>
      </c>
      <c r="K14" s="358" t="s">
        <v>613</v>
      </c>
      <c r="L14" s="359"/>
      <c r="M14" s="360">
        <f t="shared" si="47"/>
        <v>13496263.965234503</v>
      </c>
      <c r="N14" s="513">
        <f>SUM(N6:N13)</f>
        <v>600679</v>
      </c>
      <c r="O14" s="361">
        <f t="shared" ref="O14:AC14" si="65">SUM(O6:O13)</f>
        <v>680999.38438832411</v>
      </c>
      <c r="P14" s="361">
        <f t="shared" si="65"/>
        <v>1158303.219416202</v>
      </c>
      <c r="Q14" s="361">
        <f t="shared" si="65"/>
        <v>879020.70285339456</v>
      </c>
      <c r="R14" s="361">
        <f t="shared" si="65"/>
        <v>988774.98852082645</v>
      </c>
      <c r="S14" s="361">
        <f t="shared" si="65"/>
        <v>1030108.9504755657</v>
      </c>
      <c r="T14" s="361">
        <f t="shared" si="65"/>
        <v>662762.25221384061</v>
      </c>
      <c r="U14" s="361">
        <f t="shared" si="65"/>
        <v>1035388.3181370941</v>
      </c>
      <c r="V14" s="361">
        <f t="shared" si="65"/>
        <v>637379.36208592984</v>
      </c>
      <c r="W14" s="361">
        <f t="shared" si="65"/>
        <v>1026049.4060347654</v>
      </c>
      <c r="X14" s="361">
        <f t="shared" si="65"/>
        <v>645304.44998360111</v>
      </c>
      <c r="Y14" s="361">
        <f t="shared" si="65"/>
        <v>636327.4939324368</v>
      </c>
      <c r="Z14" s="361">
        <f t="shared" si="65"/>
        <v>1048548.5378812725</v>
      </c>
      <c r="AA14" s="361">
        <f t="shared" si="65"/>
        <v>1086082.6038045259</v>
      </c>
      <c r="AB14" s="361">
        <f t="shared" si="65"/>
        <v>658871.64775336161</v>
      </c>
      <c r="AC14" s="361">
        <f t="shared" si="65"/>
        <v>721663.64775336161</v>
      </c>
    </row>
    <row r="15" spans="1:37" ht="18.75" x14ac:dyDescent="0.3">
      <c r="A15" s="528">
        <f>M14</f>
        <v>13496263.965234503</v>
      </c>
      <c r="B15" s="528"/>
      <c r="D15" s="313" t="s">
        <v>614</v>
      </c>
      <c r="E15" s="322">
        <f>SUM(E16:E19)</f>
        <v>38989445</v>
      </c>
      <c r="F15" s="323">
        <f>E15/E35</f>
        <v>0.5402956097714724</v>
      </c>
      <c r="G15" s="349" t="s">
        <v>615</v>
      </c>
      <c r="H15" s="350">
        <v>0</v>
      </c>
      <c r="I15" s="336">
        <f t="shared" si="48"/>
        <v>0</v>
      </c>
      <c r="K15" s="362" t="s">
        <v>616</v>
      </c>
      <c r="L15" s="363" t="str">
        <f>K15</f>
        <v>Sueldos</v>
      </c>
      <c r="M15" s="364">
        <f t="shared" si="47"/>
        <v>3934400</v>
      </c>
      <c r="N15" s="514">
        <f>AD54</f>
        <v>227150</v>
      </c>
      <c r="O15" s="365">
        <f>N15+20000</f>
        <v>247150</v>
      </c>
      <c r="P15" s="365">
        <f>O15</f>
        <v>247150</v>
      </c>
      <c r="Q15" s="365">
        <f t="shared" ref="Q15:AC15" si="66">P15</f>
        <v>247150</v>
      </c>
      <c r="R15" s="365">
        <f t="shared" si="66"/>
        <v>247150</v>
      </c>
      <c r="S15" s="365">
        <f t="shared" si="66"/>
        <v>247150</v>
      </c>
      <c r="T15" s="365">
        <f t="shared" si="66"/>
        <v>247150</v>
      </c>
      <c r="U15" s="365">
        <f t="shared" si="66"/>
        <v>247150</v>
      </c>
      <c r="V15" s="365">
        <f t="shared" si="66"/>
        <v>247150</v>
      </c>
      <c r="W15" s="365">
        <f t="shared" si="66"/>
        <v>247150</v>
      </c>
      <c r="X15" s="365">
        <f t="shared" si="66"/>
        <v>247150</v>
      </c>
      <c r="Y15" s="365">
        <f t="shared" si="66"/>
        <v>247150</v>
      </c>
      <c r="Z15" s="365">
        <f t="shared" si="66"/>
        <v>247150</v>
      </c>
      <c r="AA15" s="365">
        <f t="shared" si="66"/>
        <v>247150</v>
      </c>
      <c r="AB15" s="365">
        <f t="shared" si="66"/>
        <v>247150</v>
      </c>
      <c r="AC15" s="365">
        <f t="shared" si="66"/>
        <v>247150</v>
      </c>
    </row>
    <row r="16" spans="1:37" x14ac:dyDescent="0.25">
      <c r="D16" s="347" t="s">
        <v>617</v>
      </c>
      <c r="E16" s="348">
        <f>E55</f>
        <v>0</v>
      </c>
      <c r="F16" s="333">
        <f>E16/E35</f>
        <v>0</v>
      </c>
      <c r="G16" s="366" t="s">
        <v>618</v>
      </c>
      <c r="H16" s="367">
        <f>E29-H26</f>
        <v>-364536.03476549778</v>
      </c>
      <c r="I16" s="336">
        <f t="shared" si="48"/>
        <v>-4.4162135065775425E-3</v>
      </c>
      <c r="K16" s="362" t="s">
        <v>619</v>
      </c>
      <c r="L16" s="363" t="str">
        <f>K16</f>
        <v xml:space="preserve">Mantenimiento </v>
      </c>
      <c r="M16" s="364">
        <f t="shared" si="47"/>
        <v>465920</v>
      </c>
      <c r="N16" s="514">
        <v>29120</v>
      </c>
      <c r="O16" s="365">
        <f>N16</f>
        <v>29120</v>
      </c>
      <c r="P16" s="365">
        <f t="shared" ref="P16" si="67">O16</f>
        <v>29120</v>
      </c>
      <c r="Q16" s="365">
        <f t="shared" ref="Q16" si="68">P16</f>
        <v>29120</v>
      </c>
      <c r="R16" s="365">
        <f t="shared" ref="R16" si="69">Q16</f>
        <v>29120</v>
      </c>
      <c r="S16" s="365">
        <f t="shared" ref="S16" si="70">R16</f>
        <v>29120</v>
      </c>
      <c r="T16" s="365">
        <f t="shared" ref="T16" si="71">S16</f>
        <v>29120</v>
      </c>
      <c r="U16" s="365">
        <f t="shared" ref="U16" si="72">T16</f>
        <v>29120</v>
      </c>
      <c r="V16" s="365">
        <f t="shared" ref="V16" si="73">U16</f>
        <v>29120</v>
      </c>
      <c r="W16" s="365">
        <f t="shared" ref="W16" si="74">V16</f>
        <v>29120</v>
      </c>
      <c r="X16" s="365">
        <f t="shared" ref="X16" si="75">W16</f>
        <v>29120</v>
      </c>
      <c r="Y16" s="365">
        <f t="shared" ref="Y16" si="76">X16</f>
        <v>29120</v>
      </c>
      <c r="Z16" s="365">
        <f t="shared" ref="Z16" si="77">Y16</f>
        <v>29120</v>
      </c>
      <c r="AA16" s="365">
        <f>Z16</f>
        <v>29120</v>
      </c>
      <c r="AB16" s="365">
        <f t="shared" ref="AB16" si="78">AA16</f>
        <v>29120</v>
      </c>
      <c r="AC16" s="365">
        <f t="shared" ref="AC16" si="79">AB16</f>
        <v>29120</v>
      </c>
    </row>
    <row r="17" spans="1:29" ht="20.25" customHeight="1" x14ac:dyDescent="0.25">
      <c r="D17" s="368" t="s">
        <v>614</v>
      </c>
      <c r="E17" s="369">
        <f>14003+1100+450+378420+6200+2100000+19100+99021+350+895000+8000+1838000+8434+5000+1570248+4162000+13170</f>
        <v>11118496</v>
      </c>
      <c r="F17" s="370">
        <f>E17/E35</f>
        <v>0.15407438028578446</v>
      </c>
      <c r="G17" s="346"/>
      <c r="H17" s="344"/>
      <c r="I17" s="371"/>
      <c r="K17" s="362" t="s">
        <v>620</v>
      </c>
      <c r="L17" s="363" t="s">
        <v>592</v>
      </c>
      <c r="M17" s="364">
        <f t="shared" si="47"/>
        <v>0</v>
      </c>
      <c r="N17" s="514">
        <v>0</v>
      </c>
      <c r="O17" s="365">
        <v>0</v>
      </c>
      <c r="P17" s="365">
        <v>0</v>
      </c>
      <c r="Q17" s="365">
        <v>0</v>
      </c>
      <c r="R17" s="365">
        <v>0</v>
      </c>
      <c r="S17" s="365">
        <v>0</v>
      </c>
      <c r="T17" s="365">
        <v>0</v>
      </c>
      <c r="U17" s="365">
        <v>0</v>
      </c>
      <c r="V17" s="365">
        <v>0</v>
      </c>
      <c r="W17" s="365">
        <v>0</v>
      </c>
      <c r="X17" s="365">
        <v>0</v>
      </c>
      <c r="Y17" s="365">
        <v>0</v>
      </c>
      <c r="Z17" s="365">
        <v>0</v>
      </c>
      <c r="AA17" s="365">
        <v>0</v>
      </c>
      <c r="AB17" s="365">
        <v>0</v>
      </c>
      <c r="AC17" s="365">
        <v>0</v>
      </c>
    </row>
    <row r="18" spans="1:29" x14ac:dyDescent="0.25">
      <c r="D18" s="347" t="s">
        <v>621</v>
      </c>
      <c r="E18" s="348">
        <f>7000000+19000+600000+4000+496109+4000+1530000+5500+3450000+10000+2500000+5000+3600000+15000+3869000+5000+245000+2000+4500000+11340</f>
        <v>27870949</v>
      </c>
      <c r="F18" s="333">
        <f>E18/E35</f>
        <v>0.38622122948568799</v>
      </c>
      <c r="G18" s="313" t="s">
        <v>622</v>
      </c>
      <c r="H18" s="372">
        <f>H19</f>
        <v>0</v>
      </c>
      <c r="I18" s="325">
        <f>H18/$H$74</f>
        <v>0</v>
      </c>
      <c r="K18" s="362" t="s">
        <v>623</v>
      </c>
      <c r="L18" s="363" t="str">
        <f>K18</f>
        <v>Empleados</v>
      </c>
      <c r="M18" s="364">
        <f t="shared" si="47"/>
        <v>1044480</v>
      </c>
      <c r="N18" s="514">
        <v>65280</v>
      </c>
      <c r="O18" s="365">
        <f>N18</f>
        <v>65280</v>
      </c>
      <c r="P18" s="365">
        <f t="shared" ref="P18:P22" si="80">O18</f>
        <v>65280</v>
      </c>
      <c r="Q18" s="365">
        <f t="shared" ref="Q18:Q22" si="81">P18</f>
        <v>65280</v>
      </c>
      <c r="R18" s="365">
        <f t="shared" ref="R18:R22" si="82">Q18</f>
        <v>65280</v>
      </c>
      <c r="S18" s="365">
        <f t="shared" ref="S18:S22" si="83">R18</f>
        <v>65280</v>
      </c>
      <c r="T18" s="365">
        <f t="shared" ref="T18:T22" si="84">S18</f>
        <v>65280</v>
      </c>
      <c r="U18" s="365">
        <f t="shared" ref="U18:U19" si="85">T18</f>
        <v>65280</v>
      </c>
      <c r="V18" s="365">
        <f t="shared" ref="V18:V19" si="86">U18</f>
        <v>65280</v>
      </c>
      <c r="W18" s="365">
        <f t="shared" ref="W18:W19" si="87">V18</f>
        <v>65280</v>
      </c>
      <c r="X18" s="365">
        <f t="shared" ref="X18:X19" si="88">W18</f>
        <v>65280</v>
      </c>
      <c r="Y18" s="365">
        <f t="shared" ref="Y18:Y22" si="89">X18</f>
        <v>65280</v>
      </c>
      <c r="Z18" s="365">
        <f t="shared" ref="Z18:Z24" si="90">Y18</f>
        <v>65280</v>
      </c>
      <c r="AA18" s="365">
        <f>Z18</f>
        <v>65280</v>
      </c>
      <c r="AB18" s="365">
        <f t="shared" ref="AB18:AB19" si="91">AA18</f>
        <v>65280</v>
      </c>
      <c r="AC18" s="365">
        <f t="shared" ref="AC18:AC19" si="92">AB18</f>
        <v>65280</v>
      </c>
    </row>
    <row r="19" spans="1:29" x14ac:dyDescent="0.25">
      <c r="D19" s="347" t="s">
        <v>624</v>
      </c>
      <c r="E19" s="348">
        <v>0</v>
      </c>
      <c r="F19" s="333">
        <f>E19/E35</f>
        <v>0</v>
      </c>
      <c r="G19" s="373" t="s">
        <v>625</v>
      </c>
      <c r="H19" s="374">
        <f>M20</f>
        <v>0</v>
      </c>
      <c r="I19" s="336">
        <f>H19/$H$74</f>
        <v>0</v>
      </c>
      <c r="K19" s="362" t="s">
        <v>626</v>
      </c>
      <c r="L19" s="363" t="str">
        <f>K19</f>
        <v>Juveniles</v>
      </c>
      <c r="M19" s="364">
        <f t="shared" si="47"/>
        <v>320000</v>
      </c>
      <c r="N19" s="514">
        <v>20000</v>
      </c>
      <c r="O19" s="365">
        <f>N19</f>
        <v>20000</v>
      </c>
      <c r="P19" s="365">
        <f t="shared" si="80"/>
        <v>20000</v>
      </c>
      <c r="Q19" s="365">
        <f t="shared" si="81"/>
        <v>20000</v>
      </c>
      <c r="R19" s="365">
        <f t="shared" si="82"/>
        <v>20000</v>
      </c>
      <c r="S19" s="365">
        <f t="shared" si="83"/>
        <v>20000</v>
      </c>
      <c r="T19" s="365">
        <f t="shared" si="84"/>
        <v>20000</v>
      </c>
      <c r="U19" s="365">
        <f t="shared" si="85"/>
        <v>20000</v>
      </c>
      <c r="V19" s="365">
        <f t="shared" si="86"/>
        <v>20000</v>
      </c>
      <c r="W19" s="365">
        <f t="shared" si="87"/>
        <v>20000</v>
      </c>
      <c r="X19" s="365">
        <f t="shared" si="88"/>
        <v>20000</v>
      </c>
      <c r="Y19" s="365">
        <f t="shared" si="89"/>
        <v>20000</v>
      </c>
      <c r="Z19" s="365">
        <f t="shared" si="90"/>
        <v>20000</v>
      </c>
      <c r="AA19" s="365">
        <f>Z19</f>
        <v>20000</v>
      </c>
      <c r="AB19" s="365">
        <f t="shared" si="91"/>
        <v>20000</v>
      </c>
      <c r="AC19" s="365">
        <f t="shared" si="92"/>
        <v>20000</v>
      </c>
    </row>
    <row r="20" spans="1:29" ht="20.25" customHeight="1" x14ac:dyDescent="0.25">
      <c r="D20" s="346"/>
      <c r="E20" s="357"/>
      <c r="F20" s="375"/>
      <c r="G20" s="376"/>
      <c r="H20" s="377"/>
      <c r="I20" s="378"/>
      <c r="K20" s="362" t="s">
        <v>627</v>
      </c>
      <c r="L20" s="363" t="s">
        <v>625</v>
      </c>
      <c r="M20" s="364">
        <f t="shared" si="47"/>
        <v>0</v>
      </c>
      <c r="N20" s="514">
        <v>0</v>
      </c>
      <c r="O20" s="365">
        <v>0</v>
      </c>
      <c r="P20" s="365">
        <f t="shared" si="80"/>
        <v>0</v>
      </c>
      <c r="Q20" s="365">
        <f t="shared" si="81"/>
        <v>0</v>
      </c>
      <c r="R20" s="365">
        <f t="shared" si="82"/>
        <v>0</v>
      </c>
      <c r="S20" s="365">
        <f t="shared" si="83"/>
        <v>0</v>
      </c>
      <c r="T20" s="365">
        <f t="shared" si="84"/>
        <v>0</v>
      </c>
      <c r="U20" s="365">
        <v>0</v>
      </c>
      <c r="V20" s="365">
        <v>0</v>
      </c>
      <c r="W20" s="365">
        <v>0</v>
      </c>
      <c r="X20" s="365">
        <v>0</v>
      </c>
      <c r="Y20" s="365">
        <f t="shared" si="89"/>
        <v>0</v>
      </c>
      <c r="Z20" s="365">
        <f t="shared" si="90"/>
        <v>0</v>
      </c>
      <c r="AA20" s="365">
        <v>0</v>
      </c>
      <c r="AB20" s="365">
        <v>0</v>
      </c>
      <c r="AC20" s="365">
        <v>0</v>
      </c>
    </row>
    <row r="21" spans="1:29" x14ac:dyDescent="0.25">
      <c r="D21" s="313" t="s">
        <v>600</v>
      </c>
      <c r="E21" s="379">
        <f>E22</f>
        <v>0</v>
      </c>
      <c r="F21" s="323">
        <f>E21/E35</f>
        <v>0</v>
      </c>
      <c r="G21" s="376"/>
      <c r="H21" s="377"/>
      <c r="I21" s="378"/>
      <c r="K21" s="529" t="s">
        <v>606</v>
      </c>
      <c r="L21" s="363" t="s">
        <v>595</v>
      </c>
      <c r="M21" s="364">
        <f t="shared" si="47"/>
        <v>0</v>
      </c>
      <c r="N21" s="514">
        <v>0</v>
      </c>
      <c r="O21" s="365">
        <f>N21</f>
        <v>0</v>
      </c>
      <c r="P21" s="365">
        <f t="shared" si="80"/>
        <v>0</v>
      </c>
      <c r="Q21" s="365">
        <f t="shared" si="81"/>
        <v>0</v>
      </c>
      <c r="R21" s="365">
        <f t="shared" si="82"/>
        <v>0</v>
      </c>
      <c r="S21" s="365">
        <f t="shared" si="83"/>
        <v>0</v>
      </c>
      <c r="T21" s="365">
        <f t="shared" si="84"/>
        <v>0</v>
      </c>
      <c r="U21" s="365">
        <f t="shared" ref="U21:U22" si="93">T21</f>
        <v>0</v>
      </c>
      <c r="V21" s="365">
        <f t="shared" ref="V21:V22" si="94">U21</f>
        <v>0</v>
      </c>
      <c r="W21" s="365">
        <f t="shared" ref="W21:W22" si="95">V21</f>
        <v>0</v>
      </c>
      <c r="X21" s="365">
        <f t="shared" ref="X21:X22" si="96">W21</f>
        <v>0</v>
      </c>
      <c r="Y21" s="365">
        <f t="shared" si="89"/>
        <v>0</v>
      </c>
      <c r="Z21" s="365">
        <f t="shared" si="90"/>
        <v>0</v>
      </c>
      <c r="AA21" s="365">
        <v>0</v>
      </c>
      <c r="AB21" s="365">
        <f t="shared" ref="AB21:AB22" si="97">AA21</f>
        <v>0</v>
      </c>
      <c r="AC21" s="365">
        <f t="shared" ref="AC21:AC22" si="98">AB21</f>
        <v>0</v>
      </c>
    </row>
    <row r="22" spans="1:29" x14ac:dyDescent="0.25">
      <c r="D22" s="347" t="s">
        <v>600</v>
      </c>
      <c r="E22" s="348">
        <f>M8+M9</f>
        <v>0</v>
      </c>
      <c r="F22" s="333">
        <f>E22/E35</f>
        <v>0</v>
      </c>
      <c r="G22" s="313" t="s">
        <v>628</v>
      </c>
      <c r="H22" s="324">
        <f>SUM(H23:H24)</f>
        <v>0</v>
      </c>
      <c r="I22" s="325">
        <f>H22/$H$74</f>
        <v>0</v>
      </c>
      <c r="K22" s="530"/>
      <c r="L22" s="363" t="s">
        <v>629</v>
      </c>
      <c r="M22" s="364">
        <f t="shared" si="47"/>
        <v>96000</v>
      </c>
      <c r="N22" s="514">
        <v>6000</v>
      </c>
      <c r="O22" s="365">
        <f>N22</f>
        <v>6000</v>
      </c>
      <c r="P22" s="365">
        <f t="shared" si="80"/>
        <v>6000</v>
      </c>
      <c r="Q22" s="365">
        <f t="shared" si="81"/>
        <v>6000</v>
      </c>
      <c r="R22" s="365">
        <f t="shared" si="82"/>
        <v>6000</v>
      </c>
      <c r="S22" s="365">
        <f t="shared" si="83"/>
        <v>6000</v>
      </c>
      <c r="T22" s="365">
        <f t="shared" si="84"/>
        <v>6000</v>
      </c>
      <c r="U22" s="365">
        <f t="shared" si="93"/>
        <v>6000</v>
      </c>
      <c r="V22" s="365">
        <f t="shared" si="94"/>
        <v>6000</v>
      </c>
      <c r="W22" s="365">
        <f t="shared" si="95"/>
        <v>6000</v>
      </c>
      <c r="X22" s="365">
        <f t="shared" si="96"/>
        <v>6000</v>
      </c>
      <c r="Y22" s="365">
        <f t="shared" si="89"/>
        <v>6000</v>
      </c>
      <c r="Z22" s="365">
        <f t="shared" si="90"/>
        <v>6000</v>
      </c>
      <c r="AA22" s="365">
        <f t="shared" ref="AA22" si="99">Z22</f>
        <v>6000</v>
      </c>
      <c r="AB22" s="365">
        <f t="shared" si="97"/>
        <v>6000</v>
      </c>
      <c r="AC22" s="365">
        <f t="shared" si="98"/>
        <v>6000</v>
      </c>
    </row>
    <row r="23" spans="1:29" ht="18.75" x14ac:dyDescent="0.3">
      <c r="C23" s="380"/>
      <c r="D23" s="346"/>
      <c r="E23" s="357"/>
      <c r="F23" s="375"/>
      <c r="G23" s="373" t="s">
        <v>592</v>
      </c>
      <c r="H23" s="381">
        <f>M17</f>
        <v>0</v>
      </c>
      <c r="I23" s="336">
        <f>H23/$H$74</f>
        <v>0</v>
      </c>
      <c r="K23" s="531"/>
      <c r="L23" s="363" t="s">
        <v>630</v>
      </c>
      <c r="M23" s="364">
        <f t="shared" si="47"/>
        <v>0</v>
      </c>
      <c r="N23" s="514">
        <v>0</v>
      </c>
      <c r="O23" s="365">
        <f>N23</f>
        <v>0</v>
      </c>
      <c r="P23" s="365">
        <f t="shared" ref="P23:P24" si="100">O23</f>
        <v>0</v>
      </c>
      <c r="Q23" s="365">
        <f t="shared" ref="Q23:Q24" si="101">P23</f>
        <v>0</v>
      </c>
      <c r="R23" s="365">
        <f t="shared" ref="R23:R24" si="102">Q23</f>
        <v>0</v>
      </c>
      <c r="S23" s="365">
        <f t="shared" ref="S23:S24" si="103">R23</f>
        <v>0</v>
      </c>
      <c r="T23" s="365">
        <f t="shared" ref="T23:T24" si="104">S23</f>
        <v>0</v>
      </c>
      <c r="U23" s="365">
        <f t="shared" ref="U23:U24" si="105">T23</f>
        <v>0</v>
      </c>
      <c r="V23" s="365">
        <f t="shared" ref="V23:V24" si="106">U23</f>
        <v>0</v>
      </c>
      <c r="W23" s="365">
        <f t="shared" ref="W23:W24" si="107">V23</f>
        <v>0</v>
      </c>
      <c r="X23" s="365">
        <f t="shared" ref="X23:X24" si="108">W23</f>
        <v>0</v>
      </c>
      <c r="Y23" s="365">
        <f t="shared" ref="Y23:Y24" si="109">X23</f>
        <v>0</v>
      </c>
      <c r="Z23" s="365">
        <f t="shared" si="90"/>
        <v>0</v>
      </c>
      <c r="AA23" s="365">
        <v>0</v>
      </c>
      <c r="AB23" s="365">
        <f t="shared" ref="AB23:AB24" si="110">AA23</f>
        <v>0</v>
      </c>
      <c r="AC23" s="365">
        <f t="shared" ref="AC23:AC24" si="111">AB23</f>
        <v>0</v>
      </c>
    </row>
    <row r="24" spans="1:29" ht="18.75" x14ac:dyDescent="0.3">
      <c r="A24" s="382" t="str">
        <f t="shared" ref="A24:A31" si="112">L15</f>
        <v>Sueldos</v>
      </c>
      <c r="B24" s="383">
        <f t="shared" ref="B24:B31" si="113">M15/$M$64</f>
        <v>0.24778905080242364</v>
      </c>
      <c r="C24" s="321"/>
      <c r="D24" s="313" t="s">
        <v>647</v>
      </c>
      <c r="E24" s="322">
        <f>E25+E26-E27</f>
        <v>18158019</v>
      </c>
      <c r="F24" s="323">
        <f>E24/E35</f>
        <v>0.25162445753836665</v>
      </c>
      <c r="G24" s="373" t="s">
        <v>595</v>
      </c>
      <c r="H24" s="381">
        <f>M21</f>
        <v>0</v>
      </c>
      <c r="I24" s="336">
        <f>H24/$H$74</f>
        <v>0</v>
      </c>
      <c r="K24" s="362" t="s">
        <v>631</v>
      </c>
      <c r="L24" s="363" t="str">
        <f>K24</f>
        <v>Intereses</v>
      </c>
      <c r="M24" s="364">
        <f t="shared" si="47"/>
        <v>0</v>
      </c>
      <c r="N24" s="514">
        <v>0</v>
      </c>
      <c r="O24" s="365">
        <f t="shared" ref="O24" si="114">N24</f>
        <v>0</v>
      </c>
      <c r="P24" s="365">
        <f t="shared" si="100"/>
        <v>0</v>
      </c>
      <c r="Q24" s="365">
        <f t="shared" si="101"/>
        <v>0</v>
      </c>
      <c r="R24" s="365">
        <f t="shared" si="102"/>
        <v>0</v>
      </c>
      <c r="S24" s="365">
        <f t="shared" si="103"/>
        <v>0</v>
      </c>
      <c r="T24" s="365">
        <f t="shared" si="104"/>
        <v>0</v>
      </c>
      <c r="U24" s="365">
        <f t="shared" si="105"/>
        <v>0</v>
      </c>
      <c r="V24" s="365">
        <f t="shared" si="106"/>
        <v>0</v>
      </c>
      <c r="W24" s="365">
        <f t="shared" si="107"/>
        <v>0</v>
      </c>
      <c r="X24" s="365">
        <f t="shared" si="108"/>
        <v>0</v>
      </c>
      <c r="Y24" s="365">
        <f t="shared" si="109"/>
        <v>0</v>
      </c>
      <c r="Z24" s="365">
        <f t="shared" si="90"/>
        <v>0</v>
      </c>
      <c r="AA24" s="365">
        <v>0</v>
      </c>
      <c r="AB24" s="365">
        <f t="shared" si="110"/>
        <v>0</v>
      </c>
      <c r="AC24" s="365">
        <f t="shared" si="111"/>
        <v>0</v>
      </c>
    </row>
    <row r="25" spans="1:29" ht="18.75" x14ac:dyDescent="0.3">
      <c r="A25" s="382" t="str">
        <f t="shared" si="112"/>
        <v xml:space="preserve">Mantenimiento </v>
      </c>
      <c r="B25" s="383">
        <f t="shared" si="113"/>
        <v>2.9343705406126783E-2</v>
      </c>
      <c r="C25" s="299"/>
      <c r="D25" s="349" t="s">
        <v>632</v>
      </c>
      <c r="E25" s="384">
        <f>N5</f>
        <v>10158019</v>
      </c>
      <c r="F25" s="333">
        <f>E25/E35</f>
        <v>0.14076458563786179</v>
      </c>
      <c r="G25" s="385"/>
      <c r="H25" s="386"/>
      <c r="I25" s="387"/>
      <c r="K25" s="388" t="s">
        <v>633</v>
      </c>
      <c r="L25" s="389"/>
      <c r="M25" s="390">
        <f t="shared" si="47"/>
        <v>5860800</v>
      </c>
      <c r="N25" s="515">
        <f>SUM(N15:N24)</f>
        <v>347550</v>
      </c>
      <c r="O25" s="391">
        <f t="shared" ref="O25:AC25" si="115">SUM(O15:O24)</f>
        <v>367550</v>
      </c>
      <c r="P25" s="391">
        <f t="shared" si="115"/>
        <v>367550</v>
      </c>
      <c r="Q25" s="391">
        <f t="shared" si="115"/>
        <v>367550</v>
      </c>
      <c r="R25" s="391">
        <f t="shared" si="115"/>
        <v>367550</v>
      </c>
      <c r="S25" s="391">
        <f t="shared" si="115"/>
        <v>367550</v>
      </c>
      <c r="T25" s="391">
        <f t="shared" si="115"/>
        <v>367550</v>
      </c>
      <c r="U25" s="391">
        <f t="shared" si="115"/>
        <v>367550</v>
      </c>
      <c r="V25" s="391">
        <f t="shared" si="115"/>
        <v>367550</v>
      </c>
      <c r="W25" s="391">
        <f t="shared" si="115"/>
        <v>367550</v>
      </c>
      <c r="X25" s="391">
        <f t="shared" si="115"/>
        <v>367550</v>
      </c>
      <c r="Y25" s="391">
        <f t="shared" si="115"/>
        <v>367550</v>
      </c>
      <c r="Z25" s="391">
        <f t="shared" si="115"/>
        <v>367550</v>
      </c>
      <c r="AA25" s="391">
        <f t="shared" si="115"/>
        <v>367550</v>
      </c>
      <c r="AB25" s="391">
        <f t="shared" si="115"/>
        <v>367550</v>
      </c>
      <c r="AC25" s="391">
        <f t="shared" si="115"/>
        <v>367550</v>
      </c>
    </row>
    <row r="26" spans="1:29" ht="18.75" x14ac:dyDescent="0.3">
      <c r="A26" s="382" t="str">
        <f t="shared" si="112"/>
        <v>Estadio</v>
      </c>
      <c r="B26" s="383">
        <f t="shared" si="113"/>
        <v>0</v>
      </c>
      <c r="C26" s="306"/>
      <c r="D26" s="349" t="str">
        <f>D12</f>
        <v>Ing Reservas</v>
      </c>
      <c r="E26" s="442">
        <f>M13</f>
        <v>8000000</v>
      </c>
      <c r="F26" s="333">
        <f>E26/E35</f>
        <v>0.11085987190050485</v>
      </c>
      <c r="G26" s="313" t="s">
        <v>634</v>
      </c>
      <c r="H26" s="324">
        <f>SUM(H27:H32)</f>
        <v>5860800</v>
      </c>
      <c r="I26" s="325">
        <f t="shared" ref="I26:I32" si="116">H26/$H$74</f>
        <v>7.1001332244148729E-2</v>
      </c>
      <c r="K26" s="392" t="s">
        <v>635</v>
      </c>
      <c r="L26" s="392"/>
      <c r="M26" s="328">
        <f t="shared" ref="M26:AC26" si="117">M5+M14-M25</f>
        <v>17793482.965234503</v>
      </c>
      <c r="N26" s="517">
        <f t="shared" si="117"/>
        <v>10411148</v>
      </c>
      <c r="O26" s="328">
        <f t="shared" si="117"/>
        <v>10724597.384388324</v>
      </c>
      <c r="P26" s="328">
        <f t="shared" si="117"/>
        <v>11515350.603804525</v>
      </c>
      <c r="Q26" s="328">
        <f t="shared" si="117"/>
        <v>12026821.30665792</v>
      </c>
      <c r="R26" s="328">
        <f t="shared" si="117"/>
        <v>12648046.295178747</v>
      </c>
      <c r="S26" s="328">
        <f t="shared" si="117"/>
        <v>13310605.245654313</v>
      </c>
      <c r="T26" s="328">
        <f t="shared" si="117"/>
        <v>13605817.497868154</v>
      </c>
      <c r="U26" s="328">
        <f t="shared" si="117"/>
        <v>14273655.816005249</v>
      </c>
      <c r="V26" s="328">
        <f t="shared" si="117"/>
        <v>14543485.178091178</v>
      </c>
      <c r="W26" s="328">
        <f t="shared" si="117"/>
        <v>15201984.584125943</v>
      </c>
      <c r="X26" s="328">
        <f t="shared" si="117"/>
        <v>15479739.034109544</v>
      </c>
      <c r="Y26" s="328">
        <f t="shared" si="117"/>
        <v>15748516.528041981</v>
      </c>
      <c r="Z26" s="328">
        <f t="shared" si="117"/>
        <v>16429515.065923255</v>
      </c>
      <c r="AA26" s="328">
        <f t="shared" si="117"/>
        <v>17148047.66972778</v>
      </c>
      <c r="AB26" s="328">
        <f t="shared" si="117"/>
        <v>17439369.317481142</v>
      </c>
      <c r="AC26" s="328">
        <f t="shared" si="117"/>
        <v>17793482.965234503</v>
      </c>
    </row>
    <row r="27" spans="1:29" x14ac:dyDescent="0.25">
      <c r="A27" s="382" t="str">
        <f t="shared" si="112"/>
        <v>Empleados</v>
      </c>
      <c r="B27" s="383">
        <f t="shared" si="113"/>
        <v>6.5781493437910593E-2</v>
      </c>
      <c r="C27" s="302"/>
      <c r="D27" s="349" t="str">
        <f>D13</f>
        <v>Pago Reservas</v>
      </c>
      <c r="E27" s="384">
        <f>M23*-1</f>
        <v>0</v>
      </c>
      <c r="F27" s="333">
        <f>E27/E35</f>
        <v>0</v>
      </c>
      <c r="G27" s="373" t="s">
        <v>636</v>
      </c>
      <c r="H27" s="381">
        <f>M15</f>
        <v>3934400</v>
      </c>
      <c r="I27" s="336">
        <f t="shared" si="116"/>
        <v>4.7663739008561759E-2</v>
      </c>
      <c r="K27" s="393"/>
      <c r="L27" s="393"/>
      <c r="M27" s="393"/>
      <c r="N27" s="516">
        <f>N1+7</f>
        <v>43764</v>
      </c>
      <c r="O27" s="394">
        <f t="shared" ref="O27" si="118">N27+7</f>
        <v>43771</v>
      </c>
      <c r="P27" s="394">
        <f t="shared" ref="P27" si="119">O27+7</f>
        <v>43778</v>
      </c>
      <c r="Q27" s="394">
        <f t="shared" ref="Q27" si="120">P27+7</f>
        <v>43785</v>
      </c>
      <c r="R27" s="394">
        <f t="shared" ref="R27" si="121">Q27+7</f>
        <v>43792</v>
      </c>
      <c r="S27" s="394">
        <f t="shared" ref="S27" si="122">R27+7</f>
        <v>43799</v>
      </c>
      <c r="T27" s="394">
        <f t="shared" ref="T27" si="123">S27+7</f>
        <v>43806</v>
      </c>
      <c r="U27" s="394">
        <f t="shared" ref="U27" si="124">T27+7</f>
        <v>43813</v>
      </c>
      <c r="V27" s="394">
        <f t="shared" ref="V27" si="125">U27+7</f>
        <v>43820</v>
      </c>
      <c r="W27" s="394">
        <f t="shared" ref="W27" si="126">V27+7</f>
        <v>43827</v>
      </c>
      <c r="X27" s="394">
        <f t="shared" ref="X27" si="127">W27+7</f>
        <v>43834</v>
      </c>
      <c r="Y27" s="394">
        <f t="shared" ref="Y27" si="128">X27+7</f>
        <v>43841</v>
      </c>
      <c r="Z27" s="394">
        <f t="shared" ref="Z27" si="129">Y27+7</f>
        <v>43848</v>
      </c>
      <c r="AA27" s="394">
        <f t="shared" ref="AA27" si="130">Z27+7</f>
        <v>43855</v>
      </c>
      <c r="AB27" s="394">
        <f t="shared" ref="AB27" si="131">AA27+7</f>
        <v>43862</v>
      </c>
      <c r="AC27" s="394">
        <f t="shared" ref="AC27" si="132">AB27+7</f>
        <v>43869</v>
      </c>
    </row>
    <row r="28" spans="1:29" x14ac:dyDescent="0.25">
      <c r="A28" s="382" t="str">
        <f t="shared" si="112"/>
        <v>Juveniles</v>
      </c>
      <c r="B28" s="383">
        <f t="shared" si="113"/>
        <v>2.0153643822889273E-2</v>
      </c>
      <c r="C28" s="306"/>
      <c r="D28" s="376"/>
      <c r="E28" s="395"/>
      <c r="F28" s="333"/>
      <c r="G28" s="373" t="s">
        <v>619</v>
      </c>
      <c r="H28" s="381">
        <f>M16</f>
        <v>465920</v>
      </c>
      <c r="I28" s="336">
        <f t="shared" si="116"/>
        <v>5.6444411546535929E-3</v>
      </c>
      <c r="K28" s="396"/>
      <c r="L28" s="396"/>
      <c r="M28" s="396"/>
      <c r="N28" s="396"/>
      <c r="O28" s="508"/>
      <c r="P28" s="508"/>
      <c r="Q28" s="508"/>
      <c r="R28" s="508"/>
      <c r="S28" s="508"/>
      <c r="T28" s="508"/>
      <c r="U28" s="508"/>
      <c r="V28" s="508"/>
      <c r="W28" s="508"/>
      <c r="X28" s="508"/>
      <c r="Y28" s="508"/>
      <c r="Z28" s="508"/>
      <c r="AA28" s="508"/>
      <c r="AB28" s="508"/>
      <c r="AC28" s="508"/>
    </row>
    <row r="29" spans="1:29" x14ac:dyDescent="0.25">
      <c r="A29" s="382" t="str">
        <f t="shared" si="112"/>
        <v>Compra</v>
      </c>
      <c r="B29" s="383">
        <f t="shared" si="113"/>
        <v>0</v>
      </c>
      <c r="D29" s="313" t="s">
        <v>637</v>
      </c>
      <c r="E29" s="322">
        <f>SUM(E30:E34)</f>
        <v>5496263.9652345022</v>
      </c>
      <c r="F29" s="323">
        <f>E29/E35</f>
        <v>7.6164389889657222E-2</v>
      </c>
      <c r="G29" s="373" t="s">
        <v>623</v>
      </c>
      <c r="H29" s="381">
        <f>M18</f>
        <v>1044480</v>
      </c>
      <c r="I29" s="336">
        <f t="shared" si="116"/>
        <v>1.2653472478564099E-2</v>
      </c>
      <c r="K29" s="397"/>
      <c r="L29" s="397"/>
      <c r="M29" s="398" t="s">
        <v>614</v>
      </c>
      <c r="N29" s="399">
        <v>18</v>
      </c>
      <c r="O29" s="399">
        <v>18</v>
      </c>
      <c r="P29" s="399">
        <v>18</v>
      </c>
      <c r="Q29" s="399">
        <v>18</v>
      </c>
      <c r="R29" s="399">
        <v>18</v>
      </c>
      <c r="S29" s="399">
        <v>18</v>
      </c>
      <c r="T29" s="399"/>
      <c r="U29" s="399"/>
      <c r="V29" s="399">
        <v>17</v>
      </c>
      <c r="W29" s="399">
        <v>17</v>
      </c>
      <c r="X29" s="399">
        <v>19</v>
      </c>
      <c r="Y29" s="399">
        <v>19</v>
      </c>
      <c r="Z29" s="399"/>
      <c r="AA29" s="399">
        <v>20</v>
      </c>
      <c r="AB29" s="399">
        <v>22</v>
      </c>
      <c r="AC29" s="399">
        <v>21</v>
      </c>
    </row>
    <row r="30" spans="1:29" x14ac:dyDescent="0.25">
      <c r="A30" s="382" t="str">
        <f t="shared" si="112"/>
        <v>Entrenador</v>
      </c>
      <c r="B30" s="383">
        <f t="shared" si="113"/>
        <v>0</v>
      </c>
      <c r="D30" s="349" t="s">
        <v>587</v>
      </c>
      <c r="E30" s="384">
        <f>M11</f>
        <v>66602</v>
      </c>
      <c r="F30" s="333">
        <f>E30/E35</f>
        <v>9.2293614853967802E-4</v>
      </c>
      <c r="G30" s="373" t="s">
        <v>626</v>
      </c>
      <c r="H30" s="381">
        <f>M19</f>
        <v>320000</v>
      </c>
      <c r="I30" s="336">
        <f t="shared" si="116"/>
        <v>3.8766766172071382E-3</v>
      </c>
      <c r="K30" s="309"/>
      <c r="L30" s="532" t="s">
        <v>638</v>
      </c>
      <c r="M30" s="400" t="s">
        <v>11</v>
      </c>
      <c r="N30" s="399">
        <v>950340</v>
      </c>
      <c r="O30" s="399">
        <v>949900</v>
      </c>
      <c r="P30" s="399">
        <v>1007530</v>
      </c>
      <c r="Q30" s="399">
        <v>1065770</v>
      </c>
      <c r="R30" s="399">
        <v>1065800</v>
      </c>
      <c r="S30" s="399">
        <v>1092850</v>
      </c>
      <c r="T30" s="399"/>
      <c r="U30" s="399"/>
      <c r="V30" s="399">
        <v>1154480</v>
      </c>
      <c r="W30" s="399">
        <v>1166260</v>
      </c>
      <c r="X30" s="399">
        <v>1290910</v>
      </c>
      <c r="Y30" s="399">
        <v>1318910</v>
      </c>
      <c r="Z30" s="399"/>
      <c r="AA30" s="399">
        <v>1335700</v>
      </c>
      <c r="AB30" s="399">
        <v>1391860</v>
      </c>
      <c r="AC30" s="399">
        <v>1417100</v>
      </c>
    </row>
    <row r="31" spans="1:29" x14ac:dyDescent="0.25">
      <c r="A31" s="382" t="str">
        <f t="shared" si="112"/>
        <v>Viajes+Venta</v>
      </c>
      <c r="B31" s="383">
        <f t="shared" si="113"/>
        <v>6.0460931468667824E-3</v>
      </c>
      <c r="D31" s="349" t="s">
        <v>609</v>
      </c>
      <c r="E31" s="384">
        <f>M12</f>
        <v>0</v>
      </c>
      <c r="F31" s="333">
        <f>E31/E35</f>
        <v>0</v>
      </c>
      <c r="G31" s="373" t="s">
        <v>629</v>
      </c>
      <c r="H31" s="381">
        <f>M22</f>
        <v>96000</v>
      </c>
      <c r="I31" s="336">
        <f t="shared" si="116"/>
        <v>1.1630029851621413E-3</v>
      </c>
      <c r="K31" s="309"/>
      <c r="L31" s="532"/>
      <c r="M31" s="400" t="s">
        <v>45</v>
      </c>
      <c r="N31" s="399">
        <v>162436</v>
      </c>
      <c r="O31" s="399">
        <v>162436</v>
      </c>
      <c r="P31" s="399">
        <v>162436</v>
      </c>
      <c r="Q31" s="399">
        <v>162436</v>
      </c>
      <c r="R31" s="399">
        <v>162436</v>
      </c>
      <c r="S31" s="399">
        <v>168396</v>
      </c>
      <c r="T31" s="399"/>
      <c r="U31" s="399"/>
      <c r="V31" s="399">
        <v>175918</v>
      </c>
      <c r="W31" s="399">
        <v>187048</v>
      </c>
      <c r="X31" s="399">
        <v>208526</v>
      </c>
      <c r="Y31" s="399">
        <v>208526</v>
      </c>
      <c r="Z31" s="399"/>
      <c r="AA31" s="399">
        <v>215974</v>
      </c>
      <c r="AB31" s="399">
        <v>225484</v>
      </c>
      <c r="AC31" s="399">
        <v>226850</v>
      </c>
    </row>
    <row r="32" spans="1:29" x14ac:dyDescent="0.25">
      <c r="A32" s="382" t="str">
        <f>L24</f>
        <v>Intereses</v>
      </c>
      <c r="B32" s="383">
        <f>M24/$M$64</f>
        <v>0</v>
      </c>
      <c r="D32" s="349" t="s">
        <v>594</v>
      </c>
      <c r="E32" s="384">
        <f>M6</f>
        <v>3474771</v>
      </c>
      <c r="F32" s="333">
        <f>E32/E35</f>
        <v>4.8151583492948645E-2</v>
      </c>
      <c r="G32" s="373" t="s">
        <v>631</v>
      </c>
      <c r="H32" s="381">
        <f>M24</f>
        <v>0</v>
      </c>
      <c r="I32" s="336">
        <f t="shared" si="116"/>
        <v>0</v>
      </c>
      <c r="K32" s="309"/>
      <c r="L32" s="532"/>
      <c r="M32" s="400" t="s">
        <v>639</v>
      </c>
      <c r="N32" s="399">
        <v>867000</v>
      </c>
      <c r="O32" s="399">
        <v>866870</v>
      </c>
      <c r="P32" s="399">
        <v>921130</v>
      </c>
      <c r="Q32" s="399">
        <v>981580</v>
      </c>
      <c r="R32" s="399">
        <v>981420</v>
      </c>
      <c r="S32" s="399">
        <v>1007480</v>
      </c>
      <c r="T32" s="399"/>
      <c r="U32" s="399"/>
      <c r="V32" s="399">
        <v>1062240</v>
      </c>
      <c r="W32" s="399">
        <v>1070780</v>
      </c>
      <c r="X32" s="399">
        <v>1132060</v>
      </c>
      <c r="Y32" s="399">
        <v>1158820</v>
      </c>
      <c r="Z32" s="399"/>
      <c r="AA32" s="399">
        <v>1184390</v>
      </c>
      <c r="AB32" s="399">
        <v>1192530</v>
      </c>
      <c r="AC32" s="399">
        <v>1226010</v>
      </c>
    </row>
    <row r="33" spans="1:33" ht="18.75" x14ac:dyDescent="0.3">
      <c r="A33" s="306"/>
      <c r="B33" s="401">
        <f>SUM(B24:B32)</f>
        <v>0.36911398661621703</v>
      </c>
      <c r="D33" s="349" t="s">
        <v>597</v>
      </c>
      <c r="E33" s="384">
        <f>M7</f>
        <v>1922890.9652345022</v>
      </c>
      <c r="F33" s="333">
        <f>E33/E35</f>
        <v>2.6646430760566879E-2</v>
      </c>
      <c r="G33" s="376"/>
      <c r="H33" s="377"/>
      <c r="I33" s="378"/>
      <c r="K33" s="309"/>
      <c r="L33" s="532"/>
      <c r="M33" s="400" t="s">
        <v>640</v>
      </c>
      <c r="N33" s="399">
        <v>140830</v>
      </c>
      <c r="O33" s="399">
        <v>140830</v>
      </c>
      <c r="P33" s="399">
        <v>140830</v>
      </c>
      <c r="Q33" s="399">
        <v>140830</v>
      </c>
      <c r="R33" s="399">
        <v>140830</v>
      </c>
      <c r="S33" s="399">
        <v>146790</v>
      </c>
      <c r="T33" s="399"/>
      <c r="U33" s="399"/>
      <c r="V33" s="399">
        <v>148210</v>
      </c>
      <c r="W33" s="399">
        <v>159030</v>
      </c>
      <c r="X33" s="399">
        <v>163720</v>
      </c>
      <c r="Y33" s="399">
        <v>163720</v>
      </c>
      <c r="Z33" s="399"/>
      <c r="AA33" s="399">
        <v>173310</v>
      </c>
      <c r="AB33" s="399">
        <v>173310</v>
      </c>
      <c r="AC33" s="399">
        <v>176410</v>
      </c>
    </row>
    <row r="34" spans="1:33" ht="18.75" x14ac:dyDescent="0.3">
      <c r="A34" s="302"/>
      <c r="B34" s="402"/>
      <c r="D34" s="403" t="s">
        <v>603</v>
      </c>
      <c r="E34" s="404">
        <f>M10</f>
        <v>32000</v>
      </c>
      <c r="F34" s="333">
        <f>E34/E35</f>
        <v>4.4343948760201942E-4</v>
      </c>
      <c r="G34" s="405"/>
      <c r="H34" s="406"/>
      <c r="I34" s="407"/>
      <c r="K34" s="309"/>
      <c r="L34" s="532"/>
      <c r="M34" s="400" t="s">
        <v>641</v>
      </c>
      <c r="N34" s="408" t="s">
        <v>646</v>
      </c>
      <c r="O34" s="408" t="s">
        <v>651</v>
      </c>
      <c r="P34" s="408" t="s">
        <v>652</v>
      </c>
      <c r="Q34" s="408" t="s">
        <v>665</v>
      </c>
      <c r="R34" s="408" t="s">
        <v>666</v>
      </c>
      <c r="S34" s="408" t="s">
        <v>669</v>
      </c>
      <c r="T34" s="408"/>
      <c r="U34" s="408"/>
      <c r="V34" s="408" t="s">
        <v>699</v>
      </c>
      <c r="W34" s="408" t="s">
        <v>710</v>
      </c>
      <c r="X34" s="408" t="s">
        <v>718</v>
      </c>
      <c r="Y34" s="408" t="s">
        <v>651</v>
      </c>
      <c r="Z34" s="408"/>
      <c r="AA34" s="408" t="s">
        <v>666</v>
      </c>
      <c r="AB34" s="408" t="s">
        <v>766</v>
      </c>
      <c r="AC34" s="408" t="s">
        <v>908</v>
      </c>
    </row>
    <row r="35" spans="1:33" ht="18.75" x14ac:dyDescent="0.3">
      <c r="A35" s="533">
        <f>M25</f>
        <v>5860800</v>
      </c>
      <c r="B35" s="533"/>
      <c r="D35" s="409" t="s">
        <v>80</v>
      </c>
      <c r="E35" s="410">
        <f>E29+E21+E15+E5+E10+E24</f>
        <v>72163171.965234503</v>
      </c>
      <c r="F35" s="411">
        <f>F29+F21+F15+F5+F10+F24</f>
        <v>1</v>
      </c>
      <c r="G35" s="409" t="s">
        <v>80</v>
      </c>
      <c r="H35" s="410">
        <f>H26+H18+H10+H5+H22</f>
        <v>72163171.965234503</v>
      </c>
      <c r="I35" s="412">
        <f>H35/$H$74</f>
        <v>0.87422900431600714</v>
      </c>
      <c r="K35" s="309"/>
      <c r="L35" s="532"/>
      <c r="M35" s="400" t="s">
        <v>642</v>
      </c>
      <c r="N35" s="413">
        <v>6</v>
      </c>
      <c r="O35" s="413">
        <v>6</v>
      </c>
      <c r="P35" s="413">
        <v>6</v>
      </c>
      <c r="Q35" s="413">
        <v>6</v>
      </c>
      <c r="R35" s="413">
        <v>6</v>
      </c>
      <c r="S35" s="413">
        <v>6</v>
      </c>
      <c r="T35" s="413"/>
      <c r="U35" s="413"/>
      <c r="V35" s="413">
        <v>6.25</v>
      </c>
      <c r="W35" s="413">
        <v>6.25</v>
      </c>
      <c r="X35" s="413">
        <v>6.25</v>
      </c>
      <c r="Y35" s="413">
        <v>6.25</v>
      </c>
      <c r="Z35" s="413"/>
      <c r="AA35" s="413">
        <v>6.5</v>
      </c>
      <c r="AB35" s="413">
        <v>6.5</v>
      </c>
      <c r="AC35" s="413">
        <v>6.5</v>
      </c>
    </row>
    <row r="36" spans="1:33" x14ac:dyDescent="0.25">
      <c r="E36" s="345"/>
      <c r="F36" s="315"/>
      <c r="G36" s="414"/>
      <c r="H36" s="415">
        <f>E35-H35</f>
        <v>0</v>
      </c>
      <c r="I36" s="345"/>
      <c r="K36" s="306">
        <v>1523038</v>
      </c>
      <c r="L36" s="532"/>
      <c r="M36" s="400" t="s">
        <v>643</v>
      </c>
      <c r="N36" s="413">
        <v>5.25</v>
      </c>
      <c r="O36" s="413">
        <v>5.25</v>
      </c>
      <c r="P36" s="413">
        <v>5.75</v>
      </c>
      <c r="Q36" s="413">
        <v>6</v>
      </c>
      <c r="R36" s="413">
        <v>6</v>
      </c>
      <c r="S36" s="413">
        <v>6</v>
      </c>
      <c r="T36" s="413"/>
      <c r="U36" s="413"/>
      <c r="V36" s="413">
        <v>6</v>
      </c>
      <c r="W36" s="413">
        <v>5.75</v>
      </c>
      <c r="X36" s="413">
        <v>5.75</v>
      </c>
      <c r="Y36" s="413">
        <v>5.75</v>
      </c>
      <c r="Z36" s="413"/>
      <c r="AA36" s="413">
        <v>5.5</v>
      </c>
      <c r="AB36" s="413">
        <v>5.5</v>
      </c>
      <c r="AC36" s="413">
        <v>5.25</v>
      </c>
    </row>
    <row r="37" spans="1:33" x14ac:dyDescent="0.25">
      <c r="E37" s="345"/>
      <c r="F37" s="345"/>
      <c r="H37" s="345"/>
      <c r="I37" s="345"/>
      <c r="K37" s="306"/>
      <c r="L37" s="532"/>
      <c r="M37" s="400" t="s">
        <v>644</v>
      </c>
      <c r="N37" s="413">
        <v>4.25</v>
      </c>
      <c r="O37" s="413">
        <v>4.25</v>
      </c>
      <c r="P37" s="413">
        <v>4.25</v>
      </c>
      <c r="Q37" s="413">
        <v>4.5</v>
      </c>
      <c r="R37" s="413">
        <v>4.5</v>
      </c>
      <c r="S37" s="413">
        <v>4.5</v>
      </c>
      <c r="T37" s="413"/>
      <c r="U37" s="413"/>
      <c r="V37" s="413">
        <v>4.5</v>
      </c>
      <c r="W37" s="413">
        <v>4.75</v>
      </c>
      <c r="X37" s="413">
        <v>4.5</v>
      </c>
      <c r="Y37" s="413">
        <v>4.5</v>
      </c>
      <c r="Z37" s="413"/>
      <c r="AA37" s="413">
        <v>4.5</v>
      </c>
      <c r="AB37" s="413">
        <v>4.5</v>
      </c>
      <c r="AC37" s="413">
        <v>4.5</v>
      </c>
    </row>
    <row r="38" spans="1:33" ht="15.75" x14ac:dyDescent="0.25">
      <c r="D38" s="416"/>
      <c r="E38" s="417"/>
      <c r="F38" s="345"/>
      <c r="G38" s="45"/>
      <c r="H38" s="418"/>
      <c r="I38" s="418"/>
      <c r="K38" s="306"/>
      <c r="L38" s="306"/>
      <c r="M38" s="419" t="s">
        <v>645</v>
      </c>
      <c r="N38" s="420">
        <f t="shared" ref="N38:S38" si="133">N30/N31</f>
        <v>5.8505503706075004</v>
      </c>
      <c r="O38" s="420">
        <f t="shared" si="133"/>
        <v>5.847841611465439</v>
      </c>
      <c r="P38" s="420">
        <f t="shared" si="133"/>
        <v>6.2026274963677999</v>
      </c>
      <c r="Q38" s="420">
        <f t="shared" si="133"/>
        <v>6.5611687064443842</v>
      </c>
      <c r="R38" s="420">
        <f t="shared" si="133"/>
        <v>6.5613533945677069</v>
      </c>
      <c r="S38" s="420">
        <f t="shared" si="133"/>
        <v>6.489762227131286</v>
      </c>
      <c r="T38" s="420"/>
      <c r="U38" s="420"/>
      <c r="V38" s="420">
        <f t="shared" ref="V38:AC38" si="134">V30/V31</f>
        <v>6.5626030309576056</v>
      </c>
      <c r="W38" s="420">
        <f t="shared" si="134"/>
        <v>6.2350840425986913</v>
      </c>
      <c r="X38" s="420">
        <f t="shared" si="134"/>
        <v>6.1906428934521358</v>
      </c>
      <c r="Y38" s="420">
        <f t="shared" si="134"/>
        <v>6.3249187151722088</v>
      </c>
      <c r="Z38" s="420" t="e">
        <f t="shared" si="134"/>
        <v>#DIV/0!</v>
      </c>
      <c r="AA38" s="420">
        <f t="shared" si="134"/>
        <v>6.1845407317547485</v>
      </c>
      <c r="AB38" s="420">
        <f t="shared" si="134"/>
        <v>6.1727661386173738</v>
      </c>
      <c r="AC38" s="420">
        <f t="shared" si="134"/>
        <v>6.246859158033943</v>
      </c>
    </row>
    <row r="39" spans="1:33" x14ac:dyDescent="0.25">
      <c r="E39" s="418"/>
      <c r="F39" s="345"/>
      <c r="H39" s="345"/>
      <c r="I39" s="345"/>
      <c r="K39" s="306"/>
      <c r="L39" s="306"/>
      <c r="M39" s="306"/>
      <c r="N39" s="125"/>
      <c r="O39" s="421"/>
      <c r="P39" s="527"/>
      <c r="Q39" s="527"/>
      <c r="R39" s="527"/>
      <c r="S39" s="527"/>
    </row>
    <row r="40" spans="1:33" ht="21" x14ac:dyDescent="0.35">
      <c r="A40" s="518"/>
      <c r="B40" s="518"/>
      <c r="C40" s="518"/>
      <c r="D40" s="549" t="s">
        <v>935</v>
      </c>
      <c r="E40" s="550"/>
      <c r="F40" s="550"/>
      <c r="G40" s="550"/>
      <c r="H40" s="550"/>
      <c r="I40" s="551"/>
      <c r="J40" s="519"/>
      <c r="K40" s="518"/>
      <c r="L40" s="518"/>
      <c r="M40" s="518"/>
      <c r="N40" s="520">
        <v>43637</v>
      </c>
      <c r="O40" s="520">
        <f t="shared" ref="O40:AD40" si="135">N40+7</f>
        <v>43644</v>
      </c>
      <c r="P40" s="520">
        <f t="shared" si="135"/>
        <v>43651</v>
      </c>
      <c r="Q40" s="520">
        <f t="shared" si="135"/>
        <v>43658</v>
      </c>
      <c r="R40" s="520">
        <f t="shared" si="135"/>
        <v>43665</v>
      </c>
      <c r="S40" s="520">
        <f t="shared" si="135"/>
        <v>43672</v>
      </c>
      <c r="T40" s="520">
        <f t="shared" si="135"/>
        <v>43679</v>
      </c>
      <c r="U40" s="520">
        <f t="shared" si="135"/>
        <v>43686</v>
      </c>
      <c r="V40" s="520">
        <f t="shared" si="135"/>
        <v>43693</v>
      </c>
      <c r="W40" s="520">
        <f t="shared" si="135"/>
        <v>43700</v>
      </c>
      <c r="X40" s="520">
        <f t="shared" si="135"/>
        <v>43707</v>
      </c>
      <c r="Y40" s="520">
        <f t="shared" si="135"/>
        <v>43714</v>
      </c>
      <c r="Z40" s="520">
        <f t="shared" si="135"/>
        <v>43721</v>
      </c>
      <c r="AA40" s="520">
        <f t="shared" si="135"/>
        <v>43728</v>
      </c>
      <c r="AB40" s="520">
        <f t="shared" si="135"/>
        <v>43735</v>
      </c>
      <c r="AC40" s="520">
        <f t="shared" si="135"/>
        <v>43742</v>
      </c>
      <c r="AD40" s="521">
        <f t="shared" si="135"/>
        <v>43749</v>
      </c>
      <c r="AE40" s="519"/>
    </row>
    <row r="41" spans="1:33" x14ac:dyDescent="0.25">
      <c r="A41" s="302"/>
      <c r="B41" s="302"/>
      <c r="C41" s="302"/>
      <c r="D41" s="537" t="s">
        <v>567</v>
      </c>
      <c r="E41" s="538"/>
      <c r="F41" s="539"/>
      <c r="G41" s="539"/>
      <c r="H41" s="539"/>
      <c r="I41" s="540"/>
      <c r="K41" s="303"/>
      <c r="L41" s="303"/>
      <c r="M41" s="303" t="s">
        <v>568</v>
      </c>
      <c r="N41" s="305" t="s">
        <v>569</v>
      </c>
      <c r="O41" s="305" t="s">
        <v>570</v>
      </c>
      <c r="P41" s="305" t="s">
        <v>571</v>
      </c>
      <c r="Q41" s="305" t="s">
        <v>572</v>
      </c>
      <c r="R41" s="305" t="s">
        <v>573</v>
      </c>
      <c r="S41" s="305" t="s">
        <v>574</v>
      </c>
      <c r="T41" s="305" t="s">
        <v>575</v>
      </c>
      <c r="U41" s="305" t="s">
        <v>576</v>
      </c>
      <c r="V41" s="305" t="s">
        <v>577</v>
      </c>
      <c r="W41" s="305" t="s">
        <v>578</v>
      </c>
      <c r="X41" s="305" t="s">
        <v>579</v>
      </c>
      <c r="Y41" s="305" t="s">
        <v>580</v>
      </c>
      <c r="Z41" s="305" t="s">
        <v>581</v>
      </c>
      <c r="AA41" s="305" t="s">
        <v>582</v>
      </c>
      <c r="AB41" s="305" t="s">
        <v>583</v>
      </c>
      <c r="AC41" s="305" t="s">
        <v>584</v>
      </c>
      <c r="AD41" s="304" t="s">
        <v>569</v>
      </c>
    </row>
    <row r="42" spans="1:33" ht="18.75" x14ac:dyDescent="0.3">
      <c r="A42" s="306"/>
      <c r="B42" s="306"/>
      <c r="C42" s="306"/>
      <c r="D42" s="541" t="s">
        <v>585</v>
      </c>
      <c r="E42" s="542"/>
      <c r="F42" s="307"/>
      <c r="G42" s="543" t="s">
        <v>586</v>
      </c>
      <c r="H42" s="544"/>
      <c r="I42" s="308"/>
      <c r="K42" s="309"/>
      <c r="L42" s="310"/>
      <c r="M42" s="310" t="s">
        <v>587</v>
      </c>
      <c r="N42" s="312">
        <v>1766</v>
      </c>
      <c r="O42" s="312">
        <v>1776</v>
      </c>
      <c r="P42" s="312">
        <f>O42+O50/30</f>
        <v>1784</v>
      </c>
      <c r="Q42" s="312">
        <f t="shared" ref="Q42:AD42" si="136">P42+P50/30</f>
        <v>1794</v>
      </c>
      <c r="R42" s="312">
        <f t="shared" si="136"/>
        <v>1804</v>
      </c>
      <c r="S42" s="312">
        <f t="shared" si="136"/>
        <v>1813</v>
      </c>
      <c r="T42" s="312">
        <f t="shared" si="136"/>
        <v>1823</v>
      </c>
      <c r="U42" s="312">
        <f t="shared" si="136"/>
        <v>1831</v>
      </c>
      <c r="V42" s="312">
        <f t="shared" si="136"/>
        <v>1839</v>
      </c>
      <c r="W42" s="312">
        <f t="shared" si="136"/>
        <v>1847</v>
      </c>
      <c r="X42" s="312">
        <f t="shared" si="136"/>
        <v>1855</v>
      </c>
      <c r="Y42" s="312">
        <f t="shared" si="136"/>
        <v>1863</v>
      </c>
      <c r="Z42" s="312">
        <f t="shared" si="136"/>
        <v>1871</v>
      </c>
      <c r="AA42" s="312">
        <f t="shared" si="136"/>
        <v>1877</v>
      </c>
      <c r="AB42" s="312">
        <f t="shared" si="136"/>
        <v>1885</v>
      </c>
      <c r="AC42" s="312">
        <f t="shared" si="136"/>
        <v>1893</v>
      </c>
      <c r="AD42" s="311">
        <f t="shared" si="136"/>
        <v>1901</v>
      </c>
    </row>
    <row r="43" spans="1:33" ht="18.75" x14ac:dyDescent="0.3">
      <c r="A43" s="306"/>
      <c r="B43" s="306"/>
      <c r="C43" s="306"/>
      <c r="D43" s="313"/>
      <c r="E43" s="314"/>
      <c r="F43" s="315"/>
      <c r="G43" s="316"/>
      <c r="H43" s="315"/>
      <c r="I43" s="317"/>
      <c r="K43" s="318" t="s">
        <v>588</v>
      </c>
      <c r="L43" s="318"/>
      <c r="M43" s="319">
        <f>19299694+500000</f>
        <v>19799694</v>
      </c>
      <c r="N43" s="320">
        <f>M43</f>
        <v>19799694</v>
      </c>
      <c r="O43" s="320">
        <f>N43-N52+N62</f>
        <v>19299694</v>
      </c>
      <c r="P43" s="320">
        <f t="shared" ref="P43:AD43" si="137">O43-O52+O62</f>
        <v>18799694</v>
      </c>
      <c r="Q43" s="320">
        <f t="shared" si="137"/>
        <v>18299694</v>
      </c>
      <c r="R43" s="320">
        <f t="shared" si="137"/>
        <v>17799694</v>
      </c>
      <c r="S43" s="320">
        <f t="shared" si="137"/>
        <v>17299694</v>
      </c>
      <c r="T43" s="320">
        <f t="shared" si="137"/>
        <v>16799694</v>
      </c>
      <c r="U43" s="320">
        <f t="shared" si="137"/>
        <v>16299694</v>
      </c>
      <c r="V43" s="320">
        <f t="shared" si="137"/>
        <v>15799694</v>
      </c>
      <c r="W43" s="320">
        <f t="shared" si="137"/>
        <v>15299694</v>
      </c>
      <c r="X43" s="320">
        <f t="shared" si="137"/>
        <v>14799694</v>
      </c>
      <c r="Y43" s="320">
        <f t="shared" si="137"/>
        <v>14299694</v>
      </c>
      <c r="Z43" s="320">
        <f t="shared" si="137"/>
        <v>13799694</v>
      </c>
      <c r="AA43" s="320">
        <f t="shared" si="137"/>
        <v>13299694</v>
      </c>
      <c r="AB43" s="320">
        <f t="shared" si="137"/>
        <v>12799694</v>
      </c>
      <c r="AC43" s="320">
        <f t="shared" si="137"/>
        <v>12299694</v>
      </c>
      <c r="AD43" s="320">
        <f t="shared" si="137"/>
        <v>11799694</v>
      </c>
    </row>
    <row r="44" spans="1:33" ht="18.75" x14ac:dyDescent="0.3">
      <c r="A44" s="321"/>
      <c r="B44" s="321"/>
      <c r="C44" s="321"/>
      <c r="D44" s="313" t="s">
        <v>589</v>
      </c>
      <c r="E44" s="322">
        <f>SUM(E45:E47)</f>
        <v>6219750</v>
      </c>
      <c r="F44" s="323">
        <f>E44/E74</f>
        <v>7.5349873093356556E-2</v>
      </c>
      <c r="G44" s="313" t="s">
        <v>590</v>
      </c>
      <c r="H44" s="324">
        <f>H45+H46</f>
        <v>64054290</v>
      </c>
      <c r="I44" s="325">
        <f>H44/$H$74</f>
        <v>0.77599302585876562</v>
      </c>
      <c r="K44" s="326" t="s">
        <v>591</v>
      </c>
      <c r="L44" s="326"/>
      <c r="M44" s="327">
        <f>8890545-289136+582050-500000</f>
        <v>8683459</v>
      </c>
      <c r="N44" s="328">
        <f>M44</f>
        <v>8683459</v>
      </c>
      <c r="O44" s="328">
        <f t="shared" ref="O44:AD44" si="138">N65</f>
        <v>9623483</v>
      </c>
      <c r="P44" s="328">
        <f t="shared" si="138"/>
        <v>9994868</v>
      </c>
      <c r="Q44" s="328">
        <f t="shared" si="138"/>
        <v>10377155</v>
      </c>
      <c r="R44" s="328">
        <f t="shared" si="138"/>
        <v>11240455</v>
      </c>
      <c r="S44" s="328">
        <f t="shared" si="138"/>
        <v>11827122</v>
      </c>
      <c r="T44" s="328">
        <f t="shared" si="138"/>
        <v>12507638</v>
      </c>
      <c r="U44" s="328">
        <f t="shared" si="138"/>
        <v>14308664</v>
      </c>
      <c r="V44" s="328">
        <f t="shared" si="138"/>
        <v>13015507</v>
      </c>
      <c r="W44" s="328">
        <f t="shared" si="138"/>
        <v>13799559</v>
      </c>
      <c r="X44" s="328">
        <f t="shared" si="138"/>
        <v>9963702</v>
      </c>
      <c r="Y44" s="328">
        <f t="shared" si="138"/>
        <v>10648895</v>
      </c>
      <c r="Z44" s="328">
        <f t="shared" si="138"/>
        <v>10943045</v>
      </c>
      <c r="AA44" s="328">
        <f t="shared" si="138"/>
        <v>11375008</v>
      </c>
      <c r="AB44" s="328">
        <f t="shared" si="138"/>
        <v>12059732</v>
      </c>
      <c r="AC44" s="328">
        <f t="shared" si="138"/>
        <v>12337744</v>
      </c>
      <c r="AD44" s="328">
        <f t="shared" si="138"/>
        <v>9052949</v>
      </c>
    </row>
    <row r="45" spans="1:33" x14ac:dyDescent="0.25">
      <c r="A45" s="329" t="str">
        <f t="shared" ref="A45:A52" si="139">L45</f>
        <v>Taquillas</v>
      </c>
      <c r="B45" s="330">
        <f t="shared" ref="B45:B52" si="140">M45/$M$53</f>
        <v>0.20206635531242556</v>
      </c>
      <c r="D45" s="331" t="s">
        <v>592</v>
      </c>
      <c r="E45" s="332">
        <f>2231620+305380</f>
        <v>2537000</v>
      </c>
      <c r="F45" s="333">
        <f>E45/E74</f>
        <v>3.0734776805795342E-2</v>
      </c>
      <c r="G45" s="334" t="s">
        <v>593</v>
      </c>
      <c r="H45" s="335">
        <v>300000</v>
      </c>
      <c r="I45" s="336">
        <f>H45/$H$74</f>
        <v>3.6343843286316918E-3</v>
      </c>
      <c r="K45" s="337" t="s">
        <v>594</v>
      </c>
      <c r="L45" s="337" t="s">
        <v>594</v>
      </c>
      <c r="M45" s="338">
        <f t="shared" ref="M45:M64" si="141">SUM(N45:AD45)</f>
        <v>3506373</v>
      </c>
      <c r="N45" s="339">
        <v>27383</v>
      </c>
      <c r="O45" s="339">
        <f>9097+21309</f>
        <v>30406</v>
      </c>
      <c r="P45" s="339">
        <v>74243</v>
      </c>
      <c r="Q45" s="339">
        <v>543126</v>
      </c>
      <c r="R45" s="339">
        <v>259003</v>
      </c>
      <c r="S45" s="339">
        <f>29598+336329</f>
        <v>365927</v>
      </c>
      <c r="T45" s="339">
        <f>36229+369218</f>
        <v>405447</v>
      </c>
      <c r="U45" s="339">
        <v>37304</v>
      </c>
      <c r="V45" s="339">
        <f>400709+8561</f>
        <v>409270</v>
      </c>
      <c r="W45" s="339">
        <v>10821</v>
      </c>
      <c r="X45" s="339">
        <v>399051</v>
      </c>
      <c r="Y45" s="339">
        <v>17866</v>
      </c>
      <c r="Z45" s="339">
        <v>8449</v>
      </c>
      <c r="AA45" s="339">
        <v>420290</v>
      </c>
      <c r="AB45" s="339">
        <v>11170</v>
      </c>
      <c r="AC45" s="339">
        <v>457164</v>
      </c>
      <c r="AD45" s="339">
        <v>29453</v>
      </c>
    </row>
    <row r="46" spans="1:33" x14ac:dyDescent="0.25">
      <c r="A46" s="329" t="str">
        <f t="shared" si="139"/>
        <v>Patrocinadores</v>
      </c>
      <c r="B46" s="330">
        <f t="shared" si="140"/>
        <v>9.8984981024725888E-2</v>
      </c>
      <c r="D46" s="331" t="s">
        <v>595</v>
      </c>
      <c r="E46" s="332">
        <f>102000+300+2105000+1475000+450</f>
        <v>3682750</v>
      </c>
      <c r="F46" s="333">
        <f>E46/E74</f>
        <v>4.4615096287561211E-2</v>
      </c>
      <c r="G46" s="334" t="s">
        <v>596</v>
      </c>
      <c r="H46" s="335">
        <f>63754290</f>
        <v>63754290</v>
      </c>
      <c r="I46" s="336">
        <f>H46/$H$74</f>
        <v>0.772358641530134</v>
      </c>
      <c r="K46" s="337" t="s">
        <v>597</v>
      </c>
      <c r="L46" s="337" t="s">
        <v>597</v>
      </c>
      <c r="M46" s="338">
        <f t="shared" si="141"/>
        <v>1717645</v>
      </c>
      <c r="N46" s="340">
        <v>101385</v>
      </c>
      <c r="O46" s="340">
        <v>76225</v>
      </c>
      <c r="P46" s="340">
        <v>87880</v>
      </c>
      <c r="Q46" s="340">
        <v>94910</v>
      </c>
      <c r="R46" s="340">
        <v>98980</v>
      </c>
      <c r="S46" s="340">
        <v>101385</v>
      </c>
      <c r="T46" s="340">
        <f t="shared" ref="T46" si="142">S46+1500</f>
        <v>102885</v>
      </c>
      <c r="U46" s="340">
        <v>103605</v>
      </c>
      <c r="V46" s="340">
        <v>104160</v>
      </c>
      <c r="W46" s="340">
        <v>104530</v>
      </c>
      <c r="X46" s="340">
        <v>104900</v>
      </c>
      <c r="Y46" s="340">
        <v>105270</v>
      </c>
      <c r="Z46" s="340">
        <v>105640</v>
      </c>
      <c r="AA46" s="340">
        <v>106010</v>
      </c>
      <c r="AB46" s="340">
        <v>106380</v>
      </c>
      <c r="AC46" s="340">
        <v>106565</v>
      </c>
      <c r="AD46" s="340">
        <v>106935</v>
      </c>
    </row>
    <row r="47" spans="1:33" x14ac:dyDescent="0.25">
      <c r="A47" s="329" t="str">
        <f t="shared" si="139"/>
        <v>Ventas</v>
      </c>
      <c r="B47" s="330">
        <f t="shared" si="140"/>
        <v>6.2008639405939703E-2</v>
      </c>
      <c r="D47" s="341" t="s">
        <v>598</v>
      </c>
      <c r="E47" s="342">
        <v>0</v>
      </c>
      <c r="F47" s="333">
        <f>E47/E74</f>
        <v>0</v>
      </c>
      <c r="G47" s="343"/>
      <c r="H47" s="344"/>
      <c r="I47" s="325"/>
      <c r="K47" s="337" t="s">
        <v>599</v>
      </c>
      <c r="L47" s="337" t="s">
        <v>600</v>
      </c>
      <c r="M47" s="338">
        <f t="shared" si="141"/>
        <v>1076010</v>
      </c>
      <c r="N47" s="339">
        <v>0</v>
      </c>
      <c r="O47" s="339">
        <v>0</v>
      </c>
      <c r="P47" s="339">
        <v>0</v>
      </c>
      <c r="Q47" s="339">
        <v>0</v>
      </c>
      <c r="R47" s="339">
        <v>0</v>
      </c>
      <c r="S47" s="339">
        <v>0</v>
      </c>
      <c r="T47" s="339">
        <f>959760+116250</f>
        <v>1076010</v>
      </c>
      <c r="U47" s="339">
        <v>0</v>
      </c>
      <c r="V47" s="339">
        <v>0</v>
      </c>
      <c r="W47" s="339">
        <v>0</v>
      </c>
      <c r="X47" s="339">
        <v>0</v>
      </c>
      <c r="Y47" s="339">
        <v>0</v>
      </c>
      <c r="Z47" s="339">
        <v>0</v>
      </c>
      <c r="AA47" s="339">
        <v>0</v>
      </c>
      <c r="AB47" s="339">
        <v>0</v>
      </c>
      <c r="AC47" s="339">
        <v>0</v>
      </c>
      <c r="AD47" s="339">
        <v>0</v>
      </c>
      <c r="AF47" s="345"/>
      <c r="AG47" s="345"/>
    </row>
    <row r="48" spans="1:33" x14ac:dyDescent="0.25">
      <c r="A48" s="329" t="str">
        <f t="shared" si="139"/>
        <v>VentasCantera</v>
      </c>
      <c r="B48" s="330">
        <f t="shared" si="140"/>
        <v>5.4035186233380141E-2</v>
      </c>
      <c r="D48" s="346"/>
      <c r="E48" s="314"/>
      <c r="F48" s="323"/>
      <c r="G48" s="343"/>
      <c r="H48" s="344"/>
      <c r="I48" s="325"/>
      <c r="K48" s="337"/>
      <c r="L48" s="337" t="s">
        <v>601</v>
      </c>
      <c r="M48" s="338">
        <f t="shared" si="141"/>
        <v>937650</v>
      </c>
      <c r="N48" s="339">
        <v>133000</v>
      </c>
      <c r="O48" s="339">
        <v>44650</v>
      </c>
      <c r="P48" s="339">
        <v>0</v>
      </c>
      <c r="Q48" s="339">
        <v>0</v>
      </c>
      <c r="R48" s="339">
        <v>0</v>
      </c>
      <c r="S48" s="339">
        <v>0</v>
      </c>
      <c r="T48" s="339">
        <v>0</v>
      </c>
      <c r="U48" s="339">
        <v>0</v>
      </c>
      <c r="V48" s="339">
        <v>0</v>
      </c>
      <c r="W48" s="339">
        <v>25650</v>
      </c>
      <c r="X48" s="339">
        <v>0</v>
      </c>
      <c r="Y48" s="339">
        <v>0</v>
      </c>
      <c r="Z48" s="339">
        <v>0</v>
      </c>
      <c r="AA48" s="339">
        <v>0</v>
      </c>
      <c r="AB48" s="339">
        <v>0</v>
      </c>
      <c r="AC48" s="339">
        <v>734350</v>
      </c>
      <c r="AD48" s="339">
        <v>0</v>
      </c>
    </row>
    <row r="49" spans="1:38" x14ac:dyDescent="0.25">
      <c r="A49" s="329" t="str">
        <f t="shared" si="139"/>
        <v>Comisiones</v>
      </c>
      <c r="B49" s="330">
        <f t="shared" si="140"/>
        <v>2.1313254707570319E-2</v>
      </c>
      <c r="D49" s="313" t="s">
        <v>648</v>
      </c>
      <c r="E49" s="322">
        <f>E50+E51+E52</f>
        <v>11299694</v>
      </c>
      <c r="F49" s="323">
        <f>E49/E74</f>
        <v>0.13689143597311185</v>
      </c>
      <c r="G49" s="313" t="s">
        <v>602</v>
      </c>
      <c r="H49" s="324">
        <f>SUM(H50:H55)</f>
        <v>2612618</v>
      </c>
      <c r="I49" s="325">
        <f t="shared" ref="I49:I55" si="143">H49/$H$74</f>
        <v>3.1650859719670243E-2</v>
      </c>
      <c r="K49" s="337" t="s">
        <v>603</v>
      </c>
      <c r="L49" s="337" t="s">
        <v>603</v>
      </c>
      <c r="M49" s="338">
        <f t="shared" si="141"/>
        <v>369840</v>
      </c>
      <c r="N49" s="340">
        <f>1750+16320+2040</f>
        <v>20110</v>
      </c>
      <c r="O49" s="340">
        <v>0</v>
      </c>
      <c r="P49" s="340">
        <v>0</v>
      </c>
      <c r="Q49" s="340">
        <v>5100</v>
      </c>
      <c r="R49" s="340">
        <v>8550</v>
      </c>
      <c r="S49" s="340">
        <v>0</v>
      </c>
      <c r="T49" s="340">
        <v>4040</v>
      </c>
      <c r="U49" s="340">
        <v>0</v>
      </c>
      <c r="V49" s="340">
        <f>33660+30340</f>
        <v>64000</v>
      </c>
      <c r="W49" s="340">
        <v>0</v>
      </c>
      <c r="X49" s="340">
        <v>3920</v>
      </c>
      <c r="Y49" s="340">
        <v>0</v>
      </c>
      <c r="Z49" s="340">
        <v>146920</v>
      </c>
      <c r="AA49" s="340">
        <v>0</v>
      </c>
      <c r="AB49" s="340">
        <v>0</v>
      </c>
      <c r="AC49" s="340">
        <v>78000</v>
      </c>
      <c r="AD49" s="340">
        <v>39200</v>
      </c>
    </row>
    <row r="50" spans="1:38" x14ac:dyDescent="0.25">
      <c r="A50" s="329" t="str">
        <f t="shared" si="139"/>
        <v>Nuevos Socios</v>
      </c>
      <c r="B50" s="330">
        <f t="shared" si="140"/>
        <v>6.919085586225727E-3</v>
      </c>
      <c r="D50" s="347" t="s">
        <v>604</v>
      </c>
      <c r="E50" s="348">
        <f>N43</f>
        <v>19799694</v>
      </c>
      <c r="F50" s="333">
        <f>E50/E74</f>
        <v>0.23986565861767645</v>
      </c>
      <c r="G50" s="349" t="s">
        <v>605</v>
      </c>
      <c r="H50" s="350">
        <f>37680+114250</f>
        <v>151930</v>
      </c>
      <c r="I50" s="336">
        <f t="shared" si="143"/>
        <v>1.8405733701633764E-3</v>
      </c>
      <c r="K50" s="545" t="s">
        <v>606</v>
      </c>
      <c r="L50" s="337" t="s">
        <v>607</v>
      </c>
      <c r="M50" s="338">
        <f t="shared" si="141"/>
        <v>120064</v>
      </c>
      <c r="N50" s="340">
        <f>52982+150+150</f>
        <v>53282</v>
      </c>
      <c r="O50" s="340">
        <v>240</v>
      </c>
      <c r="P50" s="340">
        <v>300</v>
      </c>
      <c r="Q50" s="340">
        <v>300</v>
      </c>
      <c r="R50" s="340">
        <v>270</v>
      </c>
      <c r="S50" s="340">
        <v>300</v>
      </c>
      <c r="T50" s="340">
        <v>240</v>
      </c>
      <c r="U50" s="340">
        <v>240</v>
      </c>
      <c r="V50" s="340">
        <v>240</v>
      </c>
      <c r="W50" s="340">
        <v>240</v>
      </c>
      <c r="X50" s="340">
        <f t="shared" ref="X50:AB50" si="144">W50</f>
        <v>240</v>
      </c>
      <c r="Y50" s="340">
        <f t="shared" si="144"/>
        <v>240</v>
      </c>
      <c r="Z50" s="340">
        <v>180</v>
      </c>
      <c r="AA50" s="340">
        <v>240</v>
      </c>
      <c r="AB50" s="340">
        <f t="shared" si="144"/>
        <v>240</v>
      </c>
      <c r="AC50" s="340">
        <v>240</v>
      </c>
      <c r="AD50" s="340">
        <f>57032+5730+150+120</f>
        <v>63032</v>
      </c>
    </row>
    <row r="51" spans="1:38" x14ac:dyDescent="0.25">
      <c r="A51" s="329" t="str">
        <f t="shared" si="139"/>
        <v>Premios</v>
      </c>
      <c r="B51" s="330">
        <f t="shared" si="140"/>
        <v>6.4831850383994721E-2</v>
      </c>
      <c r="D51" s="347" t="str">
        <f>L52</f>
        <v>Ing Reservas</v>
      </c>
      <c r="E51" s="436">
        <f>M52*-1</f>
        <v>-8500000</v>
      </c>
      <c r="F51" s="333">
        <f>E51/E74</f>
        <v>-0.1029742226445646</v>
      </c>
      <c r="G51" s="351" t="s">
        <v>608</v>
      </c>
      <c r="H51" s="352">
        <v>0</v>
      </c>
      <c r="I51" s="353">
        <f t="shared" si="143"/>
        <v>0</v>
      </c>
      <c r="K51" s="546"/>
      <c r="L51" s="337" t="s">
        <v>609</v>
      </c>
      <c r="M51" s="338">
        <f t="shared" si="141"/>
        <v>1125000</v>
      </c>
      <c r="N51" s="340">
        <v>400000</v>
      </c>
      <c r="O51" s="340">
        <v>0</v>
      </c>
      <c r="P51" s="340">
        <v>0</v>
      </c>
      <c r="Q51" s="340">
        <v>0</v>
      </c>
      <c r="R51" s="340">
        <v>0</v>
      </c>
      <c r="S51" s="340">
        <v>0</v>
      </c>
      <c r="T51" s="340">
        <v>0</v>
      </c>
      <c r="U51" s="340">
        <v>0</v>
      </c>
      <c r="V51" s="340">
        <v>0</v>
      </c>
      <c r="W51" s="340">
        <v>0</v>
      </c>
      <c r="X51" s="340">
        <v>0</v>
      </c>
      <c r="Y51" s="340">
        <v>0</v>
      </c>
      <c r="Z51" s="340">
        <v>0</v>
      </c>
      <c r="AA51" s="340">
        <v>0</v>
      </c>
      <c r="AB51" s="340">
        <v>0</v>
      </c>
      <c r="AC51" s="340">
        <v>0</v>
      </c>
      <c r="AD51" s="340">
        <f>525000+200000</f>
        <v>725000</v>
      </c>
    </row>
    <row r="52" spans="1:38" ht="18.75" x14ac:dyDescent="0.3">
      <c r="A52" s="329" t="str">
        <f t="shared" si="139"/>
        <v>Ing Reservas</v>
      </c>
      <c r="B52" s="330">
        <f t="shared" si="140"/>
        <v>0.48984064734573796</v>
      </c>
      <c r="C52" s="354"/>
      <c r="D52" s="347" t="str">
        <f>L62</f>
        <v>Pago Reservas</v>
      </c>
      <c r="E52" s="348">
        <f>M62</f>
        <v>0</v>
      </c>
      <c r="F52" s="333">
        <f>E52/E74</f>
        <v>0</v>
      </c>
      <c r="G52" s="349" t="s">
        <v>610</v>
      </c>
      <c r="H52" s="350">
        <f>133000+44650+25650+734350</f>
        <v>937650</v>
      </c>
      <c r="I52" s="336">
        <f t="shared" si="143"/>
        <v>1.1359268219138352E-2</v>
      </c>
      <c r="J52" s="355"/>
      <c r="K52" s="547"/>
      <c r="L52" s="337" t="s">
        <v>611</v>
      </c>
      <c r="M52" s="338">
        <f t="shared" si="141"/>
        <v>8500000</v>
      </c>
      <c r="N52" s="340">
        <v>500000</v>
      </c>
      <c r="O52" s="340">
        <f>N52</f>
        <v>500000</v>
      </c>
      <c r="P52" s="340">
        <f t="shared" ref="P52:AD52" si="145">O52</f>
        <v>500000</v>
      </c>
      <c r="Q52" s="340">
        <f t="shared" si="145"/>
        <v>500000</v>
      </c>
      <c r="R52" s="340">
        <f t="shared" si="145"/>
        <v>500000</v>
      </c>
      <c r="S52" s="340">
        <f t="shared" si="145"/>
        <v>500000</v>
      </c>
      <c r="T52" s="340">
        <f t="shared" si="145"/>
        <v>500000</v>
      </c>
      <c r="U52" s="340">
        <f t="shared" si="145"/>
        <v>500000</v>
      </c>
      <c r="V52" s="340">
        <f t="shared" si="145"/>
        <v>500000</v>
      </c>
      <c r="W52" s="340">
        <f t="shared" si="145"/>
        <v>500000</v>
      </c>
      <c r="X52" s="340">
        <f t="shared" si="145"/>
        <v>500000</v>
      </c>
      <c r="Y52" s="340">
        <f t="shared" si="145"/>
        <v>500000</v>
      </c>
      <c r="Z52" s="340">
        <f t="shared" si="145"/>
        <v>500000</v>
      </c>
      <c r="AA52" s="340">
        <f t="shared" si="145"/>
        <v>500000</v>
      </c>
      <c r="AB52" s="340">
        <f t="shared" si="145"/>
        <v>500000</v>
      </c>
      <c r="AC52" s="340">
        <f t="shared" si="145"/>
        <v>500000</v>
      </c>
      <c r="AD52" s="340">
        <f t="shared" si="145"/>
        <v>500000</v>
      </c>
      <c r="AE52" s="355"/>
      <c r="AF52" s="355"/>
      <c r="AG52" s="355"/>
      <c r="AH52" s="355"/>
      <c r="AI52" s="355"/>
      <c r="AJ52" s="355"/>
      <c r="AK52" s="355"/>
      <c r="AL52" s="355"/>
    </row>
    <row r="53" spans="1:38" ht="18.75" x14ac:dyDescent="0.3">
      <c r="A53" s="354"/>
      <c r="B53" s="356">
        <f>SUM(B45:B52)</f>
        <v>1</v>
      </c>
      <c r="D53" s="346"/>
      <c r="E53" s="357"/>
      <c r="G53" s="349" t="s">
        <v>612</v>
      </c>
      <c r="H53" s="350">
        <v>0</v>
      </c>
      <c r="I53" s="336">
        <f t="shared" si="143"/>
        <v>0</v>
      </c>
      <c r="K53" s="358" t="s">
        <v>613</v>
      </c>
      <c r="L53" s="359"/>
      <c r="M53" s="360">
        <f t="shared" si="141"/>
        <v>17352582</v>
      </c>
      <c r="N53" s="361">
        <f>SUM(N45:N52)</f>
        <v>1235160</v>
      </c>
      <c r="O53" s="361">
        <f t="shared" ref="O53:AD53" si="146">SUM(O45:O52)</f>
        <v>651521</v>
      </c>
      <c r="P53" s="361">
        <f t="shared" si="146"/>
        <v>662423</v>
      </c>
      <c r="Q53" s="361">
        <f t="shared" si="146"/>
        <v>1143436</v>
      </c>
      <c r="R53" s="361">
        <f t="shared" si="146"/>
        <v>866803</v>
      </c>
      <c r="S53" s="361">
        <f t="shared" si="146"/>
        <v>967612</v>
      </c>
      <c r="T53" s="361">
        <f t="shared" si="146"/>
        <v>2088622</v>
      </c>
      <c r="U53" s="361">
        <f t="shared" si="146"/>
        <v>641149</v>
      </c>
      <c r="V53" s="361">
        <f t="shared" si="146"/>
        <v>1077670</v>
      </c>
      <c r="W53" s="361">
        <f t="shared" si="146"/>
        <v>641241</v>
      </c>
      <c r="X53" s="361">
        <f t="shared" si="146"/>
        <v>1008111</v>
      </c>
      <c r="Y53" s="361">
        <f t="shared" si="146"/>
        <v>623376</v>
      </c>
      <c r="Z53" s="361">
        <f t="shared" si="146"/>
        <v>761189</v>
      </c>
      <c r="AA53" s="361">
        <f t="shared" si="146"/>
        <v>1026540</v>
      </c>
      <c r="AB53" s="361">
        <f t="shared" si="146"/>
        <v>617790</v>
      </c>
      <c r="AC53" s="361">
        <f t="shared" si="146"/>
        <v>1876319</v>
      </c>
      <c r="AD53" s="361">
        <f t="shared" si="146"/>
        <v>1463620</v>
      </c>
    </row>
    <row r="54" spans="1:38" ht="18.75" x14ac:dyDescent="0.3">
      <c r="A54" s="528">
        <f>M53</f>
        <v>17352582</v>
      </c>
      <c r="B54" s="528"/>
      <c r="D54" s="313" t="s">
        <v>614</v>
      </c>
      <c r="E54" s="322">
        <f>SUM(E55:E58)</f>
        <v>38989445</v>
      </c>
      <c r="F54" s="323">
        <f>E54/E74</f>
        <v>0.47234209296682422</v>
      </c>
      <c r="G54" s="349" t="s">
        <v>615</v>
      </c>
      <c r="H54" s="350">
        <v>0</v>
      </c>
      <c r="I54" s="336">
        <f t="shared" si="143"/>
        <v>0</v>
      </c>
      <c r="K54" s="362" t="s">
        <v>616</v>
      </c>
      <c r="L54" s="363" t="str">
        <f>K54</f>
        <v>Sueldos</v>
      </c>
      <c r="M54" s="364">
        <f t="shared" si="141"/>
        <v>3165576</v>
      </c>
      <c r="N54" s="365">
        <v>162736</v>
      </c>
      <c r="O54" s="365">
        <v>162736</v>
      </c>
      <c r="P54" s="365">
        <v>162736</v>
      </c>
      <c r="Q54" s="365">
        <f>P54</f>
        <v>162736</v>
      </c>
      <c r="R54" s="365">
        <v>162736</v>
      </c>
      <c r="S54" s="365">
        <v>168696</v>
      </c>
      <c r="T54" s="365">
        <f t="shared" ref="T54" si="147">S54+1500</f>
        <v>170196</v>
      </c>
      <c r="U54" s="365">
        <v>165150</v>
      </c>
      <c r="V54" s="365">
        <v>176218</v>
      </c>
      <c r="W54" s="365">
        <v>176528</v>
      </c>
      <c r="X54" s="365">
        <v>200518</v>
      </c>
      <c r="Y54" s="365">
        <v>208826</v>
      </c>
      <c r="Z54" s="365">
        <v>208826</v>
      </c>
      <c r="AA54" s="365">
        <v>218416</v>
      </c>
      <c r="AB54" s="365">
        <v>217378</v>
      </c>
      <c r="AC54" s="365">
        <v>213994</v>
      </c>
      <c r="AD54" s="365">
        <v>227150</v>
      </c>
    </row>
    <row r="55" spans="1:38" x14ac:dyDescent="0.25">
      <c r="D55" s="347" t="s">
        <v>617</v>
      </c>
      <c r="E55" s="348">
        <v>0</v>
      </c>
      <c r="F55" s="333">
        <f>E55/E74</f>
        <v>0</v>
      </c>
      <c r="G55" s="366" t="s">
        <v>618</v>
      </c>
      <c r="H55" s="367">
        <f>E68-H65</f>
        <v>1523038</v>
      </c>
      <c r="I55" s="336">
        <f t="shared" si="143"/>
        <v>1.8451018130368514E-2</v>
      </c>
      <c r="K55" s="362" t="s">
        <v>619</v>
      </c>
      <c r="L55" s="363" t="str">
        <f>K55</f>
        <v xml:space="preserve">Mantenimiento </v>
      </c>
      <c r="M55" s="364">
        <f t="shared" si="141"/>
        <v>495040</v>
      </c>
      <c r="N55" s="365">
        <v>29120</v>
      </c>
      <c r="O55" s="365">
        <f>N55</f>
        <v>29120</v>
      </c>
      <c r="P55" s="365">
        <f t="shared" ref="P55:AD55" si="148">O55</f>
        <v>29120</v>
      </c>
      <c r="Q55" s="365">
        <f t="shared" si="148"/>
        <v>29120</v>
      </c>
      <c r="R55" s="365">
        <f t="shared" si="148"/>
        <v>29120</v>
      </c>
      <c r="S55" s="365">
        <f t="shared" si="148"/>
        <v>29120</v>
      </c>
      <c r="T55" s="365">
        <f t="shared" si="148"/>
        <v>29120</v>
      </c>
      <c r="U55" s="365">
        <f t="shared" si="148"/>
        <v>29120</v>
      </c>
      <c r="V55" s="365">
        <f t="shared" si="148"/>
        <v>29120</v>
      </c>
      <c r="W55" s="365">
        <f t="shared" si="148"/>
        <v>29120</v>
      </c>
      <c r="X55" s="365">
        <f t="shared" si="148"/>
        <v>29120</v>
      </c>
      <c r="Y55" s="365">
        <f t="shared" si="148"/>
        <v>29120</v>
      </c>
      <c r="Z55" s="365">
        <f t="shared" si="148"/>
        <v>29120</v>
      </c>
      <c r="AA55" s="365">
        <f t="shared" si="148"/>
        <v>29120</v>
      </c>
      <c r="AB55" s="365">
        <f t="shared" si="148"/>
        <v>29120</v>
      </c>
      <c r="AC55" s="365">
        <f t="shared" si="148"/>
        <v>29120</v>
      </c>
      <c r="AD55" s="365">
        <f t="shared" si="148"/>
        <v>29120</v>
      </c>
    </row>
    <row r="56" spans="1:38" ht="20.25" customHeight="1" x14ac:dyDescent="0.25">
      <c r="D56" s="368" t="s">
        <v>614</v>
      </c>
      <c r="E56" s="369">
        <f>14003+1100+450+378420+6200+2100000+19100+99021+350+895000+8000+1838000+8434+5000+1570248+4162000+13170</f>
        <v>11118496</v>
      </c>
      <c r="F56" s="370">
        <f>E56/E74</f>
        <v>0.13469629206784717</v>
      </c>
      <c r="G56" s="346"/>
      <c r="H56" s="344"/>
      <c r="I56" s="371"/>
      <c r="K56" s="362" t="s">
        <v>620</v>
      </c>
      <c r="L56" s="363" t="s">
        <v>592</v>
      </c>
      <c r="M56" s="364">
        <f t="shared" si="141"/>
        <v>305380</v>
      </c>
      <c r="N56" s="365">
        <v>0</v>
      </c>
      <c r="O56" s="365">
        <v>0</v>
      </c>
      <c r="P56" s="365">
        <v>0</v>
      </c>
      <c r="Q56" s="365">
        <v>0</v>
      </c>
      <c r="R56" s="365">
        <v>0</v>
      </c>
      <c r="S56" s="365">
        <v>0</v>
      </c>
      <c r="T56" s="365">
        <v>0</v>
      </c>
      <c r="U56" s="365">
        <v>0</v>
      </c>
      <c r="V56" s="365">
        <v>0</v>
      </c>
      <c r="W56" s="365">
        <v>0</v>
      </c>
      <c r="X56" s="365">
        <v>0</v>
      </c>
      <c r="Y56" s="365">
        <v>0</v>
      </c>
      <c r="Z56" s="365">
        <v>0</v>
      </c>
      <c r="AA56" s="365">
        <v>0</v>
      </c>
      <c r="AB56" s="365">
        <v>0</v>
      </c>
      <c r="AC56" s="365">
        <v>305380</v>
      </c>
      <c r="AD56" s="365">
        <v>0</v>
      </c>
    </row>
    <row r="57" spans="1:38" x14ac:dyDescent="0.25">
      <c r="D57" s="347" t="s">
        <v>621</v>
      </c>
      <c r="E57" s="348">
        <f>7000000+19000+600000+4000+496109+4000+1530000+5500+3450000+10000+2500000+5000+3600000+15000+3869000+5000+245000+2000+4500000+11340</f>
        <v>27870949</v>
      </c>
      <c r="F57" s="333">
        <f>E57/E74</f>
        <v>0.33764580089897706</v>
      </c>
      <c r="G57" s="313" t="s">
        <v>622</v>
      </c>
      <c r="H57" s="372">
        <f>H58</f>
        <v>10256758</v>
      </c>
      <c r="I57" s="325">
        <f>H57/$H$74</f>
        <v>0.12425666845922578</v>
      </c>
      <c r="K57" s="362" t="s">
        <v>623</v>
      </c>
      <c r="L57" s="363" t="str">
        <f>K57</f>
        <v>Empleados</v>
      </c>
      <c r="M57" s="364">
        <f t="shared" si="141"/>
        <v>1109760</v>
      </c>
      <c r="N57" s="365">
        <v>65280</v>
      </c>
      <c r="O57" s="365">
        <f>N57</f>
        <v>65280</v>
      </c>
      <c r="P57" s="365">
        <f t="shared" ref="P57:AD63" si="149">O57</f>
        <v>65280</v>
      </c>
      <c r="Q57" s="365">
        <f t="shared" si="149"/>
        <v>65280</v>
      </c>
      <c r="R57" s="365">
        <f t="shared" si="149"/>
        <v>65280</v>
      </c>
      <c r="S57" s="365">
        <f t="shared" si="149"/>
        <v>65280</v>
      </c>
      <c r="T57" s="365">
        <f t="shared" si="149"/>
        <v>65280</v>
      </c>
      <c r="U57" s="365">
        <f t="shared" si="149"/>
        <v>65280</v>
      </c>
      <c r="V57" s="365">
        <f t="shared" si="149"/>
        <v>65280</v>
      </c>
      <c r="W57" s="365">
        <f t="shared" si="149"/>
        <v>65280</v>
      </c>
      <c r="X57" s="365">
        <f t="shared" si="149"/>
        <v>65280</v>
      </c>
      <c r="Y57" s="365">
        <f t="shared" si="149"/>
        <v>65280</v>
      </c>
      <c r="Z57" s="365">
        <f t="shared" si="149"/>
        <v>65280</v>
      </c>
      <c r="AA57" s="365">
        <f t="shared" si="149"/>
        <v>65280</v>
      </c>
      <c r="AB57" s="365">
        <f t="shared" si="149"/>
        <v>65280</v>
      </c>
      <c r="AC57" s="365">
        <f t="shared" si="149"/>
        <v>65280</v>
      </c>
      <c r="AD57" s="365">
        <f t="shared" si="149"/>
        <v>65280</v>
      </c>
    </row>
    <row r="58" spans="1:38" x14ac:dyDescent="0.25">
      <c r="D58" s="347" t="s">
        <v>624</v>
      </c>
      <c r="E58" s="348">
        <v>0</v>
      </c>
      <c r="F58" s="333">
        <f>E58/E74</f>
        <v>0</v>
      </c>
      <c r="G58" s="373" t="s">
        <v>625</v>
      </c>
      <c r="H58" s="374">
        <f>M59</f>
        <v>10256758</v>
      </c>
      <c r="I58" s="336">
        <f>H58/$H$74</f>
        <v>0.12425666845922578</v>
      </c>
      <c r="K58" s="362" t="s">
        <v>626</v>
      </c>
      <c r="L58" s="363" t="str">
        <f>K58</f>
        <v>Juveniles</v>
      </c>
      <c r="M58" s="364">
        <f t="shared" si="141"/>
        <v>340000</v>
      </c>
      <c r="N58" s="365">
        <v>20000</v>
      </c>
      <c r="O58" s="365">
        <f>N58</f>
        <v>20000</v>
      </c>
      <c r="P58" s="365">
        <f t="shared" si="149"/>
        <v>20000</v>
      </c>
      <c r="Q58" s="365">
        <f t="shared" si="149"/>
        <v>20000</v>
      </c>
      <c r="R58" s="365">
        <f t="shared" si="149"/>
        <v>20000</v>
      </c>
      <c r="S58" s="365">
        <f t="shared" si="149"/>
        <v>20000</v>
      </c>
      <c r="T58" s="365">
        <f t="shared" si="149"/>
        <v>20000</v>
      </c>
      <c r="U58" s="365">
        <f t="shared" si="149"/>
        <v>20000</v>
      </c>
      <c r="V58" s="365">
        <f t="shared" si="149"/>
        <v>20000</v>
      </c>
      <c r="W58" s="365">
        <f t="shared" si="149"/>
        <v>20000</v>
      </c>
      <c r="X58" s="365">
        <f t="shared" si="149"/>
        <v>20000</v>
      </c>
      <c r="Y58" s="365">
        <f t="shared" si="149"/>
        <v>20000</v>
      </c>
      <c r="Z58" s="365">
        <f t="shared" si="149"/>
        <v>20000</v>
      </c>
      <c r="AA58" s="365">
        <f t="shared" si="149"/>
        <v>20000</v>
      </c>
      <c r="AB58" s="365">
        <f t="shared" si="149"/>
        <v>20000</v>
      </c>
      <c r="AC58" s="365">
        <f t="shared" si="149"/>
        <v>20000</v>
      </c>
      <c r="AD58" s="365">
        <f t="shared" si="149"/>
        <v>20000</v>
      </c>
    </row>
    <row r="59" spans="1:38" ht="20.25" customHeight="1" x14ac:dyDescent="0.25">
      <c r="D59" s="346"/>
      <c r="E59" s="357"/>
      <c r="F59" s="375"/>
      <c r="G59" s="376"/>
      <c r="H59" s="377"/>
      <c r="I59" s="378"/>
      <c r="K59" s="362" t="s">
        <v>627</v>
      </c>
      <c r="L59" s="363" t="s">
        <v>625</v>
      </c>
      <c r="M59" s="364">
        <f t="shared" si="141"/>
        <v>10256758</v>
      </c>
      <c r="N59" s="365">
        <v>0</v>
      </c>
      <c r="O59" s="365">
        <v>0</v>
      </c>
      <c r="P59" s="365">
        <f t="shared" si="149"/>
        <v>0</v>
      </c>
      <c r="Q59" s="365">
        <f t="shared" si="149"/>
        <v>0</v>
      </c>
      <c r="R59" s="365">
        <f t="shared" si="149"/>
        <v>0</v>
      </c>
      <c r="S59" s="365">
        <f t="shared" si="149"/>
        <v>0</v>
      </c>
      <c r="T59" s="365">
        <f t="shared" si="149"/>
        <v>0</v>
      </c>
      <c r="U59" s="365">
        <v>1570248</v>
      </c>
      <c r="V59" s="365">
        <v>0</v>
      </c>
      <c r="W59" s="365">
        <v>4175170</v>
      </c>
      <c r="X59" s="365">
        <v>0</v>
      </c>
      <c r="Y59" s="365">
        <f t="shared" si="149"/>
        <v>0</v>
      </c>
      <c r="Z59" s="365">
        <f t="shared" si="149"/>
        <v>0</v>
      </c>
      <c r="AA59" s="365">
        <f t="shared" si="149"/>
        <v>0</v>
      </c>
      <c r="AB59" s="365">
        <f t="shared" si="149"/>
        <v>0</v>
      </c>
      <c r="AC59" s="365">
        <v>4511340</v>
      </c>
      <c r="AD59" s="365">
        <v>0</v>
      </c>
    </row>
    <row r="60" spans="1:38" x14ac:dyDescent="0.25">
      <c r="D60" s="313" t="s">
        <v>600</v>
      </c>
      <c r="E60" s="379">
        <f>E61</f>
        <v>2013660</v>
      </c>
      <c r="F60" s="323">
        <f>E60/E74</f>
        <v>2.4394714490641643E-2</v>
      </c>
      <c r="G60" s="376"/>
      <c r="H60" s="377"/>
      <c r="I60" s="378"/>
      <c r="K60" s="529" t="s">
        <v>606</v>
      </c>
      <c r="L60" s="363" t="s">
        <v>595</v>
      </c>
      <c r="M60" s="364">
        <f t="shared" si="141"/>
        <v>0</v>
      </c>
      <c r="N60" s="365">
        <v>0</v>
      </c>
      <c r="O60" s="365">
        <f>N60</f>
        <v>0</v>
      </c>
      <c r="P60" s="365">
        <f t="shared" si="149"/>
        <v>0</v>
      </c>
      <c r="Q60" s="365">
        <f t="shared" si="149"/>
        <v>0</v>
      </c>
      <c r="R60" s="365">
        <f t="shared" si="149"/>
        <v>0</v>
      </c>
      <c r="S60" s="365">
        <f t="shared" si="149"/>
        <v>0</v>
      </c>
      <c r="T60" s="365">
        <f t="shared" si="149"/>
        <v>0</v>
      </c>
      <c r="U60" s="365">
        <f t="shared" si="149"/>
        <v>0</v>
      </c>
      <c r="V60" s="365">
        <f t="shared" si="149"/>
        <v>0</v>
      </c>
      <c r="W60" s="365">
        <f t="shared" si="149"/>
        <v>0</v>
      </c>
      <c r="X60" s="365">
        <f t="shared" si="149"/>
        <v>0</v>
      </c>
      <c r="Y60" s="365">
        <f t="shared" si="149"/>
        <v>0</v>
      </c>
      <c r="Z60" s="365">
        <f t="shared" si="149"/>
        <v>0</v>
      </c>
      <c r="AA60" s="365">
        <f t="shared" si="149"/>
        <v>0</v>
      </c>
      <c r="AB60" s="365">
        <f t="shared" si="149"/>
        <v>0</v>
      </c>
      <c r="AC60" s="365">
        <f t="shared" si="149"/>
        <v>0</v>
      </c>
      <c r="AD60" s="365">
        <f t="shared" si="149"/>
        <v>0</v>
      </c>
    </row>
    <row r="61" spans="1:38" x14ac:dyDescent="0.25">
      <c r="D61" s="347" t="s">
        <v>600</v>
      </c>
      <c r="E61" s="348">
        <f>M47+M48</f>
        <v>2013660</v>
      </c>
      <c r="F61" s="333">
        <f>E61/E74</f>
        <v>2.4394714490641643E-2</v>
      </c>
      <c r="G61" s="313" t="s">
        <v>628</v>
      </c>
      <c r="H61" s="324">
        <f>SUM(H62:H63)</f>
        <v>305380</v>
      </c>
      <c r="I61" s="325">
        <f>H61/$H$74</f>
        <v>3.6995609542584871E-3</v>
      </c>
      <c r="K61" s="530"/>
      <c r="L61" s="363" t="s">
        <v>629</v>
      </c>
      <c r="M61" s="364">
        <f t="shared" si="141"/>
        <v>205508</v>
      </c>
      <c r="N61" s="365">
        <v>18000</v>
      </c>
      <c r="O61" s="365">
        <v>3000</v>
      </c>
      <c r="P61" s="365">
        <v>3000</v>
      </c>
      <c r="Q61" s="365">
        <v>3000</v>
      </c>
      <c r="R61" s="365">
        <v>3000</v>
      </c>
      <c r="S61" s="365">
        <v>4000</v>
      </c>
      <c r="T61" s="365">
        <v>3000</v>
      </c>
      <c r="U61" s="365">
        <v>84508</v>
      </c>
      <c r="V61" s="365">
        <v>3000</v>
      </c>
      <c r="W61" s="365">
        <v>11000</v>
      </c>
      <c r="X61" s="365">
        <v>8000</v>
      </c>
      <c r="Y61" s="365">
        <v>6000</v>
      </c>
      <c r="Z61" s="365">
        <f t="shared" si="149"/>
        <v>6000</v>
      </c>
      <c r="AA61" s="365">
        <v>9000</v>
      </c>
      <c r="AB61" s="365">
        <v>8000</v>
      </c>
      <c r="AC61" s="365">
        <v>16000</v>
      </c>
      <c r="AD61" s="365">
        <v>17000</v>
      </c>
    </row>
    <row r="62" spans="1:38" ht="18.75" x14ac:dyDescent="0.3">
      <c r="C62" s="380"/>
      <c r="D62" s="346"/>
      <c r="E62" s="357"/>
      <c r="F62" s="375"/>
      <c r="G62" s="373" t="s">
        <v>592</v>
      </c>
      <c r="H62" s="381">
        <f>M56</f>
        <v>305380</v>
      </c>
      <c r="I62" s="336">
        <f>H62/$H$74</f>
        <v>3.6995609542584871E-3</v>
      </c>
      <c r="K62" s="531"/>
      <c r="L62" s="363" t="s">
        <v>630</v>
      </c>
      <c r="M62" s="364">
        <f t="shared" si="141"/>
        <v>0</v>
      </c>
      <c r="N62" s="365">
        <v>0</v>
      </c>
      <c r="O62" s="365">
        <f>N62</f>
        <v>0</v>
      </c>
      <c r="P62" s="365">
        <f t="shared" si="149"/>
        <v>0</v>
      </c>
      <c r="Q62" s="365">
        <f t="shared" si="149"/>
        <v>0</v>
      </c>
      <c r="R62" s="365">
        <f t="shared" si="149"/>
        <v>0</v>
      </c>
      <c r="S62" s="365">
        <f t="shared" si="149"/>
        <v>0</v>
      </c>
      <c r="T62" s="365">
        <f t="shared" si="149"/>
        <v>0</v>
      </c>
      <c r="U62" s="365">
        <f t="shared" si="149"/>
        <v>0</v>
      </c>
      <c r="V62" s="365">
        <f t="shared" si="149"/>
        <v>0</v>
      </c>
      <c r="W62" s="365">
        <f t="shared" si="149"/>
        <v>0</v>
      </c>
      <c r="X62" s="365">
        <f t="shared" si="149"/>
        <v>0</v>
      </c>
      <c r="Y62" s="365">
        <f t="shared" si="149"/>
        <v>0</v>
      </c>
      <c r="Z62" s="365">
        <f t="shared" si="149"/>
        <v>0</v>
      </c>
      <c r="AA62" s="365">
        <f t="shared" si="149"/>
        <v>0</v>
      </c>
      <c r="AB62" s="365">
        <f t="shared" si="149"/>
        <v>0</v>
      </c>
      <c r="AC62" s="365">
        <f t="shared" si="149"/>
        <v>0</v>
      </c>
      <c r="AD62" s="365">
        <f t="shared" si="149"/>
        <v>0</v>
      </c>
    </row>
    <row r="63" spans="1:38" ht="18.75" x14ac:dyDescent="0.3">
      <c r="A63" s="382" t="str">
        <f t="shared" ref="A63:A70" si="150">L54</f>
        <v>Sueldos</v>
      </c>
      <c r="B63" s="383">
        <f t="shared" ref="B63:B70" si="151">M54/$M$64</f>
        <v>0.19936840999464542</v>
      </c>
      <c r="C63" s="321"/>
      <c r="D63" s="313" t="s">
        <v>647</v>
      </c>
      <c r="E63" s="322">
        <f>E64+E65-E66</f>
        <v>17183459</v>
      </c>
      <c r="F63" s="323">
        <f>E63/E74</f>
        <v>0.20817098033761736</v>
      </c>
      <c r="G63" s="373" t="s">
        <v>595</v>
      </c>
      <c r="H63" s="381">
        <f>M60</f>
        <v>0</v>
      </c>
      <c r="I63" s="336">
        <f>H63/$H$74</f>
        <v>0</v>
      </c>
      <c r="K63" s="362" t="s">
        <v>631</v>
      </c>
      <c r="L63" s="363" t="str">
        <f>K63</f>
        <v>Intereses</v>
      </c>
      <c r="M63" s="364">
        <f t="shared" si="141"/>
        <v>0</v>
      </c>
      <c r="N63" s="365">
        <v>0</v>
      </c>
      <c r="O63" s="365">
        <f t="shared" ref="O63" si="152">N63</f>
        <v>0</v>
      </c>
      <c r="P63" s="365">
        <f t="shared" si="149"/>
        <v>0</v>
      </c>
      <c r="Q63" s="365">
        <f t="shared" si="149"/>
        <v>0</v>
      </c>
      <c r="R63" s="365">
        <f t="shared" si="149"/>
        <v>0</v>
      </c>
      <c r="S63" s="365">
        <f t="shared" si="149"/>
        <v>0</v>
      </c>
      <c r="T63" s="365">
        <f t="shared" si="149"/>
        <v>0</v>
      </c>
      <c r="U63" s="365">
        <f t="shared" si="149"/>
        <v>0</v>
      </c>
      <c r="V63" s="365">
        <f t="shared" si="149"/>
        <v>0</v>
      </c>
      <c r="W63" s="365">
        <f t="shared" si="149"/>
        <v>0</v>
      </c>
      <c r="X63" s="365">
        <f t="shared" si="149"/>
        <v>0</v>
      </c>
      <c r="Y63" s="365">
        <f t="shared" si="149"/>
        <v>0</v>
      </c>
      <c r="Z63" s="365">
        <f t="shared" si="149"/>
        <v>0</v>
      </c>
      <c r="AA63" s="365">
        <f t="shared" si="149"/>
        <v>0</v>
      </c>
      <c r="AB63" s="365">
        <f t="shared" si="149"/>
        <v>0</v>
      </c>
      <c r="AC63" s="365">
        <f t="shared" si="149"/>
        <v>0</v>
      </c>
      <c r="AD63" s="365">
        <f t="shared" si="149"/>
        <v>0</v>
      </c>
    </row>
    <row r="64" spans="1:38" ht="18.75" x14ac:dyDescent="0.3">
      <c r="A64" s="382" t="str">
        <f t="shared" si="150"/>
        <v xml:space="preserve">Mantenimiento </v>
      </c>
      <c r="B64" s="383">
        <f t="shared" si="151"/>
        <v>3.1177686994009707E-2</v>
      </c>
      <c r="C64" s="299"/>
      <c r="D64" s="349" t="s">
        <v>632</v>
      </c>
      <c r="E64" s="384">
        <f>N44</f>
        <v>8683459</v>
      </c>
      <c r="F64" s="333">
        <f>E64/E74</f>
        <v>0.10519675769305274</v>
      </c>
      <c r="G64" s="385"/>
      <c r="H64" s="386"/>
      <c r="I64" s="387"/>
      <c r="K64" s="388" t="s">
        <v>633</v>
      </c>
      <c r="L64" s="389"/>
      <c r="M64" s="390">
        <f t="shared" si="141"/>
        <v>15878022</v>
      </c>
      <c r="N64" s="391">
        <f>SUM(N54:N63)</f>
        <v>295136</v>
      </c>
      <c r="O64" s="391">
        <f t="shared" ref="O64:AD64" si="153">SUM(O54:O63)</f>
        <v>280136</v>
      </c>
      <c r="P64" s="391">
        <f t="shared" si="153"/>
        <v>280136</v>
      </c>
      <c r="Q64" s="391">
        <f t="shared" si="153"/>
        <v>280136</v>
      </c>
      <c r="R64" s="391">
        <f t="shared" si="153"/>
        <v>280136</v>
      </c>
      <c r="S64" s="391">
        <f t="shared" si="153"/>
        <v>287096</v>
      </c>
      <c r="T64" s="391">
        <f t="shared" si="153"/>
        <v>287596</v>
      </c>
      <c r="U64" s="391">
        <f t="shared" si="153"/>
        <v>1934306</v>
      </c>
      <c r="V64" s="391">
        <f t="shared" si="153"/>
        <v>293618</v>
      </c>
      <c r="W64" s="391">
        <f t="shared" si="153"/>
        <v>4477098</v>
      </c>
      <c r="X64" s="391">
        <f t="shared" si="153"/>
        <v>322918</v>
      </c>
      <c r="Y64" s="391">
        <f t="shared" si="153"/>
        <v>329226</v>
      </c>
      <c r="Z64" s="391">
        <f t="shared" si="153"/>
        <v>329226</v>
      </c>
      <c r="AA64" s="391">
        <f t="shared" si="153"/>
        <v>341816</v>
      </c>
      <c r="AB64" s="391">
        <f t="shared" si="153"/>
        <v>339778</v>
      </c>
      <c r="AC64" s="391">
        <f t="shared" si="153"/>
        <v>5161114</v>
      </c>
      <c r="AD64" s="391">
        <f t="shared" si="153"/>
        <v>358550</v>
      </c>
    </row>
    <row r="65" spans="1:30" ht="18.75" x14ac:dyDescent="0.3">
      <c r="A65" s="382" t="str">
        <f t="shared" si="150"/>
        <v>Estadio</v>
      </c>
      <c r="B65" s="383">
        <f t="shared" si="151"/>
        <v>1.9232874220731021E-2</v>
      </c>
      <c r="C65" s="306"/>
      <c r="D65" s="349" t="str">
        <f>D51</f>
        <v>Ing Reservas</v>
      </c>
      <c r="E65" s="442">
        <f>M52</f>
        <v>8500000</v>
      </c>
      <c r="F65" s="333">
        <f>E65/E74</f>
        <v>0.1029742226445646</v>
      </c>
      <c r="G65" s="313" t="s">
        <v>634</v>
      </c>
      <c r="H65" s="324">
        <f>SUM(H66:H71)</f>
        <v>5315884</v>
      </c>
      <c r="I65" s="325">
        <f t="shared" ref="I65:I71" si="154">H65/$H$74</f>
        <v>6.4399885008079846E-2</v>
      </c>
      <c r="K65" s="392" t="s">
        <v>635</v>
      </c>
      <c r="L65" s="392"/>
      <c r="M65" s="328">
        <f t="shared" ref="M65:AD65" si="155">M44+M53-M64</f>
        <v>10158019</v>
      </c>
      <c r="N65" s="328">
        <f t="shared" si="155"/>
        <v>9623483</v>
      </c>
      <c r="O65" s="328">
        <f t="shared" si="155"/>
        <v>9994868</v>
      </c>
      <c r="P65" s="328">
        <f t="shared" si="155"/>
        <v>10377155</v>
      </c>
      <c r="Q65" s="328">
        <f t="shared" si="155"/>
        <v>11240455</v>
      </c>
      <c r="R65" s="328">
        <f t="shared" si="155"/>
        <v>11827122</v>
      </c>
      <c r="S65" s="328">
        <f t="shared" si="155"/>
        <v>12507638</v>
      </c>
      <c r="T65" s="328">
        <f t="shared" si="155"/>
        <v>14308664</v>
      </c>
      <c r="U65" s="328">
        <f t="shared" si="155"/>
        <v>13015507</v>
      </c>
      <c r="V65" s="328">
        <f t="shared" si="155"/>
        <v>13799559</v>
      </c>
      <c r="W65" s="328">
        <f t="shared" si="155"/>
        <v>9963702</v>
      </c>
      <c r="X65" s="328">
        <f t="shared" si="155"/>
        <v>10648895</v>
      </c>
      <c r="Y65" s="328">
        <f t="shared" si="155"/>
        <v>10943045</v>
      </c>
      <c r="Z65" s="328">
        <f t="shared" si="155"/>
        <v>11375008</v>
      </c>
      <c r="AA65" s="328">
        <f t="shared" si="155"/>
        <v>12059732</v>
      </c>
      <c r="AB65" s="328">
        <f t="shared" si="155"/>
        <v>12337744</v>
      </c>
      <c r="AC65" s="328">
        <f t="shared" si="155"/>
        <v>9052949</v>
      </c>
      <c r="AD65" s="328">
        <f t="shared" si="155"/>
        <v>10158019</v>
      </c>
    </row>
    <row r="66" spans="1:30" x14ac:dyDescent="0.25">
      <c r="A66" s="382" t="str">
        <f t="shared" si="150"/>
        <v>Empleados</v>
      </c>
      <c r="B66" s="383">
        <f t="shared" si="151"/>
        <v>6.9892836777780007E-2</v>
      </c>
      <c r="C66" s="302"/>
      <c r="D66" s="349" t="str">
        <f>D52</f>
        <v>Pago Reservas</v>
      </c>
      <c r="E66" s="384">
        <f>M62*-1</f>
        <v>0</v>
      </c>
      <c r="F66" s="333">
        <f>E66/E74</f>
        <v>0</v>
      </c>
      <c r="G66" s="373" t="s">
        <v>636</v>
      </c>
      <c r="H66" s="381">
        <f>M54</f>
        <v>3165576</v>
      </c>
      <c r="I66" s="336">
        <f t="shared" si="154"/>
        <v>3.8349732684975324E-2</v>
      </c>
      <c r="K66" s="393"/>
      <c r="L66" s="393"/>
      <c r="M66" s="393"/>
      <c r="N66" s="394">
        <f>N40+7</f>
        <v>43644</v>
      </c>
      <c r="O66" s="394">
        <f t="shared" ref="O66:AD66" si="156">N66+7</f>
        <v>43651</v>
      </c>
      <c r="P66" s="394">
        <f t="shared" si="156"/>
        <v>43658</v>
      </c>
      <c r="Q66" s="394">
        <f t="shared" si="156"/>
        <v>43665</v>
      </c>
      <c r="R66" s="394">
        <f t="shared" si="156"/>
        <v>43672</v>
      </c>
      <c r="S66" s="394">
        <f t="shared" si="156"/>
        <v>43679</v>
      </c>
      <c r="T66" s="394">
        <f t="shared" si="156"/>
        <v>43686</v>
      </c>
      <c r="U66" s="394">
        <f t="shared" si="156"/>
        <v>43693</v>
      </c>
      <c r="V66" s="394">
        <f t="shared" si="156"/>
        <v>43700</v>
      </c>
      <c r="W66" s="394">
        <f t="shared" si="156"/>
        <v>43707</v>
      </c>
      <c r="X66" s="394">
        <f t="shared" si="156"/>
        <v>43714</v>
      </c>
      <c r="Y66" s="394">
        <f t="shared" si="156"/>
        <v>43721</v>
      </c>
      <c r="Z66" s="394">
        <f t="shared" si="156"/>
        <v>43728</v>
      </c>
      <c r="AA66" s="394">
        <f t="shared" si="156"/>
        <v>43735</v>
      </c>
      <c r="AB66" s="394">
        <f t="shared" si="156"/>
        <v>43742</v>
      </c>
      <c r="AC66" s="394">
        <f t="shared" si="156"/>
        <v>43749</v>
      </c>
      <c r="AD66" s="394">
        <f t="shared" si="156"/>
        <v>43756</v>
      </c>
    </row>
    <row r="67" spans="1:30" x14ac:dyDescent="0.25">
      <c r="A67" s="382" t="str">
        <f t="shared" si="150"/>
        <v>Juveniles</v>
      </c>
      <c r="B67" s="383">
        <f t="shared" si="151"/>
        <v>2.1413246561819855E-2</v>
      </c>
      <c r="C67" s="306"/>
      <c r="D67" s="376"/>
      <c r="E67" s="395"/>
      <c r="F67" s="333"/>
      <c r="G67" s="373" t="s">
        <v>619</v>
      </c>
      <c r="H67" s="381">
        <f>M55</f>
        <v>495040</v>
      </c>
      <c r="I67" s="336">
        <f t="shared" si="154"/>
        <v>5.9972187268194426E-3</v>
      </c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96"/>
      <c r="AB67" s="396"/>
      <c r="AC67" s="396"/>
      <c r="AD67" s="396"/>
    </row>
    <row r="68" spans="1:30" x14ac:dyDescent="0.25">
      <c r="A68" s="382" t="str">
        <f t="shared" si="150"/>
        <v>Compra</v>
      </c>
      <c r="B68" s="383">
        <f t="shared" si="151"/>
        <v>0.64597202346740668</v>
      </c>
      <c r="D68" s="313" t="s">
        <v>637</v>
      </c>
      <c r="E68" s="322">
        <f>SUM(E69:E73)</f>
        <v>6838922</v>
      </c>
      <c r="F68" s="323">
        <f>E68/E74</f>
        <v>8.2850903138448354E-2</v>
      </c>
      <c r="G68" s="373" t="s">
        <v>623</v>
      </c>
      <c r="H68" s="381">
        <f>M57</f>
        <v>1109760</v>
      </c>
      <c r="I68" s="336">
        <f t="shared" si="154"/>
        <v>1.3444314508474355E-2</v>
      </c>
      <c r="K68" s="397"/>
      <c r="L68" s="397"/>
      <c r="M68" s="398" t="s">
        <v>614</v>
      </c>
      <c r="N68" s="399">
        <v>18</v>
      </c>
      <c r="O68" s="399">
        <v>18</v>
      </c>
      <c r="P68" s="399">
        <v>18</v>
      </c>
      <c r="Q68" s="399">
        <v>18</v>
      </c>
      <c r="R68" s="399">
        <v>18</v>
      </c>
      <c r="S68" s="399">
        <v>18</v>
      </c>
      <c r="T68" s="399"/>
      <c r="U68" s="399"/>
      <c r="V68" s="399">
        <v>17</v>
      </c>
      <c r="W68" s="399">
        <v>17</v>
      </c>
      <c r="X68" s="399">
        <v>19</v>
      </c>
      <c r="Y68" s="399">
        <v>19</v>
      </c>
      <c r="Z68" s="399"/>
      <c r="AA68" s="399">
        <v>20</v>
      </c>
      <c r="AB68" s="399">
        <v>20</v>
      </c>
      <c r="AC68" s="399">
        <v>22</v>
      </c>
      <c r="AD68" s="399">
        <v>21</v>
      </c>
    </row>
    <row r="69" spans="1:30" x14ac:dyDescent="0.25">
      <c r="A69" s="382" t="str">
        <f t="shared" si="150"/>
        <v>Entrenador</v>
      </c>
      <c r="B69" s="383">
        <f t="shared" si="151"/>
        <v>0</v>
      </c>
      <c r="D69" s="349" t="s">
        <v>587</v>
      </c>
      <c r="E69" s="384">
        <f>M50</f>
        <v>120064</v>
      </c>
      <c r="F69" s="333">
        <f>E69/E74</f>
        <v>1.4545290667761183E-3</v>
      </c>
      <c r="G69" s="373" t="s">
        <v>626</v>
      </c>
      <c r="H69" s="381">
        <f>M58</f>
        <v>340000</v>
      </c>
      <c r="I69" s="336">
        <f t="shared" si="154"/>
        <v>4.1189689057825841E-3</v>
      </c>
      <c r="K69" s="309"/>
      <c r="L69" s="532" t="s">
        <v>638</v>
      </c>
      <c r="M69" s="400" t="s">
        <v>11</v>
      </c>
      <c r="N69" s="399">
        <v>950340</v>
      </c>
      <c r="O69" s="399">
        <v>949900</v>
      </c>
      <c r="P69" s="399">
        <v>1007530</v>
      </c>
      <c r="Q69" s="399">
        <v>1065770</v>
      </c>
      <c r="R69" s="399">
        <v>1065800</v>
      </c>
      <c r="S69" s="399">
        <v>1092850</v>
      </c>
      <c r="T69" s="399"/>
      <c r="U69" s="399"/>
      <c r="V69" s="399">
        <v>1154480</v>
      </c>
      <c r="W69" s="399">
        <v>1166260</v>
      </c>
      <c r="X69" s="399">
        <v>1290910</v>
      </c>
      <c r="Y69" s="399">
        <v>1318910</v>
      </c>
      <c r="Z69" s="399"/>
      <c r="AA69" s="399">
        <v>1329090</v>
      </c>
      <c r="AB69" s="399">
        <v>1335700</v>
      </c>
      <c r="AC69" s="399">
        <v>1391860</v>
      </c>
      <c r="AD69" s="399">
        <v>1417100</v>
      </c>
    </row>
    <row r="70" spans="1:30" x14ac:dyDescent="0.25">
      <c r="A70" s="382" t="str">
        <f t="shared" si="150"/>
        <v>Viajes+Venta</v>
      </c>
      <c r="B70" s="383">
        <f t="shared" si="151"/>
        <v>1.2942921983607279E-2</v>
      </c>
      <c r="D70" s="349" t="s">
        <v>609</v>
      </c>
      <c r="E70" s="384">
        <f>M51</f>
        <v>1125000</v>
      </c>
      <c r="F70" s="333">
        <f>E70/E74</f>
        <v>1.3628941232368845E-2</v>
      </c>
      <c r="G70" s="373" t="s">
        <v>629</v>
      </c>
      <c r="H70" s="381">
        <f>M61</f>
        <v>205508</v>
      </c>
      <c r="I70" s="336">
        <f t="shared" si="154"/>
        <v>2.489650182028139E-3</v>
      </c>
      <c r="K70" s="309"/>
      <c r="L70" s="532"/>
      <c r="M70" s="400" t="s">
        <v>45</v>
      </c>
      <c r="N70" s="399">
        <v>162436</v>
      </c>
      <c r="O70" s="399">
        <v>162436</v>
      </c>
      <c r="P70" s="399">
        <v>162436</v>
      </c>
      <c r="Q70" s="399">
        <v>162436</v>
      </c>
      <c r="R70" s="399">
        <v>162436</v>
      </c>
      <c r="S70" s="399">
        <v>168396</v>
      </c>
      <c r="T70" s="399"/>
      <c r="U70" s="399"/>
      <c r="V70" s="399">
        <v>175918</v>
      </c>
      <c r="W70" s="399">
        <v>187048</v>
      </c>
      <c r="X70" s="399">
        <v>208526</v>
      </c>
      <c r="Y70" s="399">
        <v>208526</v>
      </c>
      <c r="Z70" s="399"/>
      <c r="AA70" s="399">
        <v>217078</v>
      </c>
      <c r="AB70" s="399">
        <v>215974</v>
      </c>
      <c r="AC70" s="399">
        <v>225484</v>
      </c>
      <c r="AD70" s="399">
        <v>226850</v>
      </c>
    </row>
    <row r="71" spans="1:30" x14ac:dyDescent="0.25">
      <c r="A71" s="382" t="str">
        <f>L63</f>
        <v>Intereses</v>
      </c>
      <c r="B71" s="383">
        <f>M63/$M$64</f>
        <v>0</v>
      </c>
      <c r="D71" s="349" t="s">
        <v>594</v>
      </c>
      <c r="E71" s="384">
        <f>M45</f>
        <v>3506373</v>
      </c>
      <c r="F71" s="333">
        <f>E71/E74</f>
        <v>4.247835693845764E-2</v>
      </c>
      <c r="G71" s="373" t="s">
        <v>631</v>
      </c>
      <c r="H71" s="381">
        <f>M63</f>
        <v>0</v>
      </c>
      <c r="I71" s="336">
        <f t="shared" si="154"/>
        <v>0</v>
      </c>
      <c r="K71" s="309"/>
      <c r="L71" s="532"/>
      <c r="M71" s="400" t="s">
        <v>639</v>
      </c>
      <c r="N71" s="399">
        <v>867000</v>
      </c>
      <c r="O71" s="399">
        <v>866870</v>
      </c>
      <c r="P71" s="399">
        <v>921130</v>
      </c>
      <c r="Q71" s="399">
        <v>981580</v>
      </c>
      <c r="R71" s="399">
        <v>981420</v>
      </c>
      <c r="S71" s="399">
        <v>1007480</v>
      </c>
      <c r="T71" s="399"/>
      <c r="U71" s="399"/>
      <c r="V71" s="399">
        <v>1062240</v>
      </c>
      <c r="W71" s="399">
        <v>1070780</v>
      </c>
      <c r="X71" s="399">
        <v>1132060</v>
      </c>
      <c r="Y71" s="399">
        <v>1158820</v>
      </c>
      <c r="Z71" s="399"/>
      <c r="AA71" s="399">
        <v>1172920</v>
      </c>
      <c r="AB71" s="399">
        <v>1184390</v>
      </c>
      <c r="AC71" s="399">
        <v>1192530</v>
      </c>
      <c r="AD71" s="399">
        <v>1226010</v>
      </c>
    </row>
    <row r="72" spans="1:30" ht="18.75" x14ac:dyDescent="0.3">
      <c r="A72" s="306"/>
      <c r="B72" s="401">
        <f>SUM(B63:B71)</f>
        <v>1</v>
      </c>
      <c r="D72" s="349" t="s">
        <v>597</v>
      </c>
      <c r="E72" s="384">
        <f>M46</f>
        <v>1717645</v>
      </c>
      <c r="F72" s="333">
        <f>E72/E74</f>
        <v>2.0808606900508609E-2</v>
      </c>
      <c r="G72" s="376"/>
      <c r="H72" s="377"/>
      <c r="I72" s="378"/>
      <c r="K72" s="309"/>
      <c r="L72" s="532"/>
      <c r="M72" s="400" t="s">
        <v>640</v>
      </c>
      <c r="N72" s="399">
        <v>140830</v>
      </c>
      <c r="O72" s="399">
        <v>140830</v>
      </c>
      <c r="P72" s="399">
        <v>140830</v>
      </c>
      <c r="Q72" s="399">
        <v>140830</v>
      </c>
      <c r="R72" s="399">
        <v>140830</v>
      </c>
      <c r="S72" s="399">
        <v>146790</v>
      </c>
      <c r="T72" s="399"/>
      <c r="U72" s="399"/>
      <c r="V72" s="399">
        <v>148210</v>
      </c>
      <c r="W72" s="399">
        <v>159030</v>
      </c>
      <c r="X72" s="399">
        <v>163720</v>
      </c>
      <c r="Y72" s="399">
        <v>163720</v>
      </c>
      <c r="Z72" s="399"/>
      <c r="AA72" s="399">
        <v>161620</v>
      </c>
      <c r="AB72" s="399">
        <v>173310</v>
      </c>
      <c r="AC72" s="399">
        <v>173310</v>
      </c>
      <c r="AD72" s="399">
        <v>176410</v>
      </c>
    </row>
    <row r="73" spans="1:30" ht="18.75" x14ac:dyDescent="0.3">
      <c r="A73" s="302"/>
      <c r="B73" s="402"/>
      <c r="D73" s="403" t="s">
        <v>603</v>
      </c>
      <c r="E73" s="404">
        <f>M49</f>
        <v>369840</v>
      </c>
      <c r="F73" s="333">
        <f>E73/E74</f>
        <v>4.4804690003371495E-3</v>
      </c>
      <c r="G73" s="405"/>
      <c r="H73" s="406"/>
      <c r="I73" s="407"/>
      <c r="K73" s="309"/>
      <c r="L73" s="532"/>
      <c r="M73" s="400" t="s">
        <v>641</v>
      </c>
      <c r="N73" s="408" t="s">
        <v>646</v>
      </c>
      <c r="O73" s="408" t="s">
        <v>651</v>
      </c>
      <c r="P73" s="408" t="s">
        <v>652</v>
      </c>
      <c r="Q73" s="408" t="s">
        <v>665</v>
      </c>
      <c r="R73" s="408" t="s">
        <v>666</v>
      </c>
      <c r="S73" s="408" t="s">
        <v>669</v>
      </c>
      <c r="T73" s="408"/>
      <c r="U73" s="408"/>
      <c r="V73" s="408" t="s">
        <v>699</v>
      </c>
      <c r="W73" s="408" t="s">
        <v>710</v>
      </c>
      <c r="X73" s="408" t="s">
        <v>718</v>
      </c>
      <c r="Y73" s="408" t="s">
        <v>651</v>
      </c>
      <c r="Z73" s="408"/>
      <c r="AA73" s="408" t="s">
        <v>720</v>
      </c>
      <c r="AB73" s="408" t="s">
        <v>666</v>
      </c>
      <c r="AC73" s="408" t="s">
        <v>766</v>
      </c>
      <c r="AD73" s="408" t="s">
        <v>908</v>
      </c>
    </row>
    <row r="74" spans="1:30" ht="18.75" x14ac:dyDescent="0.3">
      <c r="A74" s="533">
        <f>M64</f>
        <v>15878022</v>
      </c>
      <c r="B74" s="533"/>
      <c r="D74" s="409" t="s">
        <v>80</v>
      </c>
      <c r="E74" s="410">
        <f>E68+E60+E54+E44+E49+E63</f>
        <v>82544930</v>
      </c>
      <c r="F74" s="411">
        <f>F68+F60+F54+F44+F49+F63</f>
        <v>1</v>
      </c>
      <c r="G74" s="409" t="s">
        <v>80</v>
      </c>
      <c r="H74" s="410">
        <f>H65+H57+H49+H44+H61</f>
        <v>82544930</v>
      </c>
      <c r="I74" s="412">
        <f>H74/$H$74</f>
        <v>1</v>
      </c>
      <c r="K74" s="309"/>
      <c r="L74" s="532"/>
      <c r="M74" s="400" t="s">
        <v>642</v>
      </c>
      <c r="N74" s="413">
        <v>6</v>
      </c>
      <c r="O74" s="413">
        <v>6</v>
      </c>
      <c r="P74" s="413">
        <v>6</v>
      </c>
      <c r="Q74" s="413">
        <v>6</v>
      </c>
      <c r="R74" s="413">
        <v>6</v>
      </c>
      <c r="S74" s="413">
        <v>6</v>
      </c>
      <c r="T74" s="413"/>
      <c r="U74" s="413"/>
      <c r="V74" s="413">
        <v>6.25</v>
      </c>
      <c r="W74" s="413">
        <v>6.25</v>
      </c>
      <c r="X74" s="413">
        <v>6.25</v>
      </c>
      <c r="Y74" s="413">
        <v>6.25</v>
      </c>
      <c r="Z74" s="413"/>
      <c r="AA74" s="413">
        <v>6.25</v>
      </c>
      <c r="AB74" s="413">
        <v>6.5</v>
      </c>
      <c r="AC74" s="413">
        <v>6.5</v>
      </c>
      <c r="AD74" s="413">
        <v>6.5</v>
      </c>
    </row>
    <row r="75" spans="1:30" x14ac:dyDescent="0.25">
      <c r="E75" s="345"/>
      <c r="F75" s="315"/>
      <c r="G75" s="414"/>
      <c r="H75" s="415">
        <f>E74-H74</f>
        <v>0</v>
      </c>
      <c r="I75" s="345"/>
      <c r="K75" s="306"/>
      <c r="L75" s="532"/>
      <c r="M75" s="400" t="s">
        <v>643</v>
      </c>
      <c r="N75" s="413">
        <v>5.25</v>
      </c>
      <c r="O75" s="413">
        <v>5.25</v>
      </c>
      <c r="P75" s="413">
        <v>5.75</v>
      </c>
      <c r="Q75" s="413">
        <v>6</v>
      </c>
      <c r="R75" s="413">
        <v>6</v>
      </c>
      <c r="S75" s="413">
        <v>6</v>
      </c>
      <c r="T75" s="413"/>
      <c r="U75" s="413"/>
      <c r="V75" s="413">
        <v>6</v>
      </c>
      <c r="W75" s="413">
        <v>5.75</v>
      </c>
      <c r="X75" s="413">
        <v>5.75</v>
      </c>
      <c r="Y75" s="413">
        <v>5.75</v>
      </c>
      <c r="Z75" s="413"/>
      <c r="AA75" s="413">
        <v>5.5</v>
      </c>
      <c r="AB75" s="413">
        <v>5.5</v>
      </c>
      <c r="AC75" s="413">
        <v>5.5</v>
      </c>
      <c r="AD75" s="413">
        <v>5.25</v>
      </c>
    </row>
    <row r="76" spans="1:30" x14ac:dyDescent="0.25">
      <c r="E76" s="345"/>
      <c r="F76" s="345"/>
      <c r="H76" s="345"/>
      <c r="I76" s="345"/>
      <c r="K76" s="306"/>
      <c r="L76" s="532"/>
      <c r="M76" s="400" t="s">
        <v>644</v>
      </c>
      <c r="N76" s="413">
        <v>4.25</v>
      </c>
      <c r="O76" s="413">
        <v>4.25</v>
      </c>
      <c r="P76" s="413">
        <v>4.25</v>
      </c>
      <c r="Q76" s="413">
        <v>4.5</v>
      </c>
      <c r="R76" s="413">
        <v>4.5</v>
      </c>
      <c r="S76" s="413">
        <v>4.5</v>
      </c>
      <c r="T76" s="413"/>
      <c r="U76" s="413"/>
      <c r="V76" s="413">
        <v>4.5</v>
      </c>
      <c r="W76" s="413">
        <v>4.75</v>
      </c>
      <c r="X76" s="413">
        <v>4.5</v>
      </c>
      <c r="Y76" s="413">
        <v>4.5</v>
      </c>
      <c r="Z76" s="413"/>
      <c r="AA76" s="413">
        <v>4.75</v>
      </c>
      <c r="AB76" s="413">
        <v>4.5</v>
      </c>
      <c r="AC76" s="413">
        <v>4.5</v>
      </c>
      <c r="AD76" s="413">
        <v>4.5</v>
      </c>
    </row>
    <row r="77" spans="1:30" ht="15.75" x14ac:dyDescent="0.25">
      <c r="D77" s="416"/>
      <c r="E77" s="417"/>
      <c r="F77" s="345"/>
      <c r="G77" s="45"/>
      <c r="H77" s="418"/>
      <c r="I77" s="418"/>
      <c r="K77" s="306"/>
      <c r="L77" s="306"/>
      <c r="M77" s="419" t="s">
        <v>645</v>
      </c>
      <c r="N77" s="420">
        <f t="shared" ref="N77:AD77" si="157">N69/N70</f>
        <v>5.8505503706075004</v>
      </c>
      <c r="O77" s="420">
        <f t="shared" si="157"/>
        <v>5.847841611465439</v>
      </c>
      <c r="P77" s="420">
        <f t="shared" si="157"/>
        <v>6.2026274963677999</v>
      </c>
      <c r="Q77" s="420">
        <f t="shared" si="157"/>
        <v>6.5611687064443842</v>
      </c>
      <c r="R77" s="420">
        <f t="shared" si="157"/>
        <v>6.5613533945677069</v>
      </c>
      <c r="S77" s="420">
        <f t="shared" si="157"/>
        <v>6.489762227131286</v>
      </c>
      <c r="T77" s="420"/>
      <c r="U77" s="420"/>
      <c r="V77" s="420">
        <f t="shared" si="157"/>
        <v>6.5626030309576056</v>
      </c>
      <c r="W77" s="420">
        <f t="shared" si="157"/>
        <v>6.2350840425986913</v>
      </c>
      <c r="X77" s="420">
        <f t="shared" si="157"/>
        <v>6.1906428934521358</v>
      </c>
      <c r="Y77" s="420">
        <f t="shared" si="157"/>
        <v>6.3249187151722088</v>
      </c>
      <c r="Z77" s="420" t="e">
        <f t="shared" si="157"/>
        <v>#DIV/0!</v>
      </c>
      <c r="AA77" s="420">
        <f t="shared" si="157"/>
        <v>6.1226379458074982</v>
      </c>
      <c r="AB77" s="420">
        <f t="shared" si="157"/>
        <v>6.1845407317547485</v>
      </c>
      <c r="AC77" s="420">
        <f t="shared" si="157"/>
        <v>6.1727661386173738</v>
      </c>
      <c r="AD77" s="420">
        <f t="shared" si="157"/>
        <v>6.246859158033943</v>
      </c>
    </row>
    <row r="78" spans="1:30" x14ac:dyDescent="0.25">
      <c r="E78" s="418"/>
      <c r="F78" s="345"/>
      <c r="H78" s="345"/>
      <c r="I78" s="345"/>
      <c r="K78" s="306"/>
      <c r="L78" s="306"/>
      <c r="M78" s="306"/>
      <c r="N78" s="125"/>
      <c r="O78" s="421"/>
      <c r="P78" s="527"/>
      <c r="Q78" s="527"/>
      <c r="R78" s="527"/>
      <c r="S78" s="527"/>
    </row>
    <row r="79" spans="1:30" x14ac:dyDescent="0.25">
      <c r="E79" s="345"/>
      <c r="F79" s="345"/>
      <c r="H79" s="345"/>
      <c r="I79" s="345"/>
      <c r="K79" s="306"/>
      <c r="L79" s="306"/>
      <c r="M79" s="306"/>
      <c r="N79" s="422"/>
      <c r="O79" s="422"/>
      <c r="P79" s="422"/>
      <c r="Q79" s="422"/>
      <c r="R79" s="422"/>
      <c r="S79" s="422"/>
      <c r="T79" s="422"/>
      <c r="U79" s="422"/>
      <c r="V79" s="422"/>
      <c r="W79" s="422"/>
      <c r="X79" s="422"/>
      <c r="Y79" s="422"/>
      <c r="AA79" s="423"/>
    </row>
    <row r="80" spans="1:30" x14ac:dyDescent="0.25">
      <c r="K80" s="306"/>
      <c r="L80" s="306"/>
      <c r="M80" s="306"/>
      <c r="O80" s="421"/>
      <c r="P80" s="421"/>
      <c r="Q80" s="421"/>
      <c r="R80" s="421"/>
      <c r="S80" s="421"/>
      <c r="T80" s="421"/>
      <c r="U80" s="421"/>
      <c r="V80" s="435">
        <f>V65-13263538-V52</f>
        <v>36021</v>
      </c>
      <c r="W80" s="421"/>
      <c r="X80" s="421"/>
      <c r="Y80" s="421"/>
      <c r="Z80" s="421"/>
      <c r="AA80" s="421"/>
      <c r="AB80" s="421"/>
      <c r="AC80" s="421"/>
      <c r="AD80" s="421"/>
    </row>
    <row r="81" spans="11:25" x14ac:dyDescent="0.25">
      <c r="K81" s="306"/>
      <c r="L81" s="306"/>
      <c r="M81" s="306"/>
      <c r="O81" s="421"/>
      <c r="P81" s="548"/>
      <c r="Q81" s="548"/>
      <c r="R81" s="548"/>
      <c r="S81" s="548"/>
      <c r="V81" s="423"/>
    </row>
    <row r="82" spans="11:25" x14ac:dyDescent="0.25">
      <c r="K82" s="306"/>
      <c r="L82" s="306"/>
      <c r="M82" s="306"/>
      <c r="N82" s="423"/>
      <c r="O82" s="421"/>
      <c r="P82" s="424"/>
      <c r="Q82" s="424"/>
      <c r="R82" s="424"/>
      <c r="S82" s="424"/>
    </row>
    <row r="83" spans="11:25" x14ac:dyDescent="0.25">
      <c r="K83" s="306"/>
      <c r="L83" s="306"/>
      <c r="M83" s="306"/>
      <c r="O83" s="421"/>
      <c r="P83" s="548"/>
      <c r="Q83" s="548"/>
      <c r="R83" s="548"/>
      <c r="S83" s="548"/>
      <c r="Y83" s="423"/>
    </row>
    <row r="84" spans="11:25" x14ac:dyDescent="0.25">
      <c r="K84" s="306"/>
      <c r="L84" s="306"/>
      <c r="M84" s="306"/>
      <c r="O84" s="421"/>
      <c r="P84" s="548"/>
      <c r="Q84" s="548"/>
      <c r="R84" s="548"/>
      <c r="S84" s="425"/>
    </row>
    <row r="85" spans="11:25" x14ac:dyDescent="0.25">
      <c r="K85" s="306"/>
      <c r="L85" s="306"/>
      <c r="M85" s="306"/>
      <c r="O85" s="421"/>
    </row>
    <row r="86" spans="11:25" x14ac:dyDescent="0.25">
      <c r="K86" s="306"/>
      <c r="L86" s="306"/>
      <c r="M86" s="306"/>
      <c r="O86" s="421"/>
    </row>
    <row r="87" spans="11:25" x14ac:dyDescent="0.25">
      <c r="K87" s="306"/>
      <c r="L87" s="306"/>
      <c r="M87" s="306"/>
      <c r="O87" s="421"/>
    </row>
    <row r="88" spans="11:25" x14ac:dyDescent="0.25">
      <c r="K88" s="306"/>
      <c r="L88" s="306"/>
      <c r="M88" s="306"/>
      <c r="O88" s="421"/>
    </row>
    <row r="89" spans="11:25" x14ac:dyDescent="0.25">
      <c r="K89" s="306"/>
      <c r="L89" s="306"/>
      <c r="M89" s="306"/>
      <c r="O89" s="421"/>
    </row>
    <row r="90" spans="11:25" x14ac:dyDescent="0.25">
      <c r="K90" s="306"/>
      <c r="L90" s="306"/>
      <c r="M90" s="306"/>
      <c r="O90" s="421"/>
    </row>
    <row r="91" spans="11:25" x14ac:dyDescent="0.25">
      <c r="K91" s="306"/>
      <c r="L91" s="306"/>
      <c r="M91" s="306"/>
      <c r="O91" s="421"/>
    </row>
    <row r="92" spans="11:25" x14ac:dyDescent="0.25">
      <c r="K92" s="306"/>
      <c r="L92" s="306"/>
      <c r="M92" s="306"/>
      <c r="O92" s="421"/>
    </row>
    <row r="93" spans="11:25" x14ac:dyDescent="0.25">
      <c r="K93" s="306"/>
      <c r="L93" s="306"/>
      <c r="M93" s="306"/>
      <c r="O93" s="421"/>
    </row>
    <row r="94" spans="11:25" x14ac:dyDescent="0.25">
      <c r="K94" s="306"/>
      <c r="L94" s="306"/>
      <c r="M94" s="306"/>
      <c r="O94" s="421"/>
    </row>
    <row r="95" spans="11:25" x14ac:dyDescent="0.25">
      <c r="K95" s="306"/>
      <c r="L95" s="306"/>
      <c r="M95" s="306"/>
      <c r="O95" s="421"/>
    </row>
    <row r="96" spans="11:25" x14ac:dyDescent="0.25">
      <c r="K96" s="306"/>
      <c r="L96" s="306"/>
      <c r="M96" s="306"/>
      <c r="O96" s="421"/>
    </row>
    <row r="97" spans="11:15" x14ac:dyDescent="0.25">
      <c r="K97" s="306"/>
      <c r="L97" s="306"/>
      <c r="M97" s="306"/>
      <c r="O97" s="421"/>
    </row>
    <row r="98" spans="11:15" x14ac:dyDescent="0.25">
      <c r="K98" s="306"/>
      <c r="L98" s="306"/>
      <c r="M98" s="306"/>
      <c r="O98" s="421"/>
    </row>
    <row r="99" spans="11:15" x14ac:dyDescent="0.25">
      <c r="K99" s="306"/>
      <c r="L99" s="306"/>
      <c r="M99" s="306"/>
      <c r="O99" s="421"/>
    </row>
    <row r="100" spans="11:15" x14ac:dyDescent="0.25">
      <c r="K100" s="306"/>
      <c r="L100" s="306"/>
      <c r="M100" s="306"/>
      <c r="O100" s="421"/>
    </row>
    <row r="101" spans="11:15" x14ac:dyDescent="0.25">
      <c r="K101" s="306"/>
      <c r="L101" s="306"/>
      <c r="M101" s="306"/>
      <c r="O101" s="421"/>
    </row>
    <row r="102" spans="11:15" x14ac:dyDescent="0.25">
      <c r="K102" s="306"/>
      <c r="L102" s="306"/>
      <c r="M102" s="306"/>
      <c r="O102" s="421"/>
    </row>
    <row r="103" spans="11:15" x14ac:dyDescent="0.25">
      <c r="K103" s="306"/>
      <c r="L103" s="306"/>
      <c r="M103" s="306"/>
      <c r="O103" s="421"/>
    </row>
    <row r="104" spans="11:15" x14ac:dyDescent="0.25">
      <c r="K104" s="306"/>
      <c r="L104" s="306"/>
      <c r="M104" s="306"/>
      <c r="O104" s="421"/>
    </row>
    <row r="105" spans="11:15" x14ac:dyDescent="0.25">
      <c r="K105" s="306"/>
      <c r="L105" s="306"/>
      <c r="M105" s="306"/>
      <c r="O105" s="421"/>
    </row>
    <row r="106" spans="11:15" x14ac:dyDescent="0.25">
      <c r="K106" s="306"/>
      <c r="L106" s="306"/>
      <c r="M106" s="306"/>
      <c r="O106" s="421"/>
    </row>
    <row r="107" spans="11:15" x14ac:dyDescent="0.25">
      <c r="K107" s="306"/>
      <c r="L107" s="306"/>
      <c r="M107" s="306"/>
      <c r="O107" s="421"/>
    </row>
    <row r="108" spans="11:15" x14ac:dyDescent="0.25">
      <c r="K108" s="306"/>
      <c r="L108" s="306"/>
      <c r="M108" s="306"/>
      <c r="O108" s="421"/>
    </row>
    <row r="109" spans="11:15" x14ac:dyDescent="0.25">
      <c r="K109" s="306"/>
      <c r="L109" s="306"/>
      <c r="M109" s="306"/>
      <c r="O109" s="421"/>
    </row>
    <row r="110" spans="11:15" x14ac:dyDescent="0.25">
      <c r="K110" s="306"/>
      <c r="L110" s="306"/>
      <c r="M110" s="306"/>
      <c r="O110" s="421"/>
    </row>
    <row r="111" spans="11:15" x14ac:dyDescent="0.25">
      <c r="K111" s="306"/>
      <c r="L111" s="306"/>
      <c r="M111" s="306"/>
      <c r="O111" s="421"/>
    </row>
    <row r="112" spans="11:15" x14ac:dyDescent="0.25">
      <c r="K112" s="306"/>
      <c r="L112" s="306"/>
      <c r="M112" s="306"/>
      <c r="O112" s="421"/>
    </row>
    <row r="113" spans="11:15" x14ac:dyDescent="0.25">
      <c r="K113" s="306"/>
      <c r="L113" s="306"/>
      <c r="M113" s="306"/>
      <c r="O113" s="421"/>
    </row>
    <row r="114" spans="11:15" x14ac:dyDescent="0.25">
      <c r="K114" s="306"/>
      <c r="L114" s="306"/>
      <c r="M114" s="306"/>
      <c r="O114" s="421"/>
    </row>
    <row r="115" spans="11:15" x14ac:dyDescent="0.25">
      <c r="K115" s="306"/>
      <c r="L115" s="306"/>
      <c r="M115" s="306"/>
      <c r="O115" s="421"/>
    </row>
    <row r="116" spans="11:15" x14ac:dyDescent="0.25">
      <c r="K116" s="306"/>
      <c r="L116" s="306"/>
      <c r="M116" s="306"/>
      <c r="O116" s="421"/>
    </row>
    <row r="117" spans="11:15" x14ac:dyDescent="0.25">
      <c r="K117" s="306"/>
      <c r="L117" s="306"/>
      <c r="M117" s="306"/>
      <c r="O117" s="421"/>
    </row>
    <row r="118" spans="11:15" x14ac:dyDescent="0.25">
      <c r="K118" s="306"/>
      <c r="L118" s="306"/>
      <c r="M118" s="306"/>
      <c r="O118" s="421"/>
    </row>
    <row r="119" spans="11:15" x14ac:dyDescent="0.25">
      <c r="K119" s="306"/>
      <c r="L119" s="306"/>
      <c r="M119" s="306"/>
      <c r="O119" s="421"/>
    </row>
    <row r="120" spans="11:15" x14ac:dyDescent="0.25">
      <c r="K120" s="306"/>
      <c r="L120" s="306"/>
      <c r="M120" s="306"/>
      <c r="O120" s="421"/>
    </row>
  </sheetData>
  <mergeCells count="25">
    <mergeCell ref="D40:I40"/>
    <mergeCell ref="D41:I41"/>
    <mergeCell ref="D42:E42"/>
    <mergeCell ref="G42:H42"/>
    <mergeCell ref="P83:S83"/>
    <mergeCell ref="K50:K52"/>
    <mergeCell ref="P84:R84"/>
    <mergeCell ref="K60:K62"/>
    <mergeCell ref="L69:L76"/>
    <mergeCell ref="A54:B54"/>
    <mergeCell ref="A74:B74"/>
    <mergeCell ref="P78:Q78"/>
    <mergeCell ref="R78:S78"/>
    <mergeCell ref="P81:S81"/>
    <mergeCell ref="D1:I1"/>
    <mergeCell ref="D2:I2"/>
    <mergeCell ref="D3:E3"/>
    <mergeCell ref="G3:H3"/>
    <mergeCell ref="K11:K13"/>
    <mergeCell ref="R39:S39"/>
    <mergeCell ref="A15:B15"/>
    <mergeCell ref="K21:K23"/>
    <mergeCell ref="L30:L37"/>
    <mergeCell ref="A35:B35"/>
    <mergeCell ref="P39:Q39"/>
  </mergeCells>
  <conditionalFormatting sqref="H50:H55">
    <cfRule type="cellIs" dxfId="23" priority="9" operator="lessThan">
      <formula>0</formula>
    </cfRule>
    <cfRule type="cellIs" dxfId="22" priority="10" operator="greaterThan">
      <formula>0</formula>
    </cfRule>
  </conditionalFormatting>
  <conditionalFormatting sqref="H77">
    <cfRule type="cellIs" dxfId="21" priority="8" operator="lessThan">
      <formula>0</formula>
    </cfRule>
  </conditionalFormatting>
  <conditionalFormatting sqref="E78">
    <cfRule type="cellIs" dxfId="20" priority="6" operator="greaterThan">
      <formula>0</formula>
    </cfRule>
    <cfRule type="cellIs" dxfId="19" priority="7" operator="lessThan">
      <formula>0</formula>
    </cfRule>
  </conditionalFormatting>
  <conditionalFormatting sqref="H11:H16">
    <cfRule type="cellIs" dxfId="18" priority="4" operator="lessThan">
      <formula>0</formula>
    </cfRule>
    <cfRule type="cellIs" dxfId="17" priority="5" operator="greaterThan">
      <formula>0</formula>
    </cfRule>
  </conditionalFormatting>
  <conditionalFormatting sqref="H38">
    <cfRule type="cellIs" dxfId="16" priority="3" operator="lessThan">
      <formula>0</formula>
    </cfRule>
  </conditionalFormatting>
  <conditionalFormatting sqref="E39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S31"/>
  <sheetViews>
    <sheetView zoomScaleNormal="100" workbookViewId="0">
      <selection activeCell="J13" sqref="J13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7">
        <v>43062</v>
      </c>
      <c r="E1" s="88" t="s">
        <v>200</v>
      </c>
      <c r="F1" s="89" t="s">
        <v>201</v>
      </c>
      <c r="G1" s="90"/>
      <c r="H1" s="90"/>
      <c r="I1" s="91" t="s">
        <v>200</v>
      </c>
      <c r="J1" s="92" t="s">
        <v>201</v>
      </c>
      <c r="K1" s="51"/>
      <c r="P1" s="88" t="s">
        <v>200</v>
      </c>
      <c r="Q1" s="89" t="s">
        <v>201</v>
      </c>
      <c r="R1" s="88"/>
      <c r="S1" s="89"/>
    </row>
    <row r="2" spans="1:19" x14ac:dyDescent="0.25">
      <c r="A2" s="93" t="s">
        <v>2</v>
      </c>
      <c r="B2" s="93" t="s">
        <v>202</v>
      </c>
      <c r="C2" s="93" t="s">
        <v>203</v>
      </c>
      <c r="D2" s="93" t="s">
        <v>17</v>
      </c>
      <c r="E2" s="88" t="s">
        <v>7</v>
      </c>
      <c r="F2" s="89" t="s">
        <v>7</v>
      </c>
      <c r="G2" s="90" t="s">
        <v>6</v>
      </c>
      <c r="H2" s="90" t="s">
        <v>6</v>
      </c>
      <c r="I2" s="91" t="s">
        <v>204</v>
      </c>
      <c r="J2" s="92" t="s">
        <v>204</v>
      </c>
      <c r="K2" s="51"/>
      <c r="P2" s="88" t="s">
        <v>7</v>
      </c>
      <c r="Q2" s="89" t="s">
        <v>7</v>
      </c>
      <c r="R2" s="88" t="s">
        <v>6</v>
      </c>
      <c r="S2" s="89" t="s">
        <v>6</v>
      </c>
    </row>
    <row r="3" spans="1:19" x14ac:dyDescent="0.25">
      <c r="A3" s="94" t="str">
        <f>Plantilla!D4</f>
        <v>Cosme Fonteboa</v>
      </c>
      <c r="B3" s="95">
        <f>Plantilla!E4</f>
        <v>23</v>
      </c>
      <c r="C3" s="95">
        <f>Plantilla!H4</f>
        <v>4</v>
      </c>
      <c r="D3" s="96">
        <f>Plantilla!I4</f>
        <v>5.4</v>
      </c>
      <c r="E3" s="97">
        <f>D3</f>
        <v>5.4</v>
      </c>
      <c r="F3" s="97">
        <f>E3+0.1</f>
        <v>5.5</v>
      </c>
      <c r="G3" s="97">
        <f>C3</f>
        <v>4</v>
      </c>
      <c r="H3" s="97">
        <f>G3+0.99</f>
        <v>4.99</v>
      </c>
      <c r="I3" s="98">
        <f>G3*G3*E3</f>
        <v>86.4</v>
      </c>
      <c r="J3" s="98">
        <f>H3*H3*F3</f>
        <v>136.95055000000002</v>
      </c>
      <c r="K3" s="99"/>
      <c r="N3" s="45" t="s">
        <v>204</v>
      </c>
      <c r="O3" s="29" t="str">
        <f>A15</f>
        <v>J. G. Peñuela</v>
      </c>
      <c r="P3" s="100">
        <f>E15</f>
        <v>4.7</v>
      </c>
      <c r="Q3" s="100">
        <f>F15</f>
        <v>4.8</v>
      </c>
      <c r="R3" s="100">
        <f>G15</f>
        <v>6</v>
      </c>
      <c r="S3" s="100">
        <f>H15</f>
        <v>6.99</v>
      </c>
    </row>
    <row r="4" spans="1:19" x14ac:dyDescent="0.25">
      <c r="A4" s="94" t="str">
        <f>Plantilla!D5</f>
        <v>Nicolae Hornet</v>
      </c>
      <c r="B4" s="95">
        <f>Plantilla!E5</f>
        <v>23</v>
      </c>
      <c r="C4" s="95">
        <f>Plantilla!H5</f>
        <v>5</v>
      </c>
      <c r="D4" s="96">
        <f>Plantilla!I5</f>
        <v>1.4</v>
      </c>
      <c r="E4" s="97">
        <f t="shared" ref="E4:E6" si="0">D4</f>
        <v>1.4</v>
      </c>
      <c r="F4" s="97">
        <f t="shared" ref="F4:F6" si="1">E4+0.1</f>
        <v>1.5</v>
      </c>
      <c r="G4" s="97">
        <f t="shared" ref="G4:G6" si="2">C4</f>
        <v>5</v>
      </c>
      <c r="H4" s="97">
        <f t="shared" ref="H4:H6" si="3">G4+0.99</f>
        <v>5.99</v>
      </c>
      <c r="I4" s="98">
        <f t="shared" ref="I4:I6" si="4">G4*G4*E4</f>
        <v>35</v>
      </c>
      <c r="J4" s="98">
        <f t="shared" ref="J4:J6" si="5">H4*H4*F4</f>
        <v>53.820150000000012</v>
      </c>
      <c r="K4" s="99"/>
      <c r="O4" t="str">
        <f>A8</f>
        <v>Guillermo Pedrajas</v>
      </c>
      <c r="P4" s="100">
        <f>E8</f>
        <v>4.9000000000000004</v>
      </c>
      <c r="Q4" s="100">
        <f>F8</f>
        <v>5</v>
      </c>
      <c r="R4" s="100">
        <f>G8</f>
        <v>4</v>
      </c>
      <c r="S4" s="100">
        <f>H8</f>
        <v>4.99</v>
      </c>
    </row>
    <row r="5" spans="1:19" x14ac:dyDescent="0.25">
      <c r="A5" s="94" t="str">
        <f>Plantilla!D6</f>
        <v>Miguel Fernández</v>
      </c>
      <c r="B5" s="95">
        <f>Plantilla!E6</f>
        <v>23</v>
      </c>
      <c r="C5" s="95">
        <f>Plantilla!H6</f>
        <v>5</v>
      </c>
      <c r="D5" s="96">
        <f>Plantilla!I6</f>
        <v>2.9</v>
      </c>
      <c r="E5" s="97">
        <f t="shared" si="0"/>
        <v>2.9</v>
      </c>
      <c r="F5" s="97">
        <f t="shared" si="1"/>
        <v>3</v>
      </c>
      <c r="G5" s="97">
        <f t="shared" si="2"/>
        <v>5</v>
      </c>
      <c r="H5" s="97">
        <f t="shared" si="3"/>
        <v>5.99</v>
      </c>
      <c r="I5" s="98">
        <f t="shared" si="4"/>
        <v>72.5</v>
      </c>
      <c r="J5" s="98">
        <f t="shared" si="5"/>
        <v>107.64030000000002</v>
      </c>
      <c r="K5" s="99"/>
      <c r="L5" s="78"/>
      <c r="O5" t="str">
        <f>A3</f>
        <v>Cosme Fonteboa</v>
      </c>
      <c r="P5" s="100">
        <f>E3</f>
        <v>5.4</v>
      </c>
      <c r="Q5" s="100">
        <f t="shared" ref="Q5:S5" si="6">F3</f>
        <v>5.5</v>
      </c>
      <c r="R5" s="100">
        <f t="shared" si="6"/>
        <v>4</v>
      </c>
      <c r="S5" s="100">
        <f t="shared" si="6"/>
        <v>4.99</v>
      </c>
    </row>
    <row r="6" spans="1:19" x14ac:dyDescent="0.25">
      <c r="A6" s="94" t="str">
        <f>Plantilla!D7</f>
        <v>Iván Real Figueroa</v>
      </c>
      <c r="B6" s="95">
        <f>Plantilla!E7</f>
        <v>23</v>
      </c>
      <c r="C6" s="95">
        <f>Plantilla!H7</f>
        <v>4</v>
      </c>
      <c r="D6" s="96">
        <f>Plantilla!I7</f>
        <v>4.0999999999999996</v>
      </c>
      <c r="E6" s="97">
        <f t="shared" si="0"/>
        <v>4.0999999999999996</v>
      </c>
      <c r="F6" s="97">
        <f t="shared" si="1"/>
        <v>4.1999999999999993</v>
      </c>
      <c r="G6" s="97">
        <f t="shared" si="2"/>
        <v>4</v>
      </c>
      <c r="H6" s="97">
        <f t="shared" si="3"/>
        <v>4.99</v>
      </c>
      <c r="I6" s="98">
        <f t="shared" si="4"/>
        <v>65.599999999999994</v>
      </c>
      <c r="J6" s="98">
        <f t="shared" si="5"/>
        <v>104.58041999999999</v>
      </c>
      <c r="K6" s="99"/>
      <c r="O6" t="str">
        <f>A7</f>
        <v>Berto Abandero</v>
      </c>
      <c r="P6" s="100">
        <f>E7</f>
        <v>4.4000000000000004</v>
      </c>
      <c r="Q6" s="100">
        <f t="shared" ref="Q6:S6" si="7">F7</f>
        <v>4.5</v>
      </c>
      <c r="R6" s="100">
        <f t="shared" si="7"/>
        <v>1</v>
      </c>
      <c r="S6" s="100">
        <f t="shared" si="7"/>
        <v>1.99</v>
      </c>
    </row>
    <row r="7" spans="1:19" x14ac:dyDescent="0.25">
      <c r="A7" s="94" t="str">
        <f>Plantilla!D8</f>
        <v>Berto Abandero</v>
      </c>
      <c r="B7" s="95">
        <f>Plantilla!E8</f>
        <v>23</v>
      </c>
      <c r="C7" s="95">
        <f>Plantilla!H8</f>
        <v>1</v>
      </c>
      <c r="D7" s="96">
        <f>Plantilla!I8</f>
        <v>4.4000000000000004</v>
      </c>
      <c r="E7" s="97">
        <f t="shared" ref="E7:E22" si="8">D7</f>
        <v>4.4000000000000004</v>
      </c>
      <c r="F7" s="97">
        <f t="shared" ref="F7:F22" si="9">E7+0.1</f>
        <v>4.5</v>
      </c>
      <c r="G7" s="97">
        <f t="shared" ref="G7:G22" si="10">C7</f>
        <v>1</v>
      </c>
      <c r="H7" s="97">
        <f t="shared" ref="H7:H22" si="11">G7+0.99</f>
        <v>1.99</v>
      </c>
      <c r="I7" s="98">
        <f t="shared" ref="I7:I22" si="12">G7*G7*E7</f>
        <v>4.4000000000000004</v>
      </c>
      <c r="J7" s="98">
        <f t="shared" ref="J7:J22" si="13">H7*H7*F7</f>
        <v>17.820450000000001</v>
      </c>
      <c r="K7" s="99"/>
      <c r="O7" t="str">
        <f>A6</f>
        <v>Iván Real Figueroa</v>
      </c>
      <c r="P7" s="100">
        <f>E6</f>
        <v>4.0999999999999996</v>
      </c>
      <c r="Q7" s="100">
        <f t="shared" ref="Q7:S7" si="14">F6</f>
        <v>4.1999999999999993</v>
      </c>
      <c r="R7" s="100">
        <f t="shared" si="14"/>
        <v>4</v>
      </c>
      <c r="S7" s="100">
        <f t="shared" si="14"/>
        <v>4.99</v>
      </c>
    </row>
    <row r="8" spans="1:19" x14ac:dyDescent="0.25">
      <c r="A8" s="94" t="str">
        <f>Plantilla!D9</f>
        <v>Guillermo Pedrajas</v>
      </c>
      <c r="B8" s="95">
        <f>Plantilla!E9</f>
        <v>23</v>
      </c>
      <c r="C8" s="95">
        <f>Plantilla!H9</f>
        <v>4</v>
      </c>
      <c r="D8" s="96">
        <f>Plantilla!I9</f>
        <v>4.9000000000000004</v>
      </c>
      <c r="E8" s="97">
        <f t="shared" si="8"/>
        <v>4.9000000000000004</v>
      </c>
      <c r="F8" s="97">
        <f t="shared" si="9"/>
        <v>5</v>
      </c>
      <c r="G8" s="97">
        <f t="shared" si="10"/>
        <v>4</v>
      </c>
      <c r="H8" s="97">
        <f t="shared" si="11"/>
        <v>4.99</v>
      </c>
      <c r="I8" s="98">
        <f t="shared" si="12"/>
        <v>78.400000000000006</v>
      </c>
      <c r="J8" s="98">
        <f t="shared" si="13"/>
        <v>124.50050000000002</v>
      </c>
      <c r="K8" s="99"/>
      <c r="O8" t="str">
        <f>A21</f>
        <v>Tommaso Niscola</v>
      </c>
      <c r="P8" s="100">
        <f>E21</f>
        <v>7.1</v>
      </c>
      <c r="Q8" s="100">
        <f>F21</f>
        <v>7.1999999999999993</v>
      </c>
      <c r="R8" s="100">
        <f>G21</f>
        <v>4</v>
      </c>
      <c r="S8" s="100">
        <f>H21</f>
        <v>4.99</v>
      </c>
    </row>
    <row r="9" spans="1:19" x14ac:dyDescent="0.25">
      <c r="A9" s="94" t="str">
        <f>Plantilla!D10</f>
        <v>Venanci Oset</v>
      </c>
      <c r="B9" s="95">
        <f>Plantilla!E10</f>
        <v>24</v>
      </c>
      <c r="C9" s="95">
        <f>Plantilla!H10</f>
        <v>2</v>
      </c>
      <c r="D9" s="96">
        <f>Plantilla!I10</f>
        <v>4.8</v>
      </c>
      <c r="E9" s="97">
        <f t="shared" si="8"/>
        <v>4.8</v>
      </c>
      <c r="F9" s="97">
        <f t="shared" si="9"/>
        <v>4.8999999999999995</v>
      </c>
      <c r="G9" s="97">
        <f t="shared" si="10"/>
        <v>2</v>
      </c>
      <c r="H9" s="97">
        <f t="shared" si="11"/>
        <v>2.99</v>
      </c>
      <c r="I9" s="98">
        <f t="shared" si="12"/>
        <v>19.2</v>
      </c>
      <c r="J9" s="98">
        <f t="shared" si="13"/>
        <v>43.806490000000004</v>
      </c>
      <c r="K9" s="99"/>
      <c r="O9" t="str">
        <f>A15</f>
        <v>J. G. Peñuela</v>
      </c>
      <c r="P9" s="100">
        <f>E15</f>
        <v>4.7</v>
      </c>
      <c r="Q9" s="100">
        <f t="shared" ref="Q9:S9" si="15">F15</f>
        <v>4.8</v>
      </c>
      <c r="R9" s="100">
        <f t="shared" si="15"/>
        <v>6</v>
      </c>
      <c r="S9" s="100">
        <f t="shared" si="15"/>
        <v>6.99</v>
      </c>
    </row>
    <row r="10" spans="1:19" x14ac:dyDescent="0.25">
      <c r="A10" s="94" t="e">
        <f>Plantilla!#REF!</f>
        <v>#REF!</v>
      </c>
      <c r="B10" s="95" t="e">
        <f>Plantilla!#REF!</f>
        <v>#REF!</v>
      </c>
      <c r="C10" s="95" t="e">
        <f>Plantilla!#REF!</f>
        <v>#REF!</v>
      </c>
      <c r="D10" s="96" t="e">
        <f>Plantilla!#REF!</f>
        <v>#REF!</v>
      </c>
      <c r="E10" s="97" t="e">
        <f t="shared" si="8"/>
        <v>#REF!</v>
      </c>
      <c r="F10" s="97" t="e">
        <f t="shared" si="9"/>
        <v>#REF!</v>
      </c>
      <c r="G10" s="97" t="e">
        <f t="shared" si="10"/>
        <v>#REF!</v>
      </c>
      <c r="H10" s="97" t="e">
        <f t="shared" si="11"/>
        <v>#REF!</v>
      </c>
      <c r="I10" s="98" t="e">
        <f t="shared" si="12"/>
        <v>#REF!</v>
      </c>
      <c r="J10" s="98" t="e">
        <f t="shared" si="13"/>
        <v>#REF!</v>
      </c>
      <c r="K10" s="99"/>
      <c r="O10" t="str">
        <f>A14</f>
        <v>Enrique Cubas</v>
      </c>
      <c r="P10" s="100">
        <f>E14</f>
        <v>5.4</v>
      </c>
      <c r="Q10" s="100">
        <f t="shared" ref="Q10:S10" si="16">F14</f>
        <v>5.5</v>
      </c>
      <c r="R10" s="100">
        <f t="shared" si="16"/>
        <v>1</v>
      </c>
      <c r="S10" s="100">
        <f t="shared" si="16"/>
        <v>1.99</v>
      </c>
    </row>
    <row r="11" spans="1:19" x14ac:dyDescent="0.25">
      <c r="A11" s="94" t="str">
        <f>Plantilla!D11</f>
        <v>Francesc Añigas</v>
      </c>
      <c r="B11" s="95">
        <f>Plantilla!E11</f>
        <v>23</v>
      </c>
      <c r="C11" s="95">
        <f>Plantilla!H11</f>
        <v>5</v>
      </c>
      <c r="D11" s="96">
        <f>Plantilla!I11</f>
        <v>4.8</v>
      </c>
      <c r="E11" s="97">
        <f t="shared" si="8"/>
        <v>4.8</v>
      </c>
      <c r="F11" s="97">
        <f t="shared" si="9"/>
        <v>4.8999999999999995</v>
      </c>
      <c r="G11" s="97">
        <f t="shared" si="10"/>
        <v>5</v>
      </c>
      <c r="H11" s="97">
        <f t="shared" si="11"/>
        <v>5.99</v>
      </c>
      <c r="I11" s="98">
        <f t="shared" si="12"/>
        <v>120</v>
      </c>
      <c r="J11" s="98">
        <f t="shared" si="13"/>
        <v>175.81249</v>
      </c>
      <c r="K11" s="99"/>
      <c r="O11" t="str">
        <f>A13</f>
        <v>Valeri Gomis</v>
      </c>
      <c r="P11" s="100">
        <f>E13</f>
        <v>4.8</v>
      </c>
      <c r="Q11" s="100">
        <f t="shared" ref="Q11:S11" si="17">F13</f>
        <v>4.8999999999999995</v>
      </c>
      <c r="R11" s="100">
        <f t="shared" si="17"/>
        <v>6</v>
      </c>
      <c r="S11" s="100">
        <f t="shared" si="17"/>
        <v>6.99</v>
      </c>
    </row>
    <row r="12" spans="1:19" x14ac:dyDescent="0.25">
      <c r="A12" s="94" t="str">
        <f>Plantilla!D12</f>
        <v>Will Duffill</v>
      </c>
      <c r="B12" s="95">
        <f>Plantilla!E12</f>
        <v>23</v>
      </c>
      <c r="C12" s="95">
        <f>Plantilla!H12</f>
        <v>3</v>
      </c>
      <c r="D12" s="96">
        <f>Plantilla!I12</f>
        <v>4.9000000000000004</v>
      </c>
      <c r="E12" s="97">
        <f t="shared" si="8"/>
        <v>4.9000000000000004</v>
      </c>
      <c r="F12" s="97">
        <f t="shared" si="9"/>
        <v>5</v>
      </c>
      <c r="G12" s="97">
        <f t="shared" si="10"/>
        <v>3</v>
      </c>
      <c r="H12" s="97">
        <f t="shared" si="11"/>
        <v>3.99</v>
      </c>
      <c r="I12" s="98">
        <f t="shared" si="12"/>
        <v>44.1</v>
      </c>
      <c r="J12" s="98">
        <f t="shared" si="13"/>
        <v>79.600500000000011</v>
      </c>
      <c r="K12" s="99"/>
      <c r="O12" t="str">
        <f>A20</f>
        <v>Stanisław Zdankiewicz</v>
      </c>
      <c r="P12" s="100">
        <f>E20</f>
        <v>8.9</v>
      </c>
      <c r="Q12" s="100">
        <f t="shared" ref="Q12:S12" si="18">F20</f>
        <v>9</v>
      </c>
      <c r="R12" s="100">
        <f t="shared" si="18"/>
        <v>2</v>
      </c>
      <c r="S12" s="100">
        <f t="shared" si="18"/>
        <v>2.99</v>
      </c>
    </row>
    <row r="13" spans="1:19" x14ac:dyDescent="0.25">
      <c r="A13" s="94" t="str">
        <f>Plantilla!D13</f>
        <v>Valeri Gomis</v>
      </c>
      <c r="B13" s="95">
        <f>Plantilla!E13</f>
        <v>23</v>
      </c>
      <c r="C13" s="95">
        <f>Plantilla!H13</f>
        <v>6</v>
      </c>
      <c r="D13" s="96">
        <f>Plantilla!I13</f>
        <v>4.8</v>
      </c>
      <c r="E13" s="97">
        <f t="shared" si="8"/>
        <v>4.8</v>
      </c>
      <c r="F13" s="97">
        <f t="shared" si="9"/>
        <v>4.8999999999999995</v>
      </c>
      <c r="G13" s="97">
        <f t="shared" si="10"/>
        <v>6</v>
      </c>
      <c r="H13" s="97">
        <f t="shared" si="11"/>
        <v>6.99</v>
      </c>
      <c r="I13" s="98">
        <f t="shared" si="12"/>
        <v>172.79999999999998</v>
      </c>
      <c r="J13" s="98">
        <f t="shared" si="13"/>
        <v>239.41449</v>
      </c>
      <c r="K13" s="99"/>
      <c r="O13" t="str">
        <f>A16</f>
        <v>David Garcia-Spiess</v>
      </c>
      <c r="P13" s="100">
        <f>E16</f>
        <v>7.8</v>
      </c>
      <c r="Q13" s="100">
        <f>F16</f>
        <v>7.8999999999999995</v>
      </c>
      <c r="R13" s="100">
        <f>G16</f>
        <v>1</v>
      </c>
      <c r="S13" s="100">
        <f>H16</f>
        <v>1.99</v>
      </c>
    </row>
    <row r="14" spans="1:19" x14ac:dyDescent="0.25">
      <c r="A14" s="94" t="str">
        <f>Plantilla!D14</f>
        <v>Enrique Cubas</v>
      </c>
      <c r="B14" s="95">
        <f>Plantilla!E14</f>
        <v>23</v>
      </c>
      <c r="C14" s="95">
        <f>Plantilla!H14</f>
        <v>1</v>
      </c>
      <c r="D14" s="96">
        <f>Plantilla!I14</f>
        <v>5.4</v>
      </c>
      <c r="E14" s="97">
        <f t="shared" si="8"/>
        <v>5.4</v>
      </c>
      <c r="F14" s="97">
        <f t="shared" si="9"/>
        <v>5.5</v>
      </c>
      <c r="G14" s="97">
        <f t="shared" si="10"/>
        <v>1</v>
      </c>
      <c r="H14" s="97">
        <f t="shared" si="11"/>
        <v>1.99</v>
      </c>
      <c r="I14" s="98">
        <f t="shared" si="12"/>
        <v>5.4</v>
      </c>
      <c r="J14" s="98">
        <f t="shared" si="13"/>
        <v>21.780550000000002</v>
      </c>
      <c r="K14" s="99"/>
      <c r="P14" s="31">
        <f>SUM(P4:P13)/10</f>
        <v>5.7499999999999991</v>
      </c>
      <c r="Q14" s="31">
        <f>SUM(Q4:Q13)/10</f>
        <v>5.85</v>
      </c>
      <c r="R14" s="31"/>
      <c r="S14" s="31"/>
    </row>
    <row r="15" spans="1:19" x14ac:dyDescent="0.25">
      <c r="A15" s="94" t="str">
        <f>Plantilla!D15</f>
        <v>J. G. Peñuela</v>
      </c>
      <c r="B15" s="95">
        <f>Plantilla!E15</f>
        <v>23</v>
      </c>
      <c r="C15" s="95">
        <f>Plantilla!H15</f>
        <v>6</v>
      </c>
      <c r="D15" s="96">
        <f>Plantilla!I15</f>
        <v>4.7</v>
      </c>
      <c r="E15" s="97">
        <f t="shared" si="8"/>
        <v>4.7</v>
      </c>
      <c r="F15" s="97">
        <f t="shared" si="9"/>
        <v>4.8</v>
      </c>
      <c r="G15" s="97">
        <f t="shared" si="10"/>
        <v>6</v>
      </c>
      <c r="H15" s="97">
        <f t="shared" si="11"/>
        <v>6.99</v>
      </c>
      <c r="I15" s="98">
        <f t="shared" si="12"/>
        <v>169.20000000000002</v>
      </c>
      <c r="J15" s="98">
        <f t="shared" si="13"/>
        <v>234.52848</v>
      </c>
      <c r="K15" s="99"/>
    </row>
    <row r="16" spans="1:19" x14ac:dyDescent="0.25">
      <c r="A16" s="94" t="str">
        <f>Plantilla!D17</f>
        <v>David Garcia-Spiess</v>
      </c>
      <c r="B16" s="95">
        <f>Plantilla!E17</f>
        <v>31</v>
      </c>
      <c r="C16" s="95">
        <f>Plantilla!H17</f>
        <v>1</v>
      </c>
      <c r="D16" s="96">
        <f>Plantilla!I17</f>
        <v>7.8</v>
      </c>
      <c r="E16" s="97">
        <f t="shared" si="8"/>
        <v>7.8</v>
      </c>
      <c r="F16" s="97">
        <f t="shared" si="9"/>
        <v>7.8999999999999995</v>
      </c>
      <c r="G16" s="97">
        <f t="shared" si="10"/>
        <v>1</v>
      </c>
      <c r="H16" s="97">
        <f t="shared" si="11"/>
        <v>1.99</v>
      </c>
      <c r="I16" s="98">
        <f t="shared" si="12"/>
        <v>7.8</v>
      </c>
      <c r="J16" s="98">
        <f t="shared" si="13"/>
        <v>31.284790000000001</v>
      </c>
      <c r="K16" s="99"/>
      <c r="L16" s="50" t="s">
        <v>205</v>
      </c>
      <c r="O16" t="s">
        <v>206</v>
      </c>
      <c r="P16" s="28">
        <f>SUM(P3:P13)</f>
        <v>62.199999999999996</v>
      </c>
      <c r="Q16" s="28">
        <f>SUM(Q3:Q13)</f>
        <v>63.3</v>
      </c>
      <c r="R16" s="28"/>
    </row>
    <row r="17" spans="1:18" x14ac:dyDescent="0.25">
      <c r="A17" s="94" t="str">
        <f>Plantilla!D18</f>
        <v>Fabien Fabre</v>
      </c>
      <c r="B17" s="95">
        <f>Plantilla!E18</f>
        <v>32</v>
      </c>
      <c r="C17" s="95">
        <f>Plantilla!H18</f>
        <v>5</v>
      </c>
      <c r="D17" s="96">
        <f>Plantilla!I18</f>
        <v>5.0999999999999996</v>
      </c>
      <c r="E17" s="97">
        <f t="shared" si="8"/>
        <v>5.0999999999999996</v>
      </c>
      <c r="F17" s="97">
        <f t="shared" si="9"/>
        <v>5.1999999999999993</v>
      </c>
      <c r="G17" s="97">
        <f t="shared" si="10"/>
        <v>5</v>
      </c>
      <c r="H17" s="97">
        <f t="shared" si="11"/>
        <v>5.99</v>
      </c>
      <c r="I17" s="98">
        <f t="shared" si="12"/>
        <v>127.49999999999999</v>
      </c>
      <c r="J17" s="98">
        <f t="shared" si="13"/>
        <v>186.57652000000002</v>
      </c>
      <c r="K17" s="99"/>
      <c r="O17" t="s">
        <v>207</v>
      </c>
      <c r="P17" s="31">
        <f>P16/17</f>
        <v>3.6588235294117646</v>
      </c>
      <c r="Q17" s="31">
        <f>Q16/17</f>
        <v>3.7235294117647055</v>
      </c>
      <c r="R17" s="31"/>
    </row>
    <row r="18" spans="1:18" x14ac:dyDescent="0.25">
      <c r="A18" s="94" t="e">
        <f>Plantilla!#REF!</f>
        <v>#REF!</v>
      </c>
      <c r="B18" s="95" t="e">
        <f>Plantilla!#REF!</f>
        <v>#REF!</v>
      </c>
      <c r="C18" s="95" t="e">
        <f>Plantilla!#REF!</f>
        <v>#REF!</v>
      </c>
      <c r="D18" s="96" t="e">
        <f>Plantilla!#REF!</f>
        <v>#REF!</v>
      </c>
      <c r="E18" s="97" t="e">
        <f t="shared" si="8"/>
        <v>#REF!</v>
      </c>
      <c r="F18" s="97" t="e">
        <f t="shared" si="9"/>
        <v>#REF!</v>
      </c>
      <c r="G18" s="97" t="e">
        <f t="shared" si="10"/>
        <v>#REF!</v>
      </c>
      <c r="H18" s="97" t="e">
        <f t="shared" si="11"/>
        <v>#REF!</v>
      </c>
      <c r="I18" s="98" t="e">
        <f t="shared" si="12"/>
        <v>#REF!</v>
      </c>
      <c r="J18" s="98" t="e">
        <f t="shared" si="13"/>
        <v>#REF!</v>
      </c>
      <c r="K18" s="99"/>
      <c r="L18" s="50" t="s">
        <v>208</v>
      </c>
      <c r="O18" t="s">
        <v>209</v>
      </c>
      <c r="P18" s="28">
        <f>R3^2</f>
        <v>36</v>
      </c>
      <c r="Q18" s="28">
        <f>S3^2</f>
        <v>48.860100000000003</v>
      </c>
      <c r="R18" s="28"/>
    </row>
    <row r="19" spans="1:18" x14ac:dyDescent="0.25">
      <c r="A19" s="94" t="e">
        <f>Plantilla!#REF!</f>
        <v>#REF!</v>
      </c>
      <c r="B19" s="95" t="e">
        <f>Plantilla!#REF!</f>
        <v>#REF!</v>
      </c>
      <c r="C19" s="95" t="e">
        <f>Plantilla!#REF!</f>
        <v>#REF!</v>
      </c>
      <c r="D19" s="96" t="e">
        <f>Plantilla!#REF!</f>
        <v>#REF!</v>
      </c>
      <c r="E19" s="97" t="e">
        <f t="shared" si="8"/>
        <v>#REF!</v>
      </c>
      <c r="F19" s="97" t="e">
        <f t="shared" si="9"/>
        <v>#REF!</v>
      </c>
      <c r="G19" s="97" t="e">
        <f t="shared" si="10"/>
        <v>#REF!</v>
      </c>
      <c r="H19" s="97" t="e">
        <f t="shared" si="11"/>
        <v>#REF!</v>
      </c>
      <c r="I19" s="98" t="e">
        <f t="shared" si="12"/>
        <v>#REF!</v>
      </c>
      <c r="J19" s="98" t="e">
        <f t="shared" si="13"/>
        <v>#REF!</v>
      </c>
      <c r="K19" s="99"/>
      <c r="L19" s="50" t="s">
        <v>210</v>
      </c>
      <c r="O19" t="s">
        <v>211</v>
      </c>
      <c r="P19" s="28">
        <f>P18*P3</f>
        <v>169.20000000000002</v>
      </c>
      <c r="Q19" s="28">
        <f>Q18*Q3</f>
        <v>234.52848</v>
      </c>
      <c r="R19" s="28"/>
    </row>
    <row r="20" spans="1:18" x14ac:dyDescent="0.25">
      <c r="A20" s="94" t="str">
        <f>Plantilla!D19</f>
        <v>Stanisław Zdankiewicz</v>
      </c>
      <c r="B20" s="95">
        <f>Plantilla!E19</f>
        <v>30</v>
      </c>
      <c r="C20" s="95">
        <f>Plantilla!H19</f>
        <v>2</v>
      </c>
      <c r="D20" s="96">
        <f>Plantilla!I19</f>
        <v>8.9</v>
      </c>
      <c r="E20" s="97">
        <f t="shared" si="8"/>
        <v>8.9</v>
      </c>
      <c r="F20" s="97">
        <f t="shared" si="9"/>
        <v>9</v>
      </c>
      <c r="G20" s="97">
        <f t="shared" si="10"/>
        <v>2</v>
      </c>
      <c r="H20" s="97">
        <f t="shared" si="11"/>
        <v>2.99</v>
      </c>
      <c r="I20" s="98">
        <f t="shared" si="12"/>
        <v>35.6</v>
      </c>
      <c r="J20" s="98">
        <f t="shared" si="13"/>
        <v>80.460900000000009</v>
      </c>
      <c r="K20" s="99"/>
      <c r="L20" s="50" t="s">
        <v>212</v>
      </c>
      <c r="O20" t="s">
        <v>213</v>
      </c>
      <c r="P20" s="31">
        <f>(P19^(2/3))/30</f>
        <v>1.0197154146473313</v>
      </c>
      <c r="Q20" s="31">
        <f>(Q19^(2/3))/30</f>
        <v>1.2676785384163896</v>
      </c>
      <c r="R20" s="31"/>
    </row>
    <row r="21" spans="1:18" x14ac:dyDescent="0.25">
      <c r="A21" s="94" t="str">
        <f>Plantilla!D20</f>
        <v>Tommaso Niscola</v>
      </c>
      <c r="B21" s="95">
        <f>Plantilla!E20</f>
        <v>29</v>
      </c>
      <c r="C21" s="95">
        <f>Plantilla!H20</f>
        <v>4</v>
      </c>
      <c r="D21" s="96">
        <f>Plantilla!I20</f>
        <v>7.1</v>
      </c>
      <c r="E21" s="97">
        <f t="shared" si="8"/>
        <v>7.1</v>
      </c>
      <c r="F21" s="97">
        <f t="shared" si="9"/>
        <v>7.1999999999999993</v>
      </c>
      <c r="G21" s="97">
        <f t="shared" si="10"/>
        <v>4</v>
      </c>
      <c r="H21" s="97">
        <f t="shared" si="11"/>
        <v>4.99</v>
      </c>
      <c r="I21" s="98">
        <f t="shared" si="12"/>
        <v>113.6</v>
      </c>
      <c r="J21" s="98">
        <f t="shared" si="13"/>
        <v>179.28072</v>
      </c>
      <c r="K21" s="99"/>
      <c r="L21" s="50" t="s">
        <v>214</v>
      </c>
      <c r="O21" s="59" t="s">
        <v>90</v>
      </c>
      <c r="P21" s="79">
        <f>P17+P20</f>
        <v>4.6785389440590954</v>
      </c>
      <c r="Q21" s="79">
        <f>Q17+Q20</f>
        <v>4.9912079501810949</v>
      </c>
    </row>
    <row r="22" spans="1:18" x14ac:dyDescent="0.25">
      <c r="A22" s="94" t="str">
        <f>Plantilla!D21</f>
        <v>Leo Hilpinen</v>
      </c>
      <c r="B22" s="95">
        <f>Plantilla!E21</f>
        <v>31</v>
      </c>
      <c r="C22" s="95">
        <f>Plantilla!H21</f>
        <v>3</v>
      </c>
      <c r="D22" s="96">
        <f>Plantilla!I21</f>
        <v>6.5</v>
      </c>
      <c r="E22" s="97">
        <f t="shared" si="8"/>
        <v>6.5</v>
      </c>
      <c r="F22" s="97">
        <f t="shared" si="9"/>
        <v>6.6</v>
      </c>
      <c r="G22" s="97">
        <f t="shared" si="10"/>
        <v>3</v>
      </c>
      <c r="H22" s="97">
        <f t="shared" si="11"/>
        <v>3.99</v>
      </c>
      <c r="I22" s="98">
        <f t="shared" si="12"/>
        <v>58.5</v>
      </c>
      <c r="J22" s="98">
        <f t="shared" si="13"/>
        <v>105.07266</v>
      </c>
      <c r="K22" s="99"/>
      <c r="L22" t="s">
        <v>215</v>
      </c>
    </row>
    <row r="23" spans="1:18" x14ac:dyDescent="0.25">
      <c r="A23" s="94"/>
      <c r="B23" s="95"/>
      <c r="C23" s="95"/>
      <c r="D23" s="96"/>
      <c r="E23" s="97"/>
      <c r="F23" s="97"/>
      <c r="G23" s="97"/>
      <c r="H23" s="97"/>
      <c r="I23" s="98"/>
      <c r="J23" s="98"/>
      <c r="K23" s="99"/>
      <c r="O23" s="27"/>
    </row>
    <row r="24" spans="1:18" x14ac:dyDescent="0.25">
      <c r="A24" s="94"/>
      <c r="B24" s="95"/>
      <c r="C24" s="95"/>
      <c r="D24" s="96"/>
      <c r="E24" s="97"/>
      <c r="F24" s="97"/>
      <c r="G24" s="97"/>
      <c r="H24" s="97"/>
      <c r="I24" s="98"/>
      <c r="J24" s="98"/>
    </row>
    <row r="25" spans="1:18" x14ac:dyDescent="0.25">
      <c r="A25" s="94"/>
      <c r="B25" s="95"/>
      <c r="C25" s="95"/>
      <c r="D25" s="96"/>
      <c r="E25" s="97"/>
      <c r="F25" s="97"/>
      <c r="G25" s="97"/>
      <c r="H25" s="97"/>
      <c r="I25" s="98"/>
      <c r="J25" s="98"/>
    </row>
    <row r="26" spans="1:18" x14ac:dyDescent="0.25">
      <c r="A26" s="94"/>
      <c r="B26" s="95"/>
      <c r="C26" s="95"/>
      <c r="D26" s="96"/>
      <c r="E26" s="97"/>
      <c r="F26" s="97"/>
      <c r="G26" s="97"/>
      <c r="H26" s="97"/>
      <c r="I26" s="98"/>
      <c r="J26" s="98"/>
    </row>
    <row r="27" spans="1:18" x14ac:dyDescent="0.25">
      <c r="A27" s="94"/>
      <c r="B27" s="95"/>
      <c r="C27" s="95"/>
      <c r="D27" s="96"/>
      <c r="E27" s="97"/>
      <c r="F27" s="97"/>
      <c r="G27" s="97"/>
      <c r="H27" s="97"/>
      <c r="I27" s="98"/>
      <c r="J27" s="98"/>
    </row>
    <row r="28" spans="1:18" x14ac:dyDescent="0.25">
      <c r="A28" s="94"/>
      <c r="B28" s="95"/>
      <c r="C28" s="95"/>
      <c r="D28" s="96"/>
      <c r="E28" s="97"/>
      <c r="F28" s="97"/>
      <c r="G28" s="97"/>
      <c r="H28" s="97"/>
      <c r="I28" s="98"/>
      <c r="J28" s="98"/>
    </row>
    <row r="29" spans="1:18" x14ac:dyDescent="0.25">
      <c r="A29" s="94"/>
      <c r="B29" s="95"/>
      <c r="C29" s="95"/>
      <c r="D29" s="96"/>
      <c r="E29" s="97"/>
      <c r="F29" s="97"/>
      <c r="G29" s="97"/>
      <c r="H29" s="97"/>
      <c r="I29" s="98"/>
      <c r="J29" s="98"/>
    </row>
    <row r="30" spans="1:18" x14ac:dyDescent="0.25">
      <c r="A30" s="94"/>
      <c r="B30" s="95"/>
      <c r="C30" s="95"/>
      <c r="D30" s="96"/>
      <c r="E30" s="97"/>
      <c r="F30" s="97"/>
      <c r="G30" s="97"/>
      <c r="H30" s="97"/>
      <c r="I30" s="98"/>
      <c r="J30" s="98"/>
    </row>
    <row r="31" spans="1:18" x14ac:dyDescent="0.25">
      <c r="A31" s="94"/>
      <c r="B31" s="95"/>
      <c r="C31" s="95"/>
      <c r="D31" s="96"/>
      <c r="E31" s="97"/>
      <c r="F31" s="97"/>
      <c r="G31" s="97"/>
      <c r="H31" s="97"/>
      <c r="I31" s="98"/>
      <c r="J31" s="98"/>
    </row>
  </sheetData>
  <conditionalFormatting sqref="I3:J31">
    <cfRule type="cellIs" dxfId="13" priority="2" operator="between">
      <formula>70</formula>
      <formula>100</formula>
    </cfRule>
    <cfRule type="cellIs" dxfId="12" priority="3" operator="greaterThan">
      <formula>100</formula>
    </cfRule>
  </conditionalFormatting>
  <conditionalFormatting sqref="D3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sheetPr>
    <tabColor theme="8" tint="0.59999389629810485"/>
  </sheetPr>
  <dimension ref="A1:T28"/>
  <sheetViews>
    <sheetView workbookViewId="0">
      <selection activeCell="F31" sqref="F31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26" t="s">
        <v>2</v>
      </c>
      <c r="B1" s="126" t="s">
        <v>26</v>
      </c>
      <c r="C1" s="126" t="s">
        <v>64</v>
      </c>
      <c r="D1" s="127" t="s">
        <v>352</v>
      </c>
      <c r="E1" s="127" t="s">
        <v>200</v>
      </c>
      <c r="F1" s="127" t="s">
        <v>201</v>
      </c>
      <c r="H1" s="126" t="s">
        <v>353</v>
      </c>
      <c r="I1" s="126" t="s">
        <v>26</v>
      </c>
      <c r="J1" s="126" t="s">
        <v>64</v>
      </c>
      <c r="K1" s="126" t="str">
        <f>D1</f>
        <v>N_CA</v>
      </c>
      <c r="L1" s="127" t="s">
        <v>200</v>
      </c>
      <c r="M1" s="127" t="s">
        <v>201</v>
      </c>
      <c r="O1" s="126" t="s">
        <v>353</v>
      </c>
      <c r="P1" s="126" t="s">
        <v>26</v>
      </c>
      <c r="Q1" s="126" t="s">
        <v>64</v>
      </c>
      <c r="R1" s="126" t="str">
        <f>K1</f>
        <v>N_CA</v>
      </c>
      <c r="S1" s="127" t="s">
        <v>200</v>
      </c>
      <c r="T1" s="127" t="s">
        <v>201</v>
      </c>
    </row>
    <row r="2" spans="1:20" x14ac:dyDescent="0.25">
      <c r="A2" t="str">
        <f>Plantilla!D4</f>
        <v>Cosme Fonteboa</v>
      </c>
      <c r="B2" s="28">
        <f ca="1">Plantilla!Y4+Plantilla!N4+Plantilla!J4</f>
        <v>14.076525013097291</v>
      </c>
      <c r="C2" s="28">
        <f ca="1">Plantilla!AB4+Plantilla!N4+Plantilla!J4</f>
        <v>1.9765250130972913</v>
      </c>
      <c r="D2" s="79">
        <f ca="1">(C2*2+B2)/8</f>
        <v>2.2536968799114843</v>
      </c>
      <c r="E2" s="28">
        <f ca="1">D2*Plantilla!R4</f>
        <v>2.0865178702167384</v>
      </c>
      <c r="F2" s="28">
        <f ca="1">D2*Plantilla!S4</f>
        <v>2.2520865210921337</v>
      </c>
      <c r="H2" s="31" t="str">
        <f>A6</f>
        <v>Berto Abandero</v>
      </c>
      <c r="I2" s="28">
        <f t="shared" ref="I2:M2" ca="1" si="0">B6</f>
        <v>15.691270235314917</v>
      </c>
      <c r="J2" s="28">
        <f t="shared" ca="1" si="0"/>
        <v>11.982936901981583</v>
      </c>
      <c r="K2" s="79">
        <f ca="1">(J2*2+I2)/8</f>
        <v>4.95714300490976</v>
      </c>
      <c r="L2" s="31">
        <f t="shared" ca="1" si="0"/>
        <v>4.5894226313923596</v>
      </c>
      <c r="M2" s="31">
        <f t="shared" ca="1" si="0"/>
        <v>4.9536009229963076</v>
      </c>
      <c r="O2" t="str">
        <f>A2</f>
        <v>Cosme Fonteboa</v>
      </c>
      <c r="P2" s="28">
        <f ca="1">I2</f>
        <v>15.691270235314917</v>
      </c>
      <c r="Q2" s="28">
        <f ca="1">J2</f>
        <v>11.982936901981583</v>
      </c>
      <c r="R2" s="79">
        <f ca="1">(Q2*2+P2)/8</f>
        <v>4.95714300490976</v>
      </c>
      <c r="S2" s="31">
        <f ca="1">E2</f>
        <v>2.0865178702167384</v>
      </c>
      <c r="T2" s="31">
        <f ca="1">F2</f>
        <v>2.2520865210921337</v>
      </c>
    </row>
    <row r="3" spans="1:20" x14ac:dyDescent="0.25">
      <c r="A3" t="str">
        <f>Plantilla!D5</f>
        <v>Nicolae Hornet</v>
      </c>
      <c r="B3" s="28">
        <f ca="1">Plantilla!Y5+Plantilla!N5+Plantilla!J5</f>
        <v>6.5948373809043179</v>
      </c>
      <c r="C3" s="28">
        <f ca="1">Plantilla!AB5+Plantilla!N5+Plantilla!J5</f>
        <v>1.1948373809043173</v>
      </c>
      <c r="D3" s="79">
        <f t="shared" ref="D3:D9" ca="1" si="1">(C3*2+B3)/8</f>
        <v>1.1230640178391191</v>
      </c>
      <c r="E3" s="28">
        <f ca="1">D3*Plantilla!R5</f>
        <v>1.0397552410467756</v>
      </c>
      <c r="F3" s="28">
        <f ca="1">D3*Plantilla!S5</f>
        <v>1.1222615425542026</v>
      </c>
      <c r="H3" s="31" t="str">
        <f>A7</f>
        <v>Guillermo Pedrajas</v>
      </c>
      <c r="I3" s="28">
        <f t="shared" ref="I3:M3" ca="1" si="2">B7</f>
        <v>14.01117053094711</v>
      </c>
      <c r="J3" s="28">
        <f t="shared" ca="1" si="2"/>
        <v>11.063118582895161</v>
      </c>
      <c r="K3" s="79">
        <f t="shared" ref="K3:K6" ca="1" si="3">(J3*2+I3)/8</f>
        <v>4.5171759620921792</v>
      </c>
      <c r="L3" s="31">
        <f t="shared" ca="1" si="2"/>
        <v>2.9571858248174832</v>
      </c>
      <c r="M3" s="31">
        <f t="shared" ca="1" si="2"/>
        <v>3.4103930628780814</v>
      </c>
      <c r="O3" t="str">
        <f>A7</f>
        <v>Guillermo Pedrajas</v>
      </c>
      <c r="P3" s="28">
        <f t="shared" ref="P3:P5" ca="1" si="4">I3</f>
        <v>14.01117053094711</v>
      </c>
      <c r="Q3" s="28">
        <f t="shared" ref="Q3:Q5" ca="1" si="5">J3</f>
        <v>11.063118582895161</v>
      </c>
      <c r="R3" s="79">
        <f t="shared" ref="R3:R5" ca="1" si="6">(Q3*2+P3)/8</f>
        <v>4.5171759620921792</v>
      </c>
      <c r="S3" s="31">
        <f ca="1">E7</f>
        <v>2.9571858248174832</v>
      </c>
      <c r="T3" s="31">
        <f ca="1">F7</f>
        <v>3.4103930628780814</v>
      </c>
    </row>
    <row r="4" spans="1:20" x14ac:dyDescent="0.25">
      <c r="A4" t="str">
        <f>Plantilla!D6</f>
        <v>Miguel Fernández</v>
      </c>
      <c r="B4" s="28">
        <f ca="1">Plantilla!Y6+Plantilla!N6+Plantilla!J6</f>
        <v>16.957502886087497</v>
      </c>
      <c r="C4" s="28">
        <f ca="1">Plantilla!AB6+Plantilla!N6+Plantilla!J6</f>
        <v>7.6165306638652748</v>
      </c>
      <c r="D4" s="79">
        <f t="shared" ca="1" si="1"/>
        <v>4.0238205267272562</v>
      </c>
      <c r="E4" s="28">
        <f ca="1">D4*Plantilla!R6</f>
        <v>3.4007490384274814</v>
      </c>
      <c r="F4" s="28">
        <f ca="1">D4*Plantilla!S6</f>
        <v>3.7222281819890886</v>
      </c>
      <c r="H4" t="str">
        <f>A11</f>
        <v>Will Duffill</v>
      </c>
      <c r="I4" s="28">
        <f ca="1">B11</f>
        <v>14.420261440038018</v>
      </c>
      <c r="J4" s="28">
        <f ca="1">C11</f>
        <v>9.1702614400380185</v>
      </c>
      <c r="K4" s="79">
        <f t="shared" ca="1" si="3"/>
        <v>4.0950980400142569</v>
      </c>
      <c r="L4" s="31">
        <f ca="1">E11</f>
        <v>3.4609895320484583</v>
      </c>
      <c r="M4" s="31">
        <f ca="1">F11</f>
        <v>3.7881633217242507</v>
      </c>
      <c r="O4" t="str">
        <f t="shared" ref="O4" si="7">A4</f>
        <v>Miguel Fernández</v>
      </c>
      <c r="P4" s="28">
        <f t="shared" ca="1" si="4"/>
        <v>14.420261440038018</v>
      </c>
      <c r="Q4" s="28">
        <f t="shared" ca="1" si="5"/>
        <v>9.1702614400380185</v>
      </c>
      <c r="R4" s="79">
        <f t="shared" ca="1" si="6"/>
        <v>4.0950980400142569</v>
      </c>
      <c r="S4" s="31">
        <f ca="1">E4</f>
        <v>3.4007490384274814</v>
      </c>
      <c r="T4" s="31">
        <f ca="1">F4</f>
        <v>3.7222281819890886</v>
      </c>
    </row>
    <row r="5" spans="1:20" x14ac:dyDescent="0.25">
      <c r="A5" t="str">
        <f>Plantilla!D7</f>
        <v>Iván Real Figueroa</v>
      </c>
      <c r="B5" s="28">
        <f ca="1">Plantilla!Y7+Plantilla!N7+Plantilla!J7</f>
        <v>17.129545142292979</v>
      </c>
      <c r="C5" s="28">
        <f ca="1">Plantilla!AB7+Plantilla!N7+Plantilla!J7</f>
        <v>7.0670451422929803</v>
      </c>
      <c r="D5" s="79">
        <f t="shared" ca="1" si="1"/>
        <v>3.9079544283598677</v>
      </c>
      <c r="E5" s="28">
        <f ca="1">D5*Plantilla!R7</f>
        <v>2.5583567114852817</v>
      </c>
      <c r="F5" s="28">
        <f ca="1">D5*Plantilla!S7</f>
        <v>2.9504408914700151</v>
      </c>
      <c r="H5" s="31" t="str">
        <f>A8</f>
        <v>Venanci Oset</v>
      </c>
      <c r="I5" s="28">
        <f ca="1">B8</f>
        <v>14.972354429768334</v>
      </c>
      <c r="J5" s="28">
        <f ca="1">C8</f>
        <v>11.222354429768334</v>
      </c>
      <c r="K5" s="79">
        <f t="shared" ca="1" si="3"/>
        <v>4.6771329111631257</v>
      </c>
      <c r="L5" s="31">
        <f ca="1">E8</f>
        <v>4.3301836584625288</v>
      </c>
      <c r="M5" s="31">
        <f ca="1">F8</f>
        <v>4.6737909079417062</v>
      </c>
      <c r="O5" s="31" t="str">
        <f>H5</f>
        <v>Venanci Oset</v>
      </c>
      <c r="P5" s="28">
        <f t="shared" ca="1" si="4"/>
        <v>14.972354429768334</v>
      </c>
      <c r="Q5" s="28">
        <f t="shared" ca="1" si="5"/>
        <v>11.222354429768334</v>
      </c>
      <c r="R5" s="79">
        <f t="shared" ca="1" si="6"/>
        <v>4.6771329111631257</v>
      </c>
      <c r="S5" s="31">
        <f ca="1">L5</f>
        <v>4.3301836584625288</v>
      </c>
      <c r="T5" s="31">
        <f ca="1">M5</f>
        <v>4.6737909079417062</v>
      </c>
    </row>
    <row r="6" spans="1:20" x14ac:dyDescent="0.25">
      <c r="A6" t="str">
        <f>Plantilla!D8</f>
        <v>Berto Abandero</v>
      </c>
      <c r="B6" s="28">
        <f ca="1">Plantilla!Y8+Plantilla!N8+Plantilla!J8</f>
        <v>15.691270235314917</v>
      </c>
      <c r="C6" s="28">
        <f ca="1">Plantilla!AB8+Plantilla!N8+Plantilla!J8</f>
        <v>11.982936901981583</v>
      </c>
      <c r="D6" s="79">
        <f t="shared" ca="1" si="1"/>
        <v>4.95714300490976</v>
      </c>
      <c r="E6" s="28">
        <f ca="1">D6*Plantilla!R8</f>
        <v>4.5894226313923596</v>
      </c>
      <c r="F6" s="28">
        <f ca="1">D6*Plantilla!S8</f>
        <v>4.9536009229963076</v>
      </c>
      <c r="H6" t="str">
        <f>A4</f>
        <v>Miguel Fernández</v>
      </c>
      <c r="I6" s="28">
        <f t="shared" ref="I6:M6" ca="1" si="8">B4</f>
        <v>16.957502886087497</v>
      </c>
      <c r="J6" s="28">
        <f t="shared" ca="1" si="8"/>
        <v>7.6165306638652748</v>
      </c>
      <c r="K6" s="79">
        <f t="shared" ca="1" si="3"/>
        <v>4.0238205267272562</v>
      </c>
      <c r="L6" s="31">
        <f t="shared" ca="1" si="8"/>
        <v>3.4007490384274814</v>
      </c>
      <c r="M6" s="31">
        <f t="shared" ca="1" si="8"/>
        <v>3.7222281819890886</v>
      </c>
      <c r="R6" s="31"/>
      <c r="S6" s="28"/>
      <c r="T6" s="28"/>
    </row>
    <row r="7" spans="1:20" ht="18.75" x14ac:dyDescent="0.3">
      <c r="A7" t="str">
        <f>Plantilla!D9</f>
        <v>Guillermo Pedrajas</v>
      </c>
      <c r="B7" s="28">
        <f ca="1">Plantilla!Y9+Plantilla!N9+Plantilla!J9</f>
        <v>14.01117053094711</v>
      </c>
      <c r="C7" s="28">
        <f ca="1">Plantilla!AB9+Plantilla!N9+Plantilla!J9</f>
        <v>11.063118582895161</v>
      </c>
      <c r="D7" s="79">
        <f t="shared" ca="1" si="1"/>
        <v>4.5171759620921792</v>
      </c>
      <c r="E7" s="28">
        <f ca="1">D7*Plantilla!R9</f>
        <v>2.9571858248174832</v>
      </c>
      <c r="F7" s="28">
        <f ca="1">D7*Plantilla!S9</f>
        <v>3.4103930628780814</v>
      </c>
      <c r="K7" s="128">
        <f ca="1">SUM(K2:K6)</f>
        <v>22.270370444906575</v>
      </c>
      <c r="L7" s="128">
        <f t="shared" ref="L7:M7" ca="1" si="9">SUM(L2:L6)</f>
        <v>18.738530685148312</v>
      </c>
      <c r="M7" s="128">
        <f t="shared" ca="1" si="9"/>
        <v>20.548176397529431</v>
      </c>
      <c r="N7" s="128"/>
      <c r="O7" s="128"/>
      <c r="P7" s="128"/>
      <c r="Q7" s="128"/>
      <c r="R7" s="128">
        <f ca="1">SUM(R2:R6)</f>
        <v>18.246549918179319</v>
      </c>
      <c r="S7" s="128">
        <f t="shared" ref="S7:T7" ca="1" si="10">SUM(S2:S6)</f>
        <v>12.774636391924231</v>
      </c>
      <c r="T7" s="128">
        <f t="shared" ca="1" si="10"/>
        <v>14.05849867390101</v>
      </c>
    </row>
    <row r="8" spans="1:20" x14ac:dyDescent="0.25">
      <c r="A8" t="str">
        <f>Plantilla!D10</f>
        <v>Venanci Oset</v>
      </c>
      <c r="B8" s="28">
        <f ca="1">Plantilla!Y10+Plantilla!N10+Plantilla!J10</f>
        <v>14.972354429768334</v>
      </c>
      <c r="C8" s="28">
        <f ca="1">Plantilla!AB10+Plantilla!N10+Plantilla!J10</f>
        <v>11.222354429768334</v>
      </c>
      <c r="D8" s="79">
        <f t="shared" ca="1" si="1"/>
        <v>4.6771329111631257</v>
      </c>
      <c r="E8" s="28">
        <f ca="1">D8*Plantilla!R10</f>
        <v>4.3301836584625288</v>
      </c>
      <c r="F8" s="28">
        <f ca="1">D8*Plantilla!S10</f>
        <v>4.6737909079417062</v>
      </c>
      <c r="L8" s="63">
        <f ca="1">(K7-L7)/K7</f>
        <v>0.15858917876985854</v>
      </c>
      <c r="M8" s="63">
        <f ca="1">(K7-M7)/K7</f>
        <v>7.7331180980468359E-2</v>
      </c>
      <c r="R8" s="31"/>
    </row>
    <row r="9" spans="1:20" x14ac:dyDescent="0.25">
      <c r="A9" t="e">
        <f>Plantilla!#REF!</f>
        <v>#REF!</v>
      </c>
      <c r="B9" s="28" t="e">
        <f>Plantilla!#REF!+Plantilla!#REF!+Plantilla!#REF!</f>
        <v>#REF!</v>
      </c>
      <c r="C9" s="28" t="e">
        <f>Plantilla!#REF!+Plantilla!#REF!+Plantilla!#REF!</f>
        <v>#REF!</v>
      </c>
      <c r="D9" s="79" t="e">
        <f t="shared" si="1"/>
        <v>#REF!</v>
      </c>
      <c r="E9" s="28" t="e">
        <f>D9*Plantilla!#REF!</f>
        <v>#REF!</v>
      </c>
      <c r="F9" s="28" t="e">
        <f>D9*Plantilla!#REF!</f>
        <v>#REF!</v>
      </c>
    </row>
    <row r="10" spans="1:20" x14ac:dyDescent="0.25">
      <c r="A10" t="str">
        <f>Plantilla!D11</f>
        <v>Francesc Añigas</v>
      </c>
      <c r="B10" s="28">
        <f ca="1">Plantilla!Y11+Plantilla!N11+Plantilla!J11</f>
        <v>15.158321649834116</v>
      </c>
      <c r="C10" s="28">
        <f ca="1">Plantilla!AB11+Plantilla!N11+Plantilla!J11</f>
        <v>6.4083216498341162</v>
      </c>
      <c r="D10" s="79">
        <f t="shared" ref="D10:D21" ca="1" si="11">(C10*2+B10)/8</f>
        <v>3.4968706186877938</v>
      </c>
      <c r="E10" s="28">
        <f ca="1">D10*Plantilla!R11</f>
        <v>3.237473105085237</v>
      </c>
      <c r="F10" s="28">
        <f ca="1">D10*Plantilla!S11</f>
        <v>3.4943719612635737</v>
      </c>
      <c r="H10" s="31"/>
      <c r="I10" s="31"/>
      <c r="J10" s="31"/>
    </row>
    <row r="11" spans="1:20" x14ac:dyDescent="0.25">
      <c r="A11" t="str">
        <f>Plantilla!D12</f>
        <v>Will Duffill</v>
      </c>
      <c r="B11" s="28">
        <f ca="1">Plantilla!Y12+Plantilla!N12+Plantilla!J12</f>
        <v>14.420261440038018</v>
      </c>
      <c r="C11" s="28">
        <f ca="1">Plantilla!AB12+Plantilla!N12+Plantilla!J12</f>
        <v>9.1702614400380185</v>
      </c>
      <c r="D11" s="79">
        <f t="shared" ca="1" si="11"/>
        <v>4.0950980400142569</v>
      </c>
      <c r="E11" s="28">
        <f ca="1">D11*Plantilla!R12</f>
        <v>3.4609895320484583</v>
      </c>
      <c r="F11" s="28">
        <f ca="1">D11*Plantilla!S12</f>
        <v>3.7881633217242507</v>
      </c>
    </row>
    <row r="12" spans="1:20" x14ac:dyDescent="0.25">
      <c r="A12" t="str">
        <f>Plantilla!D13</f>
        <v>Valeri Gomis</v>
      </c>
      <c r="B12" s="28">
        <f ca="1">Plantilla!Y13+Plantilla!N13+Plantilla!J13</f>
        <v>13.908321649834116</v>
      </c>
      <c r="C12" s="28">
        <f ca="1">Plantilla!AB13+Plantilla!N13+Plantilla!J13</f>
        <v>8.1083216498341173</v>
      </c>
      <c r="D12" s="79">
        <f t="shared" ca="1" si="11"/>
        <v>3.7656206186877936</v>
      </c>
      <c r="E12" s="28">
        <f ca="1">D12*Plantilla!R13</f>
        <v>3.1825302875774177</v>
      </c>
      <c r="F12" s="28">
        <f ca="1">D12*Plantilla!S13</f>
        <v>3.4833808059921365</v>
      </c>
      <c r="H12" s="129" t="s">
        <v>353</v>
      </c>
      <c r="I12" s="129" t="s">
        <v>26</v>
      </c>
      <c r="J12" s="129" t="s">
        <v>64</v>
      </c>
      <c r="K12" s="130" t="s">
        <v>352</v>
      </c>
      <c r="L12" s="130" t="s">
        <v>200</v>
      </c>
      <c r="M12" s="130" t="s">
        <v>201</v>
      </c>
      <c r="O12" s="129" t="s">
        <v>353</v>
      </c>
      <c r="P12" s="129" t="s">
        <v>26</v>
      </c>
      <c r="Q12" s="129" t="s">
        <v>64</v>
      </c>
      <c r="R12" s="129" t="str">
        <f>K12</f>
        <v>N_CA</v>
      </c>
      <c r="S12" s="130" t="s">
        <v>200</v>
      </c>
      <c r="T12" s="130" t="s">
        <v>201</v>
      </c>
    </row>
    <row r="13" spans="1:20" x14ac:dyDescent="0.25">
      <c r="A13" t="str">
        <f>Plantilla!D14</f>
        <v>Enrique Cubas</v>
      </c>
      <c r="B13" s="28">
        <f>Plantilla!Y14+Plantilla!N14+Plantilla!J14</f>
        <v>13.476525013097291</v>
      </c>
      <c r="C13" s="28">
        <f>Plantilla!AB14+Plantilla!N14+Plantilla!J14</f>
        <v>8.676525013097292</v>
      </c>
      <c r="D13" s="79">
        <f t="shared" si="11"/>
        <v>3.8536968799114844</v>
      </c>
      <c r="E13" s="28">
        <f>D13*Plantilla!R14</f>
        <v>3.5678300298528205</v>
      </c>
      <c r="F13" s="28">
        <f>D13*Plantilla!S14</f>
        <v>3.8509432554942054</v>
      </c>
      <c r="H13" s="31" t="str">
        <f>H2</f>
        <v>Berto Abandero</v>
      </c>
      <c r="I13" s="28">
        <f ca="1">I2</f>
        <v>15.691270235314917</v>
      </c>
      <c r="J13" s="28">
        <f ca="1">J2</f>
        <v>11.982936901981583</v>
      </c>
      <c r="K13" s="79">
        <f ca="1">(J13*2+I13)/8</f>
        <v>4.95714300490976</v>
      </c>
      <c r="L13" s="31">
        <f ca="1">K13*(1-$L$8)</f>
        <v>4.1709937667163723</v>
      </c>
      <c r="M13" s="31">
        <f ca="1">K13*(1-$M$8)</f>
        <v>4.5738012820510212</v>
      </c>
      <c r="O13" s="31" t="str">
        <f>H13</f>
        <v>Berto Abandero</v>
      </c>
      <c r="P13" s="31">
        <f t="shared" ref="P13:Q13" ca="1" si="12">I13</f>
        <v>15.691270235314917</v>
      </c>
      <c r="Q13" s="31">
        <f t="shared" ca="1" si="12"/>
        <v>11.982936901981583</v>
      </c>
      <c r="R13" s="79">
        <f ca="1">(Q13*2+P13)/8</f>
        <v>4.95714300490976</v>
      </c>
      <c r="S13" s="31">
        <f ca="1">L13</f>
        <v>4.1709937667163723</v>
      </c>
      <c r="T13" s="31">
        <f ca="1">M13</f>
        <v>4.5738012820510212</v>
      </c>
    </row>
    <row r="14" spans="1:20" x14ac:dyDescent="0.25">
      <c r="A14" t="str">
        <f>Plantilla!D15</f>
        <v>J. G. Peñuela</v>
      </c>
      <c r="B14" s="28">
        <f ca="1">Plantilla!Y15+Plantilla!N15+Plantilla!J15</f>
        <v>13.296130477247624</v>
      </c>
      <c r="C14" s="28">
        <f ca="1">Plantilla!AB15+Plantilla!N15+Plantilla!J15</f>
        <v>7.1461304772476231</v>
      </c>
      <c r="D14" s="79">
        <f t="shared" ca="1" si="11"/>
        <v>3.4485489289678588</v>
      </c>
      <c r="E14" s="28">
        <f ca="1">D14*Plantilla!R15</f>
        <v>2.606857957167743</v>
      </c>
      <c r="F14" s="28">
        <f ca="1">D14*Plantilla!S15</f>
        <v>2.911639785419696</v>
      </c>
      <c r="H14" s="31" t="str">
        <f t="shared" ref="H14:I17" si="13">H3</f>
        <v>Guillermo Pedrajas</v>
      </c>
      <c r="I14" s="28">
        <f t="shared" ca="1" si="13"/>
        <v>14.01117053094711</v>
      </c>
      <c r="J14" s="28">
        <f t="shared" ref="J14:J17" ca="1" si="14">J3</f>
        <v>11.063118582895161</v>
      </c>
      <c r="K14" s="79">
        <f t="shared" ref="K14:K17" ca="1" si="15">(J14*2+I14)/8</f>
        <v>4.5171759620921792</v>
      </c>
      <c r="L14" s="31">
        <f t="shared" ref="L14:L17" ca="1" si="16">K14*(1-$L$8)</f>
        <v>3.8008007359050349</v>
      </c>
      <c r="M14" s="31">
        <f t="shared" ref="M14:M17" ca="1" si="17">K14*(1-$M$8)</f>
        <v>4.1678574102470076</v>
      </c>
      <c r="O14" s="31" t="str">
        <f t="shared" ref="O14:O16" si="18">H14</f>
        <v>Guillermo Pedrajas</v>
      </c>
      <c r="P14" s="31">
        <f t="shared" ref="P14:P16" ca="1" si="19">I14</f>
        <v>14.01117053094711</v>
      </c>
      <c r="Q14" s="31">
        <f t="shared" ref="Q14:Q16" ca="1" si="20">J14</f>
        <v>11.063118582895161</v>
      </c>
      <c r="R14" s="79">
        <f t="shared" ref="R14:R16" ca="1" si="21">(Q14*2+P14)/8</f>
        <v>4.5171759620921792</v>
      </c>
      <c r="S14" s="31">
        <f t="shared" ref="S14:S16" ca="1" si="22">L14</f>
        <v>3.8008007359050349</v>
      </c>
      <c r="T14" s="31">
        <f t="shared" ref="T14:T16" ca="1" si="23">M14</f>
        <v>4.1678574102470076</v>
      </c>
    </row>
    <row r="15" spans="1:20" x14ac:dyDescent="0.25">
      <c r="A15" t="str">
        <f>Plantilla!D17</f>
        <v>David Garcia-Spiess</v>
      </c>
      <c r="B15" s="28">
        <f ca="1">Plantilla!Y17+Plantilla!N17+Plantilla!J17</f>
        <v>11.836051239752106</v>
      </c>
      <c r="C15" s="28">
        <f ca="1">Plantilla!AB17+Plantilla!N17+Plantilla!J17</f>
        <v>8.978908382609248</v>
      </c>
      <c r="D15" s="79">
        <f t="shared" ca="1" si="11"/>
        <v>3.7242335006213252</v>
      </c>
      <c r="E15" s="28">
        <f ca="1">D15*Plantilla!R17</f>
        <v>3.4479702311215137</v>
      </c>
      <c r="F15" s="28">
        <f ca="1">D15*Plantilla!S17</f>
        <v>3.7215723830963801</v>
      </c>
      <c r="H15" s="31" t="str">
        <f t="shared" si="13"/>
        <v>Will Duffill</v>
      </c>
      <c r="I15" s="28">
        <f t="shared" ca="1" si="13"/>
        <v>14.420261440038018</v>
      </c>
      <c r="J15" s="28">
        <f t="shared" ca="1" si="14"/>
        <v>9.1702614400380185</v>
      </c>
      <c r="K15" s="79">
        <f t="shared" ca="1" si="15"/>
        <v>4.0950980400142569</v>
      </c>
      <c r="L15" s="31">
        <f t="shared" ca="1" si="16"/>
        <v>3.4456598048663385</v>
      </c>
      <c r="M15" s="31">
        <f t="shared" ca="1" si="17"/>
        <v>3.7784192723491534</v>
      </c>
      <c r="O15" s="31" t="str">
        <f t="shared" si="18"/>
        <v>Will Duffill</v>
      </c>
      <c r="P15" s="31">
        <f t="shared" ca="1" si="19"/>
        <v>14.420261440038018</v>
      </c>
      <c r="Q15" s="31">
        <f t="shared" ca="1" si="20"/>
        <v>9.1702614400380185</v>
      </c>
      <c r="R15" s="79">
        <f t="shared" ca="1" si="21"/>
        <v>4.0950980400142569</v>
      </c>
      <c r="S15" s="31">
        <f t="shared" ca="1" si="22"/>
        <v>3.4456598048663385</v>
      </c>
      <c r="T15" s="31">
        <f t="shared" ca="1" si="23"/>
        <v>3.7784192723491534</v>
      </c>
    </row>
    <row r="16" spans="1:20" x14ac:dyDescent="0.25">
      <c r="A16" t="str">
        <f>Plantilla!D18</f>
        <v>Fabien Fabre</v>
      </c>
      <c r="B16" s="28">
        <f ca="1">Plantilla!Y18+Plantilla!N18+Plantilla!J18</f>
        <v>7.9434269014639156</v>
      </c>
      <c r="C16" s="28">
        <f ca="1">Plantilla!AB18+Plantilla!N18+Plantilla!J18</f>
        <v>5.9850935681305817</v>
      </c>
      <c r="D16" s="79">
        <f t="shared" ca="1" si="11"/>
        <v>2.4892017547156349</v>
      </c>
      <c r="E16" s="28">
        <f ca="1">D16*Plantilla!R18</f>
        <v>2.3045530169048392</v>
      </c>
      <c r="F16" s="28">
        <f ca="1">D16*Plantilla!S18</f>
        <v>2.4874231180078419</v>
      </c>
      <c r="H16" s="31" t="str">
        <f t="shared" si="13"/>
        <v>Venanci Oset</v>
      </c>
      <c r="I16" s="28">
        <f t="shared" ca="1" si="13"/>
        <v>14.972354429768334</v>
      </c>
      <c r="J16" s="28">
        <f t="shared" ca="1" si="14"/>
        <v>11.222354429768334</v>
      </c>
      <c r="K16" s="79">
        <f t="shared" ca="1" si="15"/>
        <v>4.6771329111631257</v>
      </c>
      <c r="L16" s="31">
        <f t="shared" ca="1" si="16"/>
        <v>3.9353902437842878</v>
      </c>
      <c r="M16" s="31">
        <f t="shared" ca="1" si="17"/>
        <v>4.3154446995402651</v>
      </c>
      <c r="O16" s="31" t="str">
        <f t="shared" si="18"/>
        <v>Venanci Oset</v>
      </c>
      <c r="P16" s="31">
        <f t="shared" ca="1" si="19"/>
        <v>14.972354429768334</v>
      </c>
      <c r="Q16" s="31">
        <f t="shared" ca="1" si="20"/>
        <v>11.222354429768334</v>
      </c>
      <c r="R16" s="79">
        <f t="shared" ca="1" si="21"/>
        <v>4.6771329111631257</v>
      </c>
      <c r="S16" s="31">
        <f t="shared" ca="1" si="22"/>
        <v>3.9353902437842878</v>
      </c>
      <c r="T16" s="31">
        <f t="shared" ca="1" si="23"/>
        <v>4.3154446995402651</v>
      </c>
    </row>
    <row r="17" spans="1:20" x14ac:dyDescent="0.25">
      <c r="A17" t="e">
        <f>Plantilla!#REF!</f>
        <v>#REF!</v>
      </c>
      <c r="B17" s="28" t="e">
        <f>Plantilla!#REF!+Plantilla!#REF!+Plantilla!#REF!</f>
        <v>#REF!</v>
      </c>
      <c r="C17" s="28" t="e">
        <f>Plantilla!#REF!+Plantilla!#REF!+Plantilla!#REF!</f>
        <v>#REF!</v>
      </c>
      <c r="D17" s="79" t="e">
        <f t="shared" si="11"/>
        <v>#REF!</v>
      </c>
      <c r="E17" s="28" t="e">
        <f>D17*Plantilla!#REF!</f>
        <v>#REF!</v>
      </c>
      <c r="F17" s="28" t="e">
        <f>D17*Plantilla!#REF!</f>
        <v>#REF!</v>
      </c>
      <c r="H17" s="31" t="str">
        <f t="shared" si="13"/>
        <v>Miguel Fernández</v>
      </c>
      <c r="I17" s="28">
        <f t="shared" ca="1" si="13"/>
        <v>16.957502886087497</v>
      </c>
      <c r="J17" s="28">
        <f t="shared" ca="1" si="14"/>
        <v>7.6165306638652748</v>
      </c>
      <c r="K17" s="79">
        <f t="shared" ca="1" si="15"/>
        <v>4.0238205267272562</v>
      </c>
      <c r="L17" s="31">
        <f t="shared" ca="1" si="16"/>
        <v>3.3856861338762809</v>
      </c>
      <c r="M17" s="31">
        <f t="shared" ca="1" si="17"/>
        <v>3.7126537333419876</v>
      </c>
      <c r="R17" s="31"/>
      <c r="S17" s="28"/>
      <c r="T17" s="28"/>
    </row>
    <row r="18" spans="1:20" ht="18.75" x14ac:dyDescent="0.3">
      <c r="A18" t="e">
        <f>Plantilla!#REF!</f>
        <v>#REF!</v>
      </c>
      <c r="B18" s="28" t="e">
        <f>Plantilla!#REF!+Plantilla!#REF!+Plantilla!#REF!</f>
        <v>#REF!</v>
      </c>
      <c r="C18" s="28" t="e">
        <f>Plantilla!#REF!+Plantilla!#REF!+Plantilla!#REF!</f>
        <v>#REF!</v>
      </c>
      <c r="D18" s="79" t="e">
        <f t="shared" si="11"/>
        <v>#REF!</v>
      </c>
      <c r="E18" s="28" t="e">
        <f>D18*Plantilla!#REF!</f>
        <v>#REF!</v>
      </c>
      <c r="F18" s="28" t="e">
        <f>D18*Plantilla!#REF!</f>
        <v>#REF!</v>
      </c>
      <c r="K18" s="128">
        <f ca="1">SUM(K13:K17)</f>
        <v>22.270370444906575</v>
      </c>
      <c r="L18" s="128">
        <f t="shared" ref="L18:M18" ca="1" si="24">SUM(L13:L17)</f>
        <v>18.738530685148312</v>
      </c>
      <c r="M18" s="128">
        <f t="shared" ca="1" si="24"/>
        <v>20.548176397529435</v>
      </c>
      <c r="N18" s="128"/>
      <c r="O18" s="128"/>
      <c r="P18" s="128"/>
      <c r="Q18" s="128"/>
      <c r="R18" s="128">
        <f ca="1">SUM(R13:R17)</f>
        <v>18.246549918179319</v>
      </c>
      <c r="S18" s="128">
        <f t="shared" ref="S18:T18" ca="1" si="25">SUM(S13:S17)</f>
        <v>15.352844551272032</v>
      </c>
      <c r="T18" s="128">
        <f t="shared" ca="1" si="25"/>
        <v>16.835522664187447</v>
      </c>
    </row>
    <row r="19" spans="1:20" x14ac:dyDescent="0.25">
      <c r="A19" t="str">
        <f>Plantilla!D19</f>
        <v>Stanisław Zdankiewicz</v>
      </c>
      <c r="B19" s="28">
        <f ca="1">Plantilla!Y19+Plantilla!N19+Plantilla!J19</f>
        <v>2.6455625800339524</v>
      </c>
      <c r="C19" s="28">
        <f ca="1">Plantilla!AB19+Plantilla!N19+Plantilla!J19</f>
        <v>8.6455625800339533</v>
      </c>
      <c r="D19" s="79">
        <f t="shared" ca="1" si="11"/>
        <v>2.4920859675127325</v>
      </c>
      <c r="E19" s="28">
        <f ca="1">D19*Plantilla!R19</f>
        <v>2.3072232790844134</v>
      </c>
      <c r="F19" s="28">
        <f ca="1">D19*Plantilla!S19</f>
        <v>2.490305269916647</v>
      </c>
    </row>
    <row r="20" spans="1:20" x14ac:dyDescent="0.25">
      <c r="A20" t="str">
        <f>Plantilla!D20</f>
        <v>Tommaso Niscola</v>
      </c>
      <c r="B20" s="28">
        <f ca="1">Plantilla!Y20+Plantilla!N20+Plantilla!J20</f>
        <v>4.1350111316254337</v>
      </c>
      <c r="C20" s="28">
        <f ca="1">Plantilla!AB20+Plantilla!N20+Plantilla!J20</f>
        <v>14.135011131625433</v>
      </c>
      <c r="D20" s="79">
        <f t="shared" ca="1" si="11"/>
        <v>4.0506291743595373</v>
      </c>
      <c r="E20" s="28">
        <f ca="1">D20*Plantilla!R20</f>
        <v>4.0506291743595373</v>
      </c>
      <c r="F20" s="28">
        <f ca="1">D20*Plantilla!S20</f>
        <v>4.0506291743595373</v>
      </c>
    </row>
    <row r="21" spans="1:20" x14ac:dyDescent="0.25">
      <c r="A21" t="str">
        <f>Plantilla!D21</f>
        <v>Leo Hilpinen</v>
      </c>
      <c r="B21" s="28">
        <f ca="1">Plantilla!Y21+Plantilla!N21+Plantilla!J21</f>
        <v>6.7329079022916929</v>
      </c>
      <c r="C21" s="28">
        <f ca="1">Plantilla!AB21+Plantilla!N21+Plantilla!J21</f>
        <v>10.875765045148835</v>
      </c>
      <c r="D21" s="79">
        <f t="shared" ca="1" si="11"/>
        <v>3.5605547490736704</v>
      </c>
      <c r="E21" s="28">
        <f ca="1">D21*Plantilla!R21</f>
        <v>3.2964331530330173</v>
      </c>
      <c r="F21" s="28">
        <f ca="1">D21*Plantilla!S21</f>
        <v>3.5580105867273231</v>
      </c>
    </row>
    <row r="22" spans="1:20" x14ac:dyDescent="0.25">
      <c r="B22" s="28"/>
      <c r="C22" s="28"/>
      <c r="D22" s="79"/>
      <c r="E22" s="28"/>
      <c r="F22" s="28"/>
    </row>
    <row r="23" spans="1:20" x14ac:dyDescent="0.25">
      <c r="B23" s="28"/>
      <c r="C23" s="28"/>
      <c r="D23" s="79"/>
      <c r="E23" s="28"/>
      <c r="F23" s="28"/>
    </row>
    <row r="24" spans="1:20" x14ac:dyDescent="0.25">
      <c r="B24" s="28"/>
      <c r="C24" s="28"/>
      <c r="D24" s="79"/>
      <c r="E24" s="28"/>
      <c r="F24" s="28"/>
    </row>
    <row r="25" spans="1:20" x14ac:dyDescent="0.25">
      <c r="B25" s="28"/>
      <c r="C25" s="28"/>
      <c r="D25" s="79"/>
      <c r="E25" s="28"/>
      <c r="F25" s="28"/>
    </row>
    <row r="26" spans="1:20" x14ac:dyDescent="0.25">
      <c r="B26" s="28"/>
      <c r="C26" s="28"/>
      <c r="D26" s="79"/>
      <c r="E26" s="28"/>
      <c r="F26" s="28"/>
    </row>
    <row r="27" spans="1:20" x14ac:dyDescent="0.25">
      <c r="B27" s="28"/>
      <c r="C27" s="28"/>
      <c r="D27" s="79"/>
      <c r="E27" s="28"/>
      <c r="F27" s="28"/>
    </row>
    <row r="28" spans="1:20" x14ac:dyDescent="0.25">
      <c r="B28" s="28"/>
      <c r="C28" s="28"/>
      <c r="D28" s="79"/>
      <c r="E28" s="28"/>
      <c r="F28" s="28"/>
    </row>
  </sheetData>
  <conditionalFormatting sqref="D22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6 K13:K17 R2:R5 R13:R16 D2: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sheetPr>
    <tabColor theme="8" tint="0.59999389629810485"/>
  </sheetPr>
  <dimension ref="A1:N87"/>
  <sheetViews>
    <sheetView topLeftCell="E1" zoomScaleNormal="100" workbookViewId="0">
      <selection activeCell="L10" sqref="L10"/>
    </sheetView>
  </sheetViews>
  <sheetFormatPr baseColWidth="10" defaultRowHeight="15" x14ac:dyDescent="0.25"/>
  <cols>
    <col min="1" max="1" width="12.5703125" style="125" customWidth="1"/>
    <col min="2" max="2" width="27.42578125" style="125" bestFit="1" customWidth="1"/>
    <col min="3" max="3" width="27.140625" style="125" bestFit="1" customWidth="1"/>
    <col min="4" max="4" width="11.7109375" style="125" bestFit="1" customWidth="1"/>
    <col min="5" max="5" width="16.85546875" style="125" bestFit="1" customWidth="1"/>
    <col min="6" max="6" width="17.28515625" style="125" bestFit="1" customWidth="1"/>
    <col min="7" max="7" width="4.28515625" style="125" bestFit="1" customWidth="1"/>
    <col min="8" max="8" width="13.5703125" style="125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7" t="s">
        <v>361</v>
      </c>
      <c r="B1" s="47" t="s">
        <v>362</v>
      </c>
      <c r="C1" s="47" t="s">
        <v>363</v>
      </c>
      <c r="D1" s="47" t="s">
        <v>367</v>
      </c>
      <c r="E1" s="47" t="s">
        <v>368</v>
      </c>
      <c r="F1" s="47" t="s">
        <v>364</v>
      </c>
      <c r="G1" s="47" t="s">
        <v>365</v>
      </c>
      <c r="H1" s="47" t="s">
        <v>366</v>
      </c>
      <c r="J1" s="426" t="s">
        <v>656</v>
      </c>
      <c r="K1" t="s">
        <v>664</v>
      </c>
      <c r="L1" t="s">
        <v>658</v>
      </c>
      <c r="M1" t="s">
        <v>659</v>
      </c>
      <c r="N1" s="125" t="s">
        <v>84</v>
      </c>
    </row>
    <row r="2" spans="1:14" x14ac:dyDescent="0.25">
      <c r="A2" s="141">
        <v>43670</v>
      </c>
      <c r="B2" s="143" t="s">
        <v>369</v>
      </c>
      <c r="C2" s="125" t="s">
        <v>667</v>
      </c>
      <c r="D2" s="125">
        <v>14</v>
      </c>
      <c r="E2" s="33">
        <f>(7+11+14+11+10+12+14+11+13+14+10)/11</f>
        <v>11.545454545454545</v>
      </c>
      <c r="F2" s="125">
        <v>7</v>
      </c>
      <c r="G2" s="125">
        <v>2</v>
      </c>
      <c r="H2" s="42">
        <f t="shared" ref="H2:H33" si="0">G2/F2</f>
        <v>0.2857142857142857</v>
      </c>
      <c r="J2" s="427">
        <v>14</v>
      </c>
      <c r="K2" s="428">
        <v>1</v>
      </c>
      <c r="L2" s="428">
        <v>7</v>
      </c>
      <c r="M2" s="428">
        <v>2</v>
      </c>
      <c r="N2" s="64">
        <f>M2/L2</f>
        <v>0.2857142857142857</v>
      </c>
    </row>
    <row r="3" spans="1:14" x14ac:dyDescent="0.25">
      <c r="A3" s="141">
        <v>43617</v>
      </c>
      <c r="B3" s="429" t="s">
        <v>670</v>
      </c>
      <c r="C3" s="143" t="s">
        <v>369</v>
      </c>
      <c r="D3" s="429">
        <v>15</v>
      </c>
      <c r="E3" s="432">
        <f>(15+8+9+11+14+11+14+9+13+13+12)/11</f>
        <v>11.727272727272727</v>
      </c>
      <c r="F3" s="429">
        <v>9</v>
      </c>
      <c r="G3" s="429">
        <v>2</v>
      </c>
      <c r="H3" s="430">
        <f t="shared" si="0"/>
        <v>0.22222222222222221</v>
      </c>
      <c r="J3" s="427">
        <v>15</v>
      </c>
      <c r="K3" s="428">
        <v>3</v>
      </c>
      <c r="L3" s="428">
        <v>24</v>
      </c>
      <c r="M3" s="428">
        <v>8</v>
      </c>
      <c r="N3" s="64">
        <f t="shared" ref="N3:N8" si="1">M3/L3</f>
        <v>0.33333333333333331</v>
      </c>
    </row>
    <row r="4" spans="1:14" x14ac:dyDescent="0.25">
      <c r="A4" s="141">
        <v>43684</v>
      </c>
      <c r="B4" s="125" t="s">
        <v>700</v>
      </c>
      <c r="C4" s="143" t="s">
        <v>369</v>
      </c>
      <c r="D4" s="125">
        <v>15</v>
      </c>
      <c r="E4" s="33">
        <f>(6+10+12+11+12+9+11+12+12+12+9)/11</f>
        <v>10.545454545454545</v>
      </c>
      <c r="F4" s="125">
        <v>9</v>
      </c>
      <c r="G4" s="125">
        <v>4</v>
      </c>
      <c r="H4" s="42">
        <f t="shared" si="0"/>
        <v>0.44444444444444442</v>
      </c>
      <c r="J4" s="427">
        <v>16</v>
      </c>
      <c r="K4" s="428">
        <v>20</v>
      </c>
      <c r="L4" s="428">
        <v>126</v>
      </c>
      <c r="M4" s="428">
        <v>51</v>
      </c>
      <c r="N4" s="64">
        <f t="shared" si="1"/>
        <v>0.40476190476190477</v>
      </c>
    </row>
    <row r="5" spans="1:14" x14ac:dyDescent="0.25">
      <c r="A5" s="141">
        <v>43691</v>
      </c>
      <c r="B5" s="125" t="s">
        <v>702</v>
      </c>
      <c r="C5" s="143" t="s">
        <v>369</v>
      </c>
      <c r="D5" s="125">
        <v>15</v>
      </c>
      <c r="E5" s="33">
        <f>(6+10+12+11+14+9+13+12+11+12+9)/11</f>
        <v>10.818181818181818</v>
      </c>
      <c r="F5" s="125">
        <v>6</v>
      </c>
      <c r="G5" s="125">
        <v>2</v>
      </c>
      <c r="H5" s="42">
        <f t="shared" si="0"/>
        <v>0.33333333333333331</v>
      </c>
      <c r="J5" s="427">
        <v>17</v>
      </c>
      <c r="K5" s="428">
        <v>14</v>
      </c>
      <c r="L5" s="428">
        <v>96</v>
      </c>
      <c r="M5" s="428">
        <v>37</v>
      </c>
      <c r="N5" s="64">
        <f t="shared" si="1"/>
        <v>0.38541666666666669</v>
      </c>
    </row>
    <row r="6" spans="1:14" x14ac:dyDescent="0.25">
      <c r="A6" s="441">
        <v>43680</v>
      </c>
      <c r="B6" s="143" t="s">
        <v>369</v>
      </c>
      <c r="C6" s="429" t="s">
        <v>675</v>
      </c>
      <c r="D6" s="429">
        <v>16</v>
      </c>
      <c r="E6" s="432">
        <f>(15+11+14+11+14+12+13+13+14+5+8)/11</f>
        <v>11.818181818181818</v>
      </c>
      <c r="F6" s="429">
        <v>4</v>
      </c>
      <c r="G6" s="47">
        <v>1</v>
      </c>
      <c r="H6" s="142">
        <f t="shared" si="0"/>
        <v>0.25</v>
      </c>
      <c r="J6" s="427">
        <v>18</v>
      </c>
      <c r="K6" s="428">
        <v>21</v>
      </c>
      <c r="L6" s="428">
        <v>137</v>
      </c>
      <c r="M6" s="428">
        <v>47</v>
      </c>
      <c r="N6" s="64">
        <f t="shared" si="1"/>
        <v>0.34306569343065696</v>
      </c>
    </row>
    <row r="7" spans="1:14" x14ac:dyDescent="0.25">
      <c r="A7" s="141">
        <v>43677</v>
      </c>
      <c r="B7" s="143" t="s">
        <v>681</v>
      </c>
      <c r="C7" s="143" t="s">
        <v>369</v>
      </c>
      <c r="D7" s="125">
        <v>16</v>
      </c>
      <c r="E7" s="33">
        <f>(15+9+10+8+12+8+12+13+13+9+12)/11</f>
        <v>11</v>
      </c>
      <c r="F7" s="125">
        <v>7</v>
      </c>
      <c r="G7" s="125">
        <v>3</v>
      </c>
      <c r="H7" s="142">
        <f t="shared" si="0"/>
        <v>0.42857142857142855</v>
      </c>
      <c r="J7" s="427">
        <v>19</v>
      </c>
      <c r="K7" s="428">
        <v>23</v>
      </c>
      <c r="L7" s="428">
        <v>183</v>
      </c>
      <c r="M7" s="428">
        <v>76</v>
      </c>
      <c r="N7" s="64">
        <f t="shared" si="1"/>
        <v>0.41530054644808745</v>
      </c>
    </row>
    <row r="8" spans="1:14" x14ac:dyDescent="0.25">
      <c r="A8" s="141">
        <v>43642</v>
      </c>
      <c r="B8" s="143" t="s">
        <v>369</v>
      </c>
      <c r="C8" s="125" t="s">
        <v>370</v>
      </c>
      <c r="D8" s="125">
        <v>16</v>
      </c>
      <c r="E8" s="33">
        <f t="shared" ref="E8:E19" si="2">(15+10+14+14+11+10+13+14+13+10+10)/11</f>
        <v>12.181818181818182</v>
      </c>
      <c r="F8" s="125">
        <v>9</v>
      </c>
      <c r="G8" s="125">
        <v>3</v>
      </c>
      <c r="H8" s="142">
        <f t="shared" si="0"/>
        <v>0.33333333333333331</v>
      </c>
      <c r="J8" s="427">
        <v>20</v>
      </c>
      <c r="K8" s="428">
        <v>3</v>
      </c>
      <c r="L8" s="428">
        <v>18</v>
      </c>
      <c r="M8" s="428">
        <v>9</v>
      </c>
      <c r="N8" s="64">
        <f t="shared" si="1"/>
        <v>0.5</v>
      </c>
    </row>
    <row r="9" spans="1:14" x14ac:dyDescent="0.25">
      <c r="A9" s="141">
        <v>43641</v>
      </c>
      <c r="B9" s="125" t="s">
        <v>373</v>
      </c>
      <c r="C9" s="143" t="s">
        <v>369</v>
      </c>
      <c r="D9" s="125">
        <v>16</v>
      </c>
      <c r="E9" s="33">
        <f t="shared" si="2"/>
        <v>12.181818181818182</v>
      </c>
      <c r="F9" s="125">
        <v>6</v>
      </c>
      <c r="G9" s="125">
        <v>2</v>
      </c>
      <c r="H9" s="142">
        <f t="shared" si="0"/>
        <v>0.33333333333333331</v>
      </c>
      <c r="J9" s="427" t="s">
        <v>657</v>
      </c>
      <c r="K9" s="428">
        <v>85</v>
      </c>
      <c r="L9" s="428">
        <v>591</v>
      </c>
      <c r="M9" s="428">
        <v>230</v>
      </c>
      <c r="N9" s="64"/>
    </row>
    <row r="10" spans="1:14" x14ac:dyDescent="0.25">
      <c r="A10" s="141">
        <v>43641</v>
      </c>
      <c r="B10" s="143" t="s">
        <v>369</v>
      </c>
      <c r="C10" s="125" t="s">
        <v>374</v>
      </c>
      <c r="D10" s="125">
        <v>16</v>
      </c>
      <c r="E10" s="33">
        <f t="shared" si="2"/>
        <v>12.181818181818182</v>
      </c>
      <c r="F10" s="125">
        <v>4</v>
      </c>
      <c r="G10" s="125">
        <v>2</v>
      </c>
      <c r="H10" s="142">
        <f t="shared" si="0"/>
        <v>0.5</v>
      </c>
    </row>
    <row r="11" spans="1:14" x14ac:dyDescent="0.25">
      <c r="A11" s="141">
        <v>43640</v>
      </c>
      <c r="B11" s="125" t="s">
        <v>375</v>
      </c>
      <c r="C11" s="143" t="s">
        <v>369</v>
      </c>
      <c r="D11" s="125">
        <v>16</v>
      </c>
      <c r="E11" s="33">
        <f t="shared" si="2"/>
        <v>12.181818181818182</v>
      </c>
      <c r="F11" s="125">
        <v>3</v>
      </c>
      <c r="G11" s="125">
        <v>2</v>
      </c>
      <c r="H11" s="142">
        <f t="shared" si="0"/>
        <v>0.66666666666666663</v>
      </c>
      <c r="I11" s="33"/>
    </row>
    <row r="12" spans="1:14" x14ac:dyDescent="0.25">
      <c r="A12" s="141">
        <v>43636</v>
      </c>
      <c r="B12" s="125" t="s">
        <v>377</v>
      </c>
      <c r="C12" s="143" t="s">
        <v>369</v>
      </c>
      <c r="D12" s="125">
        <v>16</v>
      </c>
      <c r="E12" s="33">
        <f t="shared" si="2"/>
        <v>12.181818181818182</v>
      </c>
      <c r="F12" s="125">
        <v>9</v>
      </c>
      <c r="G12" s="125">
        <v>2</v>
      </c>
      <c r="H12" s="142">
        <f t="shared" si="0"/>
        <v>0.22222222222222221</v>
      </c>
    </row>
    <row r="13" spans="1:14" x14ac:dyDescent="0.25">
      <c r="A13" s="141">
        <v>43635</v>
      </c>
      <c r="B13" s="143" t="s">
        <v>369</v>
      </c>
      <c r="C13" s="125" t="s">
        <v>378</v>
      </c>
      <c r="D13" s="125">
        <v>16</v>
      </c>
      <c r="E13" s="33">
        <f t="shared" si="2"/>
        <v>12.181818181818182</v>
      </c>
      <c r="F13" s="125">
        <v>7</v>
      </c>
      <c r="G13" s="125">
        <v>2</v>
      </c>
      <c r="H13" s="142">
        <f t="shared" si="0"/>
        <v>0.2857142857142857</v>
      </c>
    </row>
    <row r="14" spans="1:14" x14ac:dyDescent="0.25">
      <c r="A14" s="141">
        <v>43635</v>
      </c>
      <c r="B14" s="143" t="s">
        <v>369</v>
      </c>
      <c r="C14" s="125" t="s">
        <v>379</v>
      </c>
      <c r="D14" s="125">
        <v>16</v>
      </c>
      <c r="E14" s="33">
        <f t="shared" si="2"/>
        <v>12.181818181818182</v>
      </c>
      <c r="F14" s="125">
        <v>5</v>
      </c>
      <c r="G14" s="125">
        <v>2</v>
      </c>
      <c r="H14" s="142">
        <f t="shared" si="0"/>
        <v>0.4</v>
      </c>
    </row>
    <row r="15" spans="1:14" x14ac:dyDescent="0.25">
      <c r="A15" s="141">
        <v>43634</v>
      </c>
      <c r="B15" s="125" t="s">
        <v>380</v>
      </c>
      <c r="C15" s="143" t="s">
        <v>369</v>
      </c>
      <c r="D15" s="429">
        <v>16</v>
      </c>
      <c r="E15" s="33">
        <f t="shared" si="2"/>
        <v>12.181818181818182</v>
      </c>
      <c r="F15" s="429">
        <v>9</v>
      </c>
      <c r="G15" s="429">
        <v>3</v>
      </c>
      <c r="H15" s="431">
        <f t="shared" si="0"/>
        <v>0.33333333333333331</v>
      </c>
    </row>
    <row r="16" spans="1:14" x14ac:dyDescent="0.25">
      <c r="A16" s="141">
        <v>43634</v>
      </c>
      <c r="B16" s="125" t="s">
        <v>381</v>
      </c>
      <c r="C16" s="143" t="s">
        <v>369</v>
      </c>
      <c r="D16" s="125">
        <v>16</v>
      </c>
      <c r="E16" s="33">
        <f t="shared" si="2"/>
        <v>12.181818181818182</v>
      </c>
      <c r="F16" s="125">
        <v>6</v>
      </c>
      <c r="G16" s="125">
        <v>2</v>
      </c>
      <c r="H16" s="142">
        <f t="shared" si="0"/>
        <v>0.33333333333333331</v>
      </c>
    </row>
    <row r="17" spans="1:8" x14ac:dyDescent="0.25">
      <c r="A17" s="141">
        <v>43633</v>
      </c>
      <c r="B17" s="143" t="s">
        <v>369</v>
      </c>
      <c r="C17" s="125" t="s">
        <v>382</v>
      </c>
      <c r="D17" s="429">
        <v>16</v>
      </c>
      <c r="E17" s="33">
        <f t="shared" si="2"/>
        <v>12.181818181818182</v>
      </c>
      <c r="F17" s="429">
        <v>10</v>
      </c>
      <c r="G17" s="429">
        <v>3</v>
      </c>
      <c r="H17" s="431">
        <f t="shared" si="0"/>
        <v>0.3</v>
      </c>
    </row>
    <row r="18" spans="1:8" x14ac:dyDescent="0.25">
      <c r="A18" s="141">
        <v>43633</v>
      </c>
      <c r="B18" s="143" t="s">
        <v>369</v>
      </c>
      <c r="C18" s="125" t="s">
        <v>383</v>
      </c>
      <c r="D18" s="429">
        <v>16</v>
      </c>
      <c r="E18" s="33">
        <f t="shared" si="2"/>
        <v>12.181818181818182</v>
      </c>
      <c r="F18" s="429">
        <v>7</v>
      </c>
      <c r="G18" s="429">
        <v>3</v>
      </c>
      <c r="H18" s="431">
        <f t="shared" si="0"/>
        <v>0.42857142857142855</v>
      </c>
    </row>
    <row r="19" spans="1:8" x14ac:dyDescent="0.25">
      <c r="A19" s="141">
        <v>43624</v>
      </c>
      <c r="B19" s="143" t="s">
        <v>384</v>
      </c>
      <c r="C19" s="143" t="s">
        <v>369</v>
      </c>
      <c r="D19" s="429">
        <v>16</v>
      </c>
      <c r="E19" s="33">
        <f t="shared" si="2"/>
        <v>12.181818181818182</v>
      </c>
      <c r="F19" s="429">
        <v>4</v>
      </c>
      <c r="G19" s="429">
        <v>2</v>
      </c>
      <c r="H19" s="430">
        <f t="shared" si="0"/>
        <v>0.5</v>
      </c>
    </row>
    <row r="20" spans="1:8" x14ac:dyDescent="0.25">
      <c r="A20" s="141">
        <v>43617</v>
      </c>
      <c r="B20" s="125" t="s">
        <v>385</v>
      </c>
      <c r="C20" s="143" t="s">
        <v>369</v>
      </c>
      <c r="D20" s="429">
        <v>16</v>
      </c>
      <c r="E20" s="33">
        <f>(15+10+14+10+11+10+13+14+13+10+12)/11</f>
        <v>12</v>
      </c>
      <c r="F20" s="429">
        <v>5</v>
      </c>
      <c r="G20" s="429">
        <v>3</v>
      </c>
      <c r="H20" s="430">
        <f t="shared" si="0"/>
        <v>0.6</v>
      </c>
    </row>
    <row r="21" spans="1:8" x14ac:dyDescent="0.25">
      <c r="A21" s="141">
        <v>43615</v>
      </c>
      <c r="B21" s="143" t="s">
        <v>369</v>
      </c>
      <c r="C21" s="143" t="s">
        <v>671</v>
      </c>
      <c r="D21" s="429">
        <v>16</v>
      </c>
      <c r="E21" s="432">
        <f>(15+11+11+14+14+10+14+13+13+9+12)/11</f>
        <v>12.363636363636363</v>
      </c>
      <c r="F21" s="429">
        <v>9</v>
      </c>
      <c r="G21" s="429">
        <v>4</v>
      </c>
      <c r="H21" s="430">
        <f t="shared" si="0"/>
        <v>0.44444444444444442</v>
      </c>
    </row>
    <row r="22" spans="1:8" x14ac:dyDescent="0.25">
      <c r="A22" s="141">
        <v>43610</v>
      </c>
      <c r="B22" s="143" t="s">
        <v>369</v>
      </c>
      <c r="C22" s="143" t="s">
        <v>672</v>
      </c>
      <c r="D22" s="429">
        <v>16</v>
      </c>
      <c r="E22" s="432">
        <f>(15+11+11+14+14+10+14+13+13+9+9)/11</f>
        <v>12.090909090909092</v>
      </c>
      <c r="F22" s="429">
        <v>5</v>
      </c>
      <c r="G22" s="429">
        <v>3</v>
      </c>
      <c r="H22" s="430">
        <f t="shared" si="0"/>
        <v>0.6</v>
      </c>
    </row>
    <row r="23" spans="1:8" x14ac:dyDescent="0.25">
      <c r="A23" s="141">
        <v>43602</v>
      </c>
      <c r="B23" s="429" t="s">
        <v>674</v>
      </c>
      <c r="C23" s="143" t="s">
        <v>369</v>
      </c>
      <c r="D23" s="429">
        <v>16</v>
      </c>
      <c r="E23" s="432">
        <f>(15+11+11+14+14+10+14+13+13+9+9)/11</f>
        <v>12.090909090909092</v>
      </c>
      <c r="F23" s="429">
        <v>6</v>
      </c>
      <c r="G23" s="429">
        <v>3</v>
      </c>
      <c r="H23" s="430">
        <f t="shared" si="0"/>
        <v>0.5</v>
      </c>
    </row>
    <row r="24" spans="1:8" x14ac:dyDescent="0.25">
      <c r="A24" s="141">
        <v>43550</v>
      </c>
      <c r="B24" s="429" t="s">
        <v>677</v>
      </c>
      <c r="C24" s="143" t="s">
        <v>369</v>
      </c>
      <c r="D24" s="429">
        <v>16</v>
      </c>
      <c r="E24" s="432">
        <f>(15+8+9+11+14+11+14+9+13+13+12)/11</f>
        <v>11.727272727272727</v>
      </c>
      <c r="F24" s="429">
        <v>4</v>
      </c>
      <c r="G24" s="429">
        <v>2</v>
      </c>
      <c r="H24" s="430">
        <f t="shared" si="0"/>
        <v>0.5</v>
      </c>
    </row>
    <row r="25" spans="1:8" x14ac:dyDescent="0.25">
      <c r="A25" s="141">
        <v>43644</v>
      </c>
      <c r="B25" s="143" t="s">
        <v>369</v>
      </c>
      <c r="C25" s="125" t="s">
        <v>650</v>
      </c>
      <c r="D25" s="125">
        <v>17</v>
      </c>
      <c r="E25" s="33">
        <f>(15+10+10+14+11+10+13+14+13+10+10)/11</f>
        <v>11.818181818181818</v>
      </c>
      <c r="F25" s="125">
        <v>10</v>
      </c>
      <c r="G25" s="125">
        <v>4</v>
      </c>
      <c r="H25" s="42">
        <f t="shared" si="0"/>
        <v>0.4</v>
      </c>
    </row>
    <row r="26" spans="1:8" x14ac:dyDescent="0.25">
      <c r="A26" s="141">
        <v>43643</v>
      </c>
      <c r="B26" s="125" t="s">
        <v>386</v>
      </c>
      <c r="C26" s="143" t="s">
        <v>369</v>
      </c>
      <c r="D26" s="125">
        <v>17</v>
      </c>
      <c r="E26" s="33">
        <f t="shared" ref="E26:E31" si="3">(15+10+14+14+11+10+13+14+13+10+10)/11</f>
        <v>12.181818181818182</v>
      </c>
      <c r="F26" s="125">
        <v>4</v>
      </c>
      <c r="G26" s="125">
        <v>2</v>
      </c>
      <c r="H26" s="42">
        <f t="shared" si="0"/>
        <v>0.5</v>
      </c>
    </row>
    <row r="27" spans="1:8" x14ac:dyDescent="0.25">
      <c r="A27" s="141">
        <v>43643</v>
      </c>
      <c r="B27" s="143" t="s">
        <v>369</v>
      </c>
      <c r="C27" s="125" t="s">
        <v>387</v>
      </c>
      <c r="D27" s="125">
        <v>17</v>
      </c>
      <c r="E27" s="33">
        <f t="shared" si="3"/>
        <v>12.181818181818182</v>
      </c>
      <c r="F27" s="125">
        <v>6</v>
      </c>
      <c r="G27" s="125">
        <v>1</v>
      </c>
      <c r="H27" s="42">
        <f t="shared" si="0"/>
        <v>0.16666666666666666</v>
      </c>
    </row>
    <row r="28" spans="1:8" x14ac:dyDescent="0.25">
      <c r="A28" s="141">
        <v>43643</v>
      </c>
      <c r="B28" s="125" t="s">
        <v>388</v>
      </c>
      <c r="C28" s="143" t="s">
        <v>369</v>
      </c>
      <c r="D28" s="125">
        <v>17</v>
      </c>
      <c r="E28" s="33">
        <f t="shared" si="3"/>
        <v>12.181818181818182</v>
      </c>
      <c r="F28" s="125">
        <v>7</v>
      </c>
      <c r="G28" s="125">
        <v>3</v>
      </c>
      <c r="H28" s="42">
        <f t="shared" si="0"/>
        <v>0.42857142857142855</v>
      </c>
    </row>
    <row r="29" spans="1:8" x14ac:dyDescent="0.25">
      <c r="A29" s="141">
        <v>43642</v>
      </c>
      <c r="B29" s="125" t="s">
        <v>371</v>
      </c>
      <c r="C29" s="143" t="s">
        <v>369</v>
      </c>
      <c r="D29" s="125">
        <v>17</v>
      </c>
      <c r="E29" s="33">
        <f t="shared" si="3"/>
        <v>12.181818181818182</v>
      </c>
      <c r="F29" s="125">
        <v>7</v>
      </c>
      <c r="G29" s="125">
        <v>1</v>
      </c>
      <c r="H29" s="142">
        <f t="shared" si="0"/>
        <v>0.14285714285714285</v>
      </c>
    </row>
    <row r="30" spans="1:8" x14ac:dyDescent="0.25">
      <c r="A30" s="141">
        <v>43641</v>
      </c>
      <c r="B30" s="143" t="s">
        <v>369</v>
      </c>
      <c r="C30" s="125" t="s">
        <v>372</v>
      </c>
      <c r="D30" s="125">
        <v>17</v>
      </c>
      <c r="E30" s="33">
        <f t="shared" si="3"/>
        <v>12.181818181818182</v>
      </c>
      <c r="F30" s="125">
        <v>8</v>
      </c>
      <c r="G30" s="125">
        <v>3</v>
      </c>
      <c r="H30" s="142">
        <f t="shared" si="0"/>
        <v>0.375</v>
      </c>
    </row>
    <row r="31" spans="1:8" x14ac:dyDescent="0.25">
      <c r="A31" s="141">
        <v>43636</v>
      </c>
      <c r="B31" s="125" t="s">
        <v>376</v>
      </c>
      <c r="C31" s="143" t="s">
        <v>369</v>
      </c>
      <c r="D31" s="125">
        <v>17</v>
      </c>
      <c r="E31" s="33">
        <f t="shared" si="3"/>
        <v>12.181818181818182</v>
      </c>
      <c r="F31" s="125">
        <v>8</v>
      </c>
      <c r="G31" s="125">
        <v>3</v>
      </c>
      <c r="H31" s="142">
        <f t="shared" si="0"/>
        <v>0.375</v>
      </c>
    </row>
    <row r="32" spans="1:8" x14ac:dyDescent="0.25">
      <c r="A32" s="141">
        <v>43603</v>
      </c>
      <c r="B32" s="429" t="s">
        <v>673</v>
      </c>
      <c r="C32" s="143" t="s">
        <v>369</v>
      </c>
      <c r="D32" s="429">
        <v>17</v>
      </c>
      <c r="E32" s="432">
        <f>(15+11+11+14+14+10+14+13+13+9+9)/11</f>
        <v>12.090909090909092</v>
      </c>
      <c r="F32" s="429">
        <v>9</v>
      </c>
      <c r="G32" s="429">
        <v>5</v>
      </c>
      <c r="H32" s="430">
        <f t="shared" si="0"/>
        <v>0.55555555555555558</v>
      </c>
    </row>
    <row r="33" spans="1:8" x14ac:dyDescent="0.25">
      <c r="A33" s="141">
        <v>43596</v>
      </c>
      <c r="B33" s="143" t="s">
        <v>369</v>
      </c>
      <c r="C33" s="143" t="s">
        <v>675</v>
      </c>
      <c r="D33" s="429">
        <v>17</v>
      </c>
      <c r="E33" s="432">
        <f>(15+11+11+14+14+10+14+13+13+9+9)/11</f>
        <v>12.090909090909092</v>
      </c>
      <c r="F33" s="429">
        <v>6</v>
      </c>
      <c r="G33" s="429">
        <v>1</v>
      </c>
      <c r="H33" s="430">
        <f t="shared" si="0"/>
        <v>0.16666666666666666</v>
      </c>
    </row>
    <row r="34" spans="1:8" x14ac:dyDescent="0.25">
      <c r="A34" s="141">
        <v>43589</v>
      </c>
      <c r="B34" s="429" t="s">
        <v>676</v>
      </c>
      <c r="C34" s="143" t="s">
        <v>369</v>
      </c>
      <c r="D34" s="429">
        <v>17</v>
      </c>
      <c r="E34" s="432">
        <f>(15+11+11+14+14+10+14+11+13+9+9)/11</f>
        <v>11.909090909090908</v>
      </c>
      <c r="F34" s="429">
        <v>8</v>
      </c>
      <c r="G34" s="429">
        <v>4</v>
      </c>
      <c r="H34" s="430">
        <f t="shared" ref="H34:H86" si="4">G34/F34</f>
        <v>0.5</v>
      </c>
    </row>
    <row r="35" spans="1:8" x14ac:dyDescent="0.25">
      <c r="A35" s="141">
        <v>43547</v>
      </c>
      <c r="B35" s="143" t="s">
        <v>369</v>
      </c>
      <c r="C35" s="143" t="s">
        <v>384</v>
      </c>
      <c r="D35" s="429">
        <v>17</v>
      </c>
      <c r="E35" s="432">
        <f>(15+11+14+11+14+10+13+11+14+9+9)/11</f>
        <v>11.909090909090908</v>
      </c>
      <c r="F35" s="429">
        <v>5</v>
      </c>
      <c r="G35" s="429">
        <v>1</v>
      </c>
      <c r="H35" s="430">
        <f t="shared" si="4"/>
        <v>0.2</v>
      </c>
    </row>
    <row r="36" spans="1:8" x14ac:dyDescent="0.25">
      <c r="A36" s="141">
        <v>43540</v>
      </c>
      <c r="B36" s="429" t="s">
        <v>678</v>
      </c>
      <c r="C36" s="143" t="s">
        <v>369</v>
      </c>
      <c r="D36" s="429">
        <v>17</v>
      </c>
      <c r="E36" s="432">
        <f>(15+8+9+11+14+11+14+9+13+13+12)/11</f>
        <v>11.727272727272727</v>
      </c>
      <c r="F36" s="429">
        <v>7</v>
      </c>
      <c r="G36" s="429">
        <v>3</v>
      </c>
      <c r="H36" s="430">
        <f t="shared" si="4"/>
        <v>0.42857142857142855</v>
      </c>
    </row>
    <row r="37" spans="1:8" x14ac:dyDescent="0.25">
      <c r="A37" s="141">
        <v>43537</v>
      </c>
      <c r="B37" s="429" t="s">
        <v>679</v>
      </c>
      <c r="C37" s="143" t="s">
        <v>369</v>
      </c>
      <c r="D37" s="429">
        <v>17</v>
      </c>
      <c r="E37" s="432">
        <f>(15+8+9+11+14+11+14+9+13+13+12)/11</f>
        <v>11.727272727272727</v>
      </c>
      <c r="F37" s="429">
        <v>7</v>
      </c>
      <c r="G37" s="429">
        <v>4</v>
      </c>
      <c r="H37" s="430">
        <f t="shared" si="4"/>
        <v>0.5714285714285714</v>
      </c>
    </row>
    <row r="38" spans="1:8" x14ac:dyDescent="0.25">
      <c r="A38" s="141">
        <v>43704</v>
      </c>
      <c r="B38" s="143" t="s">
        <v>369</v>
      </c>
      <c r="C38" s="125" t="s">
        <v>714</v>
      </c>
      <c r="D38" s="125">
        <v>18</v>
      </c>
      <c r="E38" s="33">
        <f>(15+12+15+11+12+12+13+13+14+12+9)/11</f>
        <v>12.545454545454545</v>
      </c>
      <c r="F38" s="125">
        <v>4</v>
      </c>
      <c r="G38" s="125">
        <v>1</v>
      </c>
      <c r="H38" s="142">
        <f>G38/F38</f>
        <v>0.25</v>
      </c>
    </row>
    <row r="39" spans="1:8" x14ac:dyDescent="0.25">
      <c r="A39" s="141">
        <v>43656</v>
      </c>
      <c r="B39" s="125" t="s">
        <v>660</v>
      </c>
      <c r="C39" s="143" t="s">
        <v>369</v>
      </c>
      <c r="D39" s="125">
        <v>18</v>
      </c>
      <c r="E39" s="33">
        <f>(12+10+14+13+14+10+12+10+14+10+15)/11</f>
        <v>12.181818181818182</v>
      </c>
      <c r="F39" s="125">
        <v>6</v>
      </c>
      <c r="G39" s="125">
        <v>2</v>
      </c>
      <c r="H39" s="42">
        <f t="shared" si="4"/>
        <v>0.33333333333333331</v>
      </c>
    </row>
    <row r="40" spans="1:8" x14ac:dyDescent="0.25">
      <c r="A40" s="141">
        <v>43656</v>
      </c>
      <c r="B40" s="143" t="s">
        <v>369</v>
      </c>
      <c r="C40" s="125" t="s">
        <v>661</v>
      </c>
      <c r="D40" s="125">
        <v>18</v>
      </c>
      <c r="E40" s="33">
        <f>(15+10+14+10+12+10+14+13+12+10+12)/11</f>
        <v>12</v>
      </c>
      <c r="F40" s="125">
        <v>3</v>
      </c>
      <c r="G40" s="125">
        <v>1</v>
      </c>
      <c r="H40" s="42">
        <f t="shared" si="4"/>
        <v>0.33333333333333331</v>
      </c>
    </row>
    <row r="41" spans="1:8" x14ac:dyDescent="0.25">
      <c r="A41" s="141">
        <v>43655</v>
      </c>
      <c r="B41" s="143" t="s">
        <v>369</v>
      </c>
      <c r="C41" s="125" t="s">
        <v>655</v>
      </c>
      <c r="D41" s="125">
        <v>18</v>
      </c>
      <c r="E41" s="33">
        <f>(15+10+14+10+12+10+14+13+14+10+9)/11</f>
        <v>11.909090909090908</v>
      </c>
      <c r="F41" s="125">
        <v>5</v>
      </c>
      <c r="G41" s="125">
        <v>1</v>
      </c>
      <c r="H41" s="42">
        <f t="shared" si="4"/>
        <v>0.2</v>
      </c>
    </row>
    <row r="42" spans="1:8" x14ac:dyDescent="0.25">
      <c r="A42" s="141">
        <v>43582</v>
      </c>
      <c r="B42" s="143" t="s">
        <v>369</v>
      </c>
      <c r="C42" s="429" t="s">
        <v>676</v>
      </c>
      <c r="D42" s="429">
        <v>18</v>
      </c>
      <c r="E42" s="432">
        <f>(15+11+11+14+14+10+14+11+13+9+9)/11</f>
        <v>11.909090909090908</v>
      </c>
      <c r="F42" s="429">
        <v>7</v>
      </c>
      <c r="G42" s="429">
        <v>2</v>
      </c>
      <c r="H42" s="430">
        <f t="shared" si="4"/>
        <v>0.2857142857142857</v>
      </c>
    </row>
    <row r="43" spans="1:8" x14ac:dyDescent="0.25">
      <c r="A43" s="141">
        <v>43575</v>
      </c>
      <c r="B43" s="143" t="s">
        <v>675</v>
      </c>
      <c r="C43" s="143" t="s">
        <v>369</v>
      </c>
      <c r="D43" s="429">
        <v>18</v>
      </c>
      <c r="E43" s="432">
        <f>(15+11+11+14+14+10+14+11+13+9+9)/11</f>
        <v>11.909090909090908</v>
      </c>
      <c r="F43" s="429">
        <v>9</v>
      </c>
      <c r="G43" s="429">
        <v>3</v>
      </c>
      <c r="H43" s="430">
        <f t="shared" si="4"/>
        <v>0.33333333333333331</v>
      </c>
    </row>
    <row r="44" spans="1:8" x14ac:dyDescent="0.25">
      <c r="A44" s="141">
        <v>43568</v>
      </c>
      <c r="B44" s="143" t="s">
        <v>369</v>
      </c>
      <c r="C44" s="143" t="s">
        <v>673</v>
      </c>
      <c r="D44" s="429">
        <v>18</v>
      </c>
      <c r="E44" s="432">
        <f>(15+11+11+14+14+10+14+11+13+9+9)/11</f>
        <v>11.909090909090908</v>
      </c>
      <c r="F44" s="429">
        <v>8</v>
      </c>
      <c r="G44" s="429">
        <v>3</v>
      </c>
      <c r="H44" s="430">
        <f t="shared" si="4"/>
        <v>0.375</v>
      </c>
    </row>
    <row r="45" spans="1:8" x14ac:dyDescent="0.25">
      <c r="A45" s="141">
        <v>43561</v>
      </c>
      <c r="B45" s="143" t="s">
        <v>672</v>
      </c>
      <c r="C45" s="143" t="s">
        <v>369</v>
      </c>
      <c r="D45" s="429">
        <v>18</v>
      </c>
      <c r="E45" s="432">
        <f>(15+11+11+14+14+10+14+11+13+9+9)/11</f>
        <v>11.909090909090908</v>
      </c>
      <c r="F45" s="429">
        <v>8</v>
      </c>
      <c r="G45" s="429">
        <v>3</v>
      </c>
      <c r="H45" s="430">
        <f t="shared" si="4"/>
        <v>0.375</v>
      </c>
    </row>
    <row r="46" spans="1:8" x14ac:dyDescent="0.25">
      <c r="A46" s="141">
        <v>43554</v>
      </c>
      <c r="B46" s="143" t="s">
        <v>369</v>
      </c>
      <c r="C46" s="125" t="s">
        <v>385</v>
      </c>
      <c r="D46" s="429">
        <v>18</v>
      </c>
      <c r="E46" s="432">
        <f>(15+11+14+11+14+10+13+11+14+9+9)/11</f>
        <v>11.909090909090908</v>
      </c>
      <c r="F46" s="429">
        <v>6</v>
      </c>
      <c r="G46" s="429">
        <v>1</v>
      </c>
      <c r="H46" s="430">
        <f t="shared" si="4"/>
        <v>0.16666666666666666</v>
      </c>
    </row>
    <row r="47" spans="1:8" x14ac:dyDescent="0.25">
      <c r="A47" s="141">
        <v>43687</v>
      </c>
      <c r="B47" s="125" t="s">
        <v>701</v>
      </c>
      <c r="C47" s="143" t="s">
        <v>369</v>
      </c>
      <c r="D47" s="125">
        <v>18</v>
      </c>
      <c r="E47" s="33">
        <f>(15+12+13+11+14+12+13+13+14+9+12)/11</f>
        <v>12.545454545454545</v>
      </c>
      <c r="F47" s="125">
        <v>5</v>
      </c>
      <c r="G47" s="125">
        <v>1</v>
      </c>
      <c r="H47" s="142">
        <f t="shared" si="4"/>
        <v>0.2</v>
      </c>
    </row>
    <row r="48" spans="1:8" x14ac:dyDescent="0.25">
      <c r="A48" s="141">
        <v>43701</v>
      </c>
      <c r="B48" s="143" t="s">
        <v>369</v>
      </c>
      <c r="C48" s="125" t="s">
        <v>703</v>
      </c>
      <c r="D48" s="125">
        <v>18</v>
      </c>
      <c r="E48" s="33">
        <f>(15+12+15+12+12+12+13+13+11+14+12)/11</f>
        <v>12.818181818181818</v>
      </c>
      <c r="F48" s="125">
        <v>8</v>
      </c>
      <c r="G48" s="125">
        <v>3</v>
      </c>
      <c r="H48" s="42">
        <f t="shared" si="4"/>
        <v>0.375</v>
      </c>
    </row>
    <row r="49" spans="1:8" x14ac:dyDescent="0.25">
      <c r="A49" s="141">
        <v>43666</v>
      </c>
      <c r="B49" s="125" t="s">
        <v>384</v>
      </c>
      <c r="C49" s="143" t="s">
        <v>369</v>
      </c>
      <c r="D49" s="125">
        <v>19</v>
      </c>
      <c r="E49" s="33">
        <f>(15+9+9+12+10+14+12+10+13+12+10)/11</f>
        <v>11.454545454545455</v>
      </c>
      <c r="F49" s="125">
        <v>5</v>
      </c>
      <c r="G49" s="125">
        <v>2</v>
      </c>
      <c r="H49" s="42">
        <f t="shared" si="4"/>
        <v>0.4</v>
      </c>
    </row>
    <row r="50" spans="1:8" x14ac:dyDescent="0.25">
      <c r="A50" s="141">
        <v>43657</v>
      </c>
      <c r="B50" s="143" t="s">
        <v>369</v>
      </c>
      <c r="C50" s="125" t="s">
        <v>662</v>
      </c>
      <c r="D50" s="125">
        <v>19</v>
      </c>
      <c r="E50" s="33">
        <f>(15+10+14+10+12+10+14+13+14+10+9)/11</f>
        <v>11.909090909090908</v>
      </c>
      <c r="F50" s="125">
        <v>12</v>
      </c>
      <c r="G50" s="125">
        <v>5</v>
      </c>
      <c r="H50" s="142">
        <f t="shared" si="4"/>
        <v>0.41666666666666669</v>
      </c>
    </row>
    <row r="51" spans="1:8" x14ac:dyDescent="0.25">
      <c r="A51" s="141">
        <v>43652</v>
      </c>
      <c r="B51" s="143" t="s">
        <v>369</v>
      </c>
      <c r="C51" s="125" t="s">
        <v>654</v>
      </c>
      <c r="D51" s="125">
        <v>19</v>
      </c>
      <c r="E51" s="33">
        <f>(15+10+14+10+12+10+14+13+14+10+9)/11</f>
        <v>11.909090909090908</v>
      </c>
      <c r="F51" s="125">
        <v>9</v>
      </c>
      <c r="G51" s="125">
        <v>5</v>
      </c>
      <c r="H51" s="42">
        <f t="shared" si="4"/>
        <v>0.55555555555555558</v>
      </c>
    </row>
    <row r="52" spans="1:8" x14ac:dyDescent="0.25">
      <c r="A52" s="141">
        <v>43677</v>
      </c>
      <c r="B52" s="143" t="s">
        <v>369</v>
      </c>
      <c r="C52" s="125" t="s">
        <v>680</v>
      </c>
      <c r="D52" s="125">
        <v>20</v>
      </c>
      <c r="E52" s="33">
        <f>(15+11+14+10+12+12+13+13+14+12+9)/11</f>
        <v>12.272727272727273</v>
      </c>
      <c r="F52" s="125">
        <v>6</v>
      </c>
      <c r="G52" s="125">
        <v>2</v>
      </c>
      <c r="H52" s="42">
        <f t="shared" si="4"/>
        <v>0.33333333333333331</v>
      </c>
    </row>
    <row r="53" spans="1:8" x14ac:dyDescent="0.25">
      <c r="A53" s="141">
        <v>43672</v>
      </c>
      <c r="B53" s="125" t="s">
        <v>668</v>
      </c>
      <c r="C53" s="143" t="s">
        <v>369</v>
      </c>
      <c r="D53" s="125">
        <v>20</v>
      </c>
      <c r="E53" s="33">
        <f>(15+12+12+10+14+10+13+13+14+10+12)/11</f>
        <v>12.272727272727273</v>
      </c>
      <c r="F53" s="125">
        <v>5</v>
      </c>
      <c r="G53" s="125">
        <v>3</v>
      </c>
      <c r="H53" s="42">
        <f t="shared" si="4"/>
        <v>0.6</v>
      </c>
    </row>
    <row r="54" spans="1:8" x14ac:dyDescent="0.25">
      <c r="A54" s="141">
        <v>43663</v>
      </c>
      <c r="B54" s="143" t="s">
        <v>369</v>
      </c>
      <c r="C54" s="125" t="s">
        <v>663</v>
      </c>
      <c r="D54" s="125">
        <v>20</v>
      </c>
      <c r="E54" s="33">
        <f>(15+12+14.5+10+12+11+14+13+14+9+12)/11</f>
        <v>12.409090909090908</v>
      </c>
      <c r="F54" s="125">
        <v>7</v>
      </c>
      <c r="G54" s="125">
        <v>4</v>
      </c>
      <c r="H54" s="42">
        <f t="shared" si="4"/>
        <v>0.5714285714285714</v>
      </c>
    </row>
    <row r="55" spans="1:8" x14ac:dyDescent="0.25">
      <c r="A55" s="141">
        <v>43708</v>
      </c>
      <c r="B55" s="143" t="s">
        <v>369</v>
      </c>
      <c r="C55" s="125" t="s">
        <v>715</v>
      </c>
      <c r="D55" s="125">
        <v>17</v>
      </c>
      <c r="E55" s="33">
        <f>(15+11+15+11+13+12+13+14+13+9+12)/11</f>
        <v>12.545454545454545</v>
      </c>
      <c r="F55" s="125">
        <v>4</v>
      </c>
      <c r="G55" s="125">
        <v>2</v>
      </c>
      <c r="H55" s="42">
        <f t="shared" si="4"/>
        <v>0.5</v>
      </c>
    </row>
    <row r="56" spans="1:8" x14ac:dyDescent="0.25">
      <c r="A56" s="141">
        <v>43711</v>
      </c>
      <c r="B56" s="125" t="s">
        <v>717</v>
      </c>
      <c r="C56" s="143" t="s">
        <v>369</v>
      </c>
      <c r="D56" s="125">
        <v>16</v>
      </c>
      <c r="E56" s="33">
        <f>(15+11+15+13+13+12+14+13+13+9+12)/11</f>
        <v>12.727272727272727</v>
      </c>
      <c r="F56" s="125">
        <v>7</v>
      </c>
      <c r="G56" s="125">
        <v>4</v>
      </c>
      <c r="H56" s="42">
        <f t="shared" si="4"/>
        <v>0.5714285714285714</v>
      </c>
    </row>
    <row r="57" spans="1:8" x14ac:dyDescent="0.25">
      <c r="A57" s="141">
        <v>43713</v>
      </c>
      <c r="B57" s="143" t="s">
        <v>369</v>
      </c>
      <c r="C57" s="125" t="s">
        <v>721</v>
      </c>
      <c r="D57" s="125">
        <v>19</v>
      </c>
      <c r="E57" s="33">
        <f>(15+12+15+13+13+12+13+13+14+12+12)/11</f>
        <v>13.090909090909092</v>
      </c>
      <c r="F57" s="125">
        <v>10</v>
      </c>
      <c r="G57" s="125">
        <v>3</v>
      </c>
      <c r="H57" s="42">
        <f t="shared" si="4"/>
        <v>0.3</v>
      </c>
    </row>
    <row r="58" spans="1:8" x14ac:dyDescent="0.25">
      <c r="A58" s="141">
        <v>43713</v>
      </c>
      <c r="B58" s="143" t="s">
        <v>369</v>
      </c>
      <c r="C58" s="125" t="s">
        <v>722</v>
      </c>
      <c r="D58" s="125">
        <v>18</v>
      </c>
      <c r="E58" s="33">
        <f>(15+12+15+13+13+12+13+13+14+12+12)/11</f>
        <v>13.090909090909092</v>
      </c>
      <c r="F58" s="125">
        <v>4</v>
      </c>
      <c r="G58" s="125">
        <v>2</v>
      </c>
      <c r="H58" s="42">
        <f t="shared" si="4"/>
        <v>0.5</v>
      </c>
    </row>
    <row r="59" spans="1:8" x14ac:dyDescent="0.25">
      <c r="A59" s="141">
        <v>43715</v>
      </c>
      <c r="B59" s="125" t="s">
        <v>675</v>
      </c>
      <c r="C59" s="143" t="s">
        <v>369</v>
      </c>
      <c r="D59" s="125">
        <v>19</v>
      </c>
      <c r="E59" s="33">
        <f>(15+12+15+13+13+12+13+13+14+12+9)/11</f>
        <v>12.818181818181818</v>
      </c>
      <c r="F59" s="125">
        <v>7</v>
      </c>
      <c r="G59" s="125">
        <v>4</v>
      </c>
      <c r="H59" s="42">
        <f t="shared" si="4"/>
        <v>0.5714285714285714</v>
      </c>
    </row>
    <row r="60" spans="1:8" x14ac:dyDescent="0.25">
      <c r="A60" s="141">
        <v>43717</v>
      </c>
      <c r="B60" s="143" t="s">
        <v>369</v>
      </c>
      <c r="C60" s="125" t="s">
        <v>723</v>
      </c>
      <c r="D60" s="125">
        <v>18</v>
      </c>
      <c r="E60" s="33">
        <f>(15+10+14+10+12+10+14+13+14+10+9)/11</f>
        <v>11.909090909090908</v>
      </c>
      <c r="F60" s="125">
        <v>6</v>
      </c>
      <c r="G60" s="125">
        <v>3</v>
      </c>
      <c r="H60" s="142">
        <f t="shared" si="4"/>
        <v>0.5</v>
      </c>
    </row>
    <row r="61" spans="1:8" x14ac:dyDescent="0.25">
      <c r="A61" s="141">
        <v>43719</v>
      </c>
      <c r="B61" s="125" t="s">
        <v>724</v>
      </c>
      <c r="C61" s="143" t="s">
        <v>369</v>
      </c>
      <c r="D61" s="125">
        <v>18</v>
      </c>
      <c r="E61" s="33">
        <f>(15+12+15+13+13+12+13+13+14+12+12)/11</f>
        <v>13.090909090909092</v>
      </c>
      <c r="F61" s="125">
        <v>4</v>
      </c>
      <c r="G61" s="125">
        <v>1</v>
      </c>
      <c r="H61" s="42">
        <f t="shared" si="4"/>
        <v>0.25</v>
      </c>
    </row>
    <row r="62" spans="1:8" x14ac:dyDescent="0.25">
      <c r="A62" s="141">
        <v>43722</v>
      </c>
      <c r="B62" s="125" t="s">
        <v>678</v>
      </c>
      <c r="C62" s="143" t="s">
        <v>369</v>
      </c>
      <c r="D62" s="125">
        <v>18</v>
      </c>
      <c r="E62" s="33">
        <f>(15+12+12+13+13+12+5+14+12+12+13)/11</f>
        <v>12.090909090909092</v>
      </c>
      <c r="F62" s="125">
        <v>3</v>
      </c>
      <c r="G62" s="125">
        <v>1</v>
      </c>
      <c r="H62" s="42">
        <f t="shared" si="4"/>
        <v>0.33333333333333331</v>
      </c>
    </row>
    <row r="63" spans="1:8" x14ac:dyDescent="0.25">
      <c r="A63" s="141">
        <v>43724</v>
      </c>
      <c r="B63" s="143" t="s">
        <v>369</v>
      </c>
      <c r="C63" s="125" t="s">
        <v>725</v>
      </c>
      <c r="D63" s="125">
        <v>19</v>
      </c>
      <c r="E63" s="33">
        <f>(13+12+15+13+15+13+13+13+13+9+12)/11</f>
        <v>12.818181818181818</v>
      </c>
      <c r="F63" s="125">
        <v>6</v>
      </c>
      <c r="G63" s="125">
        <v>2</v>
      </c>
      <c r="H63" s="42">
        <f t="shared" si="4"/>
        <v>0.33333333333333331</v>
      </c>
    </row>
    <row r="64" spans="1:8" x14ac:dyDescent="0.25">
      <c r="A64" s="141">
        <v>43731</v>
      </c>
      <c r="B64" s="143" t="s">
        <v>726</v>
      </c>
      <c r="C64" s="143" t="s">
        <v>369</v>
      </c>
      <c r="D64" s="125">
        <v>18</v>
      </c>
      <c r="E64" s="33">
        <f>(15+12+13+13+15+12+14+13+13+12+9)/11</f>
        <v>12.818181818181818</v>
      </c>
      <c r="F64" s="125">
        <v>9</v>
      </c>
      <c r="G64" s="125">
        <v>4</v>
      </c>
      <c r="H64" s="42">
        <f t="shared" si="4"/>
        <v>0.44444444444444442</v>
      </c>
    </row>
    <row r="65" spans="1:8" x14ac:dyDescent="0.25">
      <c r="A65" s="141">
        <v>43736</v>
      </c>
      <c r="B65" s="125" t="s">
        <v>747</v>
      </c>
      <c r="C65" s="143" t="s">
        <v>369</v>
      </c>
      <c r="D65" s="125">
        <v>19</v>
      </c>
      <c r="E65" s="33">
        <f>(15+15+13+13+15+13+13+13+13+5+12)/11</f>
        <v>12.727272727272727</v>
      </c>
      <c r="F65" s="125">
        <v>4</v>
      </c>
      <c r="G65" s="125">
        <v>2</v>
      </c>
      <c r="H65" s="42">
        <f t="shared" si="4"/>
        <v>0.5</v>
      </c>
    </row>
    <row r="66" spans="1:8" x14ac:dyDescent="0.25">
      <c r="A66" s="141">
        <v>43738</v>
      </c>
      <c r="B66" s="143" t="s">
        <v>369</v>
      </c>
      <c r="C66" s="125" t="s">
        <v>748</v>
      </c>
      <c r="D66" s="125">
        <v>19</v>
      </c>
      <c r="E66" s="33">
        <f>(15+15+13+13+15+13+13+13+13+9+12)/11</f>
        <v>13.090909090909092</v>
      </c>
      <c r="F66" s="125">
        <v>9</v>
      </c>
      <c r="G66" s="125">
        <v>5</v>
      </c>
      <c r="H66" s="42">
        <f t="shared" si="4"/>
        <v>0.55555555555555558</v>
      </c>
    </row>
    <row r="67" spans="1:8" x14ac:dyDescent="0.25">
      <c r="A67" s="141">
        <v>43739</v>
      </c>
      <c r="B67" s="125" t="s">
        <v>749</v>
      </c>
      <c r="C67" s="143" t="s">
        <v>369</v>
      </c>
      <c r="D67" s="125">
        <v>18</v>
      </c>
      <c r="E67" s="33">
        <f t="shared" ref="E67:E73" si="5">(15+13+13+13+15+12+14+13+13+12+12)/11</f>
        <v>13.181818181818182</v>
      </c>
      <c r="F67" s="125">
        <v>7</v>
      </c>
      <c r="G67" s="125">
        <v>3</v>
      </c>
      <c r="H67" s="42">
        <f t="shared" si="4"/>
        <v>0.42857142857142855</v>
      </c>
    </row>
    <row r="68" spans="1:8" x14ac:dyDescent="0.25">
      <c r="A68" s="141">
        <v>43742</v>
      </c>
      <c r="B68" s="143" t="s">
        <v>369</v>
      </c>
      <c r="C68" s="125" t="s">
        <v>768</v>
      </c>
      <c r="D68" s="125">
        <v>19</v>
      </c>
      <c r="E68" s="33">
        <f t="shared" si="5"/>
        <v>13.181818181818182</v>
      </c>
      <c r="F68" s="125">
        <v>6</v>
      </c>
      <c r="G68" s="125">
        <v>3</v>
      </c>
      <c r="H68" s="42">
        <f t="shared" si="4"/>
        <v>0.5</v>
      </c>
    </row>
    <row r="69" spans="1:8" x14ac:dyDescent="0.25">
      <c r="A69" s="141">
        <v>43743</v>
      </c>
      <c r="B69" s="125" t="s">
        <v>749</v>
      </c>
      <c r="C69" s="143" t="s">
        <v>369</v>
      </c>
      <c r="D69" s="125">
        <v>18</v>
      </c>
      <c r="E69" s="33">
        <f t="shared" si="5"/>
        <v>13.181818181818182</v>
      </c>
      <c r="F69" s="125">
        <v>10</v>
      </c>
      <c r="G69" s="125">
        <v>3</v>
      </c>
      <c r="H69" s="42">
        <f t="shared" si="4"/>
        <v>0.3</v>
      </c>
    </row>
    <row r="70" spans="1:8" x14ac:dyDescent="0.25">
      <c r="A70" s="141">
        <v>43745</v>
      </c>
      <c r="B70" s="125" t="s">
        <v>769</v>
      </c>
      <c r="C70" s="143" t="s">
        <v>369</v>
      </c>
      <c r="D70" s="125">
        <v>19</v>
      </c>
      <c r="E70" s="33">
        <f t="shared" si="5"/>
        <v>13.181818181818182</v>
      </c>
      <c r="F70" s="125">
        <v>7</v>
      </c>
      <c r="G70" s="125">
        <v>4</v>
      </c>
      <c r="H70" s="42">
        <f t="shared" si="4"/>
        <v>0.5714285714285714</v>
      </c>
    </row>
    <row r="71" spans="1:8" x14ac:dyDescent="0.25">
      <c r="A71" s="141">
        <v>43745</v>
      </c>
      <c r="B71" s="125" t="s">
        <v>770</v>
      </c>
      <c r="C71" s="143" t="s">
        <v>369</v>
      </c>
      <c r="D71" s="125">
        <v>19</v>
      </c>
      <c r="E71" s="33">
        <f t="shared" si="5"/>
        <v>13.181818181818182</v>
      </c>
      <c r="F71" s="125">
        <v>7</v>
      </c>
      <c r="G71" s="125">
        <v>2</v>
      </c>
      <c r="H71" s="42">
        <f t="shared" si="4"/>
        <v>0.2857142857142857</v>
      </c>
    </row>
    <row r="72" spans="1:8" x14ac:dyDescent="0.25">
      <c r="A72" s="141">
        <v>43745</v>
      </c>
      <c r="B72" s="143" t="s">
        <v>369</v>
      </c>
      <c r="C72" s="125" t="s">
        <v>771</v>
      </c>
      <c r="D72" s="125">
        <v>19</v>
      </c>
      <c r="E72" s="33">
        <f t="shared" si="5"/>
        <v>13.181818181818182</v>
      </c>
      <c r="F72" s="125">
        <v>12</v>
      </c>
      <c r="G72" s="125">
        <v>3</v>
      </c>
      <c r="H72" s="42">
        <f t="shared" si="4"/>
        <v>0.25</v>
      </c>
    </row>
    <row r="73" spans="1:8" x14ac:dyDescent="0.25">
      <c r="A73" s="141">
        <v>43745</v>
      </c>
      <c r="B73" s="143" t="s">
        <v>369</v>
      </c>
      <c r="C73" s="125" t="s">
        <v>772</v>
      </c>
      <c r="D73" s="125">
        <v>19</v>
      </c>
      <c r="E73" s="33">
        <f t="shared" si="5"/>
        <v>13.181818181818182</v>
      </c>
      <c r="F73" s="125">
        <v>9</v>
      </c>
      <c r="G73" s="125">
        <v>5</v>
      </c>
      <c r="H73" s="42">
        <f t="shared" si="4"/>
        <v>0.55555555555555558</v>
      </c>
    </row>
    <row r="74" spans="1:8" x14ac:dyDescent="0.25">
      <c r="A74" s="141">
        <v>43746</v>
      </c>
      <c r="B74" s="125" t="s">
        <v>773</v>
      </c>
      <c r="C74" s="143" t="s">
        <v>369</v>
      </c>
      <c r="D74" s="125">
        <v>18</v>
      </c>
      <c r="E74" s="33">
        <f>(15+13+13+13+15+12+13+13+14+12+12)/11</f>
        <v>13.181818181818182</v>
      </c>
      <c r="F74" s="125">
        <v>9</v>
      </c>
      <c r="G74" s="125">
        <v>3</v>
      </c>
      <c r="H74" s="42">
        <f t="shared" si="4"/>
        <v>0.33333333333333331</v>
      </c>
    </row>
    <row r="75" spans="1:8" x14ac:dyDescent="0.25">
      <c r="A75" s="141">
        <v>43746</v>
      </c>
      <c r="B75" s="125" t="s">
        <v>774</v>
      </c>
      <c r="C75" s="143" t="s">
        <v>369</v>
      </c>
      <c r="D75" s="125">
        <v>19</v>
      </c>
      <c r="E75" s="33">
        <f>(15+13+13+13+15+12+13+13+14+12+12)/11</f>
        <v>13.181818181818182</v>
      </c>
      <c r="F75" s="125">
        <v>10</v>
      </c>
      <c r="G75" s="125">
        <v>5</v>
      </c>
      <c r="H75" s="42">
        <f t="shared" si="4"/>
        <v>0.5</v>
      </c>
    </row>
    <row r="76" spans="1:8" x14ac:dyDescent="0.25">
      <c r="A76" s="141">
        <v>43747</v>
      </c>
      <c r="B76" s="125" t="s">
        <v>909</v>
      </c>
      <c r="C76" s="143" t="s">
        <v>369</v>
      </c>
      <c r="D76" s="125">
        <v>19</v>
      </c>
      <c r="E76" s="33">
        <f t="shared" ref="E76:E86" si="6">(15+13+15+13+13+13+13+13+14+8+12)/11</f>
        <v>12.909090909090908</v>
      </c>
      <c r="F76" s="125">
        <v>10</v>
      </c>
      <c r="G76" s="125">
        <v>2</v>
      </c>
      <c r="H76" s="42">
        <f t="shared" si="4"/>
        <v>0.2</v>
      </c>
    </row>
    <row r="77" spans="1:8" x14ac:dyDescent="0.25">
      <c r="A77" s="141">
        <v>43748</v>
      </c>
      <c r="B77" s="143" t="s">
        <v>369</v>
      </c>
      <c r="C77" s="125" t="s">
        <v>910</v>
      </c>
      <c r="D77" s="125">
        <v>18</v>
      </c>
      <c r="E77" s="33">
        <f t="shared" si="6"/>
        <v>12.909090909090908</v>
      </c>
      <c r="F77" s="125">
        <v>8</v>
      </c>
      <c r="G77" s="125">
        <v>3</v>
      </c>
      <c r="H77" s="42">
        <f t="shared" si="4"/>
        <v>0.375</v>
      </c>
    </row>
    <row r="78" spans="1:8" x14ac:dyDescent="0.25">
      <c r="A78" s="141">
        <v>43748</v>
      </c>
      <c r="B78" s="143" t="s">
        <v>369</v>
      </c>
      <c r="C78" s="125" t="s">
        <v>911</v>
      </c>
      <c r="D78" s="125">
        <v>19</v>
      </c>
      <c r="E78" s="33">
        <f t="shared" si="6"/>
        <v>12.909090909090908</v>
      </c>
      <c r="F78" s="125">
        <v>7</v>
      </c>
      <c r="G78" s="125">
        <v>3</v>
      </c>
      <c r="H78" s="42">
        <f t="shared" si="4"/>
        <v>0.42857142857142855</v>
      </c>
    </row>
    <row r="79" spans="1:8" x14ac:dyDescent="0.25">
      <c r="A79" s="141">
        <v>43748</v>
      </c>
      <c r="B79" s="143" t="s">
        <v>369</v>
      </c>
      <c r="C79" s="125" t="s">
        <v>912</v>
      </c>
      <c r="D79" s="125">
        <v>19</v>
      </c>
      <c r="E79" s="33">
        <f t="shared" si="6"/>
        <v>12.909090909090908</v>
      </c>
      <c r="F79" s="125">
        <v>8</v>
      </c>
      <c r="G79" s="125">
        <v>3</v>
      </c>
      <c r="H79" s="42">
        <f t="shared" si="4"/>
        <v>0.375</v>
      </c>
    </row>
    <row r="80" spans="1:8" x14ac:dyDescent="0.25">
      <c r="A80" s="141">
        <v>43753</v>
      </c>
      <c r="B80" s="125" t="s">
        <v>913</v>
      </c>
      <c r="C80" s="143" t="s">
        <v>369</v>
      </c>
      <c r="D80" s="125">
        <v>18</v>
      </c>
      <c r="E80" s="33">
        <f t="shared" si="6"/>
        <v>12.909090909090908</v>
      </c>
      <c r="F80" s="125">
        <v>8</v>
      </c>
      <c r="G80" s="125">
        <v>3</v>
      </c>
      <c r="H80" s="42">
        <f t="shared" si="4"/>
        <v>0.375</v>
      </c>
    </row>
    <row r="81" spans="1:8" x14ac:dyDescent="0.25">
      <c r="A81" s="141">
        <v>43753</v>
      </c>
      <c r="B81" s="125" t="s">
        <v>914</v>
      </c>
      <c r="C81" s="143" t="s">
        <v>369</v>
      </c>
      <c r="D81" s="125">
        <v>19</v>
      </c>
      <c r="E81" s="33">
        <f t="shared" si="6"/>
        <v>12.909090909090908</v>
      </c>
      <c r="F81" s="125">
        <v>6</v>
      </c>
      <c r="G81" s="125">
        <v>1</v>
      </c>
      <c r="H81" s="42">
        <f t="shared" si="4"/>
        <v>0.16666666666666666</v>
      </c>
    </row>
    <row r="82" spans="1:8" x14ac:dyDescent="0.25">
      <c r="A82" s="141">
        <v>43753</v>
      </c>
      <c r="B82" s="125" t="s">
        <v>915</v>
      </c>
      <c r="C82" s="143" t="s">
        <v>369</v>
      </c>
      <c r="D82" s="125">
        <v>19</v>
      </c>
      <c r="E82" s="33">
        <f t="shared" si="6"/>
        <v>12.909090909090908</v>
      </c>
      <c r="F82" s="125">
        <v>9</v>
      </c>
      <c r="G82" s="125">
        <v>4</v>
      </c>
      <c r="H82" s="42">
        <f t="shared" si="4"/>
        <v>0.44444444444444442</v>
      </c>
    </row>
    <row r="83" spans="1:8" x14ac:dyDescent="0.25">
      <c r="A83" s="141">
        <v>43754</v>
      </c>
      <c r="B83" s="143" t="s">
        <v>369</v>
      </c>
      <c r="C83" s="125" t="s">
        <v>916</v>
      </c>
      <c r="D83" s="125">
        <v>19</v>
      </c>
      <c r="E83" s="33">
        <f t="shared" si="6"/>
        <v>12.909090909090908</v>
      </c>
      <c r="F83" s="125">
        <v>9</v>
      </c>
      <c r="G83" s="125">
        <v>4</v>
      </c>
      <c r="H83" s="42">
        <f t="shared" si="4"/>
        <v>0.44444444444444442</v>
      </c>
    </row>
    <row r="84" spans="1:8" x14ac:dyDescent="0.25">
      <c r="A84" s="141">
        <v>43754</v>
      </c>
      <c r="B84" s="125" t="s">
        <v>917</v>
      </c>
      <c r="C84" s="143" t="s">
        <v>369</v>
      </c>
      <c r="D84" s="125">
        <v>19</v>
      </c>
      <c r="E84" s="33">
        <f t="shared" si="6"/>
        <v>12.909090909090908</v>
      </c>
      <c r="F84" s="125">
        <v>7</v>
      </c>
      <c r="G84" s="125">
        <v>3</v>
      </c>
      <c r="H84" s="42">
        <f t="shared" si="4"/>
        <v>0.42857142857142855</v>
      </c>
    </row>
    <row r="85" spans="1:8" x14ac:dyDescent="0.25">
      <c r="A85" s="141">
        <v>43754</v>
      </c>
      <c r="B85" s="143" t="s">
        <v>369</v>
      </c>
      <c r="C85" s="125" t="s">
        <v>918</v>
      </c>
      <c r="D85" s="125">
        <v>19</v>
      </c>
      <c r="E85" s="33">
        <f t="shared" si="6"/>
        <v>12.909090909090908</v>
      </c>
      <c r="F85" s="125">
        <v>6</v>
      </c>
      <c r="G85" s="125">
        <v>2</v>
      </c>
      <c r="H85" s="42">
        <f t="shared" si="4"/>
        <v>0.33333333333333331</v>
      </c>
    </row>
    <row r="86" spans="1:8" x14ac:dyDescent="0.25">
      <c r="A86" s="141">
        <v>43755</v>
      </c>
      <c r="B86" s="143" t="s">
        <v>369</v>
      </c>
      <c r="C86" s="125" t="s">
        <v>919</v>
      </c>
      <c r="D86" s="125">
        <v>19</v>
      </c>
      <c r="E86" s="33">
        <f t="shared" si="6"/>
        <v>12.909090909090908</v>
      </c>
      <c r="F86" s="125">
        <v>8</v>
      </c>
      <c r="G86" s="125">
        <v>4</v>
      </c>
      <c r="H86" s="42">
        <f t="shared" si="4"/>
        <v>0.5</v>
      </c>
    </row>
    <row r="87" spans="1:8" x14ac:dyDescent="0.25">
      <c r="A87" s="141"/>
      <c r="B87" s="143"/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Hall_of_Fame</vt:lpstr>
      <vt:lpstr>Plantilla</vt:lpstr>
      <vt:lpstr>Juveniles</vt:lpstr>
      <vt:lpstr>V.252</vt:lpstr>
      <vt:lpstr>Planning</vt:lpstr>
      <vt:lpstr>Economia</vt:lpstr>
      <vt:lpstr>Capitán</vt:lpstr>
      <vt:lpstr>CA_Calcutator</vt:lpstr>
      <vt:lpstr>EstudioConversion</vt:lpstr>
      <vt:lpstr>El Tártaro</vt:lpstr>
      <vt:lpstr>Entrenador</vt:lpstr>
      <vt:lpstr>Banderas</vt:lpstr>
      <vt:lpstr>Evaluacion Jugadores</vt:lpstr>
      <vt:lpstr>LAT</vt:lpstr>
      <vt:lpstr>Delantero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2019-10-23T16:49:34Z</dcterms:modified>
</cp:coreProperties>
</file>