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7" activeTab="14"/>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PLANTILLA!$A$4:$AN$26</definedName>
    <definedName name="_xlnm._FilterDatabase" localSheetId="0" hidden="1">RecienPromocionados!$A$4:$D$22</definedName>
  </definedNames>
  <calcPr calcId="152511"/>
</workbook>
</file>

<file path=xl/calcChain.xml><?xml version="1.0" encoding="utf-8"?>
<calcChain xmlns="http://schemas.openxmlformats.org/spreadsheetml/2006/main">
  <c r="Y20" i="32" l="1"/>
  <c r="Y21" i="32"/>
  <c r="Y23" i="32"/>
  <c r="Y24" i="32"/>
  <c r="Y22" i="32"/>
  <c r="Y19" i="32"/>
  <c r="Y15" i="32"/>
  <c r="Y18" i="32"/>
  <c r="Y16" i="32"/>
  <c r="Y13" i="32"/>
  <c r="Y14" i="32"/>
  <c r="Y12" i="32"/>
  <c r="Y11" i="32"/>
  <c r="Y17" i="32"/>
  <c r="Y8" i="32"/>
  <c r="Y7" i="32"/>
  <c r="Y10" i="32"/>
  <c r="Y9" i="32"/>
  <c r="Y6" i="32"/>
  <c r="Y5" i="32"/>
  <c r="Z20" i="32" l="1"/>
  <c r="Z21" i="32"/>
  <c r="Z23" i="32"/>
  <c r="Z24" i="32"/>
  <c r="Z22" i="32"/>
  <c r="Z19" i="32"/>
  <c r="Z15" i="32"/>
  <c r="Z18" i="32"/>
  <c r="Z16" i="32"/>
  <c r="Z13" i="32"/>
  <c r="Z14" i="32"/>
  <c r="Z12" i="32"/>
  <c r="Z11" i="32"/>
  <c r="Z17" i="32"/>
  <c r="Z8" i="32"/>
  <c r="Z7" i="32"/>
  <c r="Z10" i="32"/>
  <c r="Z9" i="32"/>
  <c r="Z6" i="32"/>
  <c r="Z5" i="32"/>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20" i="32" l="1"/>
  <c r="AA21" i="32"/>
  <c r="AA23" i="32"/>
  <c r="AA22" i="32"/>
  <c r="AA24" i="32"/>
  <c r="AA19" i="32"/>
  <c r="AA15" i="32"/>
  <c r="AA18" i="32"/>
  <c r="AA13" i="32"/>
  <c r="AA14" i="32"/>
  <c r="AA12" i="32"/>
  <c r="AA11" i="32"/>
  <c r="AA17" i="32"/>
  <c r="AA8" i="32"/>
  <c r="AA7" i="32"/>
  <c r="AA10" i="32"/>
  <c r="AA9" i="32"/>
  <c r="AA5" i="32"/>
  <c r="AM6" i="32" l="1"/>
  <c r="AN6" i="32"/>
  <c r="AM8" i="32"/>
  <c r="AN8" i="32"/>
  <c r="AM9" i="32"/>
  <c r="AN9" i="32"/>
  <c r="AM10" i="32"/>
  <c r="AN10" i="32"/>
  <c r="AM11" i="32"/>
  <c r="AN11" i="32"/>
  <c r="AM12" i="32"/>
  <c r="AN12" i="32"/>
  <c r="AM13" i="32"/>
  <c r="AN13" i="32"/>
  <c r="AM14" i="32"/>
  <c r="AN14" i="32"/>
  <c r="AM15" i="32"/>
  <c r="AN15" i="32"/>
  <c r="AM16" i="32"/>
  <c r="AN16" i="32"/>
  <c r="AM17" i="32"/>
  <c r="AN17" i="32"/>
  <c r="AM18" i="32"/>
  <c r="AN18" i="32"/>
  <c r="AM19" i="32"/>
  <c r="AN19" i="32"/>
  <c r="AM20" i="32"/>
  <c r="AN20" i="32"/>
  <c r="AM22" i="32"/>
  <c r="AN22" i="32"/>
  <c r="AM24" i="32"/>
  <c r="AN24" i="32"/>
  <c r="AL6" i="32"/>
  <c r="AL8" i="32"/>
  <c r="AL11" i="32"/>
  <c r="AL15" i="32"/>
  <c r="AL16" i="32"/>
  <c r="AL19" i="32"/>
  <c r="AL20" i="32"/>
  <c r="AL22" i="32"/>
  <c r="AL24" i="32"/>
  <c r="AK6" i="32"/>
  <c r="AK8" i="32"/>
  <c r="AK11" i="32"/>
  <c r="AK15" i="32"/>
  <c r="AK16" i="32"/>
  <c r="AK19" i="32"/>
  <c r="AK20" i="32"/>
  <c r="AK22" i="32"/>
  <c r="AK24" i="32"/>
  <c r="AJ6" i="32"/>
  <c r="AJ8" i="32"/>
  <c r="AJ11" i="32"/>
  <c r="AJ15" i="32"/>
  <c r="AJ16" i="32"/>
  <c r="AJ19" i="32"/>
  <c r="AJ20" i="32"/>
  <c r="AJ22" i="32"/>
  <c r="AJ24" i="32"/>
  <c r="AH6" i="32"/>
  <c r="AI6" i="32"/>
  <c r="AH8" i="32"/>
  <c r="AI8" i="32"/>
  <c r="AH11" i="32"/>
  <c r="AI11" i="32"/>
  <c r="AH15" i="32"/>
  <c r="AI15" i="32"/>
  <c r="AH16" i="32"/>
  <c r="AI16" i="32"/>
  <c r="AH19" i="32"/>
  <c r="AI19" i="32"/>
  <c r="AH20" i="32"/>
  <c r="AI20" i="32"/>
  <c r="AH22" i="32"/>
  <c r="AI22" i="32"/>
  <c r="AH24" i="32"/>
  <c r="AI24" i="32"/>
  <c r="AF6" i="32"/>
  <c r="AG6" i="32"/>
  <c r="AF8" i="32"/>
  <c r="AG8" i="32"/>
  <c r="AF11" i="32"/>
  <c r="AG11" i="32"/>
  <c r="AF15" i="32"/>
  <c r="AG15" i="32"/>
  <c r="AF16" i="32"/>
  <c r="AG16" i="32"/>
  <c r="AF19" i="32"/>
  <c r="AG19" i="32"/>
  <c r="AF20" i="32"/>
  <c r="AG20" i="32"/>
  <c r="AF22" i="32"/>
  <c r="AG22" i="32"/>
  <c r="AF24" i="32"/>
  <c r="AG24" i="32"/>
  <c r="P23" i="32"/>
  <c r="P21" i="32"/>
  <c r="AF21" i="32" s="1"/>
  <c r="P7" i="32"/>
  <c r="P5" i="32"/>
  <c r="AN23" i="32" l="1"/>
  <c r="AN7" i="32"/>
  <c r="AM23" i="32"/>
  <c r="AM21" i="32"/>
  <c r="AM7" i="32"/>
  <c r="AN21" i="32"/>
  <c r="AN5" i="32"/>
  <c r="AL21" i="32"/>
  <c r="AM5" i="32"/>
  <c r="AK21" i="32"/>
  <c r="AJ21" i="32"/>
  <c r="AI21" i="32"/>
  <c r="AH21" i="32"/>
  <c r="AG21" i="32"/>
  <c r="R32" i="49" l="1"/>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1" i="32"/>
  <c r="W21" i="32"/>
  <c r="V21" i="32"/>
  <c r="U21" i="32"/>
  <c r="R21" i="32"/>
  <c r="S21" i="32"/>
  <c r="N21" i="32"/>
  <c r="J21" i="32"/>
  <c r="K21" i="32"/>
  <c r="L21" i="32"/>
  <c r="AS21" i="32"/>
  <c r="AT21" i="32" s="1"/>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Z18" i="111" l="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3" i="32" l="1"/>
  <c r="AB22"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20" i="32"/>
  <c r="AB14" i="32"/>
  <c r="I23" i="111" l="1"/>
  <c r="I23" i="110"/>
  <c r="I23" i="107"/>
  <c r="I10" i="107"/>
  <c r="I10" i="110"/>
  <c r="I6" i="111"/>
  <c r="AD23" i="32"/>
  <c r="AD24" i="32"/>
  <c r="AD22" i="32"/>
  <c r="AD15" i="32"/>
  <c r="AD18" i="32"/>
  <c r="AD16" i="32"/>
  <c r="AD13" i="32"/>
  <c r="AD14" i="32"/>
  <c r="AD12" i="32"/>
  <c r="AD17" i="32"/>
  <c r="AD8" i="32"/>
  <c r="AD7" i="32"/>
  <c r="AD10" i="32"/>
  <c r="AD9" i="32"/>
  <c r="AD5" i="32"/>
  <c r="K13" i="110" l="1"/>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0" i="32"/>
  <c r="AS22" i="32"/>
  <c r="AS23" i="32"/>
  <c r="AS24" i="32"/>
  <c r="AS5" i="32"/>
  <c r="G22" i="49" l="1"/>
  <c r="O26" i="49" s="1"/>
  <c r="AT24" i="32"/>
  <c r="AT6" i="32"/>
  <c r="AT7" i="32"/>
  <c r="AT8" i="32"/>
  <c r="AT9" i="32"/>
  <c r="AT10" i="32"/>
  <c r="AT11" i="32"/>
  <c r="AT12" i="32"/>
  <c r="AT13" i="32"/>
  <c r="AT14" i="32"/>
  <c r="AT15" i="32"/>
  <c r="AT16" i="32"/>
  <c r="AT17" i="32"/>
  <c r="AT18" i="32"/>
  <c r="AT19" i="32"/>
  <c r="AT20" i="32"/>
  <c r="AT22" i="32"/>
  <c r="AT23" i="32"/>
  <c r="AT5" i="32"/>
  <c r="A18" i="85" l="1"/>
  <c r="AB24"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5" i="32"/>
  <c r="V26" i="32" s="1"/>
  <c r="T25" i="32"/>
  <c r="AD19" i="32"/>
  <c r="AD11" i="32"/>
  <c r="AC9" i="32"/>
  <c r="K22" i="110" l="1"/>
  <c r="K22" i="107"/>
  <c r="K22" i="111"/>
  <c r="D17" i="102"/>
  <c r="K21" i="110"/>
  <c r="K21" i="107"/>
  <c r="K21" i="111"/>
  <c r="D16" i="102"/>
  <c r="J7" i="111"/>
  <c r="J17" i="110"/>
  <c r="J14" i="107"/>
  <c r="C13" i="102"/>
  <c r="U15" i="49"/>
  <c r="V4" i="49" l="1"/>
  <c r="V8" i="49"/>
  <c r="V13" i="49"/>
  <c r="V16" i="49"/>
  <c r="V22" i="49"/>
  <c r="V11" i="49"/>
  <c r="V20" i="49"/>
  <c r="V15" i="49"/>
  <c r="V5" i="49"/>
  <c r="V9" i="49"/>
  <c r="V12" i="49"/>
  <c r="V19" i="49"/>
  <c r="V3" i="49"/>
  <c r="V6" i="49"/>
  <c r="V14" i="49"/>
  <c r="V7" i="49"/>
  <c r="V10" i="49"/>
  <c r="V21" i="49"/>
  <c r="AB11" i="32" l="1"/>
  <c r="AB6" i="32"/>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4" i="32" l="1"/>
  <c r="AC22"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F9" i="102"/>
  <c r="C9" i="102"/>
  <c r="M9" i="102" s="1"/>
  <c r="J9" i="111"/>
  <c r="J9" i="110"/>
  <c r="J8" i="107"/>
  <c r="C8" i="102"/>
  <c r="M8" i="102" s="1"/>
  <c r="J16" i="111"/>
  <c r="J4" i="110"/>
  <c r="J6" i="107"/>
  <c r="F2" i="102"/>
  <c r="C2" i="102"/>
  <c r="M2" i="102" s="1"/>
  <c r="J18" i="111"/>
  <c r="J14" i="110"/>
  <c r="J19" i="107"/>
  <c r="J5" i="107"/>
  <c r="J5" i="110"/>
  <c r="J14" i="111"/>
  <c r="C5" i="102"/>
  <c r="M5" i="102" s="1"/>
  <c r="J6" i="111"/>
  <c r="J10" i="107"/>
  <c r="J10" i="110"/>
  <c r="C7" i="102"/>
  <c r="M7" i="102" s="1"/>
  <c r="J15" i="110"/>
  <c r="J17" i="107"/>
  <c r="J15" i="111"/>
  <c r="C20" i="102"/>
  <c r="J4" i="111"/>
  <c r="J16" i="110"/>
  <c r="J12" i="107"/>
  <c r="F14" i="102"/>
  <c r="C14" i="102"/>
  <c r="J10" i="111"/>
  <c r="J9" i="107"/>
  <c r="J8" i="110"/>
  <c r="F10" i="102"/>
  <c r="C10" i="102"/>
  <c r="M10" i="102" s="1"/>
  <c r="J13" i="110"/>
  <c r="J18" i="107"/>
  <c r="J17" i="111"/>
  <c r="F6" i="102"/>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0" i="32"/>
  <c r="J22" i="32"/>
  <c r="J23" i="32"/>
  <c r="J24" i="32"/>
  <c r="J5" i="32"/>
  <c r="AF23" i="32" l="1"/>
  <c r="AK23" i="32"/>
  <c r="AI23" i="32"/>
  <c r="AL23" i="32"/>
  <c r="AH23" i="32"/>
  <c r="AJ23" i="32"/>
  <c r="F4" i="102" s="1"/>
  <c r="AG23"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E11" i="102"/>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D5" i="83" s="1"/>
  <c r="B20" i="102"/>
  <c r="B2" i="83"/>
  <c r="C2" i="83"/>
  <c r="C7" i="83"/>
  <c r="B7" i="83"/>
  <c r="B13" i="102"/>
  <c r="B20" i="83"/>
  <c r="C20" i="83"/>
  <c r="D8" i="83" l="1"/>
  <c r="D19" i="83"/>
  <c r="D15" i="83"/>
  <c r="D3" i="83"/>
  <c r="D12" i="83"/>
  <c r="I5" i="83" s="1"/>
  <c r="N5" i="83" s="1"/>
  <c r="D18" i="83"/>
  <c r="D14" i="83"/>
  <c r="D9" i="83"/>
  <c r="D7" i="83"/>
  <c r="D10" i="83"/>
  <c r="D13" i="83"/>
  <c r="D11" i="83"/>
  <c r="D17" i="83"/>
  <c r="D4" i="83"/>
  <c r="D16" i="83"/>
  <c r="D6" i="83"/>
  <c r="I6" i="83" s="1"/>
  <c r="D2" i="83"/>
  <c r="U20" i="32"/>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5" i="32"/>
  <c r="AD20" i="32"/>
  <c r="AD6" i="32"/>
  <c r="K20" i="111" l="1"/>
  <c r="K20" i="110"/>
  <c r="K20" i="107"/>
  <c r="D12" i="102"/>
  <c r="K23" i="107"/>
  <c r="K23" i="110"/>
  <c r="K23" i="111"/>
  <c r="D19" i="102"/>
  <c r="Z10" i="110"/>
  <c r="Y10" i="110"/>
  <c r="Z9" i="107"/>
  <c r="Y9" i="107"/>
  <c r="Z10" i="108"/>
  <c r="Y10" i="108"/>
  <c r="AA10" i="108"/>
  <c r="AC20" i="32"/>
  <c r="AC19" i="32"/>
  <c r="AC11" i="32"/>
  <c r="J23" i="111" l="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2" i="32"/>
  <c r="U23" i="32"/>
  <c r="U24" i="32"/>
  <c r="U5" i="32"/>
  <c r="O23" i="49" l="1"/>
  <c r="Q1" i="32"/>
  <c r="O4" i="49" l="1"/>
  <c r="O20" i="49"/>
  <c r="O25" i="49"/>
  <c r="O22" i="49"/>
  <c r="O10" i="49"/>
  <c r="O3" i="49"/>
  <c r="O17" i="49"/>
  <c r="O6" i="49"/>
  <c r="O16" i="49"/>
  <c r="O18" i="49"/>
  <c r="O11" i="49"/>
  <c r="O8" i="49"/>
  <c r="O5" i="49"/>
  <c r="O14" i="49"/>
  <c r="O7" i="49"/>
  <c r="O13" i="49"/>
  <c r="O12"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2" i="49" l="1"/>
  <c r="U21" i="49"/>
  <c r="U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0" i="32"/>
  <c r="AQ22" i="32"/>
  <c r="AQ23" i="32"/>
  <c r="AQ24"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R20" i="32"/>
  <c r="E19" i="83" s="1"/>
  <c r="S20" i="32"/>
  <c r="R22" i="32"/>
  <c r="E10" i="83" s="1"/>
  <c r="S22" i="32"/>
  <c r="R23" i="32"/>
  <c r="E11" i="83" s="1"/>
  <c r="S23" i="32"/>
  <c r="R24" i="32"/>
  <c r="E8" i="83" s="1"/>
  <c r="S24"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1"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9" i="49"/>
  <c r="M40" i="78"/>
  <c r="N7" i="78"/>
  <c r="L40" i="78"/>
  <c r="I6" i="78"/>
  <c r="I13" i="78" s="1"/>
  <c r="U10" i="49"/>
  <c r="U20" i="49"/>
  <c r="U14" i="49"/>
  <c r="U12" i="49"/>
  <c r="U13" i="49"/>
  <c r="U6" i="49"/>
  <c r="U8" i="49"/>
  <c r="U5" i="49"/>
  <c r="U3" i="49"/>
  <c r="K40" i="78"/>
  <c r="N8" i="79"/>
  <c r="P8" i="79"/>
  <c r="O8" i="79"/>
  <c r="P7" i="79"/>
  <c r="C13" i="79" s="1"/>
  <c r="O7" i="79"/>
  <c r="F12" i="79" s="1"/>
  <c r="N6" i="79"/>
  <c r="O6" i="79" s="1"/>
  <c r="P6" i="79"/>
  <c r="E19" i="78"/>
  <c r="C19" i="78" s="1"/>
  <c r="F20" i="79" s="1"/>
  <c r="F21" i="78"/>
  <c r="F6" i="78"/>
  <c r="F26" i="78" s="1"/>
  <c r="G6" i="78"/>
  <c r="J40" i="78"/>
  <c r="W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2" i="32"/>
  <c r="W10" i="32"/>
  <c r="W8" i="32"/>
  <c r="W11" i="32"/>
  <c r="W20"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10" i="32" l="1"/>
  <c r="F19" i="32"/>
  <c r="F20" i="32"/>
  <c r="F5" i="32"/>
  <c r="F24" i="32"/>
  <c r="F9" i="32"/>
  <c r="F6" i="32"/>
  <c r="F21" i="32"/>
  <c r="D12" i="111" s="1"/>
  <c r="F7" i="32"/>
  <c r="D15" i="111" s="1"/>
  <c r="F13" i="32"/>
  <c r="F11" i="32"/>
  <c r="F23" i="32"/>
  <c r="F15" i="32"/>
  <c r="F14" i="32"/>
  <c r="F18" i="32"/>
  <c r="F17" i="32"/>
  <c r="F8" i="32"/>
  <c r="F22" i="32"/>
  <c r="F16" i="32"/>
  <c r="F12"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1"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4" i="32"/>
  <c r="C19" i="32"/>
  <c r="C22" i="32"/>
  <c r="C23" i="32"/>
  <c r="C15" i="32"/>
  <c r="C6" i="32"/>
  <c r="C8" i="32"/>
  <c r="C9" i="32"/>
  <c r="C10" i="32"/>
  <c r="C14" i="32"/>
  <c r="C13" i="32"/>
  <c r="C20"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<sst xmlns="http://schemas.openxmlformats.org/spreadsheetml/2006/main" count="4186" uniqueCount="881">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</sst>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3">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393389120"/>
        <c:axId val="393388336"/>
      </c:barChart>
      <c:catAx>
        <c:axId val="393389120"/>
        <c:scaling>
          <c:orientation val="minMax"/>
        </c:scaling>
        <c:delete val="0"/>
        <c:axPos val="b"/>
        <c:numFmt formatCode="General" sourceLinked="1"/>
        <c:majorTickMark val="out"/>
        <c:minorTickMark val="none"/>
        <c:tickLblPos val="nextTo"/>
        <c:crossAx val="393388336"/>
        <c:crosses val="autoZero"/>
        <c:auto val="1"/>
        <c:lblAlgn val="ctr"/>
        <c:lblOffset val="100"/>
        <c:noMultiLvlLbl val="0"/>
      </c:catAx>
      <c:valAx>
        <c:axId val="393388336"/>
        <c:scaling>
          <c:orientation val="minMax"/>
        </c:scaling>
        <c:delete val="0"/>
        <c:axPos val="l"/>
        <c:majorGridlines/>
        <c:numFmt formatCode="_-* #,##0\ [$€-C0A]_-;\-* #,##0\ [$€-C0A]_-;_-* &quot;-&quot;??\ [$€-C0A]_-;_-@_-" sourceLinked="1"/>
        <c:majorTickMark val="out"/>
        <c:minorTickMark val="none"/>
        <c:tickLblPos val="nextTo"/>
        <c:crossAx val="3933891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75566240"/>
        <c:axId val="475573296"/>
      </c:barChart>
      <c:catAx>
        <c:axId val="475566240"/>
        <c:scaling>
          <c:orientation val="minMax"/>
        </c:scaling>
        <c:delete val="0"/>
        <c:axPos val="b"/>
        <c:numFmt formatCode="General" sourceLinked="1"/>
        <c:majorTickMark val="out"/>
        <c:minorTickMark val="none"/>
        <c:tickLblPos val="nextTo"/>
        <c:crossAx val="475573296"/>
        <c:crosses val="autoZero"/>
        <c:auto val="1"/>
        <c:lblAlgn val="ctr"/>
        <c:lblOffset val="100"/>
        <c:noMultiLvlLbl val="0"/>
      </c:catAx>
      <c:valAx>
        <c:axId val="475573296"/>
        <c:scaling>
          <c:orientation val="minMax"/>
        </c:scaling>
        <c:delete val="0"/>
        <c:axPos val="l"/>
        <c:majorGridlines/>
        <c:numFmt formatCode="_-* #,##0\ [$€-C0A]_-;\-* #,##0\ [$€-C0A]_-;_-* &quot;-&quot;??\ [$€-C0A]_-;_-@_-" sourceLinked="1"/>
        <c:majorTickMark val="out"/>
        <c:minorTickMark val="none"/>
        <c:tickLblPos val="nextTo"/>
        <c:crossAx val="475566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475567416"/>
        <c:axId val="475568592"/>
      </c:barChart>
      <c:catAx>
        <c:axId val="475567416"/>
        <c:scaling>
          <c:orientation val="minMax"/>
        </c:scaling>
        <c:delete val="0"/>
        <c:axPos val="b"/>
        <c:numFmt formatCode="General" sourceLinked="1"/>
        <c:majorTickMark val="out"/>
        <c:minorTickMark val="none"/>
        <c:tickLblPos val="nextTo"/>
        <c:crossAx val="475568592"/>
        <c:crosses val="autoZero"/>
        <c:auto val="1"/>
        <c:lblAlgn val="ctr"/>
        <c:lblOffset val="100"/>
        <c:noMultiLvlLbl val="0"/>
      </c:catAx>
      <c:valAx>
        <c:axId val="475568592"/>
        <c:scaling>
          <c:orientation val="minMax"/>
        </c:scaling>
        <c:delete val="0"/>
        <c:axPos val="l"/>
        <c:majorGridlines/>
        <c:numFmt formatCode="_-* #,##0\ [$€-C0A]_-;\-* #,##0\ [$€-C0A]_-;_-* &quot;-&quot;??\ [$€-C0A]_-;_-@_-" sourceLinked="1"/>
        <c:majorTickMark val="out"/>
        <c:minorTickMark val="none"/>
        <c:tickLblPos val="nextTo"/>
        <c:crossAx val="4755674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75574864"/>
        <c:axId val="475575648"/>
      </c:barChart>
      <c:catAx>
        <c:axId val="475574864"/>
        <c:scaling>
          <c:orientation val="minMax"/>
        </c:scaling>
        <c:delete val="0"/>
        <c:axPos val="b"/>
        <c:numFmt formatCode="General" sourceLinked="1"/>
        <c:majorTickMark val="out"/>
        <c:minorTickMark val="none"/>
        <c:tickLblPos val="nextTo"/>
        <c:crossAx val="475575648"/>
        <c:crosses val="autoZero"/>
        <c:auto val="1"/>
        <c:lblAlgn val="ctr"/>
        <c:lblOffset val="100"/>
        <c:noMultiLvlLbl val="0"/>
      </c:catAx>
      <c:valAx>
        <c:axId val="475575648"/>
        <c:scaling>
          <c:orientation val="minMax"/>
        </c:scaling>
        <c:delete val="0"/>
        <c:axPos val="l"/>
        <c:majorGridlines/>
        <c:numFmt formatCode="_-* #,##0\ [$€-C0A]_-;\-* #,##0\ [$€-C0A]_-;_-* &quot;-&quot;??\ [$€-C0A]_-;_-@_-" sourceLinked="1"/>
        <c:majorTickMark val="out"/>
        <c:minorTickMark val="none"/>
        <c:tickLblPos val="nextTo"/>
        <c:crossAx val="4755748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475563888"/>
        <c:axId val="475569768"/>
      </c:barChart>
      <c:catAx>
        <c:axId val="475563888"/>
        <c:scaling>
          <c:orientation val="minMax"/>
        </c:scaling>
        <c:delete val="0"/>
        <c:axPos val="b"/>
        <c:numFmt formatCode="General" sourceLinked="1"/>
        <c:majorTickMark val="out"/>
        <c:minorTickMark val="none"/>
        <c:tickLblPos val="nextTo"/>
        <c:crossAx val="475569768"/>
        <c:crosses val="autoZero"/>
        <c:auto val="1"/>
        <c:lblAlgn val="ctr"/>
        <c:lblOffset val="100"/>
        <c:noMultiLvlLbl val="0"/>
      </c:catAx>
      <c:valAx>
        <c:axId val="475569768"/>
        <c:scaling>
          <c:orientation val="minMax"/>
        </c:scaling>
        <c:delete val="0"/>
        <c:axPos val="l"/>
        <c:majorGridlines/>
        <c:numFmt formatCode="_-* #,##0\ [$€-C0A]_-;\-* #,##0\ [$€-C0A]_-;_-* &quot;-&quot;??\ [$€-C0A]_-;_-@_-" sourceLinked="1"/>
        <c:majorTickMark val="out"/>
        <c:minorTickMark val="none"/>
        <c:tickLblPos val="nextTo"/>
        <c:crossAx val="4755638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475564672"/>
        <c:axId val="475568984"/>
      </c:barChart>
      <c:catAx>
        <c:axId val="475564672"/>
        <c:scaling>
          <c:orientation val="minMax"/>
        </c:scaling>
        <c:delete val="0"/>
        <c:axPos val="b"/>
        <c:numFmt formatCode="General" sourceLinked="1"/>
        <c:majorTickMark val="out"/>
        <c:minorTickMark val="none"/>
        <c:tickLblPos val="nextTo"/>
        <c:crossAx val="475568984"/>
        <c:crosses val="autoZero"/>
        <c:auto val="1"/>
        <c:lblAlgn val="ctr"/>
        <c:lblOffset val="100"/>
        <c:noMultiLvlLbl val="0"/>
      </c:catAx>
      <c:valAx>
        <c:axId val="475568984"/>
        <c:scaling>
          <c:orientation val="minMax"/>
        </c:scaling>
        <c:delete val="0"/>
        <c:axPos val="l"/>
        <c:majorGridlines/>
        <c:numFmt formatCode="_-* #,##0\ [$€-C0A]_-;\-* #,##0\ [$€-C0A]_-;_-* &quot;-&quot;??\ [$€-C0A]_-;_-@_-" sourceLinked="1"/>
        <c:majorTickMark val="out"/>
        <c:minorTickMark val="none"/>
        <c:tickLblPos val="nextTo"/>
        <c:crossAx val="475564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475565064"/>
        <c:axId val="475573688"/>
      </c:barChart>
      <c:catAx>
        <c:axId val="475565064"/>
        <c:scaling>
          <c:orientation val="minMax"/>
        </c:scaling>
        <c:delete val="0"/>
        <c:axPos val="b"/>
        <c:numFmt formatCode="General" sourceLinked="1"/>
        <c:majorTickMark val="out"/>
        <c:minorTickMark val="none"/>
        <c:tickLblPos val="nextTo"/>
        <c:crossAx val="475573688"/>
        <c:crosses val="autoZero"/>
        <c:auto val="1"/>
        <c:lblAlgn val="ctr"/>
        <c:lblOffset val="100"/>
        <c:noMultiLvlLbl val="0"/>
      </c:catAx>
      <c:valAx>
        <c:axId val="475573688"/>
        <c:scaling>
          <c:orientation val="minMax"/>
        </c:scaling>
        <c:delete val="0"/>
        <c:axPos val="l"/>
        <c:majorGridlines/>
        <c:numFmt formatCode="_-* #,##0\ [$€-C0A]_-;\-* #,##0\ [$€-C0A]_-;_-* &quot;-&quot;??\ [$€-C0A]_-;_-@_-" sourceLinked="1"/>
        <c:majorTickMark val="out"/>
        <c:minorTickMark val="none"/>
        <c:tickLblPos val="nextTo"/>
        <c:crossAx val="4755650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75570160"/>
        <c:axId val="475571728"/>
      </c:barChart>
      <c:catAx>
        <c:axId val="475570160"/>
        <c:scaling>
          <c:orientation val="minMax"/>
        </c:scaling>
        <c:delete val="0"/>
        <c:axPos val="b"/>
        <c:numFmt formatCode="General" sourceLinked="1"/>
        <c:majorTickMark val="out"/>
        <c:minorTickMark val="none"/>
        <c:tickLblPos val="nextTo"/>
        <c:crossAx val="475571728"/>
        <c:crosses val="autoZero"/>
        <c:auto val="1"/>
        <c:lblAlgn val="ctr"/>
        <c:lblOffset val="100"/>
        <c:noMultiLvlLbl val="0"/>
      </c:catAx>
      <c:valAx>
        <c:axId val="475571728"/>
        <c:scaling>
          <c:orientation val="minMax"/>
        </c:scaling>
        <c:delete val="0"/>
        <c:axPos val="l"/>
        <c:majorGridlines/>
        <c:numFmt formatCode="_-* #,##0\ [$€-C0A]_-;\-* #,##0\ [$€-C0A]_-;_-* &quot;-&quot;??\ [$€-C0A]_-;_-@_-" sourceLinked="1"/>
        <c:majorTickMark val="out"/>
        <c:minorTickMark val="none"/>
        <c:tickLblPos val="nextTo"/>
        <c:crossAx val="4755701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75572512"/>
        <c:axId val="475567808"/>
      </c:barChart>
      <c:catAx>
        <c:axId val="475572512"/>
        <c:scaling>
          <c:orientation val="minMax"/>
        </c:scaling>
        <c:delete val="0"/>
        <c:axPos val="b"/>
        <c:numFmt formatCode="General" sourceLinked="1"/>
        <c:majorTickMark val="out"/>
        <c:minorTickMark val="none"/>
        <c:tickLblPos val="nextTo"/>
        <c:crossAx val="475567808"/>
        <c:crosses val="autoZero"/>
        <c:auto val="1"/>
        <c:lblAlgn val="ctr"/>
        <c:lblOffset val="100"/>
        <c:noMultiLvlLbl val="0"/>
      </c:catAx>
      <c:valAx>
        <c:axId val="475567808"/>
        <c:scaling>
          <c:orientation val="minMax"/>
        </c:scaling>
        <c:delete val="0"/>
        <c:axPos val="l"/>
        <c:majorGridlines/>
        <c:numFmt formatCode="_-* #,##0\ [$€-C0A]_-;\-* #,##0\ [$€-C0A]_-;_-* &quot;-&quot;??\ [$€-C0A]_-;_-@_-" sourceLinked="1"/>
        <c:majorTickMark val="out"/>
        <c:minorTickMark val="none"/>
        <c:tickLblPos val="nextTo"/>
        <c:crossAx val="4755725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75578392"/>
        <c:axId val="475578000"/>
      </c:barChart>
      <c:catAx>
        <c:axId val="475578392"/>
        <c:scaling>
          <c:orientation val="minMax"/>
        </c:scaling>
        <c:delete val="0"/>
        <c:axPos val="b"/>
        <c:numFmt formatCode="General" sourceLinked="1"/>
        <c:majorTickMark val="out"/>
        <c:minorTickMark val="none"/>
        <c:tickLblPos val="nextTo"/>
        <c:crossAx val="475578000"/>
        <c:crosses val="autoZero"/>
        <c:auto val="1"/>
        <c:lblAlgn val="ctr"/>
        <c:lblOffset val="100"/>
        <c:noMultiLvlLbl val="0"/>
      </c:catAx>
      <c:valAx>
        <c:axId val="475578000"/>
        <c:scaling>
          <c:orientation val="minMax"/>
        </c:scaling>
        <c:delete val="0"/>
        <c:axPos val="l"/>
        <c:majorGridlines/>
        <c:numFmt formatCode="_-* #,##0\ [$€-C0A]_-;\-* #,##0\ [$€-C0A]_-;_-* &quot;-&quot;??\ [$€-C0A]_-;_-@_-" sourceLinked="1"/>
        <c:majorTickMark val="out"/>
        <c:minorTickMark val="none"/>
        <c:tickLblPos val="nextTo"/>
        <c:crossAx val="4755783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475578784"/>
        <c:axId val="475576432"/>
      </c:barChart>
      <c:catAx>
        <c:axId val="475578784"/>
        <c:scaling>
          <c:orientation val="minMax"/>
        </c:scaling>
        <c:delete val="0"/>
        <c:axPos val="b"/>
        <c:numFmt formatCode="General" sourceLinked="1"/>
        <c:majorTickMark val="out"/>
        <c:minorTickMark val="none"/>
        <c:tickLblPos val="nextTo"/>
        <c:crossAx val="475576432"/>
        <c:crosses val="autoZero"/>
        <c:auto val="1"/>
        <c:lblAlgn val="ctr"/>
        <c:lblOffset val="100"/>
        <c:noMultiLvlLbl val="0"/>
      </c:catAx>
      <c:valAx>
        <c:axId val="475576432"/>
        <c:scaling>
          <c:orientation val="minMax"/>
        </c:scaling>
        <c:delete val="0"/>
        <c:axPos val="l"/>
        <c:majorGridlines/>
        <c:numFmt formatCode="_-* #,##0\ [$€-C0A]_-;\-* #,##0\ [$€-C0A]_-;_-* &quot;-&quot;??\ [$€-C0A]_-;_-@_-" sourceLinked="1"/>
        <c:majorTickMark val="out"/>
        <c:minorTickMark val="none"/>
        <c:tickLblPos val="nextTo"/>
        <c:crossAx val="4755787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3386768"/>
        <c:axId val="393387552"/>
      </c:barChart>
      <c:catAx>
        <c:axId val="393386768"/>
        <c:scaling>
          <c:orientation val="minMax"/>
        </c:scaling>
        <c:delete val="0"/>
        <c:axPos val="b"/>
        <c:numFmt formatCode="General" sourceLinked="1"/>
        <c:majorTickMark val="out"/>
        <c:minorTickMark val="none"/>
        <c:tickLblPos val="nextTo"/>
        <c:crossAx val="393387552"/>
        <c:crosses val="autoZero"/>
        <c:auto val="1"/>
        <c:lblAlgn val="ctr"/>
        <c:lblOffset val="100"/>
        <c:noMultiLvlLbl val="0"/>
      </c:catAx>
      <c:valAx>
        <c:axId val="393387552"/>
        <c:scaling>
          <c:orientation val="minMax"/>
        </c:scaling>
        <c:delete val="0"/>
        <c:axPos val="l"/>
        <c:majorGridlines/>
        <c:numFmt formatCode="_-* #,##0\ [$€-C0A]_-;\-* #,##0\ [$€-C0A]_-;_-* &quot;-&quot;??\ [$€-C0A]_-;_-@_-" sourceLinked="1"/>
        <c:majorTickMark val="out"/>
        <c:minorTickMark val="none"/>
        <c:tickLblPos val="nextTo"/>
        <c:crossAx val="3933867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75576040"/>
        <c:axId val="475576824"/>
      </c:barChart>
      <c:catAx>
        <c:axId val="475576040"/>
        <c:scaling>
          <c:orientation val="minMax"/>
        </c:scaling>
        <c:delete val="0"/>
        <c:axPos val="b"/>
        <c:numFmt formatCode="General" sourceLinked="1"/>
        <c:majorTickMark val="out"/>
        <c:minorTickMark val="none"/>
        <c:tickLblPos val="nextTo"/>
        <c:crossAx val="475576824"/>
        <c:crosses val="autoZero"/>
        <c:auto val="1"/>
        <c:lblAlgn val="ctr"/>
        <c:lblOffset val="100"/>
        <c:noMultiLvlLbl val="0"/>
      </c:catAx>
      <c:valAx>
        <c:axId val="475576824"/>
        <c:scaling>
          <c:orientation val="minMax"/>
        </c:scaling>
        <c:delete val="0"/>
        <c:axPos val="l"/>
        <c:majorGridlines/>
        <c:numFmt formatCode="_-* #,##0\ [$€-C0A]_-;\-* #,##0\ [$€-C0A]_-;_-* &quot;-&quot;??\ [$€-C0A]_-;_-@_-" sourceLinked="1"/>
        <c:majorTickMark val="out"/>
        <c:minorTickMark val="none"/>
        <c:tickLblPos val="nextTo"/>
        <c:crossAx val="4755760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478787696"/>
        <c:axId val="478779856"/>
      </c:barChart>
      <c:catAx>
        <c:axId val="478787696"/>
        <c:scaling>
          <c:orientation val="minMax"/>
        </c:scaling>
        <c:delete val="0"/>
        <c:axPos val="b"/>
        <c:numFmt formatCode="General" sourceLinked="1"/>
        <c:majorTickMark val="out"/>
        <c:minorTickMark val="none"/>
        <c:tickLblPos val="nextTo"/>
        <c:crossAx val="478779856"/>
        <c:crosses val="autoZero"/>
        <c:auto val="1"/>
        <c:lblAlgn val="ctr"/>
        <c:lblOffset val="100"/>
        <c:noMultiLvlLbl val="0"/>
      </c:catAx>
      <c:valAx>
        <c:axId val="478779856"/>
        <c:scaling>
          <c:orientation val="minMax"/>
        </c:scaling>
        <c:delete val="0"/>
        <c:axPos val="l"/>
        <c:majorGridlines/>
        <c:numFmt formatCode="_-* #,##0\ [$€-C0A]_-;\-* #,##0\ [$€-C0A]_-;_-* &quot;-&quot;??\ [$€-C0A]_-;_-@_-" sourceLinked="1"/>
        <c:majorTickMark val="out"/>
        <c:minorTickMark val="none"/>
        <c:tickLblPos val="nextTo"/>
        <c:crossAx val="4787876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78789264"/>
        <c:axId val="478784168"/>
      </c:barChart>
      <c:catAx>
        <c:axId val="478789264"/>
        <c:scaling>
          <c:orientation val="minMax"/>
        </c:scaling>
        <c:delete val="0"/>
        <c:axPos val="b"/>
        <c:numFmt formatCode="General" sourceLinked="1"/>
        <c:majorTickMark val="out"/>
        <c:minorTickMark val="none"/>
        <c:tickLblPos val="nextTo"/>
        <c:crossAx val="478784168"/>
        <c:crosses val="autoZero"/>
        <c:auto val="1"/>
        <c:lblAlgn val="ctr"/>
        <c:lblOffset val="100"/>
        <c:noMultiLvlLbl val="0"/>
      </c:catAx>
      <c:valAx>
        <c:axId val="478784168"/>
        <c:scaling>
          <c:orientation val="minMax"/>
        </c:scaling>
        <c:delete val="0"/>
        <c:axPos val="l"/>
        <c:majorGridlines/>
        <c:numFmt formatCode="_-* #,##0\ [$€-C0A]_-;\-* #,##0\ [$€-C0A]_-;_-* &quot;-&quot;??\ [$€-C0A]_-;_-@_-" sourceLinked="1"/>
        <c:majorTickMark val="out"/>
        <c:minorTickMark val="none"/>
        <c:tickLblPos val="nextTo"/>
        <c:crossAx val="4787892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478778288"/>
        <c:axId val="478779072"/>
      </c:lineChart>
      <c:catAx>
        <c:axId val="478778288"/>
        <c:scaling>
          <c:orientation val="minMax"/>
        </c:scaling>
        <c:delete val="0"/>
        <c:axPos val="b"/>
        <c:numFmt formatCode="General" sourceLinked="0"/>
        <c:majorTickMark val="out"/>
        <c:minorTickMark val="none"/>
        <c:tickLblPos val="nextTo"/>
        <c:crossAx val="478779072"/>
        <c:crosses val="autoZero"/>
        <c:auto val="1"/>
        <c:lblAlgn val="ctr"/>
        <c:lblOffset val="100"/>
        <c:noMultiLvlLbl val="0"/>
      </c:catAx>
      <c:valAx>
        <c:axId val="478779072"/>
        <c:scaling>
          <c:orientation val="minMax"/>
          <c:min val="0"/>
        </c:scaling>
        <c:delete val="0"/>
        <c:axPos val="l"/>
        <c:majorGridlines/>
        <c:numFmt formatCode="General" sourceLinked="1"/>
        <c:majorTickMark val="out"/>
        <c:minorTickMark val="none"/>
        <c:tickLblPos val="nextTo"/>
        <c:crossAx val="47877828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3394608"/>
        <c:axId val="393384808"/>
      </c:barChart>
      <c:catAx>
        <c:axId val="393394608"/>
        <c:scaling>
          <c:orientation val="minMax"/>
        </c:scaling>
        <c:delete val="0"/>
        <c:axPos val="b"/>
        <c:numFmt formatCode="General" sourceLinked="1"/>
        <c:majorTickMark val="out"/>
        <c:minorTickMark val="none"/>
        <c:tickLblPos val="nextTo"/>
        <c:crossAx val="393384808"/>
        <c:crosses val="autoZero"/>
        <c:auto val="1"/>
        <c:lblAlgn val="ctr"/>
        <c:lblOffset val="100"/>
        <c:noMultiLvlLbl val="0"/>
      </c:catAx>
      <c:valAx>
        <c:axId val="393384808"/>
        <c:scaling>
          <c:orientation val="minMax"/>
        </c:scaling>
        <c:delete val="0"/>
        <c:axPos val="l"/>
        <c:majorGridlines/>
        <c:numFmt formatCode="_-* #,##0\ [$€-C0A]_-;\-* #,##0\ [$€-C0A]_-;_-* &quot;-&quot;??\ [$€-C0A]_-;_-@_-" sourceLinked="1"/>
        <c:majorTickMark val="out"/>
        <c:minorTickMark val="none"/>
        <c:tickLblPos val="nextTo"/>
        <c:crossAx val="3933946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3395000"/>
        <c:axId val="393390688"/>
      </c:barChart>
      <c:catAx>
        <c:axId val="393395000"/>
        <c:scaling>
          <c:orientation val="minMax"/>
        </c:scaling>
        <c:delete val="0"/>
        <c:axPos val="b"/>
        <c:numFmt formatCode="General" sourceLinked="1"/>
        <c:majorTickMark val="out"/>
        <c:minorTickMark val="none"/>
        <c:tickLblPos val="nextTo"/>
        <c:crossAx val="393390688"/>
        <c:crosses val="autoZero"/>
        <c:auto val="1"/>
        <c:lblAlgn val="ctr"/>
        <c:lblOffset val="100"/>
        <c:noMultiLvlLbl val="0"/>
      </c:catAx>
      <c:valAx>
        <c:axId val="393390688"/>
        <c:scaling>
          <c:orientation val="minMax"/>
        </c:scaling>
        <c:delete val="0"/>
        <c:axPos val="l"/>
        <c:majorGridlines/>
        <c:numFmt formatCode="_-* #,##0\ [$€-C0A]_-;\-* #,##0\ [$€-C0A]_-;_-* &quot;-&quot;??\ [$€-C0A]_-;_-@_-" sourceLinked="1"/>
        <c:majorTickMark val="out"/>
        <c:minorTickMark val="none"/>
        <c:tickLblPos val="nextTo"/>
        <c:crossAx val="3933950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393384416"/>
        <c:axId val="393391472"/>
      </c:barChart>
      <c:catAx>
        <c:axId val="393384416"/>
        <c:scaling>
          <c:orientation val="minMax"/>
        </c:scaling>
        <c:delete val="0"/>
        <c:axPos val="b"/>
        <c:numFmt formatCode="General" sourceLinked="1"/>
        <c:majorTickMark val="out"/>
        <c:minorTickMark val="none"/>
        <c:tickLblPos val="nextTo"/>
        <c:crossAx val="393391472"/>
        <c:crosses val="autoZero"/>
        <c:auto val="1"/>
        <c:lblAlgn val="ctr"/>
        <c:lblOffset val="100"/>
        <c:noMultiLvlLbl val="0"/>
      </c:catAx>
      <c:valAx>
        <c:axId val="393391472"/>
        <c:scaling>
          <c:orientation val="minMax"/>
        </c:scaling>
        <c:delete val="0"/>
        <c:axPos val="l"/>
        <c:majorGridlines/>
        <c:numFmt formatCode="_-* #,##0\ [$€-C0A]_-;\-* #,##0\ [$€-C0A]_-;_-* &quot;-&quot;??\ [$€-C0A]_-;_-@_-" sourceLinked="1"/>
        <c:majorTickMark val="out"/>
        <c:minorTickMark val="none"/>
        <c:tickLblPos val="nextTo"/>
        <c:crossAx val="3933844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3391080"/>
        <c:axId val="393390296"/>
      </c:barChart>
      <c:catAx>
        <c:axId val="393391080"/>
        <c:scaling>
          <c:orientation val="minMax"/>
        </c:scaling>
        <c:delete val="0"/>
        <c:axPos val="b"/>
        <c:numFmt formatCode="General" sourceLinked="1"/>
        <c:majorTickMark val="out"/>
        <c:minorTickMark val="none"/>
        <c:tickLblPos val="nextTo"/>
        <c:crossAx val="393390296"/>
        <c:crosses val="autoZero"/>
        <c:auto val="1"/>
        <c:lblAlgn val="ctr"/>
        <c:lblOffset val="100"/>
        <c:noMultiLvlLbl val="0"/>
      </c:catAx>
      <c:valAx>
        <c:axId val="393390296"/>
        <c:scaling>
          <c:orientation val="minMax"/>
        </c:scaling>
        <c:delete val="0"/>
        <c:axPos val="l"/>
        <c:majorGridlines/>
        <c:numFmt formatCode="_-* #,##0\ [$€-C0A]_-;\-* #,##0\ [$€-C0A]_-;_-* &quot;-&quot;??\ [$€-C0A]_-;_-@_-" sourceLinked="1"/>
        <c:majorTickMark val="out"/>
        <c:minorTickMark val="none"/>
        <c:tickLblPos val="nextTo"/>
        <c:crossAx val="3933910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3385592"/>
        <c:axId val="475565848"/>
      </c:barChart>
      <c:catAx>
        <c:axId val="393385592"/>
        <c:scaling>
          <c:orientation val="minMax"/>
        </c:scaling>
        <c:delete val="0"/>
        <c:axPos val="b"/>
        <c:numFmt formatCode="General" sourceLinked="1"/>
        <c:majorTickMark val="out"/>
        <c:minorTickMark val="none"/>
        <c:tickLblPos val="nextTo"/>
        <c:crossAx val="475565848"/>
        <c:crosses val="autoZero"/>
        <c:auto val="1"/>
        <c:lblAlgn val="ctr"/>
        <c:lblOffset val="100"/>
        <c:noMultiLvlLbl val="0"/>
      </c:catAx>
      <c:valAx>
        <c:axId val="475565848"/>
        <c:scaling>
          <c:orientation val="minMax"/>
        </c:scaling>
        <c:delete val="0"/>
        <c:axPos val="l"/>
        <c:majorGridlines/>
        <c:numFmt formatCode="_-* #,##0\ [$€-C0A]_-;\-* #,##0\ [$€-C0A]_-;_-* &quot;-&quot;??\ [$€-C0A]_-;_-@_-" sourceLinked="1"/>
        <c:majorTickMark val="out"/>
        <c:minorTickMark val="none"/>
        <c:tickLblPos val="nextTo"/>
        <c:crossAx val="3933855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475567024"/>
        <c:axId val="475570552"/>
      </c:barChart>
      <c:catAx>
        <c:axId val="475567024"/>
        <c:scaling>
          <c:orientation val="minMax"/>
        </c:scaling>
        <c:delete val="0"/>
        <c:axPos val="b"/>
        <c:numFmt formatCode="General" sourceLinked="1"/>
        <c:majorTickMark val="out"/>
        <c:minorTickMark val="none"/>
        <c:tickLblPos val="nextTo"/>
        <c:crossAx val="475570552"/>
        <c:crosses val="autoZero"/>
        <c:auto val="1"/>
        <c:lblAlgn val="ctr"/>
        <c:lblOffset val="100"/>
        <c:noMultiLvlLbl val="0"/>
      </c:catAx>
      <c:valAx>
        <c:axId val="475570552"/>
        <c:scaling>
          <c:orientation val="minMax"/>
        </c:scaling>
        <c:delete val="0"/>
        <c:axPos val="l"/>
        <c:majorGridlines/>
        <c:numFmt formatCode="_-* #,##0\ [$€-C0A]_-;\-* #,##0\ [$€-C0A]_-;_-* &quot;-&quot;??\ [$€-C0A]_-;_-@_-" sourceLinked="1"/>
        <c:majorTickMark val="out"/>
        <c:minorTickMark val="none"/>
        <c:tickLblPos val="nextTo"/>
        <c:crossAx val="4755670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475570944"/>
        <c:axId val="475568200"/>
      </c:barChart>
      <c:catAx>
        <c:axId val="475570944"/>
        <c:scaling>
          <c:orientation val="minMax"/>
        </c:scaling>
        <c:delete val="0"/>
        <c:axPos val="b"/>
        <c:numFmt formatCode="General" sourceLinked="1"/>
        <c:majorTickMark val="out"/>
        <c:minorTickMark val="none"/>
        <c:tickLblPos val="nextTo"/>
        <c:crossAx val="475568200"/>
        <c:crosses val="autoZero"/>
        <c:auto val="1"/>
        <c:lblAlgn val="ctr"/>
        <c:lblOffset val="100"/>
        <c:noMultiLvlLbl val="0"/>
      </c:catAx>
      <c:valAx>
        <c:axId val="475568200"/>
        <c:scaling>
          <c:orientation val="minMax"/>
        </c:scaling>
        <c:delete val="0"/>
        <c:axPos val="l"/>
        <c:majorGridlines/>
        <c:numFmt formatCode="_-* #,##0\ [$€-C0A]_-;\-* #,##0\ [$€-C0A]_-;_-* &quot;-&quot;??\ [$€-C0A]_-;_-@_-" sourceLinked="1"/>
        <c:majorTickMark val="out"/>
        <c:minorTickMark val="none"/>
        <c:tickLblPos val="nextTo"/>
        <c:crossAx val="4755709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8" bestFit="1" customWidth="1"/>
    <col min="7" max="7" width="4.5703125" bestFit="1" customWidth="1"/>
    <col min="8" max="8" width="5.5703125" style="508" bestFit="1" customWidth="1"/>
    <col min="9" max="9" width="5" bestFit="1" customWidth="1"/>
    <col min="10" max="10" width="4.5703125" bestFit="1" customWidth="1"/>
    <col min="11" max="11" width="10.7109375" bestFit="1" customWidth="1"/>
    <col min="12" max="12" width="8.42578125" style="508"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7">
        <f ca="1">TODAY()</f>
        <v>43091</v>
      </c>
      <c r="D1" s="681">
        <v>41471</v>
      </c>
      <c r="E1" s="681"/>
      <c r="F1" s="681"/>
      <c r="H1" s="285"/>
    </row>
    <row r="2" spans="1:17" s="3" customFormat="1" x14ac:dyDescent="0.25">
      <c r="A2" s="3">
        <v>16</v>
      </c>
      <c r="B2" s="285"/>
      <c r="C2" s="314"/>
      <c r="D2" s="297"/>
      <c r="E2" s="297"/>
    </row>
    <row r="3" spans="1:17" s="253" customFormat="1" x14ac:dyDescent="0.25">
      <c r="A3" s="298"/>
      <c r="B3" s="298" t="s">
        <v>435</v>
      </c>
      <c r="C3" s="294" t="s">
        <v>542</v>
      </c>
      <c r="D3" s="262" t="s">
        <v>502</v>
      </c>
      <c r="F3" s="509"/>
      <c r="J3" s="521" t="s">
        <v>502</v>
      </c>
    </row>
    <row r="4" spans="1:17" x14ac:dyDescent="0.25">
      <c r="A4" s="299" t="s">
        <v>413</v>
      </c>
      <c r="B4" s="299" t="s">
        <v>276</v>
      </c>
      <c r="C4" s="301" t="s">
        <v>179</v>
      </c>
      <c r="D4" s="299" t="s">
        <v>182</v>
      </c>
      <c r="E4" s="419" t="s">
        <v>716</v>
      </c>
      <c r="F4" s="419" t="s">
        <v>715</v>
      </c>
      <c r="G4" s="419" t="s">
        <v>717</v>
      </c>
      <c r="H4" s="419" t="s">
        <v>689</v>
      </c>
      <c r="I4" s="419" t="s">
        <v>62</v>
      </c>
      <c r="J4" s="299" t="s">
        <v>182</v>
      </c>
      <c r="K4" s="522" t="s">
        <v>1</v>
      </c>
      <c r="L4" s="522" t="s">
        <v>2</v>
      </c>
      <c r="M4" s="522" t="s">
        <v>697</v>
      </c>
      <c r="N4" s="522" t="s">
        <v>569</v>
      </c>
      <c r="O4" s="522" t="s">
        <v>698</v>
      </c>
      <c r="P4" s="522" t="s">
        <v>578</v>
      </c>
      <c r="Q4" s="522" t="s">
        <v>0</v>
      </c>
    </row>
    <row r="5" spans="1:17" s="248" customFormat="1" x14ac:dyDescent="0.25">
      <c r="A5" s="384" t="s">
        <v>484</v>
      </c>
      <c r="B5" s="384" t="s">
        <v>1</v>
      </c>
      <c r="C5" s="448" t="s">
        <v>266</v>
      </c>
      <c r="D5" s="388" t="s">
        <v>174</v>
      </c>
      <c r="E5" s="513">
        <v>41400</v>
      </c>
      <c r="F5" s="592">
        <f ca="1">TODAY()-E5</f>
        <v>1691</v>
      </c>
      <c r="G5" s="593">
        <f ca="1">F5/112</f>
        <v>15.098214285714286</v>
      </c>
      <c r="H5" s="510">
        <v>19</v>
      </c>
      <c r="I5" s="510">
        <v>11</v>
      </c>
      <c r="J5" s="388" t="s">
        <v>174</v>
      </c>
      <c r="K5" s="523" t="s">
        <v>718</v>
      </c>
      <c r="L5" s="562" t="s">
        <v>419</v>
      </c>
      <c r="M5" s="523"/>
      <c r="N5" s="523"/>
      <c r="O5" s="523"/>
      <c r="P5" s="523"/>
      <c r="Q5" s="523"/>
    </row>
    <row r="6" spans="1:17" s="263" customFormat="1" x14ac:dyDescent="0.25">
      <c r="A6" s="384" t="s">
        <v>403</v>
      </c>
      <c r="B6" s="384" t="s">
        <v>1</v>
      </c>
      <c r="C6" s="448" t="s">
        <v>267</v>
      </c>
      <c r="D6" s="388" t="s">
        <v>502</v>
      </c>
      <c r="E6" s="513">
        <v>41400</v>
      </c>
      <c r="F6" s="592">
        <f t="shared" ref="F6:F20" ca="1" si="0">TODAY()-E6</f>
        <v>1691</v>
      </c>
      <c r="G6" s="593">
        <f t="shared" ref="G6:G20" ca="1" si="1">F6/112</f>
        <v>15.098214285714286</v>
      </c>
      <c r="H6" s="321">
        <v>20</v>
      </c>
      <c r="I6" s="321">
        <v>2</v>
      </c>
      <c r="J6" s="388" t="s">
        <v>502</v>
      </c>
      <c r="K6" s="523" t="s">
        <v>718</v>
      </c>
      <c r="L6" s="358" t="s">
        <v>419</v>
      </c>
      <c r="M6" s="524"/>
      <c r="N6" s="524"/>
      <c r="O6" s="524"/>
      <c r="P6" s="524"/>
      <c r="Q6" s="524"/>
    </row>
    <row r="7" spans="1:17" s="254" customFormat="1" x14ac:dyDescent="0.25">
      <c r="A7" s="305" t="s">
        <v>412</v>
      </c>
      <c r="B7" s="260" t="s">
        <v>2</v>
      </c>
      <c r="C7" s="449" t="s">
        <v>275</v>
      </c>
      <c r="D7" s="262" t="s">
        <v>502</v>
      </c>
      <c r="E7" s="514">
        <v>41519</v>
      </c>
      <c r="F7" s="592">
        <f t="shared" ca="1" si="0"/>
        <v>1572</v>
      </c>
      <c r="G7" s="593">
        <f t="shared" ca="1" si="1"/>
        <v>14.035714285714286</v>
      </c>
      <c r="H7" s="511">
        <f>24-7</f>
        <v>17</v>
      </c>
      <c r="I7" s="511">
        <f>102-(5*7+1)</f>
        <v>66</v>
      </c>
      <c r="J7" s="262" t="s">
        <v>502</v>
      </c>
      <c r="K7" s="523"/>
      <c r="L7" s="523" t="s">
        <v>418</v>
      </c>
      <c r="M7" s="523" t="s">
        <v>417</v>
      </c>
      <c r="N7" s="523"/>
      <c r="O7" s="523" t="s">
        <v>418</v>
      </c>
      <c r="P7" s="523" t="s">
        <v>417</v>
      </c>
      <c r="Q7" s="523"/>
    </row>
    <row r="8" spans="1:17" s="246" customFormat="1" x14ac:dyDescent="0.25">
      <c r="A8" s="384" t="s">
        <v>405</v>
      </c>
      <c r="B8" s="260" t="s">
        <v>2</v>
      </c>
      <c r="C8" s="449" t="s">
        <v>273</v>
      </c>
      <c r="D8" s="262"/>
      <c r="E8" s="514">
        <v>41527</v>
      </c>
      <c r="F8" s="592">
        <f t="shared" ca="1" si="0"/>
        <v>1564</v>
      </c>
      <c r="G8" s="593">
        <f t="shared" ca="1" si="1"/>
        <v>13.964285714285714</v>
      </c>
      <c r="H8" s="511">
        <f>24-7</f>
        <v>17</v>
      </c>
      <c r="I8" s="511">
        <f>41-(4*7)</f>
        <v>13</v>
      </c>
      <c r="J8" s="262"/>
      <c r="K8" s="523"/>
      <c r="L8" s="523" t="s">
        <v>416</v>
      </c>
      <c r="M8" s="523"/>
      <c r="N8" s="523" t="s">
        <v>718</v>
      </c>
      <c r="O8" s="523" t="s">
        <v>416</v>
      </c>
      <c r="P8" s="523" t="s">
        <v>482</v>
      </c>
      <c r="Q8" s="523"/>
    </row>
    <row r="9" spans="1:17" s="247" customFormat="1" x14ac:dyDescent="0.25">
      <c r="A9" s="384" t="s">
        <v>504</v>
      </c>
      <c r="B9" s="384" t="s">
        <v>2</v>
      </c>
      <c r="C9" s="448" t="s">
        <v>269</v>
      </c>
      <c r="D9" s="388"/>
      <c r="E9" s="515">
        <v>41539</v>
      </c>
      <c r="F9" s="592">
        <f t="shared" ca="1" si="0"/>
        <v>1552</v>
      </c>
      <c r="G9" s="593">
        <f t="shared" ca="1" si="1"/>
        <v>13.857142857142858</v>
      </c>
      <c r="H9" s="444">
        <f>24-7</f>
        <v>17</v>
      </c>
      <c r="I9" s="444">
        <v>40</v>
      </c>
      <c r="J9" s="388"/>
      <c r="K9" s="523"/>
      <c r="L9" s="565" t="s">
        <v>231</v>
      </c>
      <c r="M9" s="523" t="s">
        <v>416</v>
      </c>
      <c r="N9" s="523" t="s">
        <v>418</v>
      </c>
      <c r="O9" s="523" t="s">
        <v>418</v>
      </c>
      <c r="P9" s="523" t="s">
        <v>417</v>
      </c>
      <c r="Q9" s="523"/>
    </row>
    <row r="10" spans="1:17" s="264" customFormat="1" x14ac:dyDescent="0.25">
      <c r="A10" s="384" t="s">
        <v>404</v>
      </c>
      <c r="B10" s="384" t="s">
        <v>64</v>
      </c>
      <c r="C10" s="448" t="s">
        <v>272</v>
      </c>
      <c r="D10" s="388"/>
      <c r="E10" s="517">
        <v>41552</v>
      </c>
      <c r="F10" s="592">
        <f t="shared" ca="1" si="0"/>
        <v>1539</v>
      </c>
      <c r="G10" s="593">
        <f t="shared" ca="1" si="1"/>
        <v>13.741071428571429</v>
      </c>
      <c r="H10" s="321">
        <f>24-7</f>
        <v>17</v>
      </c>
      <c r="I10" s="321">
        <v>2</v>
      </c>
      <c r="J10" s="388"/>
      <c r="K10" s="523"/>
      <c r="L10" s="523" t="s">
        <v>482</v>
      </c>
      <c r="M10" s="563" t="s">
        <v>419</v>
      </c>
      <c r="N10" s="523" t="s">
        <v>417</v>
      </c>
      <c r="O10" s="523" t="s">
        <v>417</v>
      </c>
      <c r="P10" s="523" t="s">
        <v>417</v>
      </c>
      <c r="Q10" s="523"/>
    </row>
    <row r="11" spans="1:17" s="264" customFormat="1" ht="15.75" x14ac:dyDescent="0.25">
      <c r="A11" s="384" t="s">
        <v>408</v>
      </c>
      <c r="B11" s="384" t="s">
        <v>65</v>
      </c>
      <c r="C11" s="448" t="s">
        <v>270</v>
      </c>
      <c r="D11" s="388" t="s">
        <v>271</v>
      </c>
      <c r="E11" s="516">
        <v>41583</v>
      </c>
      <c r="F11" s="592">
        <f t="shared" ca="1" si="0"/>
        <v>1508</v>
      </c>
      <c r="G11" s="593">
        <f t="shared" ca="1" si="1"/>
        <v>13.464285714285714</v>
      </c>
      <c r="H11" s="512">
        <f>23-6</f>
        <v>17</v>
      </c>
      <c r="I11" s="512">
        <v>46</v>
      </c>
      <c r="J11" s="388" t="s">
        <v>271</v>
      </c>
      <c r="K11" s="526"/>
      <c r="L11" s="564" t="s">
        <v>419</v>
      </c>
      <c r="M11" s="526" t="s">
        <v>417</v>
      </c>
      <c r="N11" s="526" t="s">
        <v>416</v>
      </c>
      <c r="O11" s="564" t="s">
        <v>419</v>
      </c>
      <c r="P11" s="564" t="s">
        <v>419</v>
      </c>
      <c r="Q11" s="526" t="s">
        <v>417</v>
      </c>
    </row>
    <row r="12" spans="1:17" s="254" customFormat="1" ht="15.75" x14ac:dyDescent="0.25">
      <c r="A12" s="305" t="s">
        <v>407</v>
      </c>
      <c r="B12" s="384" t="s">
        <v>64</v>
      </c>
      <c r="C12" s="448" t="s">
        <v>285</v>
      </c>
      <c r="D12" s="388" t="s">
        <v>268</v>
      </c>
      <c r="E12" s="517">
        <v>41653</v>
      </c>
      <c r="F12" s="592">
        <f t="shared" ca="1" si="0"/>
        <v>1438</v>
      </c>
      <c r="G12" s="593">
        <f t="shared" ca="1" si="1"/>
        <v>12.839285714285714</v>
      </c>
      <c r="H12" s="321">
        <v>18</v>
      </c>
      <c r="I12" s="321">
        <v>109</v>
      </c>
      <c r="J12" s="388" t="s">
        <v>268</v>
      </c>
      <c r="K12" s="526"/>
      <c r="L12" s="526" t="s">
        <v>417</v>
      </c>
      <c r="M12" s="567" t="s">
        <v>232</v>
      </c>
      <c r="N12" s="526" t="s">
        <v>416</v>
      </c>
      <c r="O12" s="526"/>
      <c r="P12" s="526" t="s">
        <v>418</v>
      </c>
      <c r="Q12" s="526" t="s">
        <v>416</v>
      </c>
    </row>
    <row r="13" spans="1:17" s="263" customFormat="1" ht="15.75" x14ac:dyDescent="0.25">
      <c r="A13" s="384" t="s">
        <v>506</v>
      </c>
      <c r="B13" s="384" t="s">
        <v>66</v>
      </c>
      <c r="C13" s="448" t="s">
        <v>287</v>
      </c>
      <c r="D13" s="388" t="s">
        <v>296</v>
      </c>
      <c r="E13" s="514">
        <v>41664</v>
      </c>
      <c r="F13" s="592">
        <f t="shared" ca="1" si="0"/>
        <v>1427</v>
      </c>
      <c r="G13" s="593">
        <f t="shared" ca="1" si="1"/>
        <v>12.741071428571429</v>
      </c>
      <c r="H13" s="511">
        <f>23-6</f>
        <v>17</v>
      </c>
      <c r="I13" s="511">
        <v>14</v>
      </c>
      <c r="J13" s="388" t="s">
        <v>296</v>
      </c>
      <c r="K13" s="526"/>
      <c r="L13" s="564" t="s">
        <v>419</v>
      </c>
      <c r="M13" s="526" t="s">
        <v>417</v>
      </c>
      <c r="N13" s="526" t="s">
        <v>417</v>
      </c>
      <c r="O13" s="566" t="s">
        <v>231</v>
      </c>
      <c r="P13" s="526" t="s">
        <v>417</v>
      </c>
      <c r="Q13" s="526" t="s">
        <v>232</v>
      </c>
    </row>
    <row r="14" spans="1:17" s="264" customFormat="1" ht="15.75" x14ac:dyDescent="0.25">
      <c r="A14" s="305" t="s">
        <v>411</v>
      </c>
      <c r="B14" s="260" t="s">
        <v>64</v>
      </c>
      <c r="C14" s="449" t="s">
        <v>400</v>
      </c>
      <c r="D14" s="262"/>
      <c r="E14" s="517">
        <v>41686</v>
      </c>
      <c r="F14" s="592">
        <f t="shared" ca="1" si="0"/>
        <v>1405</v>
      </c>
      <c r="G14" s="593">
        <f t="shared" ca="1" si="1"/>
        <v>12.544642857142858</v>
      </c>
      <c r="H14" s="321">
        <v>17</v>
      </c>
      <c r="I14" s="321">
        <v>111</v>
      </c>
      <c r="J14" s="262"/>
      <c r="K14" s="526"/>
      <c r="L14" s="526" t="s">
        <v>482</v>
      </c>
      <c r="M14" s="566" t="s">
        <v>231</v>
      </c>
      <c r="N14" s="527" t="s">
        <v>417</v>
      </c>
      <c r="O14" s="566" t="s">
        <v>231</v>
      </c>
      <c r="P14" s="526" t="s">
        <v>482</v>
      </c>
      <c r="Q14" s="527" t="s">
        <v>417</v>
      </c>
    </row>
    <row r="15" spans="1:17" ht="15.75" x14ac:dyDescent="0.25">
      <c r="A15" s="384" t="s">
        <v>410</v>
      </c>
      <c r="B15" s="384" t="s">
        <v>65</v>
      </c>
      <c r="C15" s="448" t="s">
        <v>298</v>
      </c>
      <c r="D15" s="388" t="s">
        <v>268</v>
      </c>
      <c r="E15" s="514">
        <v>41722</v>
      </c>
      <c r="F15" s="592">
        <f t="shared" ca="1" si="0"/>
        <v>1369</v>
      </c>
      <c r="G15" s="593">
        <f t="shared" ca="1" si="1"/>
        <v>12.223214285714286</v>
      </c>
      <c r="H15" s="511">
        <f>23-5</f>
        <v>18</v>
      </c>
      <c r="I15" s="511">
        <v>20</v>
      </c>
      <c r="J15" s="388" t="s">
        <v>268</v>
      </c>
      <c r="K15" s="526"/>
      <c r="L15" s="526" t="s">
        <v>418</v>
      </c>
      <c r="M15" s="526" t="s">
        <v>418</v>
      </c>
      <c r="N15" s="564" t="s">
        <v>419</v>
      </c>
      <c r="O15" s="526" t="s">
        <v>417</v>
      </c>
      <c r="P15" s="526" t="s">
        <v>416</v>
      </c>
      <c r="Q15" s="526" t="s">
        <v>416</v>
      </c>
    </row>
    <row r="16" spans="1:17" s="4" customFormat="1" ht="15.75" x14ac:dyDescent="0.25">
      <c r="A16" s="305" t="s">
        <v>505</v>
      </c>
      <c r="B16" s="260" t="s">
        <v>64</v>
      </c>
      <c r="C16" s="449" t="s">
        <v>414</v>
      </c>
      <c r="D16" s="262"/>
      <c r="E16" s="516">
        <v>41737</v>
      </c>
      <c r="F16" s="592">
        <f t="shared" ca="1" si="0"/>
        <v>1354</v>
      </c>
      <c r="G16" s="593">
        <f t="shared" ca="1" si="1"/>
        <v>12.089285714285714</v>
      </c>
      <c r="H16" s="512">
        <f>22-5</f>
        <v>17</v>
      </c>
      <c r="I16" s="512">
        <f>42-(7*6)</f>
        <v>0</v>
      </c>
      <c r="J16" s="262"/>
      <c r="K16" s="527"/>
      <c r="L16" s="526" t="s">
        <v>416</v>
      </c>
      <c r="M16" s="564" t="s">
        <v>419</v>
      </c>
      <c r="N16" s="526" t="s">
        <v>416</v>
      </c>
      <c r="O16" s="527"/>
      <c r="P16" s="526" t="s">
        <v>417</v>
      </c>
      <c r="Q16" s="526" t="s">
        <v>482</v>
      </c>
    </row>
    <row r="17" spans="1:17" s="263" customFormat="1" ht="15.75" x14ac:dyDescent="0.25">
      <c r="A17" s="384" t="s">
        <v>406</v>
      </c>
      <c r="B17" s="260" t="s">
        <v>64</v>
      </c>
      <c r="C17" s="449" t="s">
        <v>618</v>
      </c>
      <c r="D17" s="388" t="s">
        <v>268</v>
      </c>
      <c r="E17" s="516">
        <v>41747</v>
      </c>
      <c r="F17" s="592">
        <f t="shared" ca="1" si="0"/>
        <v>1344</v>
      </c>
      <c r="G17" s="593">
        <f t="shared" ca="1" si="1"/>
        <v>12</v>
      </c>
      <c r="H17" s="512">
        <f>22-5</f>
        <v>17</v>
      </c>
      <c r="I17" s="512">
        <v>57</v>
      </c>
      <c r="J17" s="388" t="s">
        <v>268</v>
      </c>
      <c r="K17" s="526"/>
      <c r="L17" s="526" t="s">
        <v>416</v>
      </c>
      <c r="M17" s="564" t="s">
        <v>419</v>
      </c>
      <c r="N17" s="526" t="s">
        <v>416</v>
      </c>
      <c r="O17" s="526"/>
      <c r="P17" s="526" t="s">
        <v>417</v>
      </c>
      <c r="Q17" s="526" t="s">
        <v>418</v>
      </c>
    </row>
    <row r="18" spans="1:17" s="264" customFormat="1" ht="14.25" customHeight="1" x14ac:dyDescent="0.25">
      <c r="A18" s="384" t="s">
        <v>409</v>
      </c>
      <c r="B18" s="384" t="s">
        <v>65</v>
      </c>
      <c r="C18" s="448" t="s">
        <v>507</v>
      </c>
      <c r="D18" s="388" t="s">
        <v>502</v>
      </c>
      <c r="E18" s="517">
        <v>41911</v>
      </c>
      <c r="F18" s="592">
        <f t="shared" ca="1" si="0"/>
        <v>1180</v>
      </c>
      <c r="G18" s="593">
        <f t="shared" ca="1" si="1"/>
        <v>10.535714285714286</v>
      </c>
      <c r="H18" s="321">
        <f>20-3</f>
        <v>17</v>
      </c>
      <c r="I18" s="321">
        <v>0</v>
      </c>
      <c r="J18" s="388" t="s">
        <v>502</v>
      </c>
      <c r="K18" s="527"/>
      <c r="L18" s="526" t="s">
        <v>417</v>
      </c>
      <c r="M18" s="566" t="s">
        <v>231</v>
      </c>
      <c r="N18" s="526" t="s">
        <v>416</v>
      </c>
      <c r="O18" s="526" t="s">
        <v>416</v>
      </c>
      <c r="P18" s="564" t="s">
        <v>419</v>
      </c>
      <c r="Q18" s="527"/>
    </row>
    <row r="19" spans="1:17" s="254" customFormat="1" ht="15.75" x14ac:dyDescent="0.25">
      <c r="A19" s="384" t="s">
        <v>540</v>
      </c>
      <c r="B19" s="384" t="s">
        <v>66</v>
      </c>
      <c r="C19" s="449" t="s">
        <v>541</v>
      </c>
      <c r="D19" s="262"/>
      <c r="E19" s="516">
        <v>41973</v>
      </c>
      <c r="F19" s="592">
        <f t="shared" ca="1" si="0"/>
        <v>1118</v>
      </c>
      <c r="G19" s="593">
        <f t="shared" ca="1" si="1"/>
        <v>9.9821428571428577</v>
      </c>
      <c r="H19" s="512">
        <f>20-3</f>
        <v>17</v>
      </c>
      <c r="I19" s="512">
        <v>0</v>
      </c>
      <c r="J19" s="262"/>
      <c r="K19" s="526"/>
      <c r="L19" s="526" t="s">
        <v>417</v>
      </c>
      <c r="M19" s="526" t="s">
        <v>418</v>
      </c>
      <c r="N19" s="526" t="s">
        <v>418</v>
      </c>
      <c r="O19" s="566" t="s">
        <v>231</v>
      </c>
      <c r="P19" s="526" t="s">
        <v>231</v>
      </c>
      <c r="Q19" s="525"/>
    </row>
    <row r="20" spans="1:17" s="264" customFormat="1" ht="15.75" x14ac:dyDescent="0.25">
      <c r="A20" s="304" t="s">
        <v>495</v>
      </c>
      <c r="B20" s="260" t="s">
        <v>2</v>
      </c>
      <c r="C20" s="449" t="s">
        <v>567</v>
      </c>
      <c r="D20" s="262"/>
      <c r="E20" s="516">
        <v>42106</v>
      </c>
      <c r="F20" s="592">
        <f t="shared" ca="1" si="0"/>
        <v>985</v>
      </c>
      <c r="G20" s="593">
        <f t="shared" ca="1" si="1"/>
        <v>8.7946428571428577</v>
      </c>
      <c r="H20" s="512">
        <v>18</v>
      </c>
      <c r="I20" s="512">
        <v>55</v>
      </c>
      <c r="J20" s="262"/>
      <c r="K20" s="525"/>
      <c r="L20" s="566" t="s">
        <v>231</v>
      </c>
      <c r="M20" s="567" t="s">
        <v>232</v>
      </c>
      <c r="N20" s="564" t="s">
        <v>419</v>
      </c>
      <c r="O20" s="526" t="s">
        <v>417</v>
      </c>
      <c r="P20" s="526" t="s">
        <v>418</v>
      </c>
      <c r="Q20" s="525" t="s">
        <v>417</v>
      </c>
    </row>
    <row r="21" spans="1:17" x14ac:dyDescent="0.25">
      <c r="D21" s="4"/>
      <c r="H21"/>
      <c r="J21" s="4"/>
      <c r="L21"/>
    </row>
    <row r="22" spans="1:17" x14ac:dyDescent="0.25">
      <c r="D22" s="508"/>
      <c r="H22"/>
      <c r="J22" s="508"/>
      <c r="L22"/>
    </row>
    <row r="23" spans="1:17" x14ac:dyDescent="0.25">
      <c r="D23" s="508"/>
      <c r="H23"/>
      <c r="J23" s="508"/>
      <c r="L23"/>
    </row>
    <row r="24" spans="1:17" s="259" customFormat="1" ht="15.75" x14ac:dyDescent="0.25">
      <c r="A24" s="384" t="s">
        <v>777</v>
      </c>
      <c r="B24" s="384" t="s">
        <v>66</v>
      </c>
      <c r="C24" s="386" t="s">
        <v>778</v>
      </c>
      <c r="D24" s="388" t="s">
        <v>502</v>
      </c>
      <c r="H24" s="512">
        <v>19</v>
      </c>
      <c r="I24" s="512">
        <v>0</v>
      </c>
      <c r="J24" s="388" t="s">
        <v>502</v>
      </c>
      <c r="K24" s="525"/>
      <c r="L24" s="526" t="s">
        <v>416</v>
      </c>
      <c r="M24" s="526" t="s">
        <v>418</v>
      </c>
      <c r="N24" s="566" t="s">
        <v>231</v>
      </c>
      <c r="O24" s="526" t="s">
        <v>416</v>
      </c>
      <c r="P24" s="566" t="s">
        <v>780</v>
      </c>
      <c r="Q24" s="525" t="s">
        <v>482</v>
      </c>
    </row>
    <row r="25" spans="1:17" s="254" customFormat="1" x14ac:dyDescent="0.25">
      <c r="A25" s="384" t="s">
        <v>633</v>
      </c>
      <c r="B25" s="260" t="s">
        <v>2</v>
      </c>
      <c r="C25" s="294" t="s">
        <v>274</v>
      </c>
      <c r="D25" s="262"/>
      <c r="E25" s="514"/>
      <c r="F25" s="511"/>
      <c r="G25" s="510"/>
      <c r="H25" s="511"/>
      <c r="I25" s="511"/>
      <c r="J25" s="262"/>
      <c r="K25" s="519"/>
      <c r="L25" s="519"/>
      <c r="M25" s="519"/>
      <c r="N25" s="519"/>
      <c r="O25" s="519"/>
      <c r="P25" s="519"/>
      <c r="Q25" s="519"/>
    </row>
    <row r="26" spans="1:17" s="247" customFormat="1" x14ac:dyDescent="0.25">
      <c r="A26" s="384" t="s">
        <v>583</v>
      </c>
      <c r="B26" s="384" t="s">
        <v>2</v>
      </c>
      <c r="C26" s="294" t="s">
        <v>576</v>
      </c>
      <c r="D26" s="262"/>
      <c r="E26" s="511"/>
      <c r="F26" s="511"/>
      <c r="G26" s="511"/>
      <c r="H26" s="511"/>
      <c r="I26" s="511"/>
      <c r="J26" s="262"/>
      <c r="K26" s="520"/>
      <c r="L26" s="520"/>
      <c r="M26" s="520"/>
      <c r="N26" s="520"/>
      <c r="O26" s="520"/>
      <c r="P26" s="520"/>
      <c r="Q26" s="520"/>
    </row>
    <row r="27" spans="1:17" s="259" customFormat="1" x14ac:dyDescent="0.25">
      <c r="A27" s="305" t="s">
        <v>632</v>
      </c>
      <c r="B27" s="260" t="s">
        <v>64</v>
      </c>
      <c r="C27" s="294" t="s">
        <v>624</v>
      </c>
      <c r="D27" s="388" t="s">
        <v>502</v>
      </c>
      <c r="E27" s="512"/>
      <c r="F27" s="512"/>
      <c r="G27" s="512"/>
      <c r="H27" s="512"/>
      <c r="I27" s="512"/>
      <c r="J27" s="388" t="s">
        <v>502</v>
      </c>
      <c r="K27" s="519"/>
      <c r="L27" s="519"/>
      <c r="M27" s="519"/>
      <c r="N27" s="519"/>
      <c r="O27" s="519"/>
      <c r="P27" s="519"/>
      <c r="Q27" s="519"/>
    </row>
    <row r="28" spans="1:17" s="263" customFormat="1" x14ac:dyDescent="0.25">
      <c r="A28" s="304" t="s">
        <v>584</v>
      </c>
      <c r="B28" s="260" t="s">
        <v>64</v>
      </c>
      <c r="C28" s="294" t="s">
        <v>401</v>
      </c>
      <c r="D28" s="262" t="s">
        <v>271</v>
      </c>
      <c r="E28" s="321"/>
      <c r="F28" s="321"/>
      <c r="G28" s="321"/>
      <c r="H28" s="321"/>
      <c r="I28" s="321"/>
      <c r="J28" s="262" t="s">
        <v>271</v>
      </c>
      <c r="K28" s="518"/>
      <c r="L28" s="518"/>
      <c r="M28" s="518"/>
      <c r="N28" s="518"/>
      <c r="O28" s="518"/>
      <c r="P28" s="518"/>
      <c r="Q28" s="518"/>
    </row>
    <row r="29" spans="1:17" s="259" customFormat="1" x14ac:dyDescent="0.25">
      <c r="A29" s="384" t="s">
        <v>711</v>
      </c>
      <c r="B29" s="384" t="s">
        <v>66</v>
      </c>
      <c r="C29" s="386" t="s">
        <v>710</v>
      </c>
      <c r="D29" s="388" t="s">
        <v>296</v>
      </c>
      <c r="E29" s="512"/>
      <c r="F29" s="512"/>
      <c r="G29" s="512"/>
      <c r="H29" s="512"/>
      <c r="I29" s="512"/>
      <c r="J29" s="388" t="s">
        <v>296</v>
      </c>
      <c r="K29" s="519"/>
      <c r="L29" s="519"/>
      <c r="M29" s="519"/>
      <c r="N29" s="519"/>
      <c r="O29" s="519"/>
      <c r="P29" s="519"/>
      <c r="Q29" s="519"/>
    </row>
    <row r="30" spans="1:17" x14ac:dyDescent="0.25">
      <c r="D30" s="508"/>
      <c r="H30"/>
      <c r="J30" s="508"/>
      <c r="L30"/>
    </row>
    <row r="31" spans="1:17" x14ac:dyDescent="0.25">
      <c r="C31" s="177"/>
      <c r="D31" s="508"/>
      <c r="H31"/>
      <c r="J31" s="508"/>
      <c r="L31"/>
    </row>
    <row r="32" spans="1:17" x14ac:dyDescent="0.25">
      <c r="C32" s="177"/>
      <c r="D32" s="508"/>
      <c r="H32"/>
      <c r="J32" s="508"/>
      <c r="L32"/>
    </row>
    <row r="33" spans="3:17" x14ac:dyDescent="0.25">
      <c r="C33" s="504"/>
      <c r="D33" s="508"/>
      <c r="H33"/>
      <c r="J33" s="508"/>
      <c r="K33" s="486">
        <v>0</v>
      </c>
      <c r="L33" s="487">
        <v>4</v>
      </c>
      <c r="M33" s="486">
        <v>3</v>
      </c>
      <c r="N33" s="487">
        <v>6</v>
      </c>
      <c r="O33" s="486">
        <v>4</v>
      </c>
      <c r="P33" s="487">
        <v>6.8</v>
      </c>
      <c r="Q33" s="486">
        <v>1</v>
      </c>
    </row>
    <row r="34" spans="3:17" x14ac:dyDescent="0.25">
      <c r="C34" s="505"/>
      <c r="F34" s="407"/>
      <c r="L34" s="407"/>
    </row>
    <row r="36" spans="3:17" x14ac:dyDescent="0.25">
      <c r="F36" s="407"/>
      <c r="L36" s="407"/>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2"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2" customWidth="1"/>
    <col min="18" max="18" width="5" style="452" customWidth="1"/>
    <col min="19" max="24" width="6.7109375" style="422" customWidth="1"/>
    <col min="25" max="25" width="6.7109375" style="528" customWidth="1"/>
    <col min="26" max="26" width="6.7109375" style="422" customWidth="1"/>
    <col min="27" max="27" width="4.42578125" style="422" bestFit="1" customWidth="1"/>
    <col min="28" max="31" width="6.140625" style="422" bestFit="1" customWidth="1"/>
    <col min="32" max="32" width="5.5703125" style="422" bestFit="1" customWidth="1"/>
    <col min="33" max="33" width="5" style="422" bestFit="1" customWidth="1"/>
    <col min="34" max="34" width="6.140625" style="422"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1"/>
      <c r="T1" s="691"/>
      <c r="U1" s="691"/>
      <c r="V1" s="178"/>
      <c r="W1" s="691" t="s">
        <v>530</v>
      </c>
      <c r="X1" s="691"/>
      <c r="Z1" s="414">
        <f>S2+T2+U2+V2+W2+X2+Z2</f>
        <v>1</v>
      </c>
      <c r="AQ1" s="691" t="s">
        <v>603</v>
      </c>
      <c r="AR1" s="691"/>
      <c r="AS1" s="691"/>
      <c r="AT1" s="691"/>
      <c r="AU1" s="691"/>
      <c r="AV1" s="691"/>
      <c r="AW1" s="691"/>
      <c r="AX1" s="691"/>
      <c r="AY1" s="691"/>
      <c r="AZ1" s="691"/>
      <c r="BA1" s="691"/>
      <c r="BB1" s="691"/>
      <c r="BC1" s="691"/>
      <c r="BS1" s="439" t="s">
        <v>605</v>
      </c>
      <c r="BT1" s="439" t="s">
        <v>176</v>
      </c>
      <c r="BU1" s="439" t="s">
        <v>606</v>
      </c>
      <c r="BV1" s="440" t="s">
        <v>607</v>
      </c>
      <c r="BW1" s="438" t="s">
        <v>608</v>
      </c>
      <c r="BX1" s="438" t="s">
        <v>609</v>
      </c>
    </row>
    <row r="2" spans="1:76" s="249" customFormat="1" ht="18.75" x14ac:dyDescent="0.3">
      <c r="C2" s="250"/>
      <c r="D2" s="421">
        <f ca="1">TODAY()</f>
        <v>43091</v>
      </c>
      <c r="E2" s="681">
        <v>41471</v>
      </c>
      <c r="F2" s="681"/>
      <c r="G2" s="681"/>
      <c r="H2" s="251"/>
      <c r="I2" s="251"/>
      <c r="J2" s="310"/>
      <c r="K2" s="251"/>
      <c r="L2" s="251"/>
      <c r="M2" s="251"/>
      <c r="N2" s="251"/>
      <c r="O2" s="251"/>
      <c r="P2" s="251"/>
      <c r="Q2" s="408"/>
      <c r="R2" s="285"/>
      <c r="S2" s="415">
        <v>0</v>
      </c>
      <c r="T2" s="454">
        <v>0</v>
      </c>
      <c r="U2" s="454">
        <v>0</v>
      </c>
      <c r="V2" s="415">
        <v>0</v>
      </c>
      <c r="W2" s="413">
        <v>0</v>
      </c>
      <c r="X2" s="413">
        <v>0</v>
      </c>
      <c r="Y2" s="413">
        <v>0</v>
      </c>
      <c r="Z2" s="413">
        <v>1</v>
      </c>
      <c r="AA2" s="285">
        <v>0</v>
      </c>
      <c r="AB2" s="285"/>
      <c r="AC2" s="285"/>
      <c r="AD2" s="285"/>
      <c r="AE2" s="285"/>
      <c r="AF2" s="285"/>
      <c r="AG2" s="285"/>
      <c r="AH2" s="285"/>
      <c r="AS2" s="436">
        <f>SUM(AS4:AS14)*$BV$3</f>
        <v>0</v>
      </c>
      <c r="AT2" s="436">
        <f>SUM(AT4:AT14)*$BV$3</f>
        <v>0</v>
      </c>
      <c r="AU2" s="436">
        <f>SUM(AU4:AU14)*$BV$2</f>
        <v>0</v>
      </c>
      <c r="AV2" s="436">
        <f>SUM(AV4:AV14)*$BV$4</f>
        <v>0</v>
      </c>
      <c r="AW2" s="436">
        <f>SUM(AW4:AW14)*$BV$5</f>
        <v>0</v>
      </c>
      <c r="AX2" s="436">
        <f>SUM(AX4:AX14)*$BV$5</f>
        <v>0</v>
      </c>
      <c r="AY2" s="436">
        <f>SUM(AY4:AY14)*$BV$6</f>
        <v>0</v>
      </c>
      <c r="AZ2" s="437">
        <f>SUM(AZ4:AZ14)</f>
        <v>0.2099999999999998</v>
      </c>
      <c r="BA2" s="437">
        <f>SUM(BA4:BA14)</f>
        <v>0.2149999999999998</v>
      </c>
      <c r="BB2" s="437">
        <f t="shared" ref="BB2:BC2" si="0">SUM(BB4:BB14)</f>
        <v>12.793749999999999</v>
      </c>
      <c r="BC2" s="437">
        <f t="shared" si="0"/>
        <v>0</v>
      </c>
      <c r="BG2" s="436">
        <f>SUM(BG4:BG14)*$BV$3</f>
        <v>0</v>
      </c>
      <c r="BH2" s="436">
        <f>SUM(BH4:BH14)*$BV$3</f>
        <v>0</v>
      </c>
      <c r="BI2" s="436">
        <f>SUM(BI4:BI14)*$BV$2</f>
        <v>0</v>
      </c>
      <c r="BJ2" s="436">
        <f>SUM(BJ4:BJ14)*$BV$4</f>
        <v>0</v>
      </c>
      <c r="BK2" s="436">
        <f>SUM(BK4:BK14)*$BV$5</f>
        <v>0</v>
      </c>
      <c r="BL2" s="436">
        <f>SUM(BL4:BL14)*$BV$5</f>
        <v>0</v>
      </c>
      <c r="BM2" s="436">
        <f>SUM(BM4:BM14)*$BV$6</f>
        <v>0</v>
      </c>
      <c r="BN2" s="437">
        <f>SUM(BN4:BN14)</f>
        <v>0.21799999999999986</v>
      </c>
      <c r="BO2" s="437">
        <f>SUM(BO4:BO14)</f>
        <v>0.22299999999999989</v>
      </c>
      <c r="BP2" s="437">
        <f t="shared" ref="BP2:BQ2" si="1">SUM(BP4:BP14)</f>
        <v>17.087722222222222</v>
      </c>
      <c r="BQ2" s="437">
        <f t="shared" si="1"/>
        <v>0</v>
      </c>
      <c r="BS2" s="256" t="s">
        <v>610</v>
      </c>
      <c r="BT2" s="441">
        <v>1</v>
      </c>
      <c r="BU2" s="442">
        <v>0.624</v>
      </c>
      <c r="BV2" s="443">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10" t="s">
        <v>180</v>
      </c>
      <c r="R3" s="410" t="s">
        <v>62</v>
      </c>
      <c r="S3" s="409" t="s">
        <v>297</v>
      </c>
      <c r="T3" s="409" t="s">
        <v>185</v>
      </c>
      <c r="U3" s="409" t="s">
        <v>186</v>
      </c>
      <c r="V3" s="409" t="s">
        <v>187</v>
      </c>
      <c r="W3" s="409" t="s">
        <v>188</v>
      </c>
      <c r="X3" s="409" t="s">
        <v>189</v>
      </c>
      <c r="Y3" s="409" t="s">
        <v>723</v>
      </c>
      <c r="Z3" s="409" t="s">
        <v>182</v>
      </c>
      <c r="AA3" s="409" t="s">
        <v>175</v>
      </c>
      <c r="AB3" s="409" t="s">
        <v>297</v>
      </c>
      <c r="AC3" s="409" t="s">
        <v>185</v>
      </c>
      <c r="AD3" s="409" t="s">
        <v>186</v>
      </c>
      <c r="AE3" s="409" t="s">
        <v>187</v>
      </c>
      <c r="AF3" s="409" t="s">
        <v>188</v>
      </c>
      <c r="AG3" s="409" t="s">
        <v>189</v>
      </c>
      <c r="AH3" s="409" t="s">
        <v>182</v>
      </c>
      <c r="AI3" s="409" t="s">
        <v>297</v>
      </c>
      <c r="AJ3" s="409" t="s">
        <v>185</v>
      </c>
      <c r="AK3" s="409" t="s">
        <v>186</v>
      </c>
      <c r="AL3" s="409" t="s">
        <v>187</v>
      </c>
      <c r="AM3" s="409" t="s">
        <v>188</v>
      </c>
      <c r="AN3" s="409" t="s">
        <v>189</v>
      </c>
      <c r="AO3" s="409" t="s">
        <v>182</v>
      </c>
      <c r="AQ3" s="692" t="s">
        <v>719</v>
      </c>
      <c r="AR3" s="693"/>
      <c r="AS3" s="331" t="s">
        <v>467</v>
      </c>
      <c r="AT3" s="331" t="s">
        <v>468</v>
      </c>
      <c r="AU3" s="331" t="s">
        <v>489</v>
      </c>
      <c r="AV3" s="331" t="s">
        <v>469</v>
      </c>
      <c r="AW3" s="331" t="s">
        <v>470</v>
      </c>
      <c r="AX3" s="331" t="s">
        <v>471</v>
      </c>
      <c r="AY3" s="331" t="s">
        <v>472</v>
      </c>
      <c r="AZ3" s="331" t="s">
        <v>734</v>
      </c>
      <c r="BA3" s="331" t="s">
        <v>735</v>
      </c>
      <c r="BB3" s="331" t="s">
        <v>565</v>
      </c>
      <c r="BC3" s="331" t="s">
        <v>604</v>
      </c>
      <c r="BE3" s="692" t="s">
        <v>721</v>
      </c>
      <c r="BF3" s="693"/>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1">
        <v>1</v>
      </c>
      <c r="BU3" s="442">
        <v>1.002</v>
      </c>
      <c r="BV3" s="443">
        <v>0.34</v>
      </c>
      <c r="BW3" s="333">
        <f t="shared" ref="BW3:BW6" si="2">BV3*10</f>
        <v>3.4000000000000004</v>
      </c>
      <c r="BX3" s="333">
        <f t="shared" ref="BX3:BX6" si="3">BV3*15</f>
        <v>5.1000000000000005</v>
      </c>
    </row>
    <row r="4" spans="1:76" s="259" customFormat="1" ht="18.75" x14ac:dyDescent="0.3">
      <c r="A4" s="384" t="s">
        <v>403</v>
      </c>
      <c r="B4" s="384" t="s">
        <v>1</v>
      </c>
      <c r="C4" s="261">
        <f ca="1">((33*112)-(E4*112)-(F4))/112</f>
        <v>2.8839285714285716</v>
      </c>
      <c r="D4" s="294" t="str">
        <f>PLANTILLA!D5</f>
        <v>D. Gehmacher</v>
      </c>
      <c r="E4" s="387">
        <f>PLANTILLA!E5</f>
        <v>30</v>
      </c>
      <c r="F4" s="395">
        <f ca="1">PLANTILLA!F5</f>
        <v>13</v>
      </c>
      <c r="G4" s="388"/>
      <c r="H4" s="403">
        <v>7</v>
      </c>
      <c r="I4" s="308">
        <f>PLANTILLA!I5</f>
        <v>18.100000000000001</v>
      </c>
      <c r="J4" s="486">
        <f>PLANTILLA!X5</f>
        <v>16.666666666666668</v>
      </c>
      <c r="K4" s="486">
        <f>PLANTILLA!Y5</f>
        <v>12.003636363636367</v>
      </c>
      <c r="L4" s="486">
        <f>PLANTILLA!Z5</f>
        <v>2.0499999999999989</v>
      </c>
      <c r="M4" s="486">
        <f>PLANTILLA!AA5</f>
        <v>2.1399999999999992</v>
      </c>
      <c r="N4" s="486">
        <f>PLANTILLA!AB5</f>
        <v>1.0400000000000003</v>
      </c>
      <c r="O4" s="486">
        <f>PLANTILLA!AC5</f>
        <v>0.14055555555555557</v>
      </c>
      <c r="P4" s="486">
        <f>PLANTILLA!AD5</f>
        <v>17.849999999999998</v>
      </c>
      <c r="Q4" s="411">
        <f t="shared" ref="Q4:Q23" si="4">E4</f>
        <v>30</v>
      </c>
      <c r="R4" s="412">
        <f t="shared" ref="R4:R23" ca="1" si="5">F4+7</f>
        <v>20</v>
      </c>
      <c r="S4" s="180"/>
      <c r="T4" s="180"/>
      <c r="U4" s="180"/>
      <c r="V4" s="180"/>
      <c r="W4" s="180"/>
      <c r="X4" s="180"/>
      <c r="Y4" s="180"/>
      <c r="Z4" s="180"/>
      <c r="AA4" s="296">
        <f t="shared" ref="AA4:AA23" si="6">I4+$AA$2</f>
        <v>18.100000000000001</v>
      </c>
      <c r="AB4" s="506">
        <f>J4+(S4*S$2/15)</f>
        <v>16.666666666666668</v>
      </c>
      <c r="AC4" s="506">
        <f>K4+(T$2/11)</f>
        <v>12.003636363636367</v>
      </c>
      <c r="AD4" s="506">
        <f>L4+(U$2/18)</f>
        <v>2.0499999999999989</v>
      </c>
      <c r="AE4" s="506">
        <f>M4+(V$2/12)</f>
        <v>2.1399999999999992</v>
      </c>
      <c r="AF4" s="506">
        <f>N4+(W$2/11)</f>
        <v>1.0400000000000003</v>
      </c>
      <c r="AG4" s="506">
        <f>O4+(X$2/12)+(Y$2/5)</f>
        <v>0.14055555555555557</v>
      </c>
      <c r="AH4" s="506">
        <f>P4+(Z$2/2)+(Y$2/10)</f>
        <v>18.349999999999998</v>
      </c>
      <c r="AI4" s="424">
        <f t="shared" ref="AI4:AO4" si="7">AB4-J4</f>
        <v>0</v>
      </c>
      <c r="AJ4" s="424">
        <f t="shared" si="7"/>
        <v>0</v>
      </c>
      <c r="AK4" s="424">
        <f t="shared" si="7"/>
        <v>0</v>
      </c>
      <c r="AL4" s="424">
        <f t="shared" si="7"/>
        <v>0</v>
      </c>
      <c r="AM4" s="424">
        <f t="shared" si="7"/>
        <v>0</v>
      </c>
      <c r="AN4" s="424">
        <f t="shared" si="7"/>
        <v>0</v>
      </c>
      <c r="AO4" s="424">
        <f t="shared" si="7"/>
        <v>0.5</v>
      </c>
      <c r="AQ4" s="425" t="s">
        <v>1</v>
      </c>
      <c r="AR4" s="304" t="str">
        <f>D4</f>
        <v>D. Gehmacher</v>
      </c>
      <c r="AS4" s="430">
        <f>(AI4*0.597)+(AJ4*0.276)</f>
        <v>0</v>
      </c>
      <c r="AT4" s="430">
        <f>AS4</f>
        <v>0</v>
      </c>
      <c r="AU4" s="430">
        <f>(AI4*0.866)+(AJ4*0.425)</f>
        <v>0</v>
      </c>
      <c r="AV4" s="430">
        <v>0</v>
      </c>
      <c r="AW4" s="430">
        <v>0</v>
      </c>
      <c r="AX4" s="430">
        <v>0</v>
      </c>
      <c r="AY4" s="430">
        <v>0</v>
      </c>
      <c r="AZ4" s="554">
        <v>0</v>
      </c>
      <c r="BA4" s="554">
        <f>0.08*AI4+0.1*AO4</f>
        <v>0.05</v>
      </c>
      <c r="BB4" s="433">
        <v>0</v>
      </c>
      <c r="BC4" s="433">
        <v>0</v>
      </c>
      <c r="BE4" s="425" t="s">
        <v>1</v>
      </c>
      <c r="BF4" s="304" t="str">
        <f>D4</f>
        <v>D. Gehmacher</v>
      </c>
      <c r="BG4" s="430">
        <f t="shared" ref="BG4:BM4" si="8">AS4</f>
        <v>0</v>
      </c>
      <c r="BH4" s="430">
        <f t="shared" si="8"/>
        <v>0</v>
      </c>
      <c r="BI4" s="430">
        <f t="shared" si="8"/>
        <v>0</v>
      </c>
      <c r="BJ4" s="430">
        <f t="shared" si="8"/>
        <v>0</v>
      </c>
      <c r="BK4" s="430">
        <f t="shared" si="8"/>
        <v>0</v>
      </c>
      <c r="BL4" s="430">
        <f t="shared" si="8"/>
        <v>0</v>
      </c>
      <c r="BM4" s="430">
        <f t="shared" si="8"/>
        <v>0</v>
      </c>
      <c r="BN4" s="554">
        <f t="shared" ref="BN4" si="9">AZ4</f>
        <v>0</v>
      </c>
      <c r="BO4" s="554">
        <f t="shared" ref="BO4:BQ4" si="10">BA4</f>
        <v>0.05</v>
      </c>
      <c r="BP4" s="433">
        <f t="shared" si="10"/>
        <v>0</v>
      </c>
      <c r="BQ4" s="433">
        <f t="shared" si="10"/>
        <v>0</v>
      </c>
      <c r="BS4" s="256" t="s">
        <v>612</v>
      </c>
      <c r="BT4" s="441">
        <v>1</v>
      </c>
      <c r="BU4" s="442">
        <v>0.46800000000000003</v>
      </c>
      <c r="BV4" s="443">
        <v>0.125</v>
      </c>
      <c r="BW4" s="333">
        <f t="shared" si="2"/>
        <v>1.25</v>
      </c>
      <c r="BX4" s="333">
        <f t="shared" si="3"/>
        <v>1.875</v>
      </c>
    </row>
    <row r="5" spans="1:76" s="254" customFormat="1" ht="18.75" x14ac:dyDescent="0.3">
      <c r="A5" s="384" t="s">
        <v>484</v>
      </c>
      <c r="B5" s="384" t="s">
        <v>1</v>
      </c>
      <c r="C5" s="385">
        <f t="shared" ref="C5:C23" ca="1" si="11">((33*112)-(E5*112)-(F5))/112</f>
        <v>-1.1964285714285714</v>
      </c>
      <c r="D5" s="386" t="s">
        <v>267</v>
      </c>
      <c r="E5" s="387">
        <f>PLANTILLA!E6</f>
        <v>34</v>
      </c>
      <c r="F5" s="387">
        <f ca="1">PLANTILLA!F6</f>
        <v>22</v>
      </c>
      <c r="G5" s="388" t="s">
        <v>502</v>
      </c>
      <c r="H5" s="371">
        <v>4</v>
      </c>
      <c r="I5" s="308">
        <f>PLANTILLA!I6</f>
        <v>7.8</v>
      </c>
      <c r="J5" s="486">
        <f>PLANTILLA!X6</f>
        <v>10.3</v>
      </c>
      <c r="K5" s="486">
        <f>PLANTILLA!Y6</f>
        <v>10.804999999999998</v>
      </c>
      <c r="L5" s="486">
        <f>PLANTILLA!Z6</f>
        <v>4.6400000000000006</v>
      </c>
      <c r="M5" s="486">
        <f>PLANTILLA!AA6</f>
        <v>4.95</v>
      </c>
      <c r="N5" s="486">
        <f>PLANTILLA!AB6</f>
        <v>6.5444444444444434</v>
      </c>
      <c r="O5" s="486">
        <f>PLANTILLA!AC6</f>
        <v>3.99</v>
      </c>
      <c r="P5" s="486">
        <f>PLANTILLA!AD6</f>
        <v>15.778888888888888</v>
      </c>
      <c r="Q5" s="411">
        <f t="shared" si="4"/>
        <v>34</v>
      </c>
      <c r="R5" s="412">
        <f t="shared" ca="1" si="5"/>
        <v>29</v>
      </c>
      <c r="S5" s="180"/>
      <c r="T5" s="180"/>
      <c r="U5" s="180"/>
      <c r="V5" s="180"/>
      <c r="W5" s="180"/>
      <c r="X5" s="180"/>
      <c r="Y5" s="180"/>
      <c r="Z5" s="180"/>
      <c r="AA5" s="296">
        <f t="shared" si="6"/>
        <v>7.8</v>
      </c>
      <c r="AB5" s="506">
        <f>J5+(S5*S$2/6)</f>
        <v>10.3</v>
      </c>
      <c r="AC5" s="506">
        <f>K5+(T$2/45)</f>
        <v>10.804999999999998</v>
      </c>
      <c r="AD5" s="506">
        <f>L5+(U$2/34)</f>
        <v>4.6400000000000006</v>
      </c>
      <c r="AE5" s="506">
        <f>M5+(V$2/22)</f>
        <v>4.95</v>
      </c>
      <c r="AF5" s="506">
        <f>N5+(W$2/28)</f>
        <v>6.5444444444444434</v>
      </c>
      <c r="AG5" s="506">
        <f>O5+(X$2/24)+(Y$2/7)</f>
        <v>3.99</v>
      </c>
      <c r="AH5" s="506">
        <f>P5+(Z$2/2.5)+(Y$2/10)</f>
        <v>16.178888888888888</v>
      </c>
      <c r="AI5" s="424">
        <f t="shared" ref="AI5:AI23" si="12">AB5-J5</f>
        <v>0</v>
      </c>
      <c r="AJ5" s="424">
        <f t="shared" ref="AJ5:AJ23" si="13">AC5-K5</f>
        <v>0</v>
      </c>
      <c r="AK5" s="424">
        <f t="shared" ref="AK5:AK23" si="14">AD5-L5</f>
        <v>0</v>
      </c>
      <c r="AL5" s="424">
        <f t="shared" ref="AL5:AL23" si="15">AE5-M5</f>
        <v>0</v>
      </c>
      <c r="AM5" s="424">
        <f t="shared" ref="AM5:AM23" si="16">AF5-N5</f>
        <v>0</v>
      </c>
      <c r="AN5" s="424">
        <f t="shared" ref="AN5:AN23" si="17">AG5-O5</f>
        <v>0</v>
      </c>
      <c r="AO5" s="424">
        <f t="shared" ref="AO5:AO23" si="18">AH5-P5</f>
        <v>0.40000000000000036</v>
      </c>
      <c r="AQ5" s="426" t="s">
        <v>569</v>
      </c>
      <c r="AR5" s="305" t="str">
        <f>D20</f>
        <v>B. Pinczehelyi</v>
      </c>
      <c r="AS5" s="431">
        <f>(AJ20*0.919)</f>
        <v>0</v>
      </c>
      <c r="AT5" s="431">
        <v>0</v>
      </c>
      <c r="AU5" s="431">
        <f>AJ20*0.414</f>
        <v>0</v>
      </c>
      <c r="AV5" s="431">
        <f>AK20*0.167</f>
        <v>0</v>
      </c>
      <c r="AW5" s="431">
        <f>AL20*0.588</f>
        <v>0</v>
      </c>
      <c r="AX5" s="431">
        <v>0</v>
      </c>
      <c r="AY5" s="431">
        <v>0</v>
      </c>
      <c r="AZ5" s="434">
        <f>(0.5*AN20+0.3*AO20)/10</f>
        <v>0.03</v>
      </c>
      <c r="BA5" s="434">
        <f>(0.4*AJ20+0.3*AO20)/10</f>
        <v>0.03</v>
      </c>
      <c r="BB5" s="434">
        <f>((AC20+1)+(AF20+1)*2)/8</f>
        <v>4.5112500000000004</v>
      </c>
      <c r="BC5" s="434">
        <f>((AJ20)+(AM20)*2)/8</f>
        <v>0</v>
      </c>
      <c r="BE5" s="426" t="s">
        <v>569</v>
      </c>
      <c r="BF5" s="305" t="str">
        <f>AR19</f>
        <v>B. Pinczehelyi</v>
      </c>
      <c r="BG5" s="432">
        <f>AS19</f>
        <v>0</v>
      </c>
      <c r="BH5" s="432">
        <f t="shared" ref="BH5:BQ5" si="19">AT19</f>
        <v>0</v>
      </c>
      <c r="BI5" s="432">
        <f t="shared" si="19"/>
        <v>0</v>
      </c>
      <c r="BJ5" s="432">
        <f t="shared" si="19"/>
        <v>0</v>
      </c>
      <c r="BK5" s="432">
        <f t="shared" si="19"/>
        <v>0</v>
      </c>
      <c r="BL5" s="432">
        <f t="shared" si="19"/>
        <v>0</v>
      </c>
      <c r="BM5" s="432">
        <f t="shared" si="19"/>
        <v>0</v>
      </c>
      <c r="BN5" s="435">
        <f t="shared" si="19"/>
        <v>0.03</v>
      </c>
      <c r="BO5" s="435">
        <f t="shared" si="19"/>
        <v>0.03</v>
      </c>
      <c r="BP5" s="435">
        <f t="shared" si="19"/>
        <v>4.5112500000000004</v>
      </c>
      <c r="BQ5" s="435">
        <f t="shared" si="19"/>
        <v>0</v>
      </c>
      <c r="BS5" s="256" t="s">
        <v>613</v>
      </c>
      <c r="BT5" s="441">
        <v>1</v>
      </c>
      <c r="BU5" s="442">
        <v>0.877</v>
      </c>
      <c r="BV5" s="443">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4">
        <v>5</v>
      </c>
      <c r="I6" s="308" t="e">
        <f>PLANTILLA!#REF!</f>
        <v>#REF!</v>
      </c>
      <c r="J6" s="486" t="e">
        <f>PLANTILLA!#REF!</f>
        <v>#REF!</v>
      </c>
      <c r="K6" s="486" t="e">
        <f>PLANTILLA!#REF!</f>
        <v>#REF!</v>
      </c>
      <c r="L6" s="486" t="e">
        <f>PLANTILLA!#REF!</f>
        <v>#REF!</v>
      </c>
      <c r="M6" s="486" t="e">
        <f>PLANTILLA!#REF!</f>
        <v>#REF!</v>
      </c>
      <c r="N6" s="486" t="e">
        <f>PLANTILLA!#REF!</f>
        <v>#REF!</v>
      </c>
      <c r="O6" s="486" t="e">
        <f>PLANTILLA!#REF!</f>
        <v>#REF!</v>
      </c>
      <c r="P6" s="486" t="e">
        <f>PLANTILLA!#REF!</f>
        <v>#REF!</v>
      </c>
      <c r="Q6" s="411" t="e">
        <f t="shared" si="4"/>
        <v>#REF!</v>
      </c>
      <c r="R6" s="412" t="e">
        <f t="shared" si="5"/>
        <v>#REF!</v>
      </c>
      <c r="S6" s="180"/>
      <c r="T6" s="180"/>
      <c r="U6" s="180"/>
      <c r="V6" s="180"/>
      <c r="W6" s="180"/>
      <c r="X6" s="180"/>
      <c r="Y6" s="180"/>
      <c r="Z6" s="180"/>
      <c r="AA6" s="296" t="e">
        <f t="shared" si="6"/>
        <v>#REF!</v>
      </c>
      <c r="AB6" s="506" t="e">
        <f t="shared" ref="AB6:AB23" si="20">J6+(S6*S$2/5)</f>
        <v>#REF!</v>
      </c>
      <c r="AC6" s="506" t="e">
        <f>K6+(T$2/53)</f>
        <v>#REF!</v>
      </c>
      <c r="AD6" s="506" t="e">
        <f>L6+(U$2/32)</f>
        <v>#REF!</v>
      </c>
      <c r="AE6" s="506" t="e">
        <f>M6+(V$2/17)</f>
        <v>#REF!</v>
      </c>
      <c r="AF6" s="506" t="e">
        <f>N6+(W$2/23)</f>
        <v>#REF!</v>
      </c>
      <c r="AG6" s="506" t="e">
        <f>O6+(X$2/17)+(Y$2/5)</f>
        <v>#REF!</v>
      </c>
      <c r="AH6" s="506" t="e">
        <f>P6+(Z$2/2)+(Y$2/10)</f>
        <v>#REF!</v>
      </c>
      <c r="AI6" s="424" t="e">
        <f t="shared" si="12"/>
        <v>#REF!</v>
      </c>
      <c r="AJ6" s="424" t="e">
        <f t="shared" si="13"/>
        <v>#REF!</v>
      </c>
      <c r="AK6" s="424" t="e">
        <f t="shared" si="14"/>
        <v>#REF!</v>
      </c>
      <c r="AL6" s="424" t="e">
        <f t="shared" si="15"/>
        <v>#REF!</v>
      </c>
      <c r="AM6" s="424" t="e">
        <f t="shared" si="16"/>
        <v>#REF!</v>
      </c>
      <c r="AN6" s="424" t="e">
        <f t="shared" si="17"/>
        <v>#REF!</v>
      </c>
      <c r="AO6" s="424" t="e">
        <f t="shared" si="18"/>
        <v>#REF!</v>
      </c>
      <c r="AQ6" s="427" t="s">
        <v>601</v>
      </c>
      <c r="AR6" s="305" t="str">
        <f>D16</f>
        <v>E. Gross</v>
      </c>
      <c r="AS6" s="432">
        <f>AJ16*0.378</f>
        <v>0</v>
      </c>
      <c r="AT6" s="432">
        <f>AS6</f>
        <v>0</v>
      </c>
      <c r="AU6" s="432">
        <f>AJ16*1</f>
        <v>0</v>
      </c>
      <c r="AV6" s="432">
        <f>AK16*0.236</f>
        <v>0</v>
      </c>
      <c r="AW6" s="432">
        <v>0</v>
      </c>
      <c r="AX6" s="432">
        <v>0</v>
      </c>
      <c r="AY6" s="432">
        <v>0</v>
      </c>
      <c r="AZ6" s="435">
        <f>(0.5*AN16+0.3*AO16)/10</f>
        <v>1.1999999999999957E-2</v>
      </c>
      <c r="BA6" s="435">
        <f>(0.4*AJ16+0.3*AO16)/10</f>
        <v>1.1999999999999957E-2</v>
      </c>
      <c r="BB6" s="434">
        <f>((AC16+1)+(AF16+1)*2)/8</f>
        <v>3.9912499999999995</v>
      </c>
      <c r="BC6" s="434">
        <f>((AJ16)+(AM16)*2)/8</f>
        <v>0</v>
      </c>
      <c r="BE6" s="427" t="s">
        <v>648</v>
      </c>
      <c r="BF6" s="260" t="str">
        <f>BF20</f>
        <v>D. Toh</v>
      </c>
      <c r="BG6" s="432">
        <f>BG20</f>
        <v>0</v>
      </c>
      <c r="BH6" s="432">
        <f t="shared" ref="BH6:BM6" si="21">BH20</f>
        <v>0</v>
      </c>
      <c r="BI6" s="432">
        <f t="shared" si="21"/>
        <v>0</v>
      </c>
      <c r="BJ6" s="432">
        <f t="shared" si="21"/>
        <v>0</v>
      </c>
      <c r="BK6" s="432">
        <f t="shared" si="21"/>
        <v>0</v>
      </c>
      <c r="BL6" s="432">
        <f t="shared" si="21"/>
        <v>0</v>
      </c>
      <c r="BM6" s="432">
        <f t="shared" si="21"/>
        <v>0</v>
      </c>
      <c r="BN6" s="435">
        <f>(0.5*AN7+0.3*AO7)/10</f>
        <v>1.2000000000000011E-2</v>
      </c>
      <c r="BO6" s="435">
        <f>(0.4*AJ7+0.3*AO7)/10</f>
        <v>1.2000000000000011E-2</v>
      </c>
      <c r="BP6" s="434">
        <f>((AC7+1)+(AF7+1)*2)/8</f>
        <v>3.6820277777777779</v>
      </c>
      <c r="BQ6" s="434">
        <f>((AJ7)+(AM7)*2)/8</f>
        <v>0</v>
      </c>
      <c r="BS6" s="256" t="s">
        <v>614</v>
      </c>
      <c r="BT6" s="441">
        <v>1</v>
      </c>
      <c r="BU6" s="442">
        <v>0.59299999999999997</v>
      </c>
      <c r="BV6" s="443">
        <v>0.19</v>
      </c>
      <c r="BW6" s="333">
        <f t="shared" si="2"/>
        <v>1.9</v>
      </c>
      <c r="BX6" s="333">
        <f t="shared" si="3"/>
        <v>2.85</v>
      </c>
    </row>
    <row r="7" spans="1:76" s="263" customFormat="1" x14ac:dyDescent="0.25">
      <c r="A7" s="305" t="s">
        <v>582</v>
      </c>
      <c r="B7" s="260" t="s">
        <v>2</v>
      </c>
      <c r="C7" s="261">
        <f t="shared" ca="1" si="11"/>
        <v>1.375</v>
      </c>
      <c r="D7" s="294" t="s">
        <v>275</v>
      </c>
      <c r="E7" s="387">
        <f>PLANTILLA!E8</f>
        <v>31</v>
      </c>
      <c r="F7" s="387">
        <f ca="1">PLANTILLA!F8</f>
        <v>70</v>
      </c>
      <c r="G7" s="388" t="s">
        <v>502</v>
      </c>
      <c r="H7" s="394">
        <v>5</v>
      </c>
      <c r="I7" s="308">
        <f>PLANTILLA!I8</f>
        <v>7.5</v>
      </c>
      <c r="J7" s="486">
        <f>PLANTILLA!X8</f>
        <v>0</v>
      </c>
      <c r="K7" s="486">
        <f>PLANTILLA!Y8</f>
        <v>11.010666666666667</v>
      </c>
      <c r="L7" s="486">
        <f>PLANTILLA!Z8</f>
        <v>6.199444444444441</v>
      </c>
      <c r="M7" s="486">
        <f>PLANTILLA!AA8</f>
        <v>6.04</v>
      </c>
      <c r="N7" s="486">
        <f>PLANTILLA!AB8</f>
        <v>7.7227777777777789</v>
      </c>
      <c r="O7" s="486">
        <f>PLANTILLA!AC8</f>
        <v>4.383333333333332</v>
      </c>
      <c r="P7" s="486">
        <f>PLANTILLA!AD8</f>
        <v>15.349999999999998</v>
      </c>
      <c r="Q7" s="411">
        <f t="shared" si="4"/>
        <v>31</v>
      </c>
      <c r="R7" s="412">
        <f t="shared" ca="1" si="5"/>
        <v>77</v>
      </c>
      <c r="S7" s="180"/>
      <c r="T7" s="180"/>
      <c r="U7" s="180"/>
      <c r="V7" s="180"/>
      <c r="W7" s="180"/>
      <c r="X7" s="180"/>
      <c r="Y7" s="180"/>
      <c r="Z7" s="180"/>
      <c r="AA7" s="296">
        <f t="shared" si="6"/>
        <v>7.5</v>
      </c>
      <c r="AB7" s="506">
        <f t="shared" si="20"/>
        <v>0</v>
      </c>
      <c r="AC7" s="506">
        <f>K7+(T$2/11)</f>
        <v>11.010666666666667</v>
      </c>
      <c r="AD7" s="506">
        <f>L7+(U$2/6.5)</f>
        <v>6.199444444444441</v>
      </c>
      <c r="AE7" s="506">
        <f>M7+(V$2/62)</f>
        <v>6.04</v>
      </c>
      <c r="AF7" s="506">
        <f>N7+(W$2/7)</f>
        <v>7.7227777777777789</v>
      </c>
      <c r="AG7" s="506">
        <f>O7+(X$2/21)+(Y$2/7)</f>
        <v>4.383333333333332</v>
      </c>
      <c r="AH7" s="506">
        <f>P7+(Z$2/2.5)+(Y$2/10)</f>
        <v>15.749999999999998</v>
      </c>
      <c r="AI7" s="424">
        <f t="shared" si="12"/>
        <v>0</v>
      </c>
      <c r="AJ7" s="424">
        <f t="shared" si="13"/>
        <v>0</v>
      </c>
      <c r="AK7" s="424">
        <f t="shared" si="14"/>
        <v>0</v>
      </c>
      <c r="AL7" s="424">
        <f t="shared" si="15"/>
        <v>0</v>
      </c>
      <c r="AM7" s="424">
        <f t="shared" si="16"/>
        <v>0</v>
      </c>
      <c r="AN7" s="424">
        <f t="shared" si="17"/>
        <v>0</v>
      </c>
      <c r="AO7" s="424">
        <f t="shared" si="18"/>
        <v>0.40000000000000036</v>
      </c>
      <c r="AQ7" s="427" t="s">
        <v>569</v>
      </c>
      <c r="AR7" s="305" t="str">
        <f>D8</f>
        <v>E. Toney</v>
      </c>
      <c r="AS7" s="432">
        <v>0</v>
      </c>
      <c r="AT7" s="432">
        <f>AJ8*0.919</f>
        <v>0</v>
      </c>
      <c r="AU7" s="432">
        <f>AJ8*0.414</f>
        <v>0</v>
      </c>
      <c r="AV7" s="432">
        <f>AK8*0.167</f>
        <v>0</v>
      </c>
      <c r="AW7" s="432">
        <v>0</v>
      </c>
      <c r="AX7" s="432">
        <f>AL8*0.588</f>
        <v>0</v>
      </c>
      <c r="AY7" s="432">
        <v>0</v>
      </c>
      <c r="AZ7" s="435">
        <f>(0.5*AN8+0.3*AO8)/10</f>
        <v>1.1999999999999957E-2</v>
      </c>
      <c r="BA7" s="435">
        <f>(0.4*AJ8+0.3*AO8)/10</f>
        <v>1.1999999999999957E-2</v>
      </c>
      <c r="BB7" s="434">
        <f>((AC8+1)+(AF8+1)*2)/8</f>
        <v>4.2912500000000007</v>
      </c>
      <c r="BC7" s="434">
        <f>((AJ8)+(AM8)*2)/8</f>
        <v>0</v>
      </c>
      <c r="BE7" s="427" t="s">
        <v>569</v>
      </c>
      <c r="BF7" s="260" t="str">
        <f>BF23</f>
        <v>E.Romweber</v>
      </c>
      <c r="BG7" s="432">
        <f>BG23</f>
        <v>0</v>
      </c>
      <c r="BH7" s="432">
        <f t="shared" ref="BH7:BM7" si="22">BH23</f>
        <v>0</v>
      </c>
      <c r="BI7" s="432">
        <f t="shared" si="22"/>
        <v>0</v>
      </c>
      <c r="BJ7" s="432">
        <f t="shared" si="22"/>
        <v>0</v>
      </c>
      <c r="BK7" s="432">
        <f t="shared" si="22"/>
        <v>0</v>
      </c>
      <c r="BL7" s="432">
        <f t="shared" si="22"/>
        <v>0</v>
      </c>
      <c r="BM7" s="432">
        <f t="shared" si="22"/>
        <v>0</v>
      </c>
      <c r="BN7" s="435">
        <f>BN23</f>
        <v>1.1999999999999957E-2</v>
      </c>
      <c r="BO7" s="435">
        <f t="shared" ref="BO7:BQ7" si="23">BO23</f>
        <v>1.1999999999999957E-2</v>
      </c>
      <c r="BP7" s="435">
        <f t="shared" si="23"/>
        <v>4.6031944444444441</v>
      </c>
      <c r="BQ7" s="435">
        <f t="shared" si="23"/>
        <v>0</v>
      </c>
    </row>
    <row r="8" spans="1:76" s="264" customFormat="1" x14ac:dyDescent="0.25">
      <c r="A8" s="384" t="s">
        <v>407</v>
      </c>
      <c r="B8" s="384" t="s">
        <v>2</v>
      </c>
      <c r="C8" s="385">
        <f t="shared" ca="1" si="11"/>
        <v>1.7857142857142858</v>
      </c>
      <c r="D8" s="386" t="s">
        <v>269</v>
      </c>
      <c r="E8" s="387">
        <f>PLANTILLA!E9</f>
        <v>31</v>
      </c>
      <c r="F8" s="387">
        <f ca="1">PLANTILLA!F9</f>
        <v>24</v>
      </c>
      <c r="G8" s="388"/>
      <c r="H8" s="394">
        <v>5</v>
      </c>
      <c r="I8" s="308">
        <f>PLANTILLA!I9</f>
        <v>12.2</v>
      </c>
      <c r="J8" s="486">
        <f>PLANTILLA!X9</f>
        <v>0</v>
      </c>
      <c r="K8" s="486">
        <f>PLANTILLA!Y9</f>
        <v>12.130000000000004</v>
      </c>
      <c r="L8" s="486">
        <f>PLANTILLA!Z9</f>
        <v>13.156555555555553</v>
      </c>
      <c r="M8" s="486">
        <f>PLANTILLA!AA9</f>
        <v>9.8200000000000056</v>
      </c>
      <c r="N8" s="486">
        <f>PLANTILLA!AB9</f>
        <v>9.6</v>
      </c>
      <c r="O8" s="486">
        <f>PLANTILLA!AC9</f>
        <v>3.6816666666666658</v>
      </c>
      <c r="P8" s="486">
        <f>PLANTILLA!AD9</f>
        <v>16.627777777777773</v>
      </c>
      <c r="Q8" s="411">
        <f t="shared" si="4"/>
        <v>31</v>
      </c>
      <c r="R8" s="412">
        <f t="shared" ca="1" si="5"/>
        <v>31</v>
      </c>
      <c r="S8" s="180"/>
      <c r="T8" s="180"/>
      <c r="U8" s="180"/>
      <c r="V8" s="180"/>
      <c r="W8" s="180"/>
      <c r="X8" s="180"/>
      <c r="Y8" s="180"/>
      <c r="Z8" s="180"/>
      <c r="AA8" s="296">
        <f t="shared" si="6"/>
        <v>12.2</v>
      </c>
      <c r="AB8" s="506">
        <f t="shared" si="20"/>
        <v>0</v>
      </c>
      <c r="AC8" s="506">
        <f>K8+(T$2/11)</f>
        <v>12.130000000000004</v>
      </c>
      <c r="AD8" s="506">
        <f>L8+(U$2/29)</f>
        <v>13.156555555555553</v>
      </c>
      <c r="AE8" s="506">
        <f>M8+(V$2/13)</f>
        <v>9.8200000000000056</v>
      </c>
      <c r="AF8" s="506">
        <f>N8+(W$2/8)</f>
        <v>9.6</v>
      </c>
      <c r="AG8" s="506">
        <f>O8+(X$2/19)+(Y$2/6)</f>
        <v>3.6816666666666658</v>
      </c>
      <c r="AH8" s="506">
        <f>P8+(Z$2/2.5)+(Y$2/10)</f>
        <v>17.027777777777771</v>
      </c>
      <c r="AI8" s="424">
        <f t="shared" si="12"/>
        <v>0</v>
      </c>
      <c r="AJ8" s="424">
        <f t="shared" si="13"/>
        <v>0</v>
      </c>
      <c r="AK8" s="424">
        <f t="shared" si="14"/>
        <v>0</v>
      </c>
      <c r="AL8" s="424">
        <f t="shared" si="15"/>
        <v>0</v>
      </c>
      <c r="AM8" s="424">
        <f t="shared" si="16"/>
        <v>0</v>
      </c>
      <c r="AN8" s="424">
        <f t="shared" si="17"/>
        <v>0</v>
      </c>
      <c r="AO8" s="424">
        <f t="shared" si="18"/>
        <v>0.39999999999999858</v>
      </c>
      <c r="AQ8" s="529" t="s">
        <v>649</v>
      </c>
      <c r="AR8" s="304" t="str">
        <f>D11</f>
        <v>E.Romweber</v>
      </c>
      <c r="AS8" s="430">
        <f>AJ11*0.349</f>
        <v>0</v>
      </c>
      <c r="AT8" s="430">
        <v>0</v>
      </c>
      <c r="AU8" s="430">
        <f>AJ11*0.201</f>
        <v>0</v>
      </c>
      <c r="AV8" s="430">
        <f>AK11*0.455</f>
        <v>0</v>
      </c>
      <c r="AW8" s="430">
        <f>(AL11*0.864)+(AM11*0.244)</f>
        <v>0</v>
      </c>
      <c r="AX8" s="430">
        <v>0</v>
      </c>
      <c r="AY8" s="430">
        <f>(AM11*0.121)</f>
        <v>0</v>
      </c>
      <c r="AZ8" s="435">
        <f>(0.5*AN11+0.3*AO11)/10</f>
        <v>1.1999999999999957E-2</v>
      </c>
      <c r="BA8" s="435">
        <f>(0.4*AJ11+0.3*AO11)/10</f>
        <v>1.1999999999999957E-2</v>
      </c>
      <c r="BB8" s="433">
        <v>0</v>
      </c>
      <c r="BC8" s="433">
        <v>0</v>
      </c>
      <c r="BE8" s="529" t="s">
        <v>650</v>
      </c>
      <c r="BF8" s="304" t="str">
        <f>D12</f>
        <v>K. Helms</v>
      </c>
      <c r="BG8" s="432">
        <f>BG24</f>
        <v>0</v>
      </c>
      <c r="BH8" s="432">
        <f t="shared" ref="BH8:BQ8" si="24">BH24</f>
        <v>0</v>
      </c>
      <c r="BI8" s="432">
        <f t="shared" si="24"/>
        <v>0</v>
      </c>
      <c r="BJ8" s="432">
        <f t="shared" si="24"/>
        <v>0</v>
      </c>
      <c r="BK8" s="432">
        <f t="shared" si="24"/>
        <v>0</v>
      </c>
      <c r="BL8" s="432">
        <f t="shared" si="24"/>
        <v>0</v>
      </c>
      <c r="BM8" s="432">
        <f t="shared" si="24"/>
        <v>0</v>
      </c>
      <c r="BN8" s="435">
        <f t="shared" si="24"/>
        <v>1.1999999999999957E-2</v>
      </c>
      <c r="BO8" s="435">
        <f t="shared" si="24"/>
        <v>1.1999999999999957E-2</v>
      </c>
      <c r="BP8" s="435">
        <f t="shared" si="24"/>
        <v>0</v>
      </c>
      <c r="BQ8" s="435">
        <f t="shared" si="24"/>
        <v>0</v>
      </c>
    </row>
    <row r="9" spans="1:76" s="263" customFormat="1" x14ac:dyDescent="0.25">
      <c r="A9" s="384" t="s">
        <v>411</v>
      </c>
      <c r="B9" s="260" t="s">
        <v>2</v>
      </c>
      <c r="C9" s="261">
        <f t="shared" ca="1" si="11"/>
        <v>1.9196428571428572</v>
      </c>
      <c r="D9" s="294" t="s">
        <v>273</v>
      </c>
      <c r="E9" s="387">
        <f>PLANTILLA!E10</f>
        <v>31</v>
      </c>
      <c r="F9" s="387">
        <f ca="1">PLANTILLA!F10</f>
        <v>9</v>
      </c>
      <c r="G9" s="388"/>
      <c r="H9" s="371">
        <v>4</v>
      </c>
      <c r="I9" s="308">
        <f>PLANTILLA!I10</f>
        <v>9.3000000000000007</v>
      </c>
      <c r="J9" s="486">
        <f>PLANTILLA!X10</f>
        <v>0</v>
      </c>
      <c r="K9" s="486">
        <f>PLANTILLA!Y10</f>
        <v>11.749999999999996</v>
      </c>
      <c r="L9" s="486">
        <f>PLANTILLA!Z10</f>
        <v>7.0025000000000022</v>
      </c>
      <c r="M9" s="486">
        <f>PLANTILLA!AA10</f>
        <v>7.4300000000000015</v>
      </c>
      <c r="N9" s="486">
        <f>PLANTILLA!AB10</f>
        <v>9.0199999999999978</v>
      </c>
      <c r="O9" s="486">
        <f>PLANTILLA!AC10</f>
        <v>4.6199999999999966</v>
      </c>
      <c r="P9" s="486">
        <f>PLANTILLA!AD10</f>
        <v>15.6</v>
      </c>
      <c r="Q9" s="411">
        <f t="shared" si="4"/>
        <v>31</v>
      </c>
      <c r="R9" s="412">
        <f t="shared" ca="1" si="5"/>
        <v>16</v>
      </c>
      <c r="S9" s="180"/>
      <c r="T9" s="180"/>
      <c r="U9" s="180"/>
      <c r="V9" s="180"/>
      <c r="W9" s="180"/>
      <c r="X9" s="180"/>
      <c r="Y9" s="180"/>
      <c r="Z9" s="180"/>
      <c r="AA9" s="296">
        <f t="shared" si="6"/>
        <v>9.3000000000000007</v>
      </c>
      <c r="AB9" s="506">
        <f t="shared" si="20"/>
        <v>0</v>
      </c>
      <c r="AC9" s="506">
        <f>K9+(T$2/10)</f>
        <v>11.749999999999996</v>
      </c>
      <c r="AD9" s="506">
        <f>L9+(U$2/31)</f>
        <v>7.0025000000000022</v>
      </c>
      <c r="AE9" s="506">
        <f>M9+(V$2/6)</f>
        <v>7.4300000000000015</v>
      </c>
      <c r="AF9" s="506">
        <f>N9+(W$2/7)</f>
        <v>9.0199999999999978</v>
      </c>
      <c r="AG9" s="506">
        <f>O9+(X$2/21)+(Y$2/7)</f>
        <v>4.6199999999999966</v>
      </c>
      <c r="AH9" s="506">
        <f>P9+(Z$2/2)+(Y$2/10)</f>
        <v>16.100000000000001</v>
      </c>
      <c r="AI9" s="424">
        <f t="shared" si="12"/>
        <v>0</v>
      </c>
      <c r="AJ9" s="424">
        <f t="shared" si="13"/>
        <v>0</v>
      </c>
      <c r="AK9" s="424">
        <f t="shared" si="14"/>
        <v>0</v>
      </c>
      <c r="AL9" s="424">
        <f t="shared" si="15"/>
        <v>0</v>
      </c>
      <c r="AM9" s="424">
        <f t="shared" si="16"/>
        <v>0</v>
      </c>
      <c r="AN9" s="424">
        <f t="shared" si="17"/>
        <v>0</v>
      </c>
      <c r="AO9" s="424">
        <f t="shared" si="18"/>
        <v>0.50000000000000178</v>
      </c>
      <c r="AQ9" s="427" t="s">
        <v>503</v>
      </c>
      <c r="AR9" s="260" t="str">
        <f>D14</f>
        <v>S. Buscleman</v>
      </c>
      <c r="AS9" s="432">
        <f>AJ14*0.291</f>
        <v>0</v>
      </c>
      <c r="AT9" s="432">
        <v>0</v>
      </c>
      <c r="AU9" s="432">
        <f>AJ14*0.348</f>
        <v>0</v>
      </c>
      <c r="AV9" s="432">
        <f>AK14*0.881</f>
        <v>0</v>
      </c>
      <c r="AW9" s="432">
        <f>(AL14*0.574)+(AM14*0.315)</f>
        <v>0</v>
      </c>
      <c r="AX9" s="432">
        <v>0</v>
      </c>
      <c r="AY9" s="432">
        <f>AM14*0.241</f>
        <v>0</v>
      </c>
      <c r="AZ9" s="435">
        <f>(0.5*AN14+0.3*AO14)/10</f>
        <v>0.03</v>
      </c>
      <c r="BA9" s="435">
        <f>(0.4*AJ14+0.3*AO14)/10</f>
        <v>0.03</v>
      </c>
      <c r="BB9" s="435">
        <v>0</v>
      </c>
      <c r="BC9" s="435">
        <v>0</v>
      </c>
      <c r="BE9" s="427" t="s">
        <v>503</v>
      </c>
      <c r="BF9" s="260" t="str">
        <f>D14</f>
        <v>S. Buscleman</v>
      </c>
      <c r="BG9" s="432">
        <f t="shared" ref="BG9:BM9" si="25">AS9</f>
        <v>0</v>
      </c>
      <c r="BH9" s="432">
        <f t="shared" si="25"/>
        <v>0</v>
      </c>
      <c r="BI9" s="432">
        <f t="shared" si="25"/>
        <v>0</v>
      </c>
      <c r="BJ9" s="432">
        <f t="shared" si="25"/>
        <v>0</v>
      </c>
      <c r="BK9" s="432">
        <f t="shared" si="25"/>
        <v>0</v>
      </c>
      <c r="BL9" s="432">
        <f t="shared" si="25"/>
        <v>0</v>
      </c>
      <c r="BM9" s="432">
        <f t="shared" si="25"/>
        <v>0</v>
      </c>
      <c r="BN9" s="435">
        <f t="shared" ref="BN9" si="26">AZ9</f>
        <v>0.03</v>
      </c>
      <c r="BO9" s="435">
        <f>BA9</f>
        <v>0.03</v>
      </c>
      <c r="BP9" s="435">
        <f>BB9</f>
        <v>0</v>
      </c>
      <c r="BQ9" s="435">
        <f>BC9</f>
        <v>0</v>
      </c>
    </row>
    <row r="10" spans="1:76" s="4" customFormat="1" x14ac:dyDescent="0.25">
      <c r="A10" s="304" t="s">
        <v>568</v>
      </c>
      <c r="B10" s="260" t="s">
        <v>2</v>
      </c>
      <c r="C10" s="261">
        <f t="shared" ca="1" si="11"/>
        <v>5.7142857142857144</v>
      </c>
      <c r="D10" s="294" t="s">
        <v>567</v>
      </c>
      <c r="E10" s="387">
        <f>PLANTILLA!E11</f>
        <v>27</v>
      </c>
      <c r="F10" s="387">
        <f ca="1">PLANTILLA!F11</f>
        <v>32</v>
      </c>
      <c r="G10" s="388"/>
      <c r="H10" s="394">
        <v>5</v>
      </c>
      <c r="I10" s="308">
        <f>PLANTILLA!I11</f>
        <v>4.9000000000000004</v>
      </c>
      <c r="J10" s="486">
        <f>PLANTILLA!X11</f>
        <v>0</v>
      </c>
      <c r="K10" s="486">
        <f>PLANTILLA!Y11</f>
        <v>9.5996666666666659</v>
      </c>
      <c r="L10" s="486">
        <f>PLANTILLA!Z11</f>
        <v>7.7507222222222225</v>
      </c>
      <c r="M10" s="486">
        <f>PLANTILLA!AA11</f>
        <v>6.1499999999999986</v>
      </c>
      <c r="N10" s="486">
        <f>PLANTILLA!AB11</f>
        <v>8.8633333333333315</v>
      </c>
      <c r="O10" s="486">
        <f>PLANTILLA!AC11</f>
        <v>3.2566666666666673</v>
      </c>
      <c r="P10" s="486">
        <f>PLANTILLA!AD11</f>
        <v>13.238888888888889</v>
      </c>
      <c r="Q10" s="411">
        <f t="shared" si="4"/>
        <v>27</v>
      </c>
      <c r="R10" s="412">
        <f t="shared" ca="1" si="5"/>
        <v>39</v>
      </c>
      <c r="S10" s="180"/>
      <c r="T10" s="180"/>
      <c r="U10" s="180"/>
      <c r="V10" s="180"/>
      <c r="W10" s="180"/>
      <c r="X10" s="180"/>
      <c r="Y10" s="180"/>
      <c r="Z10" s="180"/>
      <c r="AA10" s="296">
        <f t="shared" si="6"/>
        <v>4.9000000000000004</v>
      </c>
      <c r="AB10" s="506">
        <f t="shared" si="20"/>
        <v>0</v>
      </c>
      <c r="AC10" s="506">
        <f>K10+(T$2/25)</f>
        <v>9.5996666666666659</v>
      </c>
      <c r="AD10" s="506">
        <f>L10+(U$2/37)</f>
        <v>7.7507222222222225</v>
      </c>
      <c r="AE10" s="506">
        <f>M10+(V$2/20)</f>
        <v>6.1499999999999986</v>
      </c>
      <c r="AF10" s="506">
        <f>N10+(W$2/8)</f>
        <v>8.8633333333333315</v>
      </c>
      <c r="AG10" s="506">
        <f>O10+(X$2/18)+(Y$2/5)</f>
        <v>3.2566666666666673</v>
      </c>
      <c r="AH10" s="506">
        <f>P10+(Z$2/1.2)+(Y$2/10)</f>
        <v>14.072222222222223</v>
      </c>
      <c r="AI10" s="424">
        <f t="shared" si="12"/>
        <v>0</v>
      </c>
      <c r="AJ10" s="424">
        <f t="shared" si="13"/>
        <v>0</v>
      </c>
      <c r="AK10" s="424">
        <f t="shared" si="14"/>
        <v>0</v>
      </c>
      <c r="AL10" s="424">
        <f t="shared" si="15"/>
        <v>0</v>
      </c>
      <c r="AM10" s="424">
        <f t="shared" si="16"/>
        <v>0</v>
      </c>
      <c r="AN10" s="424">
        <f t="shared" si="17"/>
        <v>0</v>
      </c>
      <c r="AO10" s="424">
        <f t="shared" si="18"/>
        <v>0.83333333333333393</v>
      </c>
      <c r="AQ10" s="427" t="s">
        <v>651</v>
      </c>
      <c r="AR10" s="260" t="str">
        <f>D17</f>
        <v>L. Bauman</v>
      </c>
      <c r="AS10" s="432">
        <f>AJ17*0.057</f>
        <v>0</v>
      </c>
      <c r="AT10" s="432">
        <f>AS10</f>
        <v>0</v>
      </c>
      <c r="AU10" s="432">
        <f>AJ17*0.162</f>
        <v>0</v>
      </c>
      <c r="AV10" s="432">
        <f>AK17*0.944</f>
        <v>0</v>
      </c>
      <c r="AW10" s="432">
        <f>AM17*0.188</f>
        <v>0</v>
      </c>
      <c r="AX10" s="432">
        <f>AW10</f>
        <v>0</v>
      </c>
      <c r="AY10" s="432">
        <f>AM17*0.507+AN17*0.31</f>
        <v>0</v>
      </c>
      <c r="AZ10" s="435">
        <f>(0.5*AN17+0.3*AO17)/10</f>
        <v>1.1999999999999957E-2</v>
      </c>
      <c r="BA10" s="435">
        <f>(0.4*AJ17+0.3*AO17)/10</f>
        <v>1.1999999999999957E-2</v>
      </c>
      <c r="BB10" s="435">
        <v>0</v>
      </c>
      <c r="BC10" s="435">
        <v>0</v>
      </c>
      <c r="BE10" s="427" t="s">
        <v>648</v>
      </c>
      <c r="BF10" s="260" t="str">
        <f>BF22</f>
        <v>B. Bartolache</v>
      </c>
      <c r="BG10" s="432">
        <f>BG22</f>
        <v>0</v>
      </c>
      <c r="BH10" s="432">
        <f t="shared" ref="BH10:BM10" si="27">BH22</f>
        <v>0</v>
      </c>
      <c r="BI10" s="432">
        <f t="shared" si="27"/>
        <v>0</v>
      </c>
      <c r="BJ10" s="432">
        <f t="shared" si="27"/>
        <v>0</v>
      </c>
      <c r="BK10" s="432">
        <f t="shared" si="27"/>
        <v>0</v>
      </c>
      <c r="BL10" s="432">
        <f t="shared" si="27"/>
        <v>0</v>
      </c>
      <c r="BM10" s="432">
        <f t="shared" si="27"/>
        <v>0</v>
      </c>
      <c r="BN10" s="435">
        <f>AZ7</f>
        <v>1.1999999999999957E-2</v>
      </c>
      <c r="BO10" s="435">
        <f>BA7</f>
        <v>1.1999999999999957E-2</v>
      </c>
      <c r="BP10" s="435">
        <f t="shared" ref="BP10:BQ10" si="28">BP22</f>
        <v>4.2912500000000007</v>
      </c>
      <c r="BQ10" s="435">
        <f t="shared" si="28"/>
        <v>0</v>
      </c>
    </row>
    <row r="11" spans="1:76" x14ac:dyDescent="0.25">
      <c r="A11" s="384" t="s">
        <v>405</v>
      </c>
      <c r="B11" s="384" t="s">
        <v>65</v>
      </c>
      <c r="C11" s="385">
        <f t="shared" ca="1" si="11"/>
        <v>2.125</v>
      </c>
      <c r="D11" s="386" t="s">
        <v>270</v>
      </c>
      <c r="E11" s="387">
        <f>PLANTILLA!E12</f>
        <v>30</v>
      </c>
      <c r="F11" s="387">
        <f ca="1">PLANTILLA!F12</f>
        <v>98</v>
      </c>
      <c r="G11" s="388" t="s">
        <v>271</v>
      </c>
      <c r="H11" s="371">
        <v>1</v>
      </c>
      <c r="I11" s="308">
        <f>PLANTILLA!I12</f>
        <v>12.3</v>
      </c>
      <c r="J11" s="486">
        <f>PLANTILLA!X12</f>
        <v>0</v>
      </c>
      <c r="K11" s="486">
        <f>PLANTILLA!Y12</f>
        <v>12.005555555555555</v>
      </c>
      <c r="L11" s="486">
        <f>PLANTILLA!Z12</f>
        <v>12.534111111111114</v>
      </c>
      <c r="M11" s="486">
        <f>PLANTILLA!AA12</f>
        <v>13.133333333333335</v>
      </c>
      <c r="N11" s="486">
        <f>PLANTILLA!AB12</f>
        <v>10.91</v>
      </c>
      <c r="O11" s="486">
        <f>PLANTILLA!AC12</f>
        <v>7.7700000000000005</v>
      </c>
      <c r="P11" s="486">
        <f>PLANTILLA!AD12</f>
        <v>17.13</v>
      </c>
      <c r="Q11" s="411">
        <f t="shared" si="4"/>
        <v>30</v>
      </c>
      <c r="R11" s="412">
        <f t="shared" ca="1" si="5"/>
        <v>105</v>
      </c>
      <c r="S11" s="180"/>
      <c r="T11" s="180"/>
      <c r="U11" s="180"/>
      <c r="V11" s="180"/>
      <c r="W11" s="180"/>
      <c r="X11" s="180"/>
      <c r="Y11" s="180"/>
      <c r="Z11" s="180"/>
      <c r="AA11" s="296">
        <f t="shared" si="6"/>
        <v>12.3</v>
      </c>
      <c r="AB11" s="506">
        <f t="shared" si="20"/>
        <v>0</v>
      </c>
      <c r="AC11" s="506">
        <f>K11+(T$2/10)</f>
        <v>12.005555555555555</v>
      </c>
      <c r="AD11" s="506">
        <f>L11+(U$2/18)</f>
        <v>12.534111111111114</v>
      </c>
      <c r="AE11" s="506">
        <f>M11+(V$2/15)</f>
        <v>13.133333333333335</v>
      </c>
      <c r="AF11" s="506">
        <f>N11+(W$2/8)</f>
        <v>10.91</v>
      </c>
      <c r="AG11" s="506">
        <f>O11+(X$2/5)+(Y$2/4)/2</f>
        <v>7.7700000000000005</v>
      </c>
      <c r="AH11" s="506">
        <f>P11+(Z$2/2.5)+(Y$2/10)</f>
        <v>17.529999999999998</v>
      </c>
      <c r="AI11" s="424">
        <f t="shared" si="12"/>
        <v>0</v>
      </c>
      <c r="AJ11" s="424">
        <f t="shared" si="13"/>
        <v>0</v>
      </c>
      <c r="AK11" s="424">
        <f t="shared" si="14"/>
        <v>0</v>
      </c>
      <c r="AL11" s="424">
        <f t="shared" si="15"/>
        <v>0</v>
      </c>
      <c r="AM11" s="424">
        <f t="shared" si="16"/>
        <v>0</v>
      </c>
      <c r="AN11" s="424">
        <f t="shared" si="17"/>
        <v>0</v>
      </c>
      <c r="AO11" s="424">
        <f t="shared" si="18"/>
        <v>0.39999999999999858</v>
      </c>
      <c r="AQ11" s="427" t="s">
        <v>503</v>
      </c>
      <c r="AR11" s="260" t="str">
        <f>D15</f>
        <v>C. Rojas</v>
      </c>
      <c r="AS11" s="432">
        <v>0</v>
      </c>
      <c r="AT11" s="432">
        <f>AJ15*0.291</f>
        <v>0</v>
      </c>
      <c r="AU11" s="432">
        <f>AJ15*0.348</f>
        <v>0</v>
      </c>
      <c r="AV11" s="432">
        <f>AK15*0.881</f>
        <v>0</v>
      </c>
      <c r="AW11" s="432">
        <v>0</v>
      </c>
      <c r="AX11" s="432">
        <f>(AL15*0.574)+(AM15*0.314)</f>
        <v>0</v>
      </c>
      <c r="AY11" s="432">
        <f>AM15*0.241</f>
        <v>0</v>
      </c>
      <c r="AZ11" s="435">
        <f>(0.5*AN15+0.3*AO15)/10</f>
        <v>1.4999999999999999E-2</v>
      </c>
      <c r="BA11" s="435">
        <f>(0.4*AJ15+0.3*AO15)/10</f>
        <v>1.4999999999999999E-2</v>
      </c>
      <c r="BB11" s="435">
        <v>0</v>
      </c>
      <c r="BC11" s="435">
        <v>0</v>
      </c>
      <c r="BE11" s="427" t="s">
        <v>503</v>
      </c>
      <c r="BF11" s="260" t="str">
        <f>D15</f>
        <v>C. Rojas</v>
      </c>
      <c r="BG11" s="432">
        <f>BG26</f>
        <v>0</v>
      </c>
      <c r="BH11" s="432">
        <f t="shared" ref="BH11:BM11" si="29">BH26</f>
        <v>0</v>
      </c>
      <c r="BI11" s="432">
        <f t="shared" si="29"/>
        <v>0</v>
      </c>
      <c r="BJ11" s="432">
        <f t="shared" si="29"/>
        <v>0</v>
      </c>
      <c r="BK11" s="432">
        <f t="shared" si="29"/>
        <v>0</v>
      </c>
      <c r="BL11" s="432">
        <f t="shared" si="29"/>
        <v>0</v>
      </c>
      <c r="BM11" s="432">
        <f t="shared" si="29"/>
        <v>0</v>
      </c>
      <c r="BN11" s="435">
        <f>BN26</f>
        <v>1.4999999999999999E-2</v>
      </c>
      <c r="BO11" s="435">
        <f t="shared" ref="BO11:BQ11" si="30">BO26</f>
        <v>1.4999999999999999E-2</v>
      </c>
      <c r="BP11" s="435">
        <f t="shared" si="30"/>
        <v>0</v>
      </c>
      <c r="BQ11" s="435">
        <f t="shared" si="30"/>
        <v>0</v>
      </c>
    </row>
    <row r="12" spans="1:76" s="263" customFormat="1" x14ac:dyDescent="0.25">
      <c r="A12" s="384" t="s">
        <v>412</v>
      </c>
      <c r="B12" s="384" t="s">
        <v>65</v>
      </c>
      <c r="C12" s="385">
        <f t="shared" ca="1" si="11"/>
        <v>2.5982142857142856</v>
      </c>
      <c r="D12" s="386" t="s">
        <v>298</v>
      </c>
      <c r="E12" s="387">
        <f>PLANTILLA!E13</f>
        <v>30</v>
      </c>
      <c r="F12" s="387">
        <f ca="1">PLANTILLA!F13</f>
        <v>45</v>
      </c>
      <c r="G12" s="388" t="s">
        <v>268</v>
      </c>
      <c r="H12" s="371">
        <v>3</v>
      </c>
      <c r="I12" s="308">
        <f>PLANTILLA!I13</f>
        <v>10.3</v>
      </c>
      <c r="J12" s="486">
        <f>PLANTILLA!X13</f>
        <v>0</v>
      </c>
      <c r="K12" s="486">
        <f>PLANTILLA!Y13</f>
        <v>7.2200000000000006</v>
      </c>
      <c r="L12" s="486">
        <f>PLANTILLA!Z13</f>
        <v>10.500000000000004</v>
      </c>
      <c r="M12" s="486">
        <f>PLANTILLA!AA13</f>
        <v>13.388333333333334</v>
      </c>
      <c r="N12" s="486">
        <f>PLANTILLA!AB13</f>
        <v>10.359999999999998</v>
      </c>
      <c r="O12" s="486">
        <f>PLANTILLA!AC13</f>
        <v>5.4050000000000002</v>
      </c>
      <c r="P12" s="486">
        <f>PLANTILLA!AD13</f>
        <v>17.300000000000004</v>
      </c>
      <c r="Q12" s="411">
        <f t="shared" si="4"/>
        <v>30</v>
      </c>
      <c r="R12" s="412">
        <f t="shared" ca="1" si="5"/>
        <v>52</v>
      </c>
      <c r="S12" s="180"/>
      <c r="T12" s="180"/>
      <c r="U12" s="180"/>
      <c r="V12" s="180"/>
      <c r="W12" s="180"/>
      <c r="X12" s="180"/>
      <c r="Y12" s="180"/>
      <c r="Z12" s="180"/>
      <c r="AA12" s="296">
        <f t="shared" si="6"/>
        <v>10.3</v>
      </c>
      <c r="AB12" s="506">
        <f t="shared" si="20"/>
        <v>0</v>
      </c>
      <c r="AC12" s="506">
        <f>K12+(T$2/7)</f>
        <v>7.2200000000000006</v>
      </c>
      <c r="AD12" s="506">
        <f>L12+(U$2/7)</f>
        <v>10.500000000000004</v>
      </c>
      <c r="AE12" s="506">
        <f>M12+(V$2/8)</f>
        <v>13.388333333333334</v>
      </c>
      <c r="AF12" s="506">
        <f>N12+(W$2/8)</f>
        <v>10.359999999999998</v>
      </c>
      <c r="AG12" s="506">
        <f>O12+(X$2/4)+(Y$2/6)</f>
        <v>5.4050000000000002</v>
      </c>
      <c r="AH12" s="506">
        <f>P12+(Z$2/2.5)+(Y$2/10)</f>
        <v>17.700000000000003</v>
      </c>
      <c r="AI12" s="424">
        <f t="shared" si="12"/>
        <v>0</v>
      </c>
      <c r="AJ12" s="424">
        <f t="shared" si="13"/>
        <v>0</v>
      </c>
      <c r="AK12" s="424">
        <f t="shared" si="14"/>
        <v>0</v>
      </c>
      <c r="AL12" s="424">
        <f t="shared" si="15"/>
        <v>0</v>
      </c>
      <c r="AM12" s="424">
        <f t="shared" si="16"/>
        <v>0</v>
      </c>
      <c r="AN12" s="424">
        <f t="shared" si="17"/>
        <v>0</v>
      </c>
      <c r="AO12" s="424">
        <f t="shared" si="18"/>
        <v>0.39999999999999858</v>
      </c>
      <c r="AQ12" s="530" t="s">
        <v>650</v>
      </c>
      <c r="AR12" s="260" t="str">
        <f>D12</f>
        <v>K. Helms</v>
      </c>
      <c r="AS12" s="432">
        <v>0</v>
      </c>
      <c r="AT12" s="432">
        <f>AJ12*0.18</f>
        <v>0</v>
      </c>
      <c r="AU12" s="432">
        <f>AJ12*0.068</f>
        <v>0</v>
      </c>
      <c r="AV12" s="432">
        <f>AK12*0.305</f>
        <v>0</v>
      </c>
      <c r="AW12" s="432">
        <v>0</v>
      </c>
      <c r="AX12" s="432">
        <f>(AL12*1)+(AM12*0.286)</f>
        <v>0</v>
      </c>
      <c r="AY12" s="432">
        <f>AM12*0.135</f>
        <v>0</v>
      </c>
      <c r="AZ12" s="435">
        <f>(0.5*AN12+0.3*AO12)/10</f>
        <v>1.1999999999999957E-2</v>
      </c>
      <c r="BA12" s="435">
        <f>(0.4*AJ12+0.3*AO12)/10</f>
        <v>1.1999999999999957E-2</v>
      </c>
      <c r="BB12" s="435">
        <v>0</v>
      </c>
      <c r="BC12" s="435">
        <v>0</v>
      </c>
      <c r="BE12" s="530" t="s">
        <v>650</v>
      </c>
      <c r="BF12" s="260" t="str">
        <f>BF27</f>
        <v>S. Zobbe</v>
      </c>
      <c r="BG12" s="432">
        <f>BG27</f>
        <v>0</v>
      </c>
      <c r="BH12" s="432">
        <f t="shared" ref="BH12:BM12" si="31">BH27</f>
        <v>0</v>
      </c>
      <c r="BI12" s="432">
        <f t="shared" si="31"/>
        <v>0</v>
      </c>
      <c r="BJ12" s="432">
        <f t="shared" si="31"/>
        <v>0</v>
      </c>
      <c r="BK12" s="432">
        <f t="shared" si="31"/>
        <v>0</v>
      </c>
      <c r="BL12" s="432">
        <f t="shared" si="31"/>
        <v>0</v>
      </c>
      <c r="BM12" s="432">
        <f t="shared" si="31"/>
        <v>0</v>
      </c>
      <c r="BN12" s="435">
        <f>BN27</f>
        <v>1.4999999999999999E-2</v>
      </c>
      <c r="BO12" s="435">
        <f t="shared" ref="BO12:BQ12" si="32">BO27</f>
        <v>1.4999999999999999E-2</v>
      </c>
      <c r="BP12" s="435">
        <f t="shared" si="32"/>
        <v>0</v>
      </c>
      <c r="BQ12" s="435">
        <f t="shared" si="32"/>
        <v>0</v>
      </c>
    </row>
    <row r="13" spans="1:76" s="264" customFormat="1" x14ac:dyDescent="0.25">
      <c r="A13" s="384" t="s">
        <v>506</v>
      </c>
      <c r="B13" s="384" t="s">
        <v>65</v>
      </c>
      <c r="C13" s="385">
        <f t="shared" ca="1" si="11"/>
        <v>5.4642857142857144</v>
      </c>
      <c r="D13" s="386" t="s">
        <v>507</v>
      </c>
      <c r="E13" s="387">
        <f>PLANTILLA!E14</f>
        <v>27</v>
      </c>
      <c r="F13" s="387">
        <f ca="1">PLANTILLA!F14</f>
        <v>60</v>
      </c>
      <c r="G13" s="388" t="s">
        <v>502</v>
      </c>
      <c r="H13" s="371">
        <v>3</v>
      </c>
      <c r="I13" s="308">
        <f>PLANTILLA!I14</f>
        <v>8.6999999999999993</v>
      </c>
      <c r="J13" s="486">
        <f>PLANTILLA!X14</f>
        <v>0</v>
      </c>
      <c r="K13" s="486">
        <f>PLANTILLA!Y14</f>
        <v>8.2399999999999984</v>
      </c>
      <c r="L13" s="486">
        <f>PLANTILLA!Z14</f>
        <v>12.158412698412699</v>
      </c>
      <c r="M13" s="486">
        <f>PLANTILLA!AA14</f>
        <v>12.25</v>
      </c>
      <c r="N13" s="486">
        <f>PLANTILLA!AB14</f>
        <v>10.24</v>
      </c>
      <c r="O13" s="486">
        <f>PLANTILLA!AC14</f>
        <v>7.4766666666666666</v>
      </c>
      <c r="P13" s="486">
        <f>PLANTILLA!AD14</f>
        <v>15.270000000000001</v>
      </c>
      <c r="Q13" s="411">
        <f t="shared" si="4"/>
        <v>27</v>
      </c>
      <c r="R13" s="412">
        <f t="shared" ca="1" si="5"/>
        <v>67</v>
      </c>
      <c r="S13" s="180"/>
      <c r="T13" s="180"/>
      <c r="U13" s="180"/>
      <c r="V13" s="180"/>
      <c r="W13" s="180"/>
      <c r="X13" s="180"/>
      <c r="Y13" s="180"/>
      <c r="Z13" s="180"/>
      <c r="AA13" s="296">
        <f t="shared" si="6"/>
        <v>8.6999999999999993</v>
      </c>
      <c r="AB13" s="506">
        <f t="shared" si="20"/>
        <v>0</v>
      </c>
      <c r="AC13" s="506">
        <f>K13+(T$2/6.5)</f>
        <v>8.2399999999999984</v>
      </c>
      <c r="AD13" s="506">
        <f>L13+(U$2/8)</f>
        <v>12.158412698412699</v>
      </c>
      <c r="AE13" s="506">
        <f>M13+(V$2/6)</f>
        <v>12.25</v>
      </c>
      <c r="AF13" s="506">
        <f>N13+(W$2/8)</f>
        <v>10.24</v>
      </c>
      <c r="AG13" s="506">
        <f>O13+(X$2/4.5)+(Y$2/3.5)/2</f>
        <v>7.4766666666666666</v>
      </c>
      <c r="AH13" s="506">
        <f>P13+(Z$2/2)+(Y$2/10)</f>
        <v>15.770000000000001</v>
      </c>
      <c r="AI13" s="424">
        <f t="shared" si="12"/>
        <v>0</v>
      </c>
      <c r="AJ13" s="424">
        <f t="shared" si="13"/>
        <v>0</v>
      </c>
      <c r="AK13" s="424">
        <f t="shared" si="14"/>
        <v>0</v>
      </c>
      <c r="AL13" s="424">
        <f t="shared" si="15"/>
        <v>0</v>
      </c>
      <c r="AM13" s="424">
        <f t="shared" si="16"/>
        <v>0</v>
      </c>
      <c r="AN13" s="424">
        <f t="shared" si="17"/>
        <v>0</v>
      </c>
      <c r="AO13" s="424">
        <f t="shared" si="18"/>
        <v>0.5</v>
      </c>
      <c r="AQ13" s="529" t="s">
        <v>66</v>
      </c>
      <c r="AR13" s="304" t="str">
        <f>D21</f>
        <v>J. Limon</v>
      </c>
      <c r="AS13" s="430">
        <v>0</v>
      </c>
      <c r="AT13" s="430">
        <v>0</v>
      </c>
      <c r="AU13" s="430">
        <v>0</v>
      </c>
      <c r="AV13" s="430">
        <f>AK21*0.25</f>
        <v>0</v>
      </c>
      <c r="AW13" s="430">
        <f>(AM21*0.142)+(AL21*0.221)+(AN21*0.26)</f>
        <v>0</v>
      </c>
      <c r="AX13" s="430">
        <f>AW13</f>
        <v>0</v>
      </c>
      <c r="AY13" s="430">
        <f>(AM21*0.369)+(AN21*1)</f>
        <v>0</v>
      </c>
      <c r="AZ13" s="553">
        <f>((0.5*AN21+0.3*AO21)/10)+0.09*AO21</f>
        <v>0.06</v>
      </c>
      <c r="BA13" s="553">
        <f>(0.4*AJ21+0.3*AO21)/10</f>
        <v>1.4999999999999999E-2</v>
      </c>
      <c r="BB13" s="433">
        <v>0</v>
      </c>
      <c r="BC13" s="433">
        <v>0</v>
      </c>
      <c r="BE13" s="529" t="s">
        <v>647</v>
      </c>
      <c r="BF13" s="304" t="str">
        <f>D21</f>
        <v>J. Limon</v>
      </c>
      <c r="BG13" s="430">
        <v>0</v>
      </c>
      <c r="BH13" s="430">
        <v>0</v>
      </c>
      <c r="BI13" s="430">
        <v>0</v>
      </c>
      <c r="BJ13" s="430">
        <f>AK21*0.25</f>
        <v>0</v>
      </c>
      <c r="BK13" s="430">
        <f>(AM21*0.209)+(AL21*0.607)+(AN21*0.524)</f>
        <v>0</v>
      </c>
      <c r="BL13" s="430">
        <v>0</v>
      </c>
      <c r="BM13" s="430">
        <f>(AM21*0.261)+(AN21*0.607)</f>
        <v>0</v>
      </c>
      <c r="BN13" s="554">
        <f>AZ13</f>
        <v>0.06</v>
      </c>
      <c r="BO13" s="554">
        <f>BA13</f>
        <v>1.4999999999999999E-2</v>
      </c>
      <c r="BP13" s="433">
        <v>0</v>
      </c>
      <c r="BQ13" s="433">
        <v>0</v>
      </c>
    </row>
    <row r="14" spans="1:76" s="263" customFormat="1" x14ac:dyDescent="0.25">
      <c r="A14" s="384" t="s">
        <v>408</v>
      </c>
      <c r="B14" s="260" t="s">
        <v>64</v>
      </c>
      <c r="C14" s="261">
        <f t="shared" ca="1" si="11"/>
        <v>3.4910714285714284</v>
      </c>
      <c r="D14" s="294" t="s">
        <v>415</v>
      </c>
      <c r="E14" s="387">
        <f>PLANTILLA!E15</f>
        <v>29</v>
      </c>
      <c r="F14" s="387">
        <f ca="1">PLANTILLA!F15</f>
        <v>57</v>
      </c>
      <c r="G14" s="388" t="s">
        <v>268</v>
      </c>
      <c r="H14" s="371">
        <v>4</v>
      </c>
      <c r="I14" s="308">
        <f>PLANTILLA!I15</f>
        <v>10.4</v>
      </c>
      <c r="J14" s="486">
        <f>PLANTILLA!X15</f>
        <v>0</v>
      </c>
      <c r="K14" s="486">
        <f>PLANTILLA!Y15</f>
        <v>9.2036666666666651</v>
      </c>
      <c r="L14" s="486">
        <f>PLANTILLA!Z15</f>
        <v>13.759999999999998</v>
      </c>
      <c r="M14" s="486">
        <f>PLANTILLA!AA15</f>
        <v>12.835000000000001</v>
      </c>
      <c r="N14" s="486">
        <f>PLANTILLA!AB15</f>
        <v>9.6733333333333356</v>
      </c>
      <c r="O14" s="486">
        <f>PLANTILLA!AC15</f>
        <v>5.0296666666666656</v>
      </c>
      <c r="P14" s="486">
        <f>PLANTILLA!AD15</f>
        <v>15.2</v>
      </c>
      <c r="Q14" s="411">
        <f t="shared" si="4"/>
        <v>29</v>
      </c>
      <c r="R14" s="412">
        <f t="shared" ca="1" si="5"/>
        <v>64</v>
      </c>
      <c r="S14" s="180"/>
      <c r="T14" s="180"/>
      <c r="U14" s="180"/>
      <c r="V14" s="180"/>
      <c r="W14" s="180"/>
      <c r="X14" s="180"/>
      <c r="Y14" s="180"/>
      <c r="Z14" s="180"/>
      <c r="AA14" s="296">
        <f t="shared" si="6"/>
        <v>10.4</v>
      </c>
      <c r="AB14" s="506">
        <f t="shared" si="20"/>
        <v>0</v>
      </c>
      <c r="AC14" s="506">
        <f>K14+(T$2/50)</f>
        <v>9.2036666666666651</v>
      </c>
      <c r="AD14" s="506">
        <f>L14+(U$2/10)</f>
        <v>13.759999999999998</v>
      </c>
      <c r="AE14" s="506">
        <f>M14+(V$2/15)</f>
        <v>12.835000000000001</v>
      </c>
      <c r="AF14" s="506">
        <f>N14+(W$2/7.5)</f>
        <v>9.6733333333333356</v>
      </c>
      <c r="AG14" s="506">
        <f>O14+(X$2/3.5)+(Y$2/6)</f>
        <v>5.0296666666666656</v>
      </c>
      <c r="AH14" s="506">
        <f>P14+(Z$2/1)+(Y$2/10)</f>
        <v>16.2</v>
      </c>
      <c r="AI14" s="424">
        <f t="shared" si="12"/>
        <v>0</v>
      </c>
      <c r="AJ14" s="424">
        <f t="shared" si="13"/>
        <v>0</v>
      </c>
      <c r="AK14" s="424">
        <f t="shared" si="14"/>
        <v>0</v>
      </c>
      <c r="AL14" s="424">
        <f t="shared" si="15"/>
        <v>0</v>
      </c>
      <c r="AM14" s="424">
        <f t="shared" si="16"/>
        <v>0</v>
      </c>
      <c r="AN14" s="424">
        <f t="shared" si="17"/>
        <v>0</v>
      </c>
      <c r="AO14" s="424">
        <f t="shared" si="18"/>
        <v>1</v>
      </c>
      <c r="AQ14" s="530" t="s">
        <v>66</v>
      </c>
      <c r="AR14" s="260" t="str">
        <f>D13</f>
        <v>S. Zobbe</v>
      </c>
      <c r="AS14" s="432">
        <v>0</v>
      </c>
      <c r="AT14" s="432">
        <v>0</v>
      </c>
      <c r="AU14" s="432">
        <v>0</v>
      </c>
      <c r="AV14" s="430">
        <f>AK13*0.25</f>
        <v>0</v>
      </c>
      <c r="AW14" s="430">
        <f>(AM13*0.142)+(AL13*0.221)+(AN13*0.26)</f>
        <v>0</v>
      </c>
      <c r="AX14" s="430">
        <f>AW14</f>
        <v>0</v>
      </c>
      <c r="AY14" s="430">
        <f>(AM13*0.369)+(AN13*1)</f>
        <v>0</v>
      </c>
      <c r="AZ14" s="435">
        <f>(0.5*AN13+0.3*AO13)/10</f>
        <v>1.4999999999999999E-2</v>
      </c>
      <c r="BA14" s="435">
        <f>(0.4*AJ13+0.3*AO13)/10</f>
        <v>1.4999999999999999E-2</v>
      </c>
      <c r="BB14" s="433">
        <v>0</v>
      </c>
      <c r="BC14" s="433">
        <v>0</v>
      </c>
      <c r="BE14" s="530" t="s">
        <v>647</v>
      </c>
      <c r="BF14" s="260" t="s">
        <v>722</v>
      </c>
      <c r="BG14" s="432">
        <v>0</v>
      </c>
      <c r="BH14" s="432">
        <v>0</v>
      </c>
      <c r="BI14" s="432">
        <v>0</v>
      </c>
      <c r="BJ14" s="430">
        <f>AK23*0.25</f>
        <v>0</v>
      </c>
      <c r="BK14" s="430">
        <v>0</v>
      </c>
      <c r="BL14" s="430">
        <f>(AM23*0.209)+(AL23*0.607)+(AN23*0.524)</f>
        <v>0</v>
      </c>
      <c r="BM14" s="430">
        <f>(AM23*0.261)+(AN23*0.607)</f>
        <v>0</v>
      </c>
      <c r="BN14" s="433">
        <f>AZ20</f>
        <v>1.9999999999999983E-2</v>
      </c>
      <c r="BO14" s="433">
        <f>BA20</f>
        <v>1.9999999999999983E-2</v>
      </c>
      <c r="BP14" s="433">
        <v>0</v>
      </c>
      <c r="BQ14" s="433">
        <v>0</v>
      </c>
    </row>
    <row r="15" spans="1:76" s="254" customFormat="1" x14ac:dyDescent="0.25">
      <c r="A15" s="305" t="s">
        <v>409</v>
      </c>
      <c r="B15" s="384" t="s">
        <v>64</v>
      </c>
      <c r="C15" s="385">
        <f t="shared" ca="1" si="11"/>
        <v>1.1875</v>
      </c>
      <c r="D15" s="386" t="s">
        <v>285</v>
      </c>
      <c r="E15" s="387">
        <f>PLANTILLA!E16</f>
        <v>31</v>
      </c>
      <c r="F15" s="387">
        <f ca="1">PLANTILLA!F16</f>
        <v>91</v>
      </c>
      <c r="G15" s="388" t="s">
        <v>268</v>
      </c>
      <c r="H15" s="394">
        <v>5</v>
      </c>
      <c r="I15" s="308">
        <f>PLANTILLA!I16</f>
        <v>11</v>
      </c>
      <c r="J15" s="486">
        <f>PLANTILLA!X16</f>
        <v>0</v>
      </c>
      <c r="K15" s="486">
        <f>PLANTILLA!Y16</f>
        <v>8.6175555555555583</v>
      </c>
      <c r="L15" s="486">
        <f>PLANTILLA!Z16</f>
        <v>14.238017460317453</v>
      </c>
      <c r="M15" s="486">
        <f>PLANTILLA!AA16</f>
        <v>9.99</v>
      </c>
      <c r="N15" s="486">
        <f>PLANTILLA!AB16</f>
        <v>10.09</v>
      </c>
      <c r="O15" s="486">
        <f>PLANTILLA!AC16</f>
        <v>4.3999999999999995</v>
      </c>
      <c r="P15" s="486">
        <f>PLANTILLA!AD16</f>
        <v>16.544444444444441</v>
      </c>
      <c r="Q15" s="411">
        <f t="shared" si="4"/>
        <v>31</v>
      </c>
      <c r="R15" s="412">
        <f t="shared" ca="1" si="5"/>
        <v>98</v>
      </c>
      <c r="S15" s="180"/>
      <c r="T15" s="180"/>
      <c r="U15" s="180"/>
      <c r="V15" s="180"/>
      <c r="W15" s="180"/>
      <c r="X15" s="180"/>
      <c r="Y15" s="180"/>
      <c r="Z15" s="180"/>
      <c r="AA15" s="296">
        <f t="shared" si="6"/>
        <v>11</v>
      </c>
      <c r="AB15" s="506">
        <f t="shared" si="20"/>
        <v>0</v>
      </c>
      <c r="AC15" s="506">
        <f>K15+(T$2/50)</f>
        <v>8.6175555555555583</v>
      </c>
      <c r="AD15" s="506">
        <f>L15+(U$2/11)</f>
        <v>14.238017460317453</v>
      </c>
      <c r="AE15" s="506">
        <f>M15+(V$2/15)</f>
        <v>9.99</v>
      </c>
      <c r="AF15" s="506">
        <f>N15+(W$2/8)</f>
        <v>10.09</v>
      </c>
      <c r="AG15" s="506">
        <f>O15+(X$2/22)+(Y$2/7)</f>
        <v>4.3999999999999995</v>
      </c>
      <c r="AH15" s="506">
        <f>P15+(Z$2/2)+(Y$2/10)</f>
        <v>17.044444444444441</v>
      </c>
      <c r="AI15" s="424">
        <f t="shared" si="12"/>
        <v>0</v>
      </c>
      <c r="AJ15" s="424">
        <f t="shared" si="13"/>
        <v>0</v>
      </c>
      <c r="AK15" s="424">
        <f t="shared" si="14"/>
        <v>0</v>
      </c>
      <c r="AL15" s="424">
        <f t="shared" si="15"/>
        <v>0</v>
      </c>
      <c r="AM15" s="424">
        <f t="shared" si="16"/>
        <v>0</v>
      </c>
      <c r="AN15" s="424">
        <f t="shared" si="17"/>
        <v>0</v>
      </c>
      <c r="AO15" s="424">
        <f t="shared" si="18"/>
        <v>0.5</v>
      </c>
      <c r="AQ15" s="428"/>
      <c r="AR15" s="429"/>
      <c r="AS15" s="429"/>
      <c r="AT15" s="429"/>
      <c r="AU15" s="429"/>
      <c r="AV15" s="429"/>
      <c r="AW15" s="429"/>
      <c r="AX15" s="429"/>
      <c r="AY15" s="429"/>
      <c r="AZ15" s="429"/>
      <c r="BA15" s="429"/>
      <c r="BB15" s="429"/>
      <c r="BC15" s="429"/>
      <c r="BE15"/>
      <c r="BF15"/>
      <c r="BG15"/>
      <c r="BH15"/>
      <c r="BI15"/>
      <c r="BJ15"/>
      <c r="BK15"/>
      <c r="BL15"/>
      <c r="BM15"/>
      <c r="BN15"/>
      <c r="BO15"/>
      <c r="BP15"/>
      <c r="BQ15"/>
    </row>
    <row r="16" spans="1:76" s="264" customFormat="1" x14ac:dyDescent="0.25">
      <c r="A16" s="384" t="s">
        <v>406</v>
      </c>
      <c r="B16" s="384" t="s">
        <v>64</v>
      </c>
      <c r="C16" s="385">
        <f t="shared" ca="1" si="11"/>
        <v>2.2410714285714284</v>
      </c>
      <c r="D16" s="386" t="s">
        <v>272</v>
      </c>
      <c r="E16" s="387">
        <f>PLANTILLA!E17</f>
        <v>30</v>
      </c>
      <c r="F16" s="387">
        <f ca="1">PLANTILLA!F17</f>
        <v>85</v>
      </c>
      <c r="G16" s="388"/>
      <c r="H16" s="371">
        <v>4</v>
      </c>
      <c r="I16" s="308">
        <f>PLANTILLA!I17</f>
        <v>9.1</v>
      </c>
      <c r="J16" s="486">
        <f>PLANTILLA!X17</f>
        <v>0</v>
      </c>
      <c r="K16" s="486">
        <f>PLANTILLA!Y17</f>
        <v>10.449999999999996</v>
      </c>
      <c r="L16" s="486">
        <f>PLANTILLA!Z17</f>
        <v>12.869777777777777</v>
      </c>
      <c r="M16" s="486">
        <f>PLANTILLA!AA17</f>
        <v>5.1299999999999981</v>
      </c>
      <c r="N16" s="486">
        <f>PLANTILLA!AB17</f>
        <v>9.24</v>
      </c>
      <c r="O16" s="486">
        <f>PLANTILLA!AC17</f>
        <v>2.98</v>
      </c>
      <c r="P16" s="486">
        <f>PLANTILLA!AD17</f>
        <v>16.959999999999997</v>
      </c>
      <c r="Q16" s="411">
        <f t="shared" si="4"/>
        <v>30</v>
      </c>
      <c r="R16" s="412">
        <f t="shared" ca="1" si="5"/>
        <v>92</v>
      </c>
      <c r="S16" s="180"/>
      <c r="T16" s="180"/>
      <c r="U16" s="180"/>
      <c r="V16" s="180"/>
      <c r="W16" s="180"/>
      <c r="X16" s="180"/>
      <c r="Y16" s="180"/>
      <c r="Z16" s="180"/>
      <c r="AA16" s="296">
        <f t="shared" si="6"/>
        <v>9.1</v>
      </c>
      <c r="AB16" s="506">
        <f t="shared" si="20"/>
        <v>0</v>
      </c>
      <c r="AC16" s="506">
        <f>K16+(T$2/7)</f>
        <v>10.449999999999996</v>
      </c>
      <c r="AD16" s="506">
        <f>L16+(U$2/11)</f>
        <v>12.869777777777777</v>
      </c>
      <c r="AE16" s="506">
        <f>M16+(V$2/19)</f>
        <v>5.1299999999999981</v>
      </c>
      <c r="AF16" s="506">
        <f>N16+(W$2/7)</f>
        <v>9.24</v>
      </c>
      <c r="AG16" s="506">
        <f>O16+(X$2/16)+(Y$2/5)</f>
        <v>2.98</v>
      </c>
      <c r="AH16" s="506">
        <f>P16+(Z$2/2.5)+(Y$2/10)</f>
        <v>17.359999999999996</v>
      </c>
      <c r="AI16" s="424">
        <f t="shared" si="12"/>
        <v>0</v>
      </c>
      <c r="AJ16" s="424">
        <f t="shared" si="13"/>
        <v>0</v>
      </c>
      <c r="AK16" s="424">
        <f t="shared" si="14"/>
        <v>0</v>
      </c>
      <c r="AL16" s="424">
        <f t="shared" si="15"/>
        <v>0</v>
      </c>
      <c r="AM16" s="424">
        <f t="shared" si="16"/>
        <v>0</v>
      </c>
      <c r="AN16" s="424">
        <f t="shared" si="17"/>
        <v>0</v>
      </c>
      <c r="AO16" s="424">
        <f t="shared" si="18"/>
        <v>0.39999999999999858</v>
      </c>
      <c r="AQ16" s="249"/>
      <c r="AR16" s="249"/>
      <c r="AS16" s="436">
        <f>SUM(AS18:AS28)*$BV$3</f>
        <v>0</v>
      </c>
      <c r="AT16" s="436">
        <f>SUM(AT18:AT28)*$BV$3</f>
        <v>0</v>
      </c>
      <c r="AU16" s="436">
        <f>SUM(AU18:AU28)*$BV$2</f>
        <v>0</v>
      </c>
      <c r="AV16" s="436">
        <f>SUM(AV18:AV28)*$BV$4</f>
        <v>0</v>
      </c>
      <c r="AW16" s="436">
        <f>SUM(AW18:AW28)*$BV$5</f>
        <v>0</v>
      </c>
      <c r="AX16" s="436">
        <f>SUM(AX18:AX28)*$BV$5</f>
        <v>0</v>
      </c>
      <c r="AY16" s="436">
        <f>SUM(AY18:AY28)*$BV$6</f>
        <v>0</v>
      </c>
      <c r="AZ16" s="437">
        <f>SUM(AZ18:AZ28)</f>
        <v>0.23599999999999988</v>
      </c>
      <c r="BA16" s="437">
        <f>SUM(BA18:BA28)</f>
        <v>0.24099999999999988</v>
      </c>
      <c r="BB16" s="437">
        <f t="shared" ref="BB16:BC16" si="33">SUM(BB18:BB28)</f>
        <v>12.598750000000001</v>
      </c>
      <c r="BC16" s="437">
        <f t="shared" si="33"/>
        <v>0</v>
      </c>
      <c r="BE16" s="249"/>
      <c r="BF16" s="249"/>
      <c r="BG16" s="436">
        <f>SUM(BG18:BG28)*$BV$3</f>
        <v>0</v>
      </c>
      <c r="BH16" s="436">
        <f>SUM(BH18:BH28)*$BV$3</f>
        <v>0</v>
      </c>
      <c r="BI16" s="436">
        <f>SUM(BI18:BI28)*$BV$2</f>
        <v>0</v>
      </c>
      <c r="BJ16" s="436">
        <f>SUM(BJ18:BJ28)*$BV$4</f>
        <v>0</v>
      </c>
      <c r="BK16" s="436">
        <f>SUM(BK18:BK28)*$BV$5</f>
        <v>0</v>
      </c>
      <c r="BL16" s="436">
        <f>SUM(BL18:BL28)*$BV$5</f>
        <v>0</v>
      </c>
      <c r="BM16" s="436">
        <f>SUM(BM18:BM28)*$BV$6</f>
        <v>0</v>
      </c>
      <c r="BN16" s="437">
        <f>SUM(BN18:BN28)</f>
        <v>0.20999999999999985</v>
      </c>
      <c r="BO16" s="437">
        <f>SUM(BO18:BO28)</f>
        <v>0.21499999999999986</v>
      </c>
      <c r="BP16" s="437">
        <f t="shared" ref="BP16:BQ16" si="34">SUM(BP18:BP28)</f>
        <v>21.078972222222223</v>
      </c>
      <c r="BQ16" s="437">
        <f t="shared" si="34"/>
        <v>0</v>
      </c>
    </row>
    <row r="17" spans="1:69" s="254" customFormat="1" x14ac:dyDescent="0.25">
      <c r="A17" s="305" t="s">
        <v>410</v>
      </c>
      <c r="B17" s="260" t="s">
        <v>64</v>
      </c>
      <c r="C17" s="261">
        <f t="shared" ca="1" si="11"/>
        <v>2.4642857142857144</v>
      </c>
      <c r="D17" s="294" t="s">
        <v>400</v>
      </c>
      <c r="E17" s="387">
        <f>PLANTILLA!E18</f>
        <v>30</v>
      </c>
      <c r="F17" s="387">
        <f ca="1">PLANTILLA!F18</f>
        <v>60</v>
      </c>
      <c r="G17" s="388"/>
      <c r="H17" s="371">
        <v>1</v>
      </c>
      <c r="I17" s="308">
        <f>PLANTILLA!I18</f>
        <v>8.1</v>
      </c>
      <c r="J17" s="486">
        <f>PLANTILLA!X18</f>
        <v>0</v>
      </c>
      <c r="K17" s="486">
        <f>PLANTILLA!Y18</f>
        <v>5.4311111111111119</v>
      </c>
      <c r="L17" s="486">
        <f>PLANTILLA!Z18</f>
        <v>14.331408994708985</v>
      </c>
      <c r="M17" s="486">
        <f>PLANTILLA!AA18</f>
        <v>3.5124999999999993</v>
      </c>
      <c r="N17" s="486">
        <f>PLANTILLA!AB18</f>
        <v>9.1400000000000041</v>
      </c>
      <c r="O17" s="486">
        <f>PLANTILLA!AC18</f>
        <v>7.4318888888888894</v>
      </c>
      <c r="P17" s="486">
        <f>PLANTILLA!AD18</f>
        <v>16.07</v>
      </c>
      <c r="Q17" s="411">
        <f t="shared" si="4"/>
        <v>30</v>
      </c>
      <c r="R17" s="412">
        <f t="shared" ca="1" si="5"/>
        <v>67</v>
      </c>
      <c r="S17" s="180"/>
      <c r="T17" s="180"/>
      <c r="U17" s="180"/>
      <c r="V17" s="180"/>
      <c r="W17" s="180"/>
      <c r="X17" s="180"/>
      <c r="Y17" s="180"/>
      <c r="Z17" s="180"/>
      <c r="AA17" s="296">
        <f t="shared" si="6"/>
        <v>8.1</v>
      </c>
      <c r="AB17" s="506">
        <f t="shared" si="20"/>
        <v>0</v>
      </c>
      <c r="AC17" s="506">
        <f>K17+(T$2/6.5)</f>
        <v>5.4311111111111119</v>
      </c>
      <c r="AD17" s="506">
        <f>L17+(U$2/11)</f>
        <v>14.331408994708985</v>
      </c>
      <c r="AE17" s="506">
        <f>M17+(V$2/17)</f>
        <v>3.5124999999999993</v>
      </c>
      <c r="AF17" s="506">
        <f>N17+(W$2/7)</f>
        <v>9.1400000000000041</v>
      </c>
      <c r="AG17" s="506">
        <f>O17+(X$2/30)+(Y$2/4.5)/2</f>
        <v>7.4318888888888894</v>
      </c>
      <c r="AH17" s="506">
        <f>P17+(Z$2/2.5)+(Y$2/10)</f>
        <v>16.47</v>
      </c>
      <c r="AI17" s="424">
        <f t="shared" si="12"/>
        <v>0</v>
      </c>
      <c r="AJ17" s="424">
        <f t="shared" si="13"/>
        <v>0</v>
      </c>
      <c r="AK17" s="424">
        <f t="shared" si="14"/>
        <v>0</v>
      </c>
      <c r="AL17" s="424">
        <f t="shared" si="15"/>
        <v>0</v>
      </c>
      <c r="AM17" s="424">
        <f t="shared" si="16"/>
        <v>0</v>
      </c>
      <c r="AN17" s="424">
        <f t="shared" si="17"/>
        <v>0</v>
      </c>
      <c r="AO17" s="424">
        <f t="shared" si="18"/>
        <v>0.39999999999999858</v>
      </c>
      <c r="AQ17" s="692" t="s">
        <v>720</v>
      </c>
      <c r="AR17" s="693"/>
      <c r="AS17" s="331" t="s">
        <v>467</v>
      </c>
      <c r="AT17" s="331" t="s">
        <v>468</v>
      </c>
      <c r="AU17" s="331" t="s">
        <v>489</v>
      </c>
      <c r="AV17" s="331" t="s">
        <v>469</v>
      </c>
      <c r="AW17" s="331" t="s">
        <v>470</v>
      </c>
      <c r="AX17" s="331" t="s">
        <v>471</v>
      </c>
      <c r="AY17" s="331" t="s">
        <v>472</v>
      </c>
      <c r="AZ17" s="331" t="s">
        <v>734</v>
      </c>
      <c r="BA17" s="331" t="s">
        <v>735</v>
      </c>
      <c r="BB17" s="331" t="s">
        <v>565</v>
      </c>
      <c r="BC17" s="331" t="s">
        <v>604</v>
      </c>
      <c r="BE17" s="692" t="s">
        <v>646</v>
      </c>
      <c r="BF17" s="693"/>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3.9107142857142856</v>
      </c>
      <c r="D18" s="294" t="s">
        <v>414</v>
      </c>
      <c r="E18" s="387">
        <f>PLANTILLA!E19</f>
        <v>29</v>
      </c>
      <c r="F18" s="387">
        <f ca="1">PLANTILLA!F19</f>
        <v>10</v>
      </c>
      <c r="G18" s="388"/>
      <c r="H18" s="371">
        <v>3</v>
      </c>
      <c r="I18" s="308">
        <f>PLANTILLA!I19</f>
        <v>4</v>
      </c>
      <c r="J18" s="486">
        <f>PLANTILLA!X19</f>
        <v>0</v>
      </c>
      <c r="K18" s="486">
        <f>PLANTILLA!Y19</f>
        <v>5.6515555555555519</v>
      </c>
      <c r="L18" s="486">
        <f>PLANTILLA!Z19</f>
        <v>9.8623388888888872</v>
      </c>
      <c r="M18" s="486">
        <f>PLANTILLA!AA19</f>
        <v>7.0726666666666667</v>
      </c>
      <c r="N18" s="486">
        <f>PLANTILLA!AB19</f>
        <v>9.2666666666666639</v>
      </c>
      <c r="O18" s="486">
        <f>PLANTILLA!AC19</f>
        <v>3.5417777777777766</v>
      </c>
      <c r="P18" s="486">
        <f>PLANTILLA!AD19</f>
        <v>12.450000000000001</v>
      </c>
      <c r="Q18" s="411">
        <f t="shared" si="4"/>
        <v>29</v>
      </c>
      <c r="R18" s="412">
        <f t="shared" ca="1" si="5"/>
        <v>17</v>
      </c>
      <c r="S18" s="180"/>
      <c r="T18" s="180"/>
      <c r="U18" s="180"/>
      <c r="V18" s="180"/>
      <c r="W18" s="180"/>
      <c r="X18" s="180"/>
      <c r="Y18" s="180"/>
      <c r="Z18" s="180"/>
      <c r="AA18" s="296">
        <f t="shared" si="6"/>
        <v>4</v>
      </c>
      <c r="AB18" s="506">
        <f t="shared" si="20"/>
        <v>0</v>
      </c>
      <c r="AC18" s="506">
        <f>K18+(T$2/26)</f>
        <v>5.6515555555555519</v>
      </c>
      <c r="AD18" s="506">
        <f>L18+(U$2/55)</f>
        <v>9.8623388888888872</v>
      </c>
      <c r="AE18" s="506">
        <f>M18+(V$2/24)</f>
        <v>7.0726666666666667</v>
      </c>
      <c r="AF18" s="506">
        <f>N18+(W$2/7)</f>
        <v>9.2666666666666639</v>
      </c>
      <c r="AG18" s="506">
        <f>O18+(X$2/18)+(Y$2/6)</f>
        <v>3.5417777777777766</v>
      </c>
      <c r="AH18" s="506">
        <f>P18+(Z$2/2)+(Y$2/10)</f>
        <v>12.950000000000001</v>
      </c>
      <c r="AI18" s="424">
        <f t="shared" si="12"/>
        <v>0</v>
      </c>
      <c r="AJ18" s="424">
        <f t="shared" si="13"/>
        <v>0</v>
      </c>
      <c r="AK18" s="424">
        <f t="shared" si="14"/>
        <v>0</v>
      </c>
      <c r="AL18" s="424">
        <f t="shared" si="15"/>
        <v>0</v>
      </c>
      <c r="AM18" s="424">
        <f t="shared" si="16"/>
        <v>0</v>
      </c>
      <c r="AN18" s="424">
        <f t="shared" si="17"/>
        <v>0</v>
      </c>
      <c r="AO18" s="424">
        <f t="shared" si="18"/>
        <v>0.5</v>
      </c>
      <c r="AQ18" s="425" t="s">
        <v>1</v>
      </c>
      <c r="AR18" s="304" t="str">
        <f>D4</f>
        <v>D. Gehmacher</v>
      </c>
      <c r="AS18" s="430">
        <f>AS4</f>
        <v>0</v>
      </c>
      <c r="AT18" s="430">
        <f t="shared" ref="AT18:BC18" si="35">AT4</f>
        <v>0</v>
      </c>
      <c r="AU18" s="430">
        <f t="shared" si="35"/>
        <v>0</v>
      </c>
      <c r="AV18" s="430">
        <f t="shared" si="35"/>
        <v>0</v>
      </c>
      <c r="AW18" s="430">
        <f t="shared" si="35"/>
        <v>0</v>
      </c>
      <c r="AX18" s="430">
        <f t="shared" si="35"/>
        <v>0</v>
      </c>
      <c r="AY18" s="430">
        <f t="shared" si="35"/>
        <v>0</v>
      </c>
      <c r="AZ18" s="554">
        <f t="shared" si="35"/>
        <v>0</v>
      </c>
      <c r="BA18" s="554">
        <f t="shared" si="35"/>
        <v>0.05</v>
      </c>
      <c r="BB18" s="433">
        <f t="shared" si="35"/>
        <v>0</v>
      </c>
      <c r="BC18" s="433">
        <f t="shared" si="35"/>
        <v>0</v>
      </c>
      <c r="BE18" s="425" t="s">
        <v>1</v>
      </c>
      <c r="BF18" s="304" t="str">
        <f>D4</f>
        <v>D. Gehmacher</v>
      </c>
      <c r="BG18" s="430">
        <f>BG4</f>
        <v>0</v>
      </c>
      <c r="BH18" s="430">
        <f t="shared" ref="BH18:BQ18" si="36">BH4</f>
        <v>0</v>
      </c>
      <c r="BI18" s="430">
        <f t="shared" si="36"/>
        <v>0</v>
      </c>
      <c r="BJ18" s="430">
        <f t="shared" si="36"/>
        <v>0</v>
      </c>
      <c r="BK18" s="430">
        <f t="shared" si="36"/>
        <v>0</v>
      </c>
      <c r="BL18" s="430">
        <f t="shared" si="36"/>
        <v>0</v>
      </c>
      <c r="BM18" s="430">
        <f t="shared" si="36"/>
        <v>0</v>
      </c>
      <c r="BN18" s="554">
        <f t="shared" si="36"/>
        <v>0</v>
      </c>
      <c r="BO18" s="554">
        <f t="shared" si="36"/>
        <v>0.05</v>
      </c>
      <c r="BP18" s="433">
        <f t="shared" si="36"/>
        <v>0</v>
      </c>
      <c r="BQ18" s="433">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6" t="e">
        <f>PLANTILLA!#REF!</f>
        <v>#REF!</v>
      </c>
      <c r="K19" s="486" t="e">
        <f>PLANTILLA!#REF!</f>
        <v>#REF!</v>
      </c>
      <c r="L19" s="486" t="e">
        <f>PLANTILLA!#REF!</f>
        <v>#REF!</v>
      </c>
      <c r="M19" s="486" t="e">
        <f>PLANTILLA!#REF!</f>
        <v>#REF!</v>
      </c>
      <c r="N19" s="486" t="e">
        <f>PLANTILLA!#REF!</f>
        <v>#REF!</v>
      </c>
      <c r="O19" s="486" t="e">
        <f>PLANTILLA!#REF!</f>
        <v>#REF!</v>
      </c>
      <c r="P19" s="486" t="e">
        <f>PLANTILLA!#REF!</f>
        <v>#REF!</v>
      </c>
      <c r="Q19" s="411" t="e">
        <f t="shared" si="4"/>
        <v>#REF!</v>
      </c>
      <c r="R19" s="412" t="e">
        <f t="shared" si="5"/>
        <v>#REF!</v>
      </c>
      <c r="S19" s="180"/>
      <c r="T19" s="180"/>
      <c r="U19" s="180"/>
      <c r="V19" s="180"/>
      <c r="W19" s="180"/>
      <c r="X19" s="180"/>
      <c r="Y19" s="180"/>
      <c r="Z19" s="180"/>
      <c r="AA19" s="296" t="e">
        <f t="shared" si="6"/>
        <v>#REF!</v>
      </c>
      <c r="AB19" s="506" t="e">
        <f>J19</f>
        <v>#REF!</v>
      </c>
      <c r="AC19" s="506" t="e">
        <f>K19+(T2/25)</f>
        <v>#REF!</v>
      </c>
      <c r="AD19" s="506" t="e">
        <f>L19+(U2/38)</f>
        <v>#REF!</v>
      </c>
      <c r="AE19" s="506" t="e">
        <f>M19+(V2/12)</f>
        <v>#REF!</v>
      </c>
      <c r="AF19" s="506" t="e">
        <f>N19+(W2/4)</f>
        <v>#REF!</v>
      </c>
      <c r="AG19" s="506" t="e">
        <f>O19+(X2/14)+(Y2/5)</f>
        <v>#REF!</v>
      </c>
      <c r="AH19" s="506" t="e">
        <f>P19+(Z2/1)+(Y$2/10)</f>
        <v>#REF!</v>
      </c>
      <c r="AI19" s="424" t="e">
        <f t="shared" si="12"/>
        <v>#REF!</v>
      </c>
      <c r="AJ19" s="424" t="e">
        <f t="shared" si="13"/>
        <v>#REF!</v>
      </c>
      <c r="AK19" s="424" t="e">
        <f t="shared" si="14"/>
        <v>#REF!</v>
      </c>
      <c r="AL19" s="424" t="e">
        <f t="shared" si="15"/>
        <v>#REF!</v>
      </c>
      <c r="AM19" s="424" t="e">
        <f t="shared" si="16"/>
        <v>#REF!</v>
      </c>
      <c r="AN19" s="424" t="e">
        <f t="shared" si="17"/>
        <v>#REF!</v>
      </c>
      <c r="AO19" s="424" t="e">
        <f t="shared" si="18"/>
        <v>#REF!</v>
      </c>
      <c r="AQ19" s="426" t="s">
        <v>569</v>
      </c>
      <c r="AR19" s="305" t="str">
        <f>D20</f>
        <v>B. Pinczehelyi</v>
      </c>
      <c r="AS19" s="431">
        <f>(AJ20*0.919)</f>
        <v>0</v>
      </c>
      <c r="AT19" s="431">
        <v>0</v>
      </c>
      <c r="AU19" s="431">
        <f>AJ20*0.414</f>
        <v>0</v>
      </c>
      <c r="AV19" s="431">
        <f>AK20*0.167</f>
        <v>0</v>
      </c>
      <c r="AW19" s="431">
        <f>AL20*0.588</f>
        <v>0</v>
      </c>
      <c r="AX19" s="431">
        <v>0</v>
      </c>
      <c r="AY19" s="431">
        <v>0</v>
      </c>
      <c r="AZ19" s="434">
        <f>AZ5</f>
        <v>0.03</v>
      </c>
      <c r="BA19" s="434">
        <f>BA5</f>
        <v>0.03</v>
      </c>
      <c r="BB19" s="434">
        <f>((AC20+1)+(AF20+1)*2)/8</f>
        <v>4.5112500000000004</v>
      </c>
      <c r="BC19" s="434">
        <f>((AJ20)+(AM20)*2)/8</f>
        <v>0</v>
      </c>
      <c r="BE19" s="426" t="s">
        <v>569</v>
      </c>
      <c r="BF19" s="305" t="str">
        <f>D8</f>
        <v>E. Toney</v>
      </c>
      <c r="BG19" s="431">
        <f t="shared" ref="BG19:BM19" si="37">AS5</f>
        <v>0</v>
      </c>
      <c r="BH19" s="431">
        <f t="shared" si="37"/>
        <v>0</v>
      </c>
      <c r="BI19" s="431">
        <f t="shared" si="37"/>
        <v>0</v>
      </c>
      <c r="BJ19" s="431">
        <f t="shared" si="37"/>
        <v>0</v>
      </c>
      <c r="BK19" s="431">
        <f t="shared" si="37"/>
        <v>0</v>
      </c>
      <c r="BL19" s="431">
        <f t="shared" si="37"/>
        <v>0</v>
      </c>
      <c r="BM19" s="431">
        <f t="shared" si="37"/>
        <v>0</v>
      </c>
      <c r="BN19" s="434">
        <f t="shared" ref="BN19" si="38">AZ5</f>
        <v>0.03</v>
      </c>
      <c r="BO19" s="434">
        <f>BA5</f>
        <v>0.03</v>
      </c>
      <c r="BP19" s="434">
        <f>BB5</f>
        <v>4.5112500000000004</v>
      </c>
      <c r="BQ19" s="434">
        <f>BC5</f>
        <v>0</v>
      </c>
    </row>
    <row r="20" spans="1:69" s="246" customFormat="1" x14ac:dyDescent="0.25">
      <c r="A20" s="304" t="s">
        <v>582</v>
      </c>
      <c r="B20" s="260" t="s">
        <v>2</v>
      </c>
      <c r="C20" s="261">
        <f t="shared" ca="1" si="11"/>
        <v>2.7767857142857144</v>
      </c>
      <c r="D20" s="294" t="str">
        <f>PLANTILLA!D7</f>
        <v>B. Pinczehelyi</v>
      </c>
      <c r="E20" s="387">
        <f>PLANTILLA!E7</f>
        <v>30</v>
      </c>
      <c r="F20" s="395">
        <f ca="1">PLANTILLA!F7</f>
        <v>25</v>
      </c>
      <c r="G20" s="388" t="s">
        <v>502</v>
      </c>
      <c r="H20" s="371">
        <v>2</v>
      </c>
      <c r="I20" s="308">
        <f>PLANTILLA!I7</f>
        <v>14.1</v>
      </c>
      <c r="J20" s="486">
        <f>PLANTILLA!X7</f>
        <v>0</v>
      </c>
      <c r="K20" s="486">
        <f>PLANTILLA!Y7</f>
        <v>14.250000000000004</v>
      </c>
      <c r="L20" s="486">
        <f>PLANTILLA!Z7</f>
        <v>9.3193333333333346</v>
      </c>
      <c r="M20" s="486">
        <f>PLANTILLA!AA7</f>
        <v>14.291666666666663</v>
      </c>
      <c r="N20" s="486">
        <f>PLANTILLA!AB7</f>
        <v>9.4199999999999982</v>
      </c>
      <c r="O20" s="486">
        <f>PLANTILLA!AC7</f>
        <v>1.1428571428571428</v>
      </c>
      <c r="P20" s="486">
        <f>PLANTILLA!AD7</f>
        <v>9.4</v>
      </c>
      <c r="Q20" s="411">
        <f t="shared" si="4"/>
        <v>30</v>
      </c>
      <c r="R20" s="412">
        <f t="shared" ca="1" si="5"/>
        <v>32</v>
      </c>
      <c r="S20" s="180"/>
      <c r="T20" s="180"/>
      <c r="U20" s="180"/>
      <c r="V20" s="180"/>
      <c r="W20" s="180"/>
      <c r="X20" s="180"/>
      <c r="Y20" s="180"/>
      <c r="Z20" s="180"/>
      <c r="AA20" s="296">
        <f t="shared" si="6"/>
        <v>14.1</v>
      </c>
      <c r="AB20" s="506">
        <f t="shared" si="20"/>
        <v>0</v>
      </c>
      <c r="AC20" s="506">
        <f>K20+(T$2/20)</f>
        <v>14.250000000000004</v>
      </c>
      <c r="AD20" s="506">
        <f>L20+(U$2/50)</f>
        <v>9.3193333333333346</v>
      </c>
      <c r="AE20" s="506">
        <f>M20+(V$2/35)</f>
        <v>14.291666666666663</v>
      </c>
      <c r="AF20" s="506">
        <f>N20+(W$2/7)</f>
        <v>9.4199999999999982</v>
      </c>
      <c r="AG20" s="506">
        <f>O20+(X$2/3)+(Y$2/7)</f>
        <v>1.1428571428571428</v>
      </c>
      <c r="AH20" s="506">
        <f>P20+(Z$2/1)+(Y$2/10)</f>
        <v>10.4</v>
      </c>
      <c r="AI20" s="424">
        <f t="shared" si="12"/>
        <v>0</v>
      </c>
      <c r="AJ20" s="424">
        <f t="shared" si="13"/>
        <v>0</v>
      </c>
      <c r="AK20" s="424">
        <f t="shared" si="14"/>
        <v>0</v>
      </c>
      <c r="AL20" s="424">
        <f t="shared" si="15"/>
        <v>0</v>
      </c>
      <c r="AM20" s="424">
        <f t="shared" si="16"/>
        <v>0</v>
      </c>
      <c r="AN20" s="424">
        <f t="shared" si="17"/>
        <v>0</v>
      </c>
      <c r="AO20" s="424">
        <f t="shared" si="18"/>
        <v>1</v>
      </c>
      <c r="AQ20" s="530" t="s">
        <v>66</v>
      </c>
      <c r="AR20" s="260" t="str">
        <f>D23</f>
        <v>P .Trivadi</v>
      </c>
      <c r="AS20" s="430">
        <v>0</v>
      </c>
      <c r="AT20" s="430">
        <v>0</v>
      </c>
      <c r="AU20" s="430">
        <v>0</v>
      </c>
      <c r="AV20" s="432">
        <f>AK23*0.25</f>
        <v>0</v>
      </c>
      <c r="AW20" s="432">
        <f>(AM23*0.142)+(AL23*0.221)+(AN23*0.26)</f>
        <v>0</v>
      </c>
      <c r="AX20" s="430">
        <f>AW20</f>
        <v>0</v>
      </c>
      <c r="AY20" s="432">
        <f>(AM23*0.369)+(AN23*1)</f>
        <v>0</v>
      </c>
      <c r="AZ20" s="435">
        <f>(0.5*AN23+0.3*AO23)/10</f>
        <v>1.9999999999999983E-2</v>
      </c>
      <c r="BA20" s="435">
        <f>(0.4*AJ23+0.3*AO23)/10</f>
        <v>1.9999999999999983E-2</v>
      </c>
      <c r="BB20" s="434">
        <f>((AC23+1)+(AF23+1)*2)/8</f>
        <v>3.5762499999999999</v>
      </c>
      <c r="BC20" s="434">
        <f>((AJ23)+(AM23)*2)/8</f>
        <v>0</v>
      </c>
      <c r="BE20" s="427" t="s">
        <v>648</v>
      </c>
      <c r="BF20" s="260" t="str">
        <f>D7</f>
        <v>D. Toh</v>
      </c>
      <c r="BG20" s="432">
        <f>AJ7*0.754</f>
        <v>0</v>
      </c>
      <c r="BH20" s="432">
        <v>0</v>
      </c>
      <c r="BI20" s="432">
        <f>AJ7*0.708</f>
        <v>0</v>
      </c>
      <c r="BJ20" s="432">
        <f>AK7*0.165</f>
        <v>0</v>
      </c>
      <c r="BK20" s="432">
        <f>AL7*0.286</f>
        <v>0</v>
      </c>
      <c r="BL20" s="432">
        <v>0</v>
      </c>
      <c r="BM20" s="432">
        <v>0</v>
      </c>
      <c r="BN20" s="435">
        <f>BN6</f>
        <v>1.2000000000000011E-2</v>
      </c>
      <c r="BO20" s="435">
        <f>BO6</f>
        <v>1.2000000000000011E-2</v>
      </c>
      <c r="BP20" s="434">
        <f>((AC7+1)+(AF7+1)*2)/8</f>
        <v>3.6820277777777779</v>
      </c>
      <c r="BQ20" s="434">
        <f>((AJ7)+(AM7)*2)/8</f>
        <v>0</v>
      </c>
    </row>
    <row r="21" spans="1:69" s="259" customFormat="1" x14ac:dyDescent="0.25">
      <c r="A21" s="384" t="s">
        <v>484</v>
      </c>
      <c r="B21" s="384" t="s">
        <v>66</v>
      </c>
      <c r="C21" s="385">
        <f t="shared" ca="1" si="11"/>
        <v>3.1339285714285716</v>
      </c>
      <c r="D21" s="386" t="s">
        <v>287</v>
      </c>
      <c r="E21" s="387">
        <f>PLANTILLA!E22</f>
        <v>29</v>
      </c>
      <c r="F21" s="387">
        <f ca="1">PLANTILLA!F22</f>
        <v>97</v>
      </c>
      <c r="G21" s="388" t="s">
        <v>296</v>
      </c>
      <c r="H21" s="371">
        <v>4</v>
      </c>
      <c r="I21" s="308">
        <f>PLANTILLA!I22</f>
        <v>10</v>
      </c>
      <c r="J21" s="486">
        <f>PLANTILLA!X22</f>
        <v>0</v>
      </c>
      <c r="K21" s="486">
        <f>PLANTILLA!Y22</f>
        <v>6.8276190476190495</v>
      </c>
      <c r="L21" s="486">
        <f>PLANTILLA!Z22</f>
        <v>8.625</v>
      </c>
      <c r="M21" s="486">
        <f>PLANTILLA!AA22</f>
        <v>8.7299999999999969</v>
      </c>
      <c r="N21" s="486">
        <f>PLANTILLA!AB22</f>
        <v>9.6900000000000013</v>
      </c>
      <c r="O21" s="486">
        <f>PLANTILLA!AC22</f>
        <v>8.5625000000000018</v>
      </c>
      <c r="P21" s="486">
        <f>PLANTILLA!AD22</f>
        <v>18.639999999999993</v>
      </c>
      <c r="Q21" s="411">
        <f t="shared" si="4"/>
        <v>29</v>
      </c>
      <c r="R21" s="412">
        <f t="shared" ca="1" si="5"/>
        <v>104</v>
      </c>
      <c r="S21" s="180"/>
      <c r="T21" s="180"/>
      <c r="U21" s="180"/>
      <c r="V21" s="180"/>
      <c r="W21" s="180"/>
      <c r="X21" s="180"/>
      <c r="Y21" s="180"/>
      <c r="Z21" s="180"/>
      <c r="AA21" s="296">
        <f t="shared" si="6"/>
        <v>10</v>
      </c>
      <c r="AB21" s="506">
        <f t="shared" si="20"/>
        <v>0</v>
      </c>
      <c r="AC21" s="506">
        <f>K21+(T$2/32)</f>
        <v>6.8276190476190495</v>
      </c>
      <c r="AD21" s="506">
        <f>L21+(U$2/7)</f>
        <v>8.625</v>
      </c>
      <c r="AE21" s="506">
        <f>M21+(V$2/25)</f>
        <v>8.7299999999999969</v>
      </c>
      <c r="AF21" s="506">
        <f>N21+(W$2/8)</f>
        <v>9.6900000000000013</v>
      </c>
      <c r="AG21" s="506">
        <f>O21+(X$2/6)+(Y$2/5)/2</f>
        <v>8.5625000000000018</v>
      </c>
      <c r="AH21" s="506">
        <f>P21+(Z$2/2)+(Y$2/10)</f>
        <v>19.139999999999993</v>
      </c>
      <c r="AI21" s="424">
        <f t="shared" si="12"/>
        <v>0</v>
      </c>
      <c r="AJ21" s="424">
        <f t="shared" si="13"/>
        <v>0</v>
      </c>
      <c r="AK21" s="424">
        <f t="shared" si="14"/>
        <v>0</v>
      </c>
      <c r="AL21" s="424">
        <f t="shared" si="15"/>
        <v>0</v>
      </c>
      <c r="AM21" s="424">
        <f t="shared" si="16"/>
        <v>0</v>
      </c>
      <c r="AN21" s="424">
        <f t="shared" si="17"/>
        <v>0</v>
      </c>
      <c r="AO21" s="424">
        <f t="shared" si="18"/>
        <v>0.5</v>
      </c>
      <c r="AQ21" s="427" t="s">
        <v>569</v>
      </c>
      <c r="AR21" s="260" t="str">
        <f>D8</f>
        <v>E. Toney</v>
      </c>
      <c r="AS21" s="432">
        <v>0</v>
      </c>
      <c r="AT21" s="432">
        <f>AJ17*0.919</f>
        <v>0</v>
      </c>
      <c r="AU21" s="432">
        <f>AJ8*0.414</f>
        <v>0</v>
      </c>
      <c r="AV21" s="432">
        <f>AK8*0.167</f>
        <v>0</v>
      </c>
      <c r="AW21" s="432">
        <v>0</v>
      </c>
      <c r="AX21" s="432">
        <f>AL8*0.588</f>
        <v>0</v>
      </c>
      <c r="AY21" s="432">
        <v>0</v>
      </c>
      <c r="AZ21" s="435">
        <f>AZ5</f>
        <v>0.03</v>
      </c>
      <c r="BA21" s="435">
        <f>BA5</f>
        <v>0.03</v>
      </c>
      <c r="BB21" s="435">
        <f>BB5</f>
        <v>4.5112500000000004</v>
      </c>
      <c r="BC21" s="435">
        <f>BC5</f>
        <v>0</v>
      </c>
      <c r="BE21" s="427" t="s">
        <v>601</v>
      </c>
      <c r="BF21" s="260" t="str">
        <f>D16</f>
        <v>E. Gross</v>
      </c>
      <c r="BG21" s="432">
        <f t="shared" ref="BG21:BM21" si="39">AS6</f>
        <v>0</v>
      </c>
      <c r="BH21" s="432">
        <f t="shared" si="39"/>
        <v>0</v>
      </c>
      <c r="BI21" s="432">
        <f t="shared" si="39"/>
        <v>0</v>
      </c>
      <c r="BJ21" s="432">
        <f t="shared" si="39"/>
        <v>0</v>
      </c>
      <c r="BK21" s="432">
        <f t="shared" si="39"/>
        <v>0</v>
      </c>
      <c r="BL21" s="432">
        <f t="shared" si="39"/>
        <v>0</v>
      </c>
      <c r="BM21" s="432">
        <f t="shared" si="39"/>
        <v>0</v>
      </c>
      <c r="BN21" s="435">
        <f t="shared" ref="BN21" si="40">AZ6</f>
        <v>1.1999999999999957E-2</v>
      </c>
      <c r="BO21" s="435">
        <f t="shared" ref="BO21:BQ22" si="41">BA6</f>
        <v>1.1999999999999957E-2</v>
      </c>
      <c r="BP21" s="434">
        <f t="shared" si="41"/>
        <v>3.9912499999999995</v>
      </c>
      <c r="BQ21" s="434">
        <f t="shared" si="41"/>
        <v>0</v>
      </c>
    </row>
    <row r="22" spans="1:69" s="254" customFormat="1" x14ac:dyDescent="0.25">
      <c r="A22" s="384" t="s">
        <v>495</v>
      </c>
      <c r="B22" s="384" t="s">
        <v>66</v>
      </c>
      <c r="C22" s="385">
        <f t="shared" ca="1" si="11"/>
        <v>2.5178571428571428</v>
      </c>
      <c r="D22" s="386" t="str">
        <f>PLANTILLA!D23</f>
        <v>L. Calosso</v>
      </c>
      <c r="E22" s="387">
        <f>PLANTILLA!E23</f>
        <v>30</v>
      </c>
      <c r="F22" s="387">
        <f ca="1">PLANTILLA!F23</f>
        <v>54</v>
      </c>
      <c r="G22" s="388"/>
      <c r="H22" s="371">
        <v>4</v>
      </c>
      <c r="I22" s="308">
        <f>PLANTILLA!I23</f>
        <v>10.199999999999999</v>
      </c>
      <c r="J22" s="486">
        <f>PLANTILLA!X23</f>
        <v>0</v>
      </c>
      <c r="K22" s="486">
        <f>PLANTILLA!Y23</f>
        <v>3</v>
      </c>
      <c r="L22" s="486">
        <f>PLANTILLA!Z23</f>
        <v>14.137609523809523</v>
      </c>
      <c r="M22" s="486">
        <f>PLANTILLA!AA23</f>
        <v>3.02</v>
      </c>
      <c r="N22" s="486">
        <f>PLANTILLA!AB23</f>
        <v>15.02</v>
      </c>
      <c r="O22" s="486">
        <f>PLANTILLA!AC23</f>
        <v>10</v>
      </c>
      <c r="P22" s="486">
        <f>PLANTILLA!AD23</f>
        <v>9.3000000000000007</v>
      </c>
      <c r="Q22" s="411">
        <f t="shared" si="4"/>
        <v>30</v>
      </c>
      <c r="R22" s="412">
        <f t="shared" ca="1" si="5"/>
        <v>61</v>
      </c>
      <c r="S22" s="180"/>
      <c r="T22" s="180"/>
      <c r="U22" s="180"/>
      <c r="V22" s="180"/>
      <c r="W22" s="180"/>
      <c r="X22" s="180"/>
      <c r="Y22" s="180"/>
      <c r="Z22" s="180"/>
      <c r="AA22" s="296">
        <f t="shared" si="6"/>
        <v>10.199999999999999</v>
      </c>
      <c r="AB22" s="506">
        <f t="shared" si="20"/>
        <v>0</v>
      </c>
      <c r="AC22" s="506">
        <f>K22+(T$2/21)</f>
        <v>3</v>
      </c>
      <c r="AD22" s="506">
        <f>L22+(U$2/21)</f>
        <v>14.137609523809523</v>
      </c>
      <c r="AE22" s="506">
        <f>M22+(V$2/22)</f>
        <v>3.02</v>
      </c>
      <c r="AF22" s="506">
        <f>N22+(W$2/17)</f>
        <v>15.02</v>
      </c>
      <c r="AG22" s="506">
        <f>O22+(X$2/25)+(Y$2/8)</f>
        <v>10</v>
      </c>
      <c r="AH22" s="506">
        <f>P22+(Z$2/1)+(Y$2/10)</f>
        <v>10.3</v>
      </c>
      <c r="AI22" s="424">
        <f t="shared" si="12"/>
        <v>0</v>
      </c>
      <c r="AJ22" s="424">
        <f t="shared" si="13"/>
        <v>0</v>
      </c>
      <c r="AK22" s="424">
        <f t="shared" si="14"/>
        <v>0</v>
      </c>
      <c r="AL22" s="424">
        <f t="shared" si="15"/>
        <v>0</v>
      </c>
      <c r="AM22" s="424">
        <f t="shared" si="16"/>
        <v>0</v>
      </c>
      <c r="AN22" s="424">
        <f t="shared" si="17"/>
        <v>0</v>
      </c>
      <c r="AO22" s="424">
        <f t="shared" si="18"/>
        <v>1</v>
      </c>
      <c r="AQ22" s="529" t="s">
        <v>649</v>
      </c>
      <c r="AR22" s="304" t="str">
        <f>AR8</f>
        <v>E.Romweber</v>
      </c>
      <c r="AS22" s="430">
        <f>AS8</f>
        <v>0</v>
      </c>
      <c r="AT22" s="430">
        <f t="shared" ref="AT22:AY22" si="42">AT8</f>
        <v>0</v>
      </c>
      <c r="AU22" s="430">
        <f t="shared" si="42"/>
        <v>0</v>
      </c>
      <c r="AV22" s="430">
        <f t="shared" si="42"/>
        <v>0</v>
      </c>
      <c r="AW22" s="430">
        <f>AW8</f>
        <v>0</v>
      </c>
      <c r="AX22" s="430">
        <f t="shared" si="42"/>
        <v>0</v>
      </c>
      <c r="AY22" s="430">
        <f t="shared" si="42"/>
        <v>0</v>
      </c>
      <c r="AZ22" s="433">
        <f>AZ8</f>
        <v>1.1999999999999957E-2</v>
      </c>
      <c r="BA22" s="433">
        <f t="shared" ref="BA22:BC22" si="43">BA8</f>
        <v>1.1999999999999957E-2</v>
      </c>
      <c r="BB22" s="433">
        <f t="shared" si="43"/>
        <v>0</v>
      </c>
      <c r="BC22" s="433">
        <f t="shared" si="43"/>
        <v>0</v>
      </c>
      <c r="BE22" s="427" t="s">
        <v>648</v>
      </c>
      <c r="BF22" s="304" t="str">
        <f>D9</f>
        <v>B. Bartolache</v>
      </c>
      <c r="BG22" s="430">
        <v>0</v>
      </c>
      <c r="BH22" s="430">
        <f>AJ9*0.754</f>
        <v>0</v>
      </c>
      <c r="BI22" s="430">
        <f>AJ9*0.708</f>
        <v>0</v>
      </c>
      <c r="BJ22" s="430">
        <f>AK9*0.165</f>
        <v>0</v>
      </c>
      <c r="BK22" s="430">
        <v>0</v>
      </c>
      <c r="BL22" s="430">
        <f>AL9*0.286</f>
        <v>0</v>
      </c>
      <c r="BM22" s="430">
        <v>0</v>
      </c>
      <c r="BN22" s="433">
        <f>AZ7</f>
        <v>1.1999999999999957E-2</v>
      </c>
      <c r="BO22" s="433">
        <f t="shared" si="41"/>
        <v>1.1999999999999957E-2</v>
      </c>
      <c r="BP22" s="433">
        <f t="shared" si="41"/>
        <v>4.2912500000000007</v>
      </c>
      <c r="BQ22" s="433">
        <f t="shared" si="41"/>
        <v>0</v>
      </c>
    </row>
    <row r="23" spans="1:69" s="264" customFormat="1" x14ac:dyDescent="0.25">
      <c r="A23" s="384" t="s">
        <v>540</v>
      </c>
      <c r="B23" s="384" t="s">
        <v>66</v>
      </c>
      <c r="C23" s="261">
        <f t="shared" ca="1" si="11"/>
        <v>5.8571428571428568</v>
      </c>
      <c r="D23" s="294" t="s">
        <v>541</v>
      </c>
      <c r="E23" s="387">
        <f>PLANTILLA!E24</f>
        <v>27</v>
      </c>
      <c r="F23" s="387">
        <f ca="1">PLANTILLA!F24</f>
        <v>16</v>
      </c>
      <c r="G23" s="388"/>
      <c r="H23" s="396">
        <v>6</v>
      </c>
      <c r="I23" s="308">
        <f>PLANTILLA!I24</f>
        <v>5.3</v>
      </c>
      <c r="J23" s="486">
        <f>PLANTILLA!X24</f>
        <v>0</v>
      </c>
      <c r="K23" s="486">
        <f>PLANTILLA!Y24</f>
        <v>4.01</v>
      </c>
      <c r="L23" s="486">
        <f>PLANTILLA!Z24</f>
        <v>5.5538722222222203</v>
      </c>
      <c r="M23" s="486">
        <f>PLANTILLA!AA24</f>
        <v>5.4899999999999993</v>
      </c>
      <c r="N23" s="486">
        <f>PLANTILLA!AB24</f>
        <v>10.799999999999999</v>
      </c>
      <c r="O23" s="486">
        <f>PLANTILLA!AC24</f>
        <v>8.384500000000001</v>
      </c>
      <c r="P23" s="486">
        <f>PLANTILLA!AD24</f>
        <v>13.566666666666668</v>
      </c>
      <c r="Q23" s="411">
        <f t="shared" si="4"/>
        <v>27</v>
      </c>
      <c r="R23" s="412">
        <f t="shared" ca="1" si="5"/>
        <v>23</v>
      </c>
      <c r="S23" s="180"/>
      <c r="T23" s="180"/>
      <c r="U23" s="180"/>
      <c r="V23" s="180"/>
      <c r="W23" s="180"/>
      <c r="X23" s="180"/>
      <c r="Y23" s="180"/>
      <c r="Z23" s="180"/>
      <c r="AA23" s="296">
        <f t="shared" si="6"/>
        <v>5.3</v>
      </c>
      <c r="AB23" s="506">
        <f t="shared" si="20"/>
        <v>0</v>
      </c>
      <c r="AC23" s="506">
        <f>K23+(T$2/20)</f>
        <v>4.01</v>
      </c>
      <c r="AD23" s="506">
        <f>L23+(U$2/27)</f>
        <v>5.5538722222222203</v>
      </c>
      <c r="AE23" s="506">
        <f>M23+(V$2/21)</f>
        <v>5.4899999999999993</v>
      </c>
      <c r="AF23" s="506">
        <f>N23+(W$2/8)</f>
        <v>10.799999999999999</v>
      </c>
      <c r="AG23" s="506">
        <f>O23+(X$2/5)+(Y$2/5)/2</f>
        <v>8.384500000000001</v>
      </c>
      <c r="AH23" s="506">
        <f>P23+(Z$2/1.5)+(Y$2/10)</f>
        <v>14.233333333333334</v>
      </c>
      <c r="AI23" s="424">
        <f t="shared" si="12"/>
        <v>0</v>
      </c>
      <c r="AJ23" s="424">
        <f t="shared" si="13"/>
        <v>0</v>
      </c>
      <c r="AK23" s="424">
        <f t="shared" si="14"/>
        <v>0</v>
      </c>
      <c r="AL23" s="424">
        <f t="shared" si="15"/>
        <v>0</v>
      </c>
      <c r="AM23" s="424">
        <f t="shared" si="16"/>
        <v>0</v>
      </c>
      <c r="AN23" s="424">
        <f t="shared" si="17"/>
        <v>0</v>
      </c>
      <c r="AO23" s="424">
        <f t="shared" si="18"/>
        <v>0.66666666666666607</v>
      </c>
      <c r="AQ23" s="427" t="s">
        <v>503</v>
      </c>
      <c r="AR23" s="260" t="str">
        <f>D14</f>
        <v>S. Buscleman</v>
      </c>
      <c r="AS23" s="432">
        <f t="shared" ref="AS23:AS28" si="44">AS9</f>
        <v>0</v>
      </c>
      <c r="AT23" s="432">
        <f t="shared" ref="AT23:BC23" si="45">AT9</f>
        <v>0</v>
      </c>
      <c r="AU23" s="432">
        <f t="shared" si="45"/>
        <v>0</v>
      </c>
      <c r="AV23" s="432">
        <f t="shared" si="45"/>
        <v>0</v>
      </c>
      <c r="AW23" s="432">
        <f t="shared" si="45"/>
        <v>0</v>
      </c>
      <c r="AX23" s="432">
        <f t="shared" si="45"/>
        <v>0</v>
      </c>
      <c r="AY23" s="432">
        <f t="shared" si="45"/>
        <v>0</v>
      </c>
      <c r="AZ23" s="435">
        <f t="shared" si="45"/>
        <v>0.03</v>
      </c>
      <c r="BA23" s="435">
        <f t="shared" si="45"/>
        <v>0.03</v>
      </c>
      <c r="BB23" s="435">
        <f t="shared" si="45"/>
        <v>0</v>
      </c>
      <c r="BC23" s="435">
        <f t="shared" si="45"/>
        <v>0</v>
      </c>
      <c r="BE23" s="427" t="s">
        <v>569</v>
      </c>
      <c r="BF23" s="260" t="str">
        <f>D11</f>
        <v>E.Romweber</v>
      </c>
      <c r="BG23" s="432">
        <v>0</v>
      </c>
      <c r="BH23" s="432">
        <f>AJ11*0.919</f>
        <v>0</v>
      </c>
      <c r="BI23" s="432">
        <f>AJ11*0.414</f>
        <v>0</v>
      </c>
      <c r="BJ23" s="432">
        <f>AK11*0.167</f>
        <v>0</v>
      </c>
      <c r="BK23" s="432">
        <v>0</v>
      </c>
      <c r="BL23" s="432">
        <f>AL11*0.588</f>
        <v>0</v>
      </c>
      <c r="BM23" s="432">
        <v>0</v>
      </c>
      <c r="BN23" s="435">
        <f>AZ8</f>
        <v>1.1999999999999957E-2</v>
      </c>
      <c r="BO23" s="435">
        <f>BA8</f>
        <v>1.1999999999999957E-2</v>
      </c>
      <c r="BP23" s="435">
        <f>((AC11+1)+(AF11+1)*2)/8</f>
        <v>4.6031944444444441</v>
      </c>
      <c r="BQ23" s="435">
        <f>((AJ11)+(AM11)*2)/8</f>
        <v>0</v>
      </c>
    </row>
    <row r="24" spans="1:69" s="248" customFormat="1" x14ac:dyDescent="0.25">
      <c r="A24"/>
      <c r="B24"/>
      <c r="C24" s="218"/>
      <c r="D24" s="179"/>
      <c r="E24"/>
      <c r="F24"/>
      <c r="G24" s="422"/>
      <c r="H24" s="4"/>
      <c r="I24"/>
      <c r="J24" s="156"/>
      <c r="K24"/>
      <c r="L24"/>
      <c r="M24"/>
      <c r="N24"/>
      <c r="O24"/>
      <c r="P24"/>
      <c r="Q24" s="452"/>
      <c r="R24" s="452"/>
      <c r="S24" s="341">
        <f t="shared" ref="S24:Z24" si="46">SUM(S21:S23)</f>
        <v>0</v>
      </c>
      <c r="T24" s="341">
        <f t="shared" si="46"/>
        <v>0</v>
      </c>
      <c r="U24" s="341">
        <f t="shared" si="46"/>
        <v>0</v>
      </c>
      <c r="V24" s="341">
        <f t="shared" si="46"/>
        <v>0</v>
      </c>
      <c r="W24" s="341">
        <f t="shared" si="46"/>
        <v>0</v>
      </c>
      <c r="X24" s="341">
        <f t="shared" si="46"/>
        <v>0</v>
      </c>
      <c r="Y24" s="341"/>
      <c r="Z24" s="341">
        <f t="shared" si="46"/>
        <v>0</v>
      </c>
      <c r="AA24" s="422"/>
      <c r="AB24" s="422"/>
      <c r="AC24" s="422"/>
      <c r="AD24" s="422"/>
      <c r="AE24" s="422"/>
      <c r="AF24" s="422"/>
      <c r="AG24" s="422"/>
      <c r="AH24" s="422"/>
      <c r="AI24"/>
      <c r="AJ24"/>
      <c r="AK24"/>
      <c r="AL24"/>
      <c r="AM24"/>
      <c r="AN24"/>
      <c r="AO24"/>
      <c r="AQ24" s="427" t="s">
        <v>651</v>
      </c>
      <c r="AR24" s="260" t="str">
        <f>AR10</f>
        <v>L. Bauman</v>
      </c>
      <c r="AS24" s="432">
        <f t="shared" si="44"/>
        <v>0</v>
      </c>
      <c r="AT24" s="432">
        <f t="shared" ref="AT24:AY24" si="47">AT10</f>
        <v>0</v>
      </c>
      <c r="AU24" s="432">
        <f t="shared" si="47"/>
        <v>0</v>
      </c>
      <c r="AV24" s="432">
        <f t="shared" si="47"/>
        <v>0</v>
      </c>
      <c r="AW24" s="432">
        <f t="shared" si="47"/>
        <v>0</v>
      </c>
      <c r="AX24" s="432">
        <f t="shared" si="47"/>
        <v>0</v>
      </c>
      <c r="AY24" s="432">
        <f t="shared" si="47"/>
        <v>0</v>
      </c>
      <c r="AZ24" s="435">
        <f>AZ10</f>
        <v>1.1999999999999957E-2</v>
      </c>
      <c r="BA24" s="435">
        <f t="shared" ref="BA24:BC24" si="48">BA10</f>
        <v>1.1999999999999957E-2</v>
      </c>
      <c r="BB24" s="435">
        <f t="shared" si="48"/>
        <v>0</v>
      </c>
      <c r="BC24" s="435">
        <f t="shared" si="48"/>
        <v>0</v>
      </c>
      <c r="BE24" s="530" t="s">
        <v>650</v>
      </c>
      <c r="BF24" s="260" t="str">
        <f>D12</f>
        <v>K. Helms</v>
      </c>
      <c r="BG24" s="430">
        <f>AT12</f>
        <v>0</v>
      </c>
      <c r="BH24" s="430">
        <f>AS12</f>
        <v>0</v>
      </c>
      <c r="BI24" s="430">
        <f>AU12</f>
        <v>0</v>
      </c>
      <c r="BJ24" s="430">
        <f>AV12</f>
        <v>0</v>
      </c>
      <c r="BK24" s="430">
        <f>AX12</f>
        <v>0</v>
      </c>
      <c r="BL24" s="430">
        <v>0</v>
      </c>
      <c r="BM24" s="430">
        <f>AY12</f>
        <v>0</v>
      </c>
      <c r="BN24" s="433">
        <f>AZ12</f>
        <v>1.1999999999999957E-2</v>
      </c>
      <c r="BO24" s="433">
        <f t="shared" ref="BO24:BQ24" si="49">BA12</f>
        <v>1.1999999999999957E-2</v>
      </c>
      <c r="BP24" s="433">
        <f t="shared" si="49"/>
        <v>0</v>
      </c>
      <c r="BQ24" s="433">
        <f t="shared" si="49"/>
        <v>0</v>
      </c>
    </row>
    <row r="25" spans="1:69" s="246" customFormat="1" x14ac:dyDescent="0.25">
      <c r="A25"/>
      <c r="B25"/>
      <c r="C25" s="218"/>
      <c r="D25" s="179"/>
      <c r="E25"/>
      <c r="F25"/>
      <c r="G25" s="422"/>
      <c r="H25" s="4"/>
      <c r="I25"/>
      <c r="J25" s="156"/>
      <c r="K25"/>
      <c r="L25"/>
      <c r="M25"/>
      <c r="N25"/>
      <c r="O25"/>
      <c r="P25"/>
      <c r="Q25" s="452"/>
      <c r="R25" s="452"/>
      <c r="S25" s="422"/>
      <c r="T25" s="422"/>
      <c r="U25" s="422"/>
      <c r="V25" s="422"/>
      <c r="W25" s="422"/>
      <c r="X25" s="422"/>
      <c r="Y25" s="528"/>
      <c r="Z25" s="422"/>
      <c r="AA25" s="422"/>
      <c r="AB25" s="422"/>
      <c r="AC25" s="422"/>
      <c r="AD25" s="422"/>
      <c r="AE25" s="422"/>
      <c r="AF25" s="422"/>
      <c r="AG25" s="422"/>
      <c r="AH25" s="422"/>
      <c r="AI25"/>
      <c r="AJ25"/>
      <c r="AK25"/>
      <c r="AL25"/>
      <c r="AM25"/>
      <c r="AN25"/>
      <c r="AO25"/>
      <c r="AQ25" s="427" t="s">
        <v>503</v>
      </c>
      <c r="AR25" s="260" t="str">
        <f>D15</f>
        <v>C. Rojas</v>
      </c>
      <c r="AS25" s="432">
        <f t="shared" si="44"/>
        <v>0</v>
      </c>
      <c r="AT25" s="432">
        <f t="shared" ref="AT25:BC25" si="50">AT11</f>
        <v>0</v>
      </c>
      <c r="AU25" s="432">
        <f t="shared" si="50"/>
        <v>0</v>
      </c>
      <c r="AV25" s="432">
        <f t="shared" si="50"/>
        <v>0</v>
      </c>
      <c r="AW25" s="432">
        <f t="shared" si="50"/>
        <v>0</v>
      </c>
      <c r="AX25" s="432">
        <f t="shared" si="50"/>
        <v>0</v>
      </c>
      <c r="AY25" s="432">
        <f t="shared" si="50"/>
        <v>0</v>
      </c>
      <c r="AZ25" s="435">
        <f t="shared" si="50"/>
        <v>1.4999999999999999E-2</v>
      </c>
      <c r="BA25" s="435">
        <f t="shared" si="50"/>
        <v>1.4999999999999999E-2</v>
      </c>
      <c r="BB25" s="435">
        <f t="shared" si="50"/>
        <v>0</v>
      </c>
      <c r="BC25" s="435">
        <f t="shared" si="50"/>
        <v>0</v>
      </c>
      <c r="BE25" s="427" t="s">
        <v>503</v>
      </c>
      <c r="BF25" s="260" t="str">
        <f>D14</f>
        <v>S. Buscleman</v>
      </c>
      <c r="BG25" s="432">
        <f t="shared" ref="BG25:BM25" si="51">AS9</f>
        <v>0</v>
      </c>
      <c r="BH25" s="432">
        <f t="shared" si="51"/>
        <v>0</v>
      </c>
      <c r="BI25" s="432">
        <f t="shared" si="51"/>
        <v>0</v>
      </c>
      <c r="BJ25" s="432">
        <f t="shared" si="51"/>
        <v>0</v>
      </c>
      <c r="BK25" s="432">
        <f t="shared" si="51"/>
        <v>0</v>
      </c>
      <c r="BL25" s="432">
        <f t="shared" si="51"/>
        <v>0</v>
      </c>
      <c r="BM25" s="432">
        <f t="shared" si="51"/>
        <v>0</v>
      </c>
      <c r="BN25" s="435">
        <f t="shared" ref="BN25" si="52">AZ9</f>
        <v>0.03</v>
      </c>
      <c r="BO25" s="435">
        <f>BA9</f>
        <v>0.03</v>
      </c>
      <c r="BP25" s="435">
        <f>BB9</f>
        <v>0</v>
      </c>
      <c r="BQ25" s="435">
        <f>BC9</f>
        <v>0</v>
      </c>
    </row>
    <row r="26" spans="1:69" s="264" customFormat="1" ht="14.25" customHeight="1" x14ac:dyDescent="0.25">
      <c r="A26"/>
      <c r="B26"/>
      <c r="C26" s="218"/>
      <c r="D26" s="179"/>
      <c r="E26"/>
      <c r="F26"/>
      <c r="G26" s="422"/>
      <c r="H26" s="4"/>
      <c r="I26"/>
      <c r="J26" s="156"/>
      <c r="K26"/>
      <c r="L26"/>
      <c r="M26"/>
      <c r="N26"/>
      <c r="O26"/>
      <c r="P26"/>
      <c r="Q26" s="452"/>
      <c r="R26" s="452"/>
      <c r="S26" s="422"/>
      <c r="T26" s="422"/>
      <c r="U26" s="422"/>
      <c r="V26" s="422"/>
      <c r="W26" s="422"/>
      <c r="X26" s="422"/>
      <c r="Y26" s="528"/>
      <c r="Z26" s="422"/>
      <c r="AA26" s="422"/>
      <c r="AB26" s="422"/>
      <c r="AC26" s="422"/>
      <c r="AD26" s="422"/>
      <c r="AE26" s="422"/>
      <c r="AF26" s="422"/>
      <c r="AG26" s="422"/>
      <c r="AH26" s="422"/>
      <c r="AI26"/>
      <c r="AJ26"/>
      <c r="AK26"/>
      <c r="AL26"/>
      <c r="AM26"/>
      <c r="AN26"/>
      <c r="AO26"/>
      <c r="AQ26" s="530" t="s">
        <v>650</v>
      </c>
      <c r="AR26" s="260" t="str">
        <f>AR12</f>
        <v>K. Helms</v>
      </c>
      <c r="AS26" s="432">
        <f t="shared" si="44"/>
        <v>0</v>
      </c>
      <c r="AT26" s="432">
        <f t="shared" ref="AT26:AY26" si="53">AT12</f>
        <v>0</v>
      </c>
      <c r="AU26" s="432">
        <f t="shared" si="53"/>
        <v>0</v>
      </c>
      <c r="AV26" s="432">
        <f t="shared" si="53"/>
        <v>0</v>
      </c>
      <c r="AW26" s="432">
        <f t="shared" si="53"/>
        <v>0</v>
      </c>
      <c r="AX26" s="432">
        <f t="shared" si="53"/>
        <v>0</v>
      </c>
      <c r="AY26" s="432">
        <f t="shared" si="53"/>
        <v>0</v>
      </c>
      <c r="AZ26" s="435">
        <f>AZ12</f>
        <v>1.1999999999999957E-2</v>
      </c>
      <c r="BA26" s="435">
        <f t="shared" ref="BA26:BC26" si="54">BA12</f>
        <v>1.1999999999999957E-2</v>
      </c>
      <c r="BB26" s="435">
        <f t="shared" si="54"/>
        <v>0</v>
      </c>
      <c r="BC26" s="435">
        <f t="shared" si="54"/>
        <v>0</v>
      </c>
      <c r="BE26" s="427" t="s">
        <v>503</v>
      </c>
      <c r="BF26" s="260" t="str">
        <f>D15</f>
        <v>C. Rojas</v>
      </c>
      <c r="BG26" s="432">
        <f t="shared" ref="BG26:BM26" si="55">AS11</f>
        <v>0</v>
      </c>
      <c r="BH26" s="432">
        <f t="shared" si="55"/>
        <v>0</v>
      </c>
      <c r="BI26" s="432">
        <f t="shared" si="55"/>
        <v>0</v>
      </c>
      <c r="BJ26" s="432">
        <f t="shared" si="55"/>
        <v>0</v>
      </c>
      <c r="BK26" s="432">
        <f t="shared" si="55"/>
        <v>0</v>
      </c>
      <c r="BL26" s="432">
        <f t="shared" si="55"/>
        <v>0</v>
      </c>
      <c r="BM26" s="432">
        <f t="shared" si="55"/>
        <v>0</v>
      </c>
      <c r="BN26" s="435">
        <f t="shared" ref="BN26" si="56">AZ11</f>
        <v>1.4999999999999999E-2</v>
      </c>
      <c r="BO26" s="435">
        <f>BA11</f>
        <v>1.4999999999999999E-2</v>
      </c>
      <c r="BP26" s="435">
        <f>BB11</f>
        <v>0</v>
      </c>
      <c r="BQ26" s="435">
        <f>BC11</f>
        <v>0</v>
      </c>
    </row>
    <row r="27" spans="1:69" x14ac:dyDescent="0.25">
      <c r="W27" s="422">
        <v>1</v>
      </c>
      <c r="AQ27" s="529" t="s">
        <v>66</v>
      </c>
      <c r="AR27" s="304" t="str">
        <f>D21</f>
        <v>J. Limon</v>
      </c>
      <c r="AS27" s="430">
        <f t="shared" si="44"/>
        <v>0</v>
      </c>
      <c r="AT27" s="430">
        <f t="shared" ref="AT27:BC27" si="57">AT13</f>
        <v>0</v>
      </c>
      <c r="AU27" s="430">
        <f t="shared" si="57"/>
        <v>0</v>
      </c>
      <c r="AV27" s="430">
        <f t="shared" si="57"/>
        <v>0</v>
      </c>
      <c r="AW27" s="430">
        <f t="shared" si="57"/>
        <v>0</v>
      </c>
      <c r="AX27" s="430">
        <f t="shared" si="57"/>
        <v>0</v>
      </c>
      <c r="AY27" s="430">
        <f t="shared" si="57"/>
        <v>0</v>
      </c>
      <c r="AZ27" s="554">
        <f t="shared" si="57"/>
        <v>0.06</v>
      </c>
      <c r="BA27" s="554">
        <f t="shared" si="57"/>
        <v>1.4999999999999999E-2</v>
      </c>
      <c r="BB27" s="433">
        <f t="shared" si="57"/>
        <v>0</v>
      </c>
      <c r="BC27" s="433">
        <f t="shared" si="57"/>
        <v>0</v>
      </c>
      <c r="BE27" s="529" t="s">
        <v>650</v>
      </c>
      <c r="BF27" s="304" t="str">
        <f>D13</f>
        <v>S. Zobbe</v>
      </c>
      <c r="BG27" s="432">
        <v>0</v>
      </c>
      <c r="BH27" s="432">
        <f>AJ13*0.18</f>
        <v>0</v>
      </c>
      <c r="BI27" s="432">
        <f>AJ13*0.068</f>
        <v>0</v>
      </c>
      <c r="BJ27" s="432">
        <f>AK13*0.305</f>
        <v>0</v>
      </c>
      <c r="BK27" s="432">
        <v>0</v>
      </c>
      <c r="BL27" s="432">
        <f>(AL13*1)+(AM13*0.286)</f>
        <v>0</v>
      </c>
      <c r="BM27" s="432">
        <f>AM13*0.135</f>
        <v>0</v>
      </c>
      <c r="BN27" s="435">
        <f>AZ14</f>
        <v>1.4999999999999999E-2</v>
      </c>
      <c r="BO27" s="435">
        <f t="shared" ref="BO27:BQ27" si="58">BA14</f>
        <v>1.4999999999999999E-2</v>
      </c>
      <c r="BP27" s="435">
        <f t="shared" si="58"/>
        <v>0</v>
      </c>
      <c r="BQ27" s="435">
        <f t="shared" si="58"/>
        <v>0</v>
      </c>
    </row>
    <row r="28" spans="1:69" x14ac:dyDescent="0.25">
      <c r="Q28" s="163"/>
      <c r="W28" s="422">
        <v>0.8</v>
      </c>
      <c r="AQ28" s="530" t="s">
        <v>66</v>
      </c>
      <c r="AR28" s="260" t="str">
        <f>AR14</f>
        <v>S. Zobbe</v>
      </c>
      <c r="AS28" s="432">
        <f t="shared" si="44"/>
        <v>0</v>
      </c>
      <c r="AT28" s="432">
        <f t="shared" ref="AT28:AY28" si="59">AT14</f>
        <v>0</v>
      </c>
      <c r="AU28" s="432">
        <f t="shared" si="59"/>
        <v>0</v>
      </c>
      <c r="AV28" s="432">
        <f t="shared" si="59"/>
        <v>0</v>
      </c>
      <c r="AW28" s="432">
        <f t="shared" si="59"/>
        <v>0</v>
      </c>
      <c r="AX28" s="432">
        <f t="shared" si="59"/>
        <v>0</v>
      </c>
      <c r="AY28" s="432">
        <f t="shared" si="59"/>
        <v>0</v>
      </c>
      <c r="AZ28" s="433">
        <f>AZ14</f>
        <v>1.4999999999999999E-2</v>
      </c>
      <c r="BA28" s="433">
        <f t="shared" ref="BA28:BC28" si="60">BA14</f>
        <v>1.4999999999999999E-2</v>
      </c>
      <c r="BB28" s="433">
        <f t="shared" si="60"/>
        <v>0</v>
      </c>
      <c r="BC28" s="433">
        <f t="shared" si="60"/>
        <v>0</v>
      </c>
      <c r="BE28" s="530" t="s">
        <v>66</v>
      </c>
      <c r="BF28" s="260" t="str">
        <f>D21</f>
        <v>J. Limon</v>
      </c>
      <c r="BG28" s="430">
        <f t="shared" ref="BG28:BM28" si="61">AS13</f>
        <v>0</v>
      </c>
      <c r="BH28" s="430">
        <f t="shared" si="61"/>
        <v>0</v>
      </c>
      <c r="BI28" s="430">
        <f t="shared" si="61"/>
        <v>0</v>
      </c>
      <c r="BJ28" s="430">
        <f t="shared" si="61"/>
        <v>0</v>
      </c>
      <c r="BK28" s="430">
        <f t="shared" si="61"/>
        <v>0</v>
      </c>
      <c r="BL28" s="430">
        <f t="shared" si="61"/>
        <v>0</v>
      </c>
      <c r="BM28" s="430">
        <f t="shared" si="61"/>
        <v>0</v>
      </c>
      <c r="BN28" s="554">
        <f t="shared" ref="BN28" si="62">AZ13</f>
        <v>0.06</v>
      </c>
      <c r="BO28" s="554">
        <f>BA13</f>
        <v>1.4999999999999999E-2</v>
      </c>
      <c r="BP28" s="433">
        <f>BB13</f>
        <v>0</v>
      </c>
      <c r="BQ28" s="433">
        <f>BC13</f>
        <v>0</v>
      </c>
    </row>
    <row r="29" spans="1:69" x14ac:dyDescent="0.25">
      <c r="K29">
        <v>0.8</v>
      </c>
      <c r="W29" s="422">
        <f>W27-W28</f>
        <v>0.19999999999999996</v>
      </c>
      <c r="X29" s="422">
        <v>3</v>
      </c>
      <c r="AB29" s="163"/>
      <c r="AC29" s="163"/>
      <c r="AD29" s="163"/>
      <c r="AE29" s="163"/>
      <c r="AF29" s="163"/>
      <c r="AG29" s="163"/>
      <c r="AH29" s="163"/>
      <c r="AQ29" s="428"/>
      <c r="AR29" s="429"/>
      <c r="AS29" s="429"/>
      <c r="AT29" s="429"/>
      <c r="AU29" s="429"/>
      <c r="AV29" s="429"/>
      <c r="AW29" s="429"/>
      <c r="AX29" s="429"/>
      <c r="AY29" s="429"/>
      <c r="AZ29" s="429"/>
      <c r="BA29" s="429"/>
      <c r="BB29" s="429"/>
      <c r="BC29" s="429"/>
    </row>
    <row r="30" spans="1:69" x14ac:dyDescent="0.25">
      <c r="K30">
        <f>1-K29</f>
        <v>0.19999999999999996</v>
      </c>
      <c r="W30" s="422">
        <v>1</v>
      </c>
      <c r="X30" s="422">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8" customWidth="1"/>
    <col min="2" max="2" width="14.28515625" style="528" bestFit="1" customWidth="1"/>
    <col min="3" max="9" width="8.28515625" style="528" bestFit="1" customWidth="1"/>
    <col min="10" max="10" width="8.28515625" style="551" bestFit="1" customWidth="1"/>
    <col min="11" max="11" width="9.28515625" style="551" bestFit="1" customWidth="1"/>
    <col min="12" max="12" width="8.28515625" style="528"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1"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80">
        <f t="shared" ref="C1:L1" si="0">MAX(C3:C27)</f>
        <v>7.6541020779221203E-2</v>
      </c>
      <c r="D1" s="580">
        <f t="shared" si="0"/>
        <v>9.516709370629349E-2</v>
      </c>
      <c r="E1" s="580">
        <f t="shared" si="0"/>
        <v>0.10114897692307692</v>
      </c>
      <c r="F1" s="580">
        <f t="shared" si="0"/>
        <v>5.254696863959811E-2</v>
      </c>
      <c r="G1" s="580">
        <f t="shared" si="0"/>
        <v>5.2239892473118138E-2</v>
      </c>
      <c r="H1" s="580">
        <f t="shared" si="0"/>
        <v>8.0176190476190248E-2</v>
      </c>
      <c r="I1" s="580">
        <f t="shared" si="0"/>
        <v>5.7961761904761842E-2</v>
      </c>
      <c r="J1" s="580">
        <f t="shared" si="0"/>
        <v>0</v>
      </c>
      <c r="K1" s="580">
        <f t="shared" si="0"/>
        <v>3.6222627372627408E-2</v>
      </c>
      <c r="L1" s="580">
        <f t="shared" si="0"/>
        <v>0.16964285714285698</v>
      </c>
      <c r="N1" s="528"/>
      <c r="O1" s="528"/>
      <c r="P1" s="531"/>
      <c r="Q1" s="531"/>
      <c r="R1" s="531"/>
      <c r="S1" s="531"/>
      <c r="T1" s="531"/>
      <c r="U1" s="531"/>
      <c r="V1" s="531"/>
      <c r="W1" s="531"/>
      <c r="X1" s="531"/>
      <c r="Y1" s="642"/>
      <c r="Z1" s="531"/>
      <c r="AA1" s="531"/>
      <c r="AB1" s="531"/>
      <c r="AC1" s="531"/>
      <c r="AD1" s="531"/>
      <c r="AE1" s="531"/>
      <c r="AF1" s="531"/>
      <c r="AG1" s="531"/>
    </row>
    <row r="2" spans="1:33" x14ac:dyDescent="0.25">
      <c r="A2" s="637" t="s">
        <v>725</v>
      </c>
      <c r="B2" s="638" t="s">
        <v>724</v>
      </c>
      <c r="C2" s="331" t="s">
        <v>467</v>
      </c>
      <c r="D2" s="534" t="s">
        <v>468</v>
      </c>
      <c r="E2" s="534" t="s">
        <v>489</v>
      </c>
      <c r="F2" s="534" t="s">
        <v>469</v>
      </c>
      <c r="G2" s="534" t="s">
        <v>470</v>
      </c>
      <c r="H2" s="534" t="s">
        <v>471</v>
      </c>
      <c r="I2" s="534" t="s">
        <v>472</v>
      </c>
      <c r="J2" s="534" t="s">
        <v>734</v>
      </c>
      <c r="K2" s="534" t="s">
        <v>735</v>
      </c>
      <c r="L2" s="534" t="s">
        <v>579</v>
      </c>
      <c r="N2" s="637" t="s">
        <v>725</v>
      </c>
      <c r="O2" s="638" t="s">
        <v>724</v>
      </c>
      <c r="P2" s="331" t="s">
        <v>467</v>
      </c>
      <c r="Q2" s="534" t="s">
        <v>859</v>
      </c>
      <c r="R2" s="534" t="s">
        <v>468</v>
      </c>
      <c r="S2" s="534" t="s">
        <v>859</v>
      </c>
      <c r="T2" s="534" t="s">
        <v>489</v>
      </c>
      <c r="U2" s="534" t="s">
        <v>859</v>
      </c>
      <c r="V2" s="534" t="s">
        <v>469</v>
      </c>
      <c r="W2" s="534" t="s">
        <v>859</v>
      </c>
      <c r="X2" s="534" t="s">
        <v>470</v>
      </c>
      <c r="Y2" s="534" t="s">
        <v>859</v>
      </c>
      <c r="Z2" s="534" t="s">
        <v>471</v>
      </c>
      <c r="AA2" s="534" t="s">
        <v>859</v>
      </c>
      <c r="AB2" s="534" t="s">
        <v>472</v>
      </c>
      <c r="AC2" s="534" t="s">
        <v>859</v>
      </c>
      <c r="AD2" s="577" t="s">
        <v>734</v>
      </c>
      <c r="AE2" s="577" t="s">
        <v>859</v>
      </c>
      <c r="AF2" s="577" t="s">
        <v>735</v>
      </c>
      <c r="AG2" s="577" t="s">
        <v>859</v>
      </c>
    </row>
    <row r="3" spans="1:33" x14ac:dyDescent="0.25">
      <c r="A3" s="533" t="s">
        <v>726</v>
      </c>
      <c r="B3" s="532" t="s">
        <v>178</v>
      </c>
      <c r="C3" s="542"/>
      <c r="D3" s="543"/>
      <c r="E3" s="543"/>
      <c r="F3" s="543"/>
      <c r="G3" s="543"/>
      <c r="H3" s="543"/>
      <c r="I3" s="543"/>
      <c r="J3" s="543"/>
      <c r="K3" s="543"/>
      <c r="L3" s="543"/>
      <c r="M3" s="9"/>
      <c r="N3" s="581" t="s">
        <v>726</v>
      </c>
      <c r="O3" s="582" t="s">
        <v>178</v>
      </c>
      <c r="P3" s="545">
        <f>C3/$C$4</f>
        <v>0</v>
      </c>
      <c r="Q3" s="650" t="e">
        <f>1/C3</f>
        <v>#DIV/0!</v>
      </c>
      <c r="R3" s="545">
        <f>D3/D1</f>
        <v>0</v>
      </c>
      <c r="S3" s="650" t="e">
        <f>1/D3</f>
        <v>#DIV/0!</v>
      </c>
      <c r="T3" s="545">
        <f>E3/E1</f>
        <v>0</v>
      </c>
      <c r="U3" s="650" t="e">
        <f>1/E3</f>
        <v>#DIV/0!</v>
      </c>
      <c r="V3" s="546"/>
      <c r="W3" s="546"/>
      <c r="X3" s="546"/>
      <c r="Y3" s="643"/>
      <c r="Z3" s="546"/>
      <c r="AA3" s="546"/>
      <c r="AB3" s="546"/>
      <c r="AC3" s="546"/>
      <c r="AD3" s="546"/>
      <c r="AE3" s="546"/>
      <c r="AF3" s="546">
        <f>K3/K1</f>
        <v>0</v>
      </c>
      <c r="AG3" s="643"/>
    </row>
    <row r="4" spans="1:33" x14ac:dyDescent="0.25">
      <c r="A4" s="694" t="s">
        <v>727</v>
      </c>
      <c r="B4" s="540" t="s">
        <v>680</v>
      </c>
      <c r="C4" s="583">
        <v>5.9340247552447711E-2</v>
      </c>
      <c r="D4" s="557">
        <v>6.8999559240759498E-2</v>
      </c>
      <c r="E4" s="557">
        <v>7.5579372027972075E-2</v>
      </c>
      <c r="F4" s="557"/>
      <c r="G4" s="557"/>
      <c r="H4" s="557"/>
      <c r="I4" s="557"/>
      <c r="J4" s="557">
        <v>0</v>
      </c>
      <c r="K4" s="557">
        <v>3.6222627372627408E-2</v>
      </c>
      <c r="L4" s="557"/>
      <c r="M4" s="9"/>
      <c r="N4" s="696" t="s">
        <v>727</v>
      </c>
      <c r="O4" s="584" t="s">
        <v>680</v>
      </c>
      <c r="P4" s="547">
        <f>C4/$C$1</f>
        <v>0.77527379369046734</v>
      </c>
      <c r="Q4" s="644">
        <f>1/C4</f>
        <v>16.851968794301925</v>
      </c>
      <c r="R4" s="548">
        <f>D4/$D$1</f>
        <v>0.72503589795131562</v>
      </c>
      <c r="S4" s="644">
        <f>1/D4</f>
        <v>14.492846200809916</v>
      </c>
      <c r="T4" s="548">
        <f>E4/$E$1</f>
        <v>0.74720846742176794</v>
      </c>
      <c r="U4" s="644">
        <f>1/E4</f>
        <v>13.231123429153367</v>
      </c>
      <c r="V4" s="548"/>
      <c r="W4" s="548"/>
      <c r="X4" s="547"/>
      <c r="Y4" s="644"/>
      <c r="Z4" s="548"/>
      <c r="AA4" s="548"/>
      <c r="AB4" s="548"/>
      <c r="AC4" s="548"/>
      <c r="AD4" s="547"/>
      <c r="AE4" s="547"/>
      <c r="AF4" s="547">
        <f>K4/K1</f>
        <v>1</v>
      </c>
      <c r="AG4" s="648"/>
    </row>
    <row r="5" spans="1:33" x14ac:dyDescent="0.25">
      <c r="A5" s="694"/>
      <c r="B5" s="540" t="s">
        <v>679</v>
      </c>
      <c r="C5" s="578"/>
      <c r="D5" s="544"/>
      <c r="E5" s="544"/>
      <c r="F5" s="544">
        <v>5.254696863959811E-2</v>
      </c>
      <c r="G5" s="544"/>
      <c r="H5" s="544"/>
      <c r="I5" s="544"/>
      <c r="J5" s="544"/>
      <c r="K5" s="544"/>
      <c r="L5" s="544"/>
      <c r="M5" s="9"/>
      <c r="N5" s="696"/>
      <c r="O5" s="584" t="s">
        <v>679</v>
      </c>
      <c r="P5" s="549"/>
      <c r="Q5" s="645"/>
      <c r="R5" s="536"/>
      <c r="S5" s="645"/>
      <c r="T5" s="536"/>
      <c r="U5" s="645"/>
      <c r="V5" s="536">
        <f>F5/F1</f>
        <v>1</v>
      </c>
      <c r="W5" s="645">
        <f>1/F5</f>
        <v>19.03059350309362</v>
      </c>
      <c r="X5" s="549"/>
      <c r="Y5" s="645"/>
      <c r="Z5" s="536"/>
      <c r="AA5" s="536"/>
      <c r="AB5" s="536"/>
      <c r="AC5" s="536"/>
      <c r="AD5" s="549"/>
      <c r="AE5" s="549"/>
      <c r="AF5" s="549"/>
      <c r="AG5" s="647"/>
    </row>
    <row r="6" spans="1:33" x14ac:dyDescent="0.25">
      <c r="A6" s="694"/>
      <c r="B6" s="540" t="s">
        <v>731</v>
      </c>
      <c r="C6" s="578"/>
      <c r="D6" s="544"/>
      <c r="E6" s="544"/>
      <c r="F6" s="544"/>
      <c r="G6" s="544">
        <v>3.9584999999999822E-2</v>
      </c>
      <c r="H6" s="544">
        <v>6.3542692307692147E-2</v>
      </c>
      <c r="I6" s="544">
        <v>0</v>
      </c>
      <c r="J6" s="544"/>
      <c r="K6" s="544"/>
      <c r="L6" s="544"/>
      <c r="M6" s="9"/>
      <c r="N6" s="696"/>
      <c r="O6" s="584" t="s">
        <v>731</v>
      </c>
      <c r="P6" s="549"/>
      <c r="Q6" s="645"/>
      <c r="R6" s="536"/>
      <c r="S6" s="645"/>
      <c r="T6" s="536"/>
      <c r="U6" s="645"/>
      <c r="V6" s="536"/>
      <c r="W6" s="645"/>
      <c r="X6" s="549">
        <f>G6/$G$1</f>
        <v>0.75775423964300204</v>
      </c>
      <c r="Y6" s="645">
        <f>1/G6</f>
        <v>25.262094227611584</v>
      </c>
      <c r="Z6" s="536">
        <f>H6/$H$1</f>
        <v>0.79253818284821453</v>
      </c>
      <c r="AA6" s="645">
        <f>1/H6</f>
        <v>15.737450896126811</v>
      </c>
      <c r="AB6" s="536">
        <f>I6/$I$1</f>
        <v>0</v>
      </c>
      <c r="AC6" s="536"/>
      <c r="AD6" s="549"/>
      <c r="AE6" s="549"/>
      <c r="AF6" s="549"/>
      <c r="AG6" s="647"/>
    </row>
    <row r="7" spans="1:33" x14ac:dyDescent="0.25">
      <c r="A7" s="694"/>
      <c r="B7" s="540" t="s">
        <v>732</v>
      </c>
      <c r="C7" s="578"/>
      <c r="D7" s="544"/>
      <c r="E7" s="544"/>
      <c r="F7" s="544"/>
      <c r="G7" s="544">
        <v>3.3714285714285648E-2</v>
      </c>
      <c r="H7" s="544">
        <v>3.433928571428569E-2</v>
      </c>
      <c r="I7" s="544">
        <v>4.9198011904761828E-2</v>
      </c>
      <c r="J7" s="544"/>
      <c r="K7" s="544"/>
      <c r="L7" s="544"/>
      <c r="M7" s="9"/>
      <c r="N7" s="696"/>
      <c r="O7" s="584" t="s">
        <v>732</v>
      </c>
      <c r="P7" s="549"/>
      <c r="Q7" s="645"/>
      <c r="R7" s="536"/>
      <c r="S7" s="645"/>
      <c r="T7" s="536"/>
      <c r="U7" s="645"/>
      <c r="V7" s="536"/>
      <c r="W7" s="645"/>
      <c r="X7" s="549">
        <f t="shared" ref="X7" si="1">G7/$G$1</f>
        <v>0.64537433210902018</v>
      </c>
      <c r="Y7" s="645">
        <f t="shared" ref="Y7" si="2">1/G7</f>
        <v>29.6610169491526</v>
      </c>
      <c r="Z7" s="536">
        <f t="shared" ref="Z7" si="3">H7/$H$1</f>
        <v>0.42829779651957089</v>
      </c>
      <c r="AA7" s="645">
        <f t="shared" ref="AA7" si="4">1/H7</f>
        <v>29.121164846593885</v>
      </c>
      <c r="AB7" s="536">
        <f t="shared" ref="AB7" si="5">I7/$I$1</f>
        <v>0.84880118008835015</v>
      </c>
      <c r="AC7" s="645">
        <f t="shared" ref="AC7" si="6">1/I7</f>
        <v>20.326024594973745</v>
      </c>
      <c r="AD7" s="549"/>
      <c r="AE7" s="549"/>
      <c r="AF7" s="549"/>
      <c r="AG7" s="647"/>
    </row>
    <row r="8" spans="1:33" x14ac:dyDescent="0.25">
      <c r="A8" s="694"/>
      <c r="B8" s="540" t="s">
        <v>698</v>
      </c>
      <c r="C8" s="578"/>
      <c r="D8" s="544"/>
      <c r="E8" s="544"/>
      <c r="F8" s="544"/>
      <c r="G8" s="544"/>
      <c r="H8" s="544"/>
      <c r="I8" s="544"/>
      <c r="J8" s="544"/>
      <c r="K8" s="544"/>
      <c r="L8" s="544"/>
      <c r="M8" s="9"/>
      <c r="N8" s="696"/>
      <c r="O8" s="584" t="s">
        <v>698</v>
      </c>
      <c r="P8" s="549"/>
      <c r="Q8" s="645"/>
      <c r="R8" s="536"/>
      <c r="S8" s="645"/>
      <c r="T8" s="536"/>
      <c r="U8" s="645"/>
      <c r="V8" s="536"/>
      <c r="W8" s="645"/>
      <c r="X8" s="549"/>
      <c r="Y8" s="645"/>
      <c r="Z8" s="536"/>
      <c r="AA8" s="645"/>
      <c r="AB8" s="536"/>
      <c r="AC8" s="645"/>
      <c r="AD8" s="549"/>
      <c r="AE8" s="647"/>
      <c r="AF8" s="549"/>
      <c r="AG8" s="647"/>
    </row>
    <row r="9" spans="1:33" x14ac:dyDescent="0.25">
      <c r="A9" s="694"/>
      <c r="B9" s="552" t="s">
        <v>0</v>
      </c>
      <c r="C9" s="579"/>
      <c r="D9" s="535"/>
      <c r="E9" s="535"/>
      <c r="F9" s="535"/>
      <c r="G9" s="535"/>
      <c r="H9" s="535"/>
      <c r="I9" s="535"/>
      <c r="J9" s="535"/>
      <c r="K9" s="535"/>
      <c r="L9" s="535"/>
      <c r="M9" s="9"/>
      <c r="N9" s="696"/>
      <c r="O9" s="584" t="s">
        <v>0</v>
      </c>
      <c r="P9" s="550"/>
      <c r="Q9" s="646"/>
      <c r="R9" s="537"/>
      <c r="S9" s="646"/>
      <c r="T9" s="537"/>
      <c r="U9" s="646"/>
      <c r="V9" s="537"/>
      <c r="W9" s="646"/>
      <c r="X9" s="550"/>
      <c r="Y9" s="646"/>
      <c r="Z9" s="537"/>
      <c r="AA9" s="537"/>
      <c r="AB9" s="537"/>
      <c r="AC9" s="537"/>
      <c r="AD9" s="550" t="e">
        <f>J9/$J$1</f>
        <v>#DIV/0!</v>
      </c>
      <c r="AE9" s="649" t="e">
        <f>1/J9</f>
        <v>#DIV/0!</v>
      </c>
      <c r="AF9" s="550">
        <f>K9/$K$1</f>
        <v>0</v>
      </c>
      <c r="AG9" s="649" t="e">
        <f>1/K9</f>
        <v>#DIV/0!</v>
      </c>
    </row>
    <row r="10" spans="1:33" x14ac:dyDescent="0.25">
      <c r="A10" s="695" t="s">
        <v>728</v>
      </c>
      <c r="B10" s="541" t="s">
        <v>680</v>
      </c>
      <c r="C10" s="583">
        <v>4.0980247552447779E-2</v>
      </c>
      <c r="D10" s="557">
        <v>7.0304873926074096E-2</v>
      </c>
      <c r="E10" s="557">
        <v>4.0579372027972196E-2</v>
      </c>
      <c r="F10" s="557"/>
      <c r="G10" s="557"/>
      <c r="H10" s="557"/>
      <c r="I10" s="557"/>
      <c r="J10" s="557">
        <v>0</v>
      </c>
      <c r="K10" s="557">
        <v>3.0871978021978067E-2</v>
      </c>
      <c r="L10" s="557"/>
      <c r="M10" s="9"/>
      <c r="N10" s="697" t="s">
        <v>728</v>
      </c>
      <c r="O10" s="585" t="s">
        <v>680</v>
      </c>
      <c r="P10" s="549">
        <f>C10/$C$1</f>
        <v>0.53540241736066307</v>
      </c>
      <c r="Q10" s="644">
        <f>1/C10</f>
        <v>24.40199998109258</v>
      </c>
      <c r="R10" s="548">
        <f>D10/$D$1</f>
        <v>0.73875192766788012</v>
      </c>
      <c r="S10" s="644">
        <f>1/D10</f>
        <v>14.223764927755999</v>
      </c>
      <c r="T10" s="548">
        <f>E10/$E$1</f>
        <v>0.40118420632996138</v>
      </c>
      <c r="U10" s="644">
        <f>1/E10</f>
        <v>24.643062472989463</v>
      </c>
      <c r="V10" s="536"/>
      <c r="W10" s="645"/>
      <c r="X10" s="549"/>
      <c r="Y10" s="645"/>
      <c r="Z10" s="536"/>
      <c r="AA10" s="536"/>
      <c r="AB10" s="536"/>
      <c r="AC10" s="536"/>
      <c r="AD10" s="549"/>
      <c r="AE10" s="536"/>
      <c r="AF10" s="536">
        <f>K10/K1</f>
        <v>0.85228433885796195</v>
      </c>
      <c r="AG10" s="645"/>
    </row>
    <row r="11" spans="1:33" x14ac:dyDescent="0.25">
      <c r="A11" s="694"/>
      <c r="B11" s="540" t="s">
        <v>679</v>
      </c>
      <c r="C11" s="578"/>
      <c r="D11" s="544"/>
      <c r="E11" s="544"/>
      <c r="F11" s="544">
        <v>5.1022557865187314E-2</v>
      </c>
      <c r="G11" s="544"/>
      <c r="H11" s="544"/>
      <c r="I11" s="544"/>
      <c r="J11" s="544"/>
      <c r="K11" s="544"/>
      <c r="L11" s="544"/>
      <c r="M11" s="9"/>
      <c r="N11" s="696"/>
      <c r="O11" s="584" t="s">
        <v>679</v>
      </c>
      <c r="P11" s="549"/>
      <c r="Q11" s="645"/>
      <c r="R11" s="536"/>
      <c r="S11" s="645"/>
      <c r="T11" s="536"/>
      <c r="U11" s="645"/>
      <c r="V11" s="536">
        <f>F11/F1</f>
        <v>0.97098955822045196</v>
      </c>
      <c r="W11" s="645">
        <f>1/F11</f>
        <v>19.599174205303804</v>
      </c>
      <c r="X11" s="549"/>
      <c r="Y11" s="645"/>
      <c r="Z11" s="536"/>
      <c r="AA11" s="536"/>
      <c r="AB11" s="536"/>
      <c r="AC11" s="536"/>
      <c r="AD11" s="549"/>
      <c r="AE11" s="536"/>
      <c r="AF11" s="536"/>
      <c r="AG11" s="645"/>
    </row>
    <row r="12" spans="1:33" x14ac:dyDescent="0.25">
      <c r="A12" s="694"/>
      <c r="B12" s="540" t="s">
        <v>731</v>
      </c>
      <c r="C12" s="578"/>
      <c r="D12" s="544"/>
      <c r="E12" s="544"/>
      <c r="F12" s="544"/>
      <c r="G12" s="544">
        <v>4.2215952380952187E-2</v>
      </c>
      <c r="H12" s="544">
        <v>6.617364468864452E-2</v>
      </c>
      <c r="I12" s="544">
        <v>0</v>
      </c>
      <c r="J12" s="544"/>
      <c r="K12" s="544"/>
      <c r="L12" s="544"/>
      <c r="M12" s="9"/>
      <c r="N12" s="696"/>
      <c r="O12" s="584" t="s">
        <v>731</v>
      </c>
      <c r="P12" s="549"/>
      <c r="Q12" s="645"/>
      <c r="R12" s="536"/>
      <c r="S12" s="645"/>
      <c r="T12" s="536"/>
      <c r="U12" s="645"/>
      <c r="V12" s="536"/>
      <c r="W12" s="645"/>
      <c r="X12" s="549">
        <f t="shared" ref="X12:X13" si="7">G12/$G$1</f>
        <v>0.80811713773484284</v>
      </c>
      <c r="Y12" s="645">
        <f t="shared" ref="Y12:Y13" si="8">1/G12</f>
        <v>23.687728064881924</v>
      </c>
      <c r="Z12" s="536">
        <f t="shared" ref="Z12:Z13" si="9">H12/$H$1</f>
        <v>0.82535281728427801</v>
      </c>
      <c r="AA12" s="645">
        <f t="shared" ref="AA12:AA13" si="10">1/H12</f>
        <v>15.111756420628305</v>
      </c>
      <c r="AB12" s="536">
        <f t="shared" ref="AB12:AB13" si="11">I12/$I$1</f>
        <v>0</v>
      </c>
      <c r="AC12" s="645"/>
      <c r="AD12" s="549"/>
      <c r="AE12" s="536"/>
      <c r="AF12" s="536"/>
      <c r="AG12" s="645"/>
    </row>
    <row r="13" spans="1:33" x14ac:dyDescent="0.25">
      <c r="A13" s="694"/>
      <c r="B13" s="540" t="s">
        <v>732</v>
      </c>
      <c r="C13" s="578"/>
      <c r="D13" s="544"/>
      <c r="E13" s="544"/>
      <c r="F13" s="544"/>
      <c r="G13" s="544">
        <v>3.8151785714285652E-2</v>
      </c>
      <c r="H13" s="544">
        <v>3.8776785714285687E-2</v>
      </c>
      <c r="I13" s="544">
        <v>5.7961761904761842E-2</v>
      </c>
      <c r="J13" s="544"/>
      <c r="K13" s="544"/>
      <c r="L13" s="544"/>
      <c r="M13" s="9"/>
      <c r="N13" s="696"/>
      <c r="O13" s="584" t="s">
        <v>732</v>
      </c>
      <c r="P13" s="549"/>
      <c r="Q13" s="645"/>
      <c r="R13" s="536"/>
      <c r="S13" s="645"/>
      <c r="T13" s="536"/>
      <c r="U13" s="645"/>
      <c r="V13" s="536"/>
      <c r="W13" s="645"/>
      <c r="X13" s="549">
        <f t="shared" si="7"/>
        <v>0.73031899393586974</v>
      </c>
      <c r="Y13" s="645">
        <f t="shared" si="8"/>
        <v>26.211092908963302</v>
      </c>
      <c r="Z13" s="536">
        <f t="shared" si="9"/>
        <v>0.48364465166003551</v>
      </c>
      <c r="AA13" s="645">
        <f t="shared" si="10"/>
        <v>25.788625374165342</v>
      </c>
      <c r="AB13" s="536">
        <f t="shared" si="11"/>
        <v>1</v>
      </c>
      <c r="AC13" s="645">
        <f t="shared" ref="AC13" si="12">1/I13</f>
        <v>17.252753662718543</v>
      </c>
      <c r="AD13" s="549"/>
      <c r="AE13" s="536"/>
      <c r="AF13" s="536"/>
      <c r="AG13" s="645"/>
    </row>
    <row r="14" spans="1:33" x14ac:dyDescent="0.25">
      <c r="A14" s="694"/>
      <c r="B14" s="540" t="s">
        <v>698</v>
      </c>
      <c r="C14" s="578"/>
      <c r="D14" s="544"/>
      <c r="E14" s="544"/>
      <c r="F14" s="544"/>
      <c r="G14" s="544"/>
      <c r="H14" s="544"/>
      <c r="I14" s="544"/>
      <c r="J14" s="544"/>
      <c r="K14" s="544"/>
      <c r="L14" s="544"/>
      <c r="M14" s="9"/>
      <c r="N14" s="696"/>
      <c r="O14" s="584" t="s">
        <v>698</v>
      </c>
      <c r="P14" s="549"/>
      <c r="Q14" s="645"/>
      <c r="R14" s="536"/>
      <c r="S14" s="645"/>
      <c r="T14" s="536"/>
      <c r="U14" s="645"/>
      <c r="V14" s="536"/>
      <c r="W14" s="645"/>
      <c r="X14" s="549"/>
      <c r="Y14" s="645"/>
      <c r="Z14" s="536"/>
      <c r="AA14" s="645"/>
      <c r="AB14" s="536"/>
      <c r="AC14" s="645"/>
      <c r="AD14" s="549"/>
      <c r="AE14" s="647"/>
      <c r="AF14" s="549"/>
      <c r="AG14" s="647"/>
    </row>
    <row r="15" spans="1:33" x14ac:dyDescent="0.25">
      <c r="A15" s="694"/>
      <c r="B15" s="552" t="s">
        <v>0</v>
      </c>
      <c r="C15" s="579"/>
      <c r="D15" s="535"/>
      <c r="E15" s="535"/>
      <c r="F15" s="535"/>
      <c r="G15" s="535"/>
      <c r="H15" s="535"/>
      <c r="I15" s="535"/>
      <c r="J15" s="535"/>
      <c r="K15" s="535"/>
      <c r="L15" s="535"/>
      <c r="M15" s="9"/>
      <c r="N15" s="696"/>
      <c r="O15" s="584" t="s">
        <v>0</v>
      </c>
      <c r="P15" s="550"/>
      <c r="Q15" s="646"/>
      <c r="R15" s="537"/>
      <c r="S15" s="646"/>
      <c r="T15" s="537"/>
      <c r="U15" s="646"/>
      <c r="V15" s="537"/>
      <c r="W15" s="646"/>
      <c r="X15" s="550"/>
      <c r="Y15" s="646"/>
      <c r="Z15" s="537"/>
      <c r="AA15" s="537"/>
      <c r="AB15" s="537"/>
      <c r="AC15" s="537"/>
      <c r="AD15" s="550" t="e">
        <f>J15/$J$1</f>
        <v>#DIV/0!</v>
      </c>
      <c r="AE15" s="649" t="e">
        <f>1/J15</f>
        <v>#DIV/0!</v>
      </c>
      <c r="AF15" s="550">
        <f>K15/$K$1</f>
        <v>0</v>
      </c>
      <c r="AG15" s="649" t="e">
        <f>1/K15</f>
        <v>#DIV/0!</v>
      </c>
    </row>
    <row r="16" spans="1:33" x14ac:dyDescent="0.25">
      <c r="A16" s="695" t="s">
        <v>729</v>
      </c>
      <c r="B16" s="541" t="s">
        <v>680</v>
      </c>
      <c r="C16" s="578">
        <v>5.8181020779221264E-2</v>
      </c>
      <c r="D16" s="544">
        <v>7.6807093706293558E-2</v>
      </c>
      <c r="E16" s="544">
        <v>6.6148976923077044E-2</v>
      </c>
      <c r="F16" s="544"/>
      <c r="G16" s="544"/>
      <c r="H16" s="544"/>
      <c r="I16" s="544"/>
      <c r="J16" s="544">
        <v>0</v>
      </c>
      <c r="K16" s="544">
        <v>2.9990859140859215E-2</v>
      </c>
      <c r="L16" s="544">
        <v>4.1477272727272974E-2</v>
      </c>
      <c r="M16" s="9"/>
      <c r="N16" s="697" t="s">
        <v>729</v>
      </c>
      <c r="O16" s="585" t="s">
        <v>680</v>
      </c>
      <c r="P16" s="549">
        <f>C16/$C$1</f>
        <v>0.76012862367019574</v>
      </c>
      <c r="Q16" s="644">
        <f>1/C16</f>
        <v>17.18773556405424</v>
      </c>
      <c r="R16" s="548">
        <f>D16/$D$1</f>
        <v>0.80707617218339234</v>
      </c>
      <c r="S16" s="644">
        <f>1/D16</f>
        <v>13.019630762543228</v>
      </c>
      <c r="T16" s="548">
        <f>E16/$E$1</f>
        <v>0.65397573890819349</v>
      </c>
      <c r="U16" s="644">
        <f>1/E16</f>
        <v>15.117391780115881</v>
      </c>
      <c r="V16" s="536"/>
      <c r="W16" s="645"/>
      <c r="X16" s="536"/>
      <c r="Y16" s="645"/>
      <c r="Z16" s="536"/>
      <c r="AA16" s="536"/>
      <c r="AB16" s="536"/>
      <c r="AC16" s="536"/>
      <c r="AD16" s="536"/>
      <c r="AE16" s="536"/>
      <c r="AF16" s="536">
        <f>K16/K1</f>
        <v>0.827959243053766</v>
      </c>
      <c r="AG16" s="645"/>
    </row>
    <row r="17" spans="1:33" x14ac:dyDescent="0.25">
      <c r="A17" s="694"/>
      <c r="B17" s="540" t="s">
        <v>679</v>
      </c>
      <c r="C17" s="578"/>
      <c r="D17" s="544"/>
      <c r="E17" s="544"/>
      <c r="F17" s="544">
        <v>4.2273232055429683E-2</v>
      </c>
      <c r="G17" s="544"/>
      <c r="H17" s="544"/>
      <c r="I17" s="544"/>
      <c r="J17" s="544"/>
      <c r="K17" s="544"/>
      <c r="L17" s="544"/>
      <c r="M17" s="9"/>
      <c r="N17" s="696"/>
      <c r="O17" s="584" t="s">
        <v>679</v>
      </c>
      <c r="P17" s="549"/>
      <c r="Q17" s="645"/>
      <c r="R17" s="536"/>
      <c r="S17" s="645"/>
      <c r="T17" s="536"/>
      <c r="U17" s="645"/>
      <c r="V17" s="536">
        <f>F17/F1</f>
        <v>0.80448469530882905</v>
      </c>
      <c r="W17" s="645">
        <f>1/F17</f>
        <v>23.655631504323487</v>
      </c>
      <c r="X17" s="536"/>
      <c r="Y17" s="645"/>
      <c r="Z17" s="536"/>
      <c r="AA17" s="536"/>
      <c r="AB17" s="536"/>
      <c r="AC17" s="536"/>
      <c r="AD17" s="536"/>
      <c r="AE17" s="536"/>
      <c r="AF17" s="536"/>
      <c r="AG17" s="645"/>
    </row>
    <row r="18" spans="1:33" x14ac:dyDescent="0.25">
      <c r="A18" s="694"/>
      <c r="B18" s="540" t="s">
        <v>731</v>
      </c>
      <c r="C18" s="578"/>
      <c r="D18" s="544"/>
      <c r="E18" s="544"/>
      <c r="F18" s="544"/>
      <c r="G18" s="544">
        <v>5.2239892473118138E-2</v>
      </c>
      <c r="H18" s="544">
        <v>8.0176190476190248E-2</v>
      </c>
      <c r="I18" s="544">
        <v>0</v>
      </c>
      <c r="J18" s="544"/>
      <c r="K18" s="544"/>
      <c r="L18" s="544"/>
      <c r="M18" s="9"/>
      <c r="N18" s="696"/>
      <c r="O18" s="584" t="s">
        <v>731</v>
      </c>
      <c r="P18" s="549"/>
      <c r="Q18" s="645"/>
      <c r="R18" s="536"/>
      <c r="S18" s="645"/>
      <c r="T18" s="536"/>
      <c r="U18" s="645"/>
      <c r="V18" s="536"/>
      <c r="W18" s="645"/>
      <c r="X18" s="536">
        <f t="shared" ref="X18:X19" si="13">G18/$G$1</f>
        <v>1</v>
      </c>
      <c r="Y18" s="645">
        <f t="shared" ref="Y18:Y19" si="14">1/G18</f>
        <v>19.142459003233686</v>
      </c>
      <c r="Z18" s="536">
        <f t="shared" ref="Z18:Z19" si="15">H18/$H$1</f>
        <v>1</v>
      </c>
      <c r="AA18" s="645">
        <f t="shared" ref="AA18:AA19" si="16">1/H18</f>
        <v>12.472530735879349</v>
      </c>
      <c r="AB18" s="536">
        <f t="shared" ref="AB18:AB19" si="17">I18/$I$1</f>
        <v>0</v>
      </c>
      <c r="AC18" s="645"/>
      <c r="AD18" s="536"/>
      <c r="AE18" s="536"/>
      <c r="AF18" s="536"/>
      <c r="AG18" s="645"/>
    </row>
    <row r="19" spans="1:33" x14ac:dyDescent="0.25">
      <c r="A19" s="694"/>
      <c r="B19" s="540" t="s">
        <v>732</v>
      </c>
      <c r="C19" s="578"/>
      <c r="D19" s="544"/>
      <c r="E19" s="544"/>
      <c r="F19" s="544"/>
      <c r="G19" s="544">
        <v>2.5968749999999961E-2</v>
      </c>
      <c r="H19" s="544">
        <v>2.5281249999999998E-2</v>
      </c>
      <c r="I19" s="544">
        <v>3.0639083333333313E-2</v>
      </c>
      <c r="J19" s="544"/>
      <c r="K19" s="544"/>
      <c r="L19" s="544">
        <v>0.1339285714285714</v>
      </c>
      <c r="M19" s="655">
        <f>1/L19</f>
        <v>7.4666666666666686</v>
      </c>
      <c r="N19" s="696"/>
      <c r="O19" s="584" t="s">
        <v>732</v>
      </c>
      <c r="P19" s="549"/>
      <c r="Q19" s="645"/>
      <c r="R19" s="536"/>
      <c r="S19" s="645"/>
      <c r="T19" s="536"/>
      <c r="U19" s="645"/>
      <c r="V19" s="536"/>
      <c r="W19" s="645"/>
      <c r="X19" s="536">
        <f t="shared" si="13"/>
        <v>0.49710573224022403</v>
      </c>
      <c r="Y19" s="645">
        <f t="shared" si="14"/>
        <v>38.507821901323766</v>
      </c>
      <c r="Z19" s="536">
        <f t="shared" si="15"/>
        <v>0.31532116766644974</v>
      </c>
      <c r="AA19" s="645">
        <f t="shared" si="16"/>
        <v>39.555006180469718</v>
      </c>
      <c r="AB19" s="536">
        <f t="shared" si="17"/>
        <v>0.52860855720150501</v>
      </c>
      <c r="AC19" s="645">
        <f t="shared" ref="AC19" si="18">1/I19</f>
        <v>32.63805216104705</v>
      </c>
      <c r="AD19" s="536"/>
      <c r="AE19" s="536"/>
      <c r="AF19" s="536"/>
      <c r="AG19" s="645"/>
    </row>
    <row r="20" spans="1:33" x14ac:dyDescent="0.25">
      <c r="A20" s="694"/>
      <c r="B20" s="540" t="s">
        <v>698</v>
      </c>
      <c r="C20" s="578"/>
      <c r="D20" s="544"/>
      <c r="E20" s="544"/>
      <c r="F20" s="544"/>
      <c r="G20" s="544"/>
      <c r="H20" s="544"/>
      <c r="I20" s="544"/>
      <c r="J20" s="544"/>
      <c r="K20" s="544"/>
      <c r="L20" s="544"/>
      <c r="M20" s="9"/>
      <c r="N20" s="696"/>
      <c r="O20" s="584" t="s">
        <v>698</v>
      </c>
      <c r="P20" s="549"/>
      <c r="Q20" s="645"/>
      <c r="R20" s="536"/>
      <c r="S20" s="645"/>
      <c r="T20" s="536"/>
      <c r="U20" s="645"/>
      <c r="V20" s="536"/>
      <c r="W20" s="645"/>
      <c r="X20" s="536"/>
      <c r="Y20" s="645"/>
      <c r="Z20" s="536"/>
      <c r="AA20" s="645"/>
      <c r="AB20" s="536"/>
      <c r="AC20" s="645"/>
      <c r="AD20" s="536"/>
      <c r="AE20" s="647"/>
      <c r="AF20" s="549"/>
      <c r="AG20" s="647"/>
    </row>
    <row r="21" spans="1:33" x14ac:dyDescent="0.25">
      <c r="A21" s="694"/>
      <c r="B21" s="552" t="s">
        <v>0</v>
      </c>
      <c r="C21" s="578"/>
      <c r="D21" s="544"/>
      <c r="E21" s="544"/>
      <c r="F21" s="544"/>
      <c r="G21" s="544"/>
      <c r="H21" s="544"/>
      <c r="I21" s="544"/>
      <c r="J21" s="544"/>
      <c r="K21" s="544"/>
      <c r="L21" s="544"/>
      <c r="M21" s="9"/>
      <c r="N21" s="696"/>
      <c r="O21" s="584" t="s">
        <v>0</v>
      </c>
      <c r="P21" s="550"/>
      <c r="Q21" s="646"/>
      <c r="R21" s="537"/>
      <c r="S21" s="646"/>
      <c r="T21" s="537"/>
      <c r="U21" s="646"/>
      <c r="V21" s="537"/>
      <c r="W21" s="646"/>
      <c r="X21" s="537"/>
      <c r="Y21" s="646"/>
      <c r="Z21" s="537"/>
      <c r="AA21" s="537"/>
      <c r="AB21" s="537"/>
      <c r="AC21" s="536"/>
      <c r="AD21" s="536" t="e">
        <f>J21/$J$1</f>
        <v>#DIV/0!</v>
      </c>
      <c r="AE21" s="649" t="e">
        <f>1/J21</f>
        <v>#DIV/0!</v>
      </c>
      <c r="AF21" s="550">
        <f>K21/$K$1</f>
        <v>0</v>
      </c>
      <c r="AG21" s="649" t="e">
        <f>1/K21</f>
        <v>#DIV/0!</v>
      </c>
    </row>
    <row r="22" spans="1:33" x14ac:dyDescent="0.25">
      <c r="A22" s="695" t="s">
        <v>730</v>
      </c>
      <c r="B22" s="555" t="s">
        <v>680</v>
      </c>
      <c r="C22" s="583">
        <v>7.6541020779221203E-2</v>
      </c>
      <c r="D22" s="557">
        <v>9.516709370629349E-2</v>
      </c>
      <c r="E22" s="557">
        <v>0.10114897692307692</v>
      </c>
      <c r="F22" s="557"/>
      <c r="G22" s="557"/>
      <c r="H22" s="557"/>
      <c r="I22" s="557"/>
      <c r="J22" s="557">
        <v>0</v>
      </c>
      <c r="K22" s="557">
        <v>3.3705144855144913E-2</v>
      </c>
      <c r="L22" s="557">
        <v>5.9334415584415767E-2</v>
      </c>
      <c r="M22" s="9"/>
      <c r="N22" s="697" t="s">
        <v>730</v>
      </c>
      <c r="O22" s="585" t="s">
        <v>680</v>
      </c>
      <c r="P22" s="549">
        <f>C22/$C$1</f>
        <v>1</v>
      </c>
      <c r="Q22" s="644">
        <f>1/C22</f>
        <v>13.064889778311823</v>
      </c>
      <c r="R22" s="548">
        <f>D22/$D$1</f>
        <v>1</v>
      </c>
      <c r="S22" s="644">
        <f>1/D22</f>
        <v>10.507833759074531</v>
      </c>
      <c r="T22" s="548">
        <f>E22/$E$1</f>
        <v>1</v>
      </c>
      <c r="U22" s="651">
        <f>1/E22</f>
        <v>9.8864074597659339</v>
      </c>
      <c r="V22" s="639"/>
      <c r="W22" s="648"/>
      <c r="X22" s="549"/>
      <c r="Y22" s="645"/>
      <c r="Z22" s="536"/>
      <c r="AA22" s="536"/>
      <c r="AB22" s="549"/>
      <c r="AC22" s="547"/>
      <c r="AD22" s="547"/>
      <c r="AE22" s="536"/>
      <c r="AF22" s="536">
        <f>K22/K1</f>
        <v>0.93049972627372424</v>
      </c>
      <c r="AG22" s="645"/>
    </row>
    <row r="23" spans="1:33" x14ac:dyDescent="0.25">
      <c r="A23" s="694"/>
      <c r="B23" s="556" t="s">
        <v>679</v>
      </c>
      <c r="C23" s="578"/>
      <c r="D23" s="544"/>
      <c r="E23" s="544"/>
      <c r="F23" s="544">
        <v>4.3797642829840472E-2</v>
      </c>
      <c r="G23" s="544"/>
      <c r="H23" s="544"/>
      <c r="I23" s="544"/>
      <c r="J23" s="544"/>
      <c r="K23" s="544"/>
      <c r="L23" s="544"/>
      <c r="M23" s="9"/>
      <c r="N23" s="696"/>
      <c r="O23" s="584" t="s">
        <v>679</v>
      </c>
      <c r="P23" s="549"/>
      <c r="Q23" s="645"/>
      <c r="R23" s="536"/>
      <c r="S23" s="645"/>
      <c r="T23" s="536"/>
      <c r="U23" s="652"/>
      <c r="V23" s="640">
        <f>F23/F1</f>
        <v>0.83349513708837697</v>
      </c>
      <c r="W23" s="647">
        <f>1/F23</f>
        <v>22.832278985541066</v>
      </c>
      <c r="X23" s="549"/>
      <c r="Y23" s="645"/>
      <c r="Z23" s="536"/>
      <c r="AA23" s="536"/>
      <c r="AB23" s="549"/>
      <c r="AC23" s="549"/>
      <c r="AD23" s="549"/>
      <c r="AE23" s="536"/>
      <c r="AF23" s="536"/>
      <c r="AG23" s="645"/>
    </row>
    <row r="24" spans="1:33" x14ac:dyDescent="0.25">
      <c r="A24" s="694"/>
      <c r="B24" s="556" t="s">
        <v>731</v>
      </c>
      <c r="C24" s="578"/>
      <c r="D24" s="544"/>
      <c r="E24" s="544"/>
      <c r="F24" s="544"/>
      <c r="G24" s="544">
        <v>4.8379892473118219E-2</v>
      </c>
      <c r="H24" s="544">
        <v>7.5159999999999741E-2</v>
      </c>
      <c r="I24" s="544">
        <v>0</v>
      </c>
      <c r="J24" s="544"/>
      <c r="K24" s="544"/>
      <c r="L24" s="544"/>
      <c r="M24" s="9"/>
      <c r="N24" s="696"/>
      <c r="O24" s="584" t="s">
        <v>731</v>
      </c>
      <c r="P24" s="549"/>
      <c r="Q24" s="645"/>
      <c r="R24" s="536"/>
      <c r="S24" s="645"/>
      <c r="T24" s="536"/>
      <c r="U24" s="652"/>
      <c r="V24" s="640"/>
      <c r="W24" s="647"/>
      <c r="X24" s="549">
        <f t="shared" ref="X24:X25" si="19">G24/$G$1</f>
        <v>0.92611010824751949</v>
      </c>
      <c r="Y24" s="645">
        <f t="shared" ref="Y24:Y25" si="20">1/G24</f>
        <v>20.669744161908575</v>
      </c>
      <c r="Z24" s="536">
        <f t="shared" ref="Z24:Z25" si="21">H24/$H$1</f>
        <v>0.93743541010868858</v>
      </c>
      <c r="AA24" s="645">
        <f t="shared" ref="AA24:AA25" si="22">1/H24</f>
        <v>13.30494944119217</v>
      </c>
      <c r="AB24" s="536">
        <f t="shared" ref="AB24:AB25" si="23">I24/$I$1</f>
        <v>0</v>
      </c>
      <c r="AC24" s="647"/>
      <c r="AD24" s="549"/>
      <c r="AE24" s="536"/>
      <c r="AF24" s="536"/>
      <c r="AG24" s="645"/>
    </row>
    <row r="25" spans="1:33" x14ac:dyDescent="0.25">
      <c r="A25" s="694"/>
      <c r="B25" s="556" t="s">
        <v>732</v>
      </c>
      <c r="C25" s="578"/>
      <c r="D25" s="544"/>
      <c r="E25" s="544"/>
      <c r="F25" s="544"/>
      <c r="G25" s="544">
        <v>2.3874999999999962E-2</v>
      </c>
      <c r="H25" s="544">
        <v>2.31875E-2</v>
      </c>
      <c r="I25" s="544">
        <v>2.7005333333333312E-2</v>
      </c>
      <c r="J25" s="544"/>
      <c r="K25" s="544"/>
      <c r="L25" s="544">
        <v>0.16964285714285698</v>
      </c>
      <c r="M25" s="655">
        <f>1/L25</f>
        <v>5.894736842105269</v>
      </c>
      <c r="N25" s="696"/>
      <c r="O25" s="584" t="s">
        <v>732</v>
      </c>
      <c r="P25" s="549"/>
      <c r="Q25" s="645"/>
      <c r="R25" s="536"/>
      <c r="S25" s="645"/>
      <c r="T25" s="536"/>
      <c r="U25" s="652"/>
      <c r="V25" s="640"/>
      <c r="W25" s="647"/>
      <c r="X25" s="549">
        <f t="shared" si="19"/>
        <v>0.45702620870220356</v>
      </c>
      <c r="Y25" s="645">
        <f t="shared" si="20"/>
        <v>41.884816753926771</v>
      </c>
      <c r="Z25" s="536">
        <f t="shared" si="21"/>
        <v>0.2892068064382024</v>
      </c>
      <c r="AA25" s="645">
        <f t="shared" si="22"/>
        <v>43.126684636118597</v>
      </c>
      <c r="AB25" s="536">
        <f t="shared" si="23"/>
        <v>0.46591636357960148</v>
      </c>
      <c r="AC25" s="647">
        <f t="shared" ref="AC25" si="24">1/I25</f>
        <v>37.029722523945914</v>
      </c>
      <c r="AD25" s="549"/>
      <c r="AE25" s="536"/>
      <c r="AF25" s="536"/>
      <c r="AG25" s="645"/>
    </row>
    <row r="26" spans="1:33" x14ac:dyDescent="0.25">
      <c r="A26" s="694"/>
      <c r="B26" s="556" t="s">
        <v>698</v>
      </c>
      <c r="C26" s="578"/>
      <c r="D26" s="544"/>
      <c r="E26" s="544"/>
      <c r="F26" s="544"/>
      <c r="G26" s="544"/>
      <c r="H26" s="544"/>
      <c r="I26" s="544"/>
      <c r="J26" s="544"/>
      <c r="K26" s="544"/>
      <c r="L26" s="544"/>
      <c r="M26" s="9"/>
      <c r="N26" s="696"/>
      <c r="O26" s="584" t="s">
        <v>698</v>
      </c>
      <c r="P26" s="549"/>
      <c r="Q26" s="645"/>
      <c r="R26" s="536"/>
      <c r="S26" s="645"/>
      <c r="T26" s="536"/>
      <c r="U26" s="652"/>
      <c r="V26" s="640"/>
      <c r="W26" s="549"/>
      <c r="X26" s="549"/>
      <c r="Y26" s="645"/>
      <c r="Z26" s="536"/>
      <c r="AA26" s="645"/>
      <c r="AB26" s="536"/>
      <c r="AC26" s="647"/>
      <c r="AD26" s="549"/>
      <c r="AE26" s="647"/>
      <c r="AF26" s="549"/>
      <c r="AG26" s="647"/>
    </row>
    <row r="27" spans="1:33" x14ac:dyDescent="0.25">
      <c r="A27" s="694"/>
      <c r="B27" s="552" t="s">
        <v>0</v>
      </c>
      <c r="C27" s="579"/>
      <c r="D27" s="535"/>
      <c r="E27" s="535"/>
      <c r="F27" s="535"/>
      <c r="G27" s="535"/>
      <c r="H27" s="535"/>
      <c r="I27" s="535"/>
      <c r="J27" s="535"/>
      <c r="K27" s="535"/>
      <c r="L27" s="535"/>
      <c r="M27" s="9"/>
      <c r="N27" s="696"/>
      <c r="O27" s="584" t="s">
        <v>0</v>
      </c>
      <c r="P27" s="550"/>
      <c r="Q27" s="646"/>
      <c r="R27" s="537"/>
      <c r="S27" s="646"/>
      <c r="T27" s="537"/>
      <c r="U27" s="653"/>
      <c r="V27" s="641"/>
      <c r="W27" s="550"/>
      <c r="X27" s="550"/>
      <c r="Y27" s="646"/>
      <c r="Z27" s="537"/>
      <c r="AA27" s="537"/>
      <c r="AB27" s="550"/>
      <c r="AC27" s="550"/>
      <c r="AD27" s="550" t="e">
        <f>J27/$J$1</f>
        <v>#DIV/0!</v>
      </c>
      <c r="AE27" s="649" t="e">
        <f>1/J27</f>
        <v>#DIV/0!</v>
      </c>
      <c r="AF27" s="550">
        <f>K27/$K$1</f>
        <v>0</v>
      </c>
      <c r="AG27" s="649" t="e">
        <f>1/K27</f>
        <v>#DIV/0!</v>
      </c>
    </row>
    <row r="28" spans="1:33" x14ac:dyDescent="0.25">
      <c r="Q28" s="471"/>
      <c r="S28" s="471"/>
      <c r="U28" s="471"/>
      <c r="AD28" s="9"/>
      <c r="AE28" s="9"/>
      <c r="AF28" s="9"/>
      <c r="AG28" s="9"/>
    </row>
    <row r="29" spans="1:33" x14ac:dyDescent="0.25">
      <c r="Q29" s="471"/>
      <c r="S29" s="471"/>
      <c r="U29" s="471"/>
    </row>
    <row r="30" spans="1:33" x14ac:dyDescent="0.25">
      <c r="B30" s="538" t="s">
        <v>716</v>
      </c>
      <c r="H30" s="634"/>
      <c r="I30" s="634"/>
      <c r="Q30" s="471"/>
      <c r="S30" s="471"/>
      <c r="U30" s="471"/>
    </row>
    <row r="31" spans="1:33" x14ac:dyDescent="0.25">
      <c r="B31" s="539">
        <v>42724</v>
      </c>
      <c r="G31" s="634"/>
      <c r="H31" s="634"/>
      <c r="I31" s="634"/>
      <c r="Q31" s="471"/>
      <c r="S31" s="471"/>
    </row>
    <row r="32" spans="1:33" x14ac:dyDescent="0.25">
      <c r="G32" s="634"/>
      <c r="H32" s="634"/>
      <c r="I32" s="634"/>
      <c r="Q32" s="471"/>
    </row>
    <row r="33" spans="17:17" x14ac:dyDescent="0.25">
      <c r="Q33" s="471"/>
    </row>
    <row r="34" spans="17:17" x14ac:dyDescent="0.25">
      <c r="Q34" s="471"/>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3" t="s">
        <v>276</v>
      </c>
      <c r="C2" s="493" t="s">
        <v>179</v>
      </c>
      <c r="D2" s="493" t="s">
        <v>690</v>
      </c>
      <c r="E2" s="493" t="s">
        <v>1</v>
      </c>
      <c r="F2" s="493" t="s">
        <v>2</v>
      </c>
      <c r="G2" s="493" t="s">
        <v>697</v>
      </c>
      <c r="H2" s="493" t="s">
        <v>65</v>
      </c>
      <c r="I2" s="493" t="s">
        <v>578</v>
      </c>
      <c r="J2" s="493" t="s">
        <v>698</v>
      </c>
      <c r="K2" s="493" t="s">
        <v>0</v>
      </c>
      <c r="M2" s="595">
        <v>352</v>
      </c>
      <c r="N2" s="444" t="s">
        <v>808</v>
      </c>
      <c r="O2" s="48" t="s">
        <v>701</v>
      </c>
      <c r="P2" s="48" t="s">
        <v>809</v>
      </c>
      <c r="Q2" s="48" t="s">
        <v>701</v>
      </c>
      <c r="R2" s="48" t="s">
        <v>64</v>
      </c>
      <c r="S2" s="48" t="s">
        <v>703</v>
      </c>
      <c r="T2" s="48" t="s">
        <v>704</v>
      </c>
      <c r="U2" s="48" t="s">
        <v>703</v>
      </c>
      <c r="V2" s="48" t="s">
        <v>565</v>
      </c>
      <c r="W2" s="48" t="s">
        <v>810</v>
      </c>
      <c r="X2" s="48" t="s">
        <v>811</v>
      </c>
    </row>
    <row r="3" spans="2:25" x14ac:dyDescent="0.25">
      <c r="B3" t="s">
        <v>1</v>
      </c>
      <c r="C3" t="str">
        <f>Evaluacion!A3</f>
        <v>D. Gehmacher</v>
      </c>
      <c r="D3" s="636"/>
      <c r="E3" s="265">
        <f>Evaluacion!K3</f>
        <v>16.666666666666668</v>
      </c>
      <c r="F3" s="265">
        <f>Evaluacion!L3</f>
        <v>12.003636363636367</v>
      </c>
      <c r="G3" s="265">
        <f>Evaluacion!M3</f>
        <v>2.0499999999999989</v>
      </c>
      <c r="H3" s="265">
        <f>Evaluacion!N3</f>
        <v>2.1399999999999992</v>
      </c>
      <c r="I3" s="265">
        <f>Evaluacion!O3</f>
        <v>1.0400000000000003</v>
      </c>
      <c r="J3" s="265">
        <f>Evaluacion!P3</f>
        <v>0.14055555555555557</v>
      </c>
      <c r="K3" s="265">
        <f>Evaluacion!Q3</f>
        <v>17.849999999999998</v>
      </c>
      <c r="M3" t="s">
        <v>1</v>
      </c>
      <c r="N3" s="596">
        <v>1</v>
      </c>
      <c r="O3" s="597">
        <f>Evaluacion!X3</f>
        <v>15.599941497511368</v>
      </c>
      <c r="P3" s="597">
        <f>Evaluacion!Y3</f>
        <v>22.990762841420281</v>
      </c>
      <c r="Q3" s="597">
        <f>Evaluacion!Z3</f>
        <v>15.599941497511368</v>
      </c>
      <c r="R3" s="597">
        <v>0</v>
      </c>
      <c r="S3" s="597">
        <v>0</v>
      </c>
      <c r="T3" s="597">
        <v>0</v>
      </c>
      <c r="U3" s="597">
        <v>0</v>
      </c>
      <c r="V3" s="597">
        <v>0</v>
      </c>
      <c r="W3" s="597">
        <f>Evaluacion!T3</f>
        <v>0.54252777777777772</v>
      </c>
      <c r="X3" s="597">
        <f>Evaluacion!U3</f>
        <v>1.0156454545454547</v>
      </c>
      <c r="Y3" s="601"/>
    </row>
    <row r="4" spans="2:25" x14ac:dyDescent="0.25">
      <c r="B4" t="s">
        <v>804</v>
      </c>
      <c r="C4" t="str">
        <f>Evaluacion!A6</f>
        <v>E. Toney</v>
      </c>
      <c r="D4" s="636"/>
      <c r="E4" s="265">
        <f>Evaluacion!K6</f>
        <v>0</v>
      </c>
      <c r="F4" s="265">
        <f>Evaluacion!L6</f>
        <v>12.130000000000004</v>
      </c>
      <c r="G4" s="265">
        <f>Evaluacion!M6</f>
        <v>13.156555555555553</v>
      </c>
      <c r="H4" s="265">
        <f>Evaluacion!N6</f>
        <v>9.8200000000000056</v>
      </c>
      <c r="I4" s="265">
        <f>Evaluacion!O6</f>
        <v>9.6</v>
      </c>
      <c r="J4" s="265">
        <f>Evaluacion!P6</f>
        <v>3.6816666666666658</v>
      </c>
      <c r="K4" s="265">
        <f>Evaluacion!Q6</f>
        <v>16.627777777777773</v>
      </c>
      <c r="M4" t="s">
        <v>804</v>
      </c>
      <c r="N4" s="596">
        <v>1</v>
      </c>
      <c r="O4" s="597">
        <f>Evaluacion!AI6</f>
        <v>13.872201392294363</v>
      </c>
      <c r="P4" s="597">
        <f>Evaluacion!AJ6</f>
        <v>6.2424906265324624</v>
      </c>
      <c r="Q4" s="597">
        <v>0</v>
      </c>
      <c r="R4" s="597">
        <f>Evaluacion!AK6</f>
        <v>2.6895409000746877</v>
      </c>
      <c r="S4" s="597">
        <f>Evaluacion!AL6</f>
        <v>7.507866107249006</v>
      </c>
      <c r="T4" s="597">
        <v>0</v>
      </c>
      <c r="U4" s="597">
        <v>0</v>
      </c>
      <c r="V4" s="597">
        <f>Evaluacion!R6</f>
        <v>4.2912500000000007</v>
      </c>
      <c r="W4" s="597">
        <f>Evaluacion!T6</f>
        <v>0.68291666666666639</v>
      </c>
      <c r="X4" s="597">
        <f>Evaluacion!U6</f>
        <v>0.98403333333333332</v>
      </c>
    </row>
    <row r="5" spans="2:25" x14ac:dyDescent="0.25">
      <c r="B5" t="s">
        <v>805</v>
      </c>
      <c r="C5" t="str">
        <f>Evaluacion!A15</f>
        <v>E. Gross</v>
      </c>
      <c r="D5" s="636"/>
      <c r="E5" s="265">
        <f>Evaluacion!K15</f>
        <v>0</v>
      </c>
      <c r="F5" s="265">
        <f>Evaluacion!L15</f>
        <v>10.449999999999996</v>
      </c>
      <c r="G5" s="265">
        <f>Evaluacion!M15</f>
        <v>12.869777777777777</v>
      </c>
      <c r="H5" s="265">
        <f>Evaluacion!N15</f>
        <v>5.1299999999999981</v>
      </c>
      <c r="I5" s="265">
        <f>Evaluacion!O15</f>
        <v>9.24</v>
      </c>
      <c r="J5" s="265">
        <f>Evaluacion!P15</f>
        <v>2.98</v>
      </c>
      <c r="K5" s="265">
        <f>Evaluacion!Q15</f>
        <v>16.959999999999997</v>
      </c>
      <c r="M5" t="s">
        <v>805</v>
      </c>
      <c r="N5" s="596">
        <v>1</v>
      </c>
      <c r="O5" s="597">
        <f>(Evaluacion!AA15+Evaluacion!AC15)/2</f>
        <v>5.1195153584376829</v>
      </c>
      <c r="P5" s="597">
        <f>Evaluacion!AB15</f>
        <v>13.22872185642812</v>
      </c>
      <c r="Q5" s="597">
        <f>O5</f>
        <v>5.1195153584376829</v>
      </c>
      <c r="R5" s="597">
        <f>Evaluacion!AD15</f>
        <v>3.7243429129410042</v>
      </c>
      <c r="S5" s="597">
        <v>0</v>
      </c>
      <c r="T5" s="597">
        <v>0</v>
      </c>
      <c r="U5" s="597">
        <v>0</v>
      </c>
      <c r="V5" s="597">
        <f>Evaluacion!R15</f>
        <v>3.9912499999999995</v>
      </c>
      <c r="W5" s="597">
        <f>Evaluacion!T15</f>
        <v>0.65779999999999994</v>
      </c>
      <c r="X5" s="597">
        <f>Evaluacion!U15</f>
        <v>0.92679999999999974</v>
      </c>
    </row>
    <row r="6" spans="2:25" x14ac:dyDescent="0.25">
      <c r="B6" t="s">
        <v>804</v>
      </c>
      <c r="C6" t="str">
        <f>Evaluacion!A9</f>
        <v>B. Pinczehelyi</v>
      </c>
      <c r="D6" s="636" t="str">
        <f>Evaluacion!D9</f>
        <v>CAB</v>
      </c>
      <c r="E6" s="265">
        <f>Evaluacion!K9</f>
        <v>0</v>
      </c>
      <c r="F6" s="265">
        <f>Evaluacion!L9</f>
        <v>14.250000000000004</v>
      </c>
      <c r="G6" s="265">
        <f>Evaluacion!M9</f>
        <v>9.3193333333333346</v>
      </c>
      <c r="H6" s="265">
        <f>Evaluacion!N9</f>
        <v>14.291666666666663</v>
      </c>
      <c r="I6" s="265">
        <f>Evaluacion!O9</f>
        <v>9.4199999999999982</v>
      </c>
      <c r="J6" s="265">
        <f>Evaluacion!P9</f>
        <v>1.1428571428571428</v>
      </c>
      <c r="K6" s="265">
        <f>Evaluacion!Q9</f>
        <v>9.4</v>
      </c>
      <c r="M6" t="s">
        <v>804</v>
      </c>
      <c r="N6" s="596">
        <v>1</v>
      </c>
      <c r="O6" s="597">
        <v>0</v>
      </c>
      <c r="P6" s="597">
        <f>Evaluacion!AJ9</f>
        <v>6.9478689501857707</v>
      </c>
      <c r="Q6" s="597">
        <f>Evaluacion!AI9</f>
        <v>15.439708778190603</v>
      </c>
      <c r="R6" s="597">
        <f>Evaluacion!AK9</f>
        <v>1.9792214557512648</v>
      </c>
      <c r="S6" s="597">
        <v>0</v>
      </c>
      <c r="T6" s="597">
        <f>0</f>
        <v>0</v>
      </c>
      <c r="U6" s="597">
        <f>Evaluacion!AL9</f>
        <v>9.8924877843218155</v>
      </c>
      <c r="V6" s="597">
        <f>Evaluacion!R9</f>
        <v>4.5112500000000004</v>
      </c>
      <c r="W6" s="597">
        <f>Evaluacion!T9</f>
        <v>0.33914285714285713</v>
      </c>
      <c r="X6" s="597">
        <f>Evaluacion!U9</f>
        <v>0.85200000000000009</v>
      </c>
    </row>
    <row r="7" spans="2:25" x14ac:dyDescent="0.25">
      <c r="B7" t="s">
        <v>503</v>
      </c>
      <c r="C7" t="str">
        <f>Evaluacion!A13</f>
        <v>S. Buschelman</v>
      </c>
      <c r="D7" s="636" t="str">
        <f>Evaluacion!D13</f>
        <v>TEC</v>
      </c>
      <c r="E7" s="265">
        <f>Evaluacion!K13</f>
        <v>0</v>
      </c>
      <c r="F7" s="265">
        <f>Evaluacion!L13</f>
        <v>9.2036666666666651</v>
      </c>
      <c r="G7" s="265">
        <f>Evaluacion!M13</f>
        <v>13.759999999999998</v>
      </c>
      <c r="H7" s="265">
        <f>Evaluacion!N13</f>
        <v>12.835000000000001</v>
      </c>
      <c r="I7" s="265">
        <f>Evaluacion!O13</f>
        <v>9.6733333333333356</v>
      </c>
      <c r="J7" s="265">
        <f>Evaluacion!P13</f>
        <v>5.0296666666666656</v>
      </c>
      <c r="K7" s="265">
        <f>Evaluacion!Q13</f>
        <v>15.2</v>
      </c>
      <c r="M7" t="s">
        <v>503</v>
      </c>
      <c r="N7" s="596">
        <v>0.82499999999999996</v>
      </c>
      <c r="O7" s="597">
        <f>Evaluacion!BE13*N7</f>
        <v>2.8952351469095388</v>
      </c>
      <c r="P7" s="597">
        <f>Evaluacion!BF13*N7</f>
        <v>3.4623430622835727</v>
      </c>
      <c r="Q7" s="597">
        <v>0</v>
      </c>
      <c r="R7" s="597">
        <f>Evaluacion!BG13*N7</f>
        <v>12.076956509114446</v>
      </c>
      <c r="S7" s="597">
        <f>Evaluacion!BH13*N7</f>
        <v>10.686566152500278</v>
      </c>
      <c r="T7" s="597">
        <f>Evaluacion!BI13*N7</f>
        <v>2.4911535382481067</v>
      </c>
      <c r="U7" s="597">
        <v>0</v>
      </c>
      <c r="V7" s="597">
        <v>0</v>
      </c>
      <c r="W7" s="597">
        <f>Evaluacion!T13*N7</f>
        <v>0.58367374999999988</v>
      </c>
      <c r="X7" s="597">
        <f>Evaluacion!U13*N7</f>
        <v>0.67992099999999989</v>
      </c>
    </row>
    <row r="8" spans="2:25" x14ac:dyDescent="0.25">
      <c r="B8" t="s">
        <v>806</v>
      </c>
      <c r="C8" t="str">
        <f>Evaluacion!A16</f>
        <v>L. Bauman</v>
      </c>
      <c r="D8" s="636"/>
      <c r="E8" s="265">
        <f>Evaluacion!K16</f>
        <v>0</v>
      </c>
      <c r="F8" s="265">
        <f>Evaluacion!L16</f>
        <v>5.4311111111111119</v>
      </c>
      <c r="G8" s="265">
        <f>Evaluacion!M16</f>
        <v>14.331408994708985</v>
      </c>
      <c r="H8" s="265">
        <f>Evaluacion!N16</f>
        <v>3.5124999999999993</v>
      </c>
      <c r="I8" s="265">
        <f>Evaluacion!O16</f>
        <v>9.1400000000000041</v>
      </c>
      <c r="J8" s="265">
        <f>Evaluacion!P16</f>
        <v>7.4318888888888894</v>
      </c>
      <c r="K8" s="265">
        <f>Evaluacion!Q16</f>
        <v>16.07</v>
      </c>
      <c r="M8" t="s">
        <v>806</v>
      </c>
      <c r="N8" s="596">
        <v>0.82499999999999996</v>
      </c>
      <c r="O8" s="597">
        <f>((Evaluacion!AX16+Evaluacion!AZ16)/2)*N8</f>
        <v>0.95220565156865344</v>
      </c>
      <c r="P8" s="597">
        <f>Evaluacion!AY16*N8</f>
        <v>2.6870000749732728</v>
      </c>
      <c r="Q8" s="597">
        <f>O8</f>
        <v>0.95220565156865344</v>
      </c>
      <c r="R8" s="597">
        <f>Evaluacion!BA16*N8</f>
        <v>14.060245941401426</v>
      </c>
      <c r="S8" s="597">
        <f>((Evaluacion!BB16+Evaluacion!BD16)/2)*N8</f>
        <v>1.8552490355654465</v>
      </c>
      <c r="T8" s="597">
        <f>Evaluacion!BC16*N8</f>
        <v>5.0913805199423514</v>
      </c>
      <c r="U8" s="597">
        <f>S8</f>
        <v>1.8552490355654465</v>
      </c>
      <c r="V8" s="597">
        <v>0</v>
      </c>
      <c r="W8" s="597">
        <f>Evaluacion!T16*N8</f>
        <v>0.70429791666666663</v>
      </c>
      <c r="X8" s="597">
        <f>Evaluacion!U16*N8</f>
        <v>0.57695916666666658</v>
      </c>
    </row>
    <row r="9" spans="2:25" x14ac:dyDescent="0.25">
      <c r="B9" t="s">
        <v>503</v>
      </c>
      <c r="C9" t="str">
        <f>Evaluacion!A14</f>
        <v>C. Rojas</v>
      </c>
      <c r="D9" s="636" t="str">
        <f>Evaluacion!D14</f>
        <v>TEC</v>
      </c>
      <c r="E9" s="265">
        <f>Evaluacion!K14</f>
        <v>0</v>
      </c>
      <c r="F9" s="265">
        <f>Evaluacion!L14</f>
        <v>8.6175555555555583</v>
      </c>
      <c r="G9" s="265">
        <f>Evaluacion!M14</f>
        <v>14.238017460317453</v>
      </c>
      <c r="H9" s="265">
        <f>Evaluacion!N14</f>
        <v>9.99</v>
      </c>
      <c r="I9" s="265">
        <f>Evaluacion!O14</f>
        <v>10.09</v>
      </c>
      <c r="J9" s="265">
        <f>Evaluacion!P14</f>
        <v>4.3999999999999995</v>
      </c>
      <c r="K9" s="265">
        <f>Evaluacion!Q14</f>
        <v>16.544444444444441</v>
      </c>
      <c r="M9" t="s">
        <v>503</v>
      </c>
      <c r="N9" s="596">
        <v>0.82499999999999996</v>
      </c>
      <c r="O9" s="597">
        <v>0</v>
      </c>
      <c r="P9" s="597">
        <f>Evaluacion!BF14*N9</f>
        <v>3.3033953198785686</v>
      </c>
      <c r="Q9" s="597">
        <f>Evaluacion!BE14*N9</f>
        <v>2.7623219485191481</v>
      </c>
      <c r="R9" s="597">
        <f>Evaluacion!BG14*N9</f>
        <v>12.447998191782068</v>
      </c>
      <c r="S9" s="597">
        <v>0</v>
      </c>
      <c r="T9" s="597">
        <f>Evaluacion!BI14*N9</f>
        <v>2.5804549508354451</v>
      </c>
      <c r="U9" s="597">
        <f>Evaluacion!BH14*N9</f>
        <v>9.4714186568162262</v>
      </c>
      <c r="V9" s="597">
        <v>0</v>
      </c>
      <c r="W9" s="597">
        <f>Evaluacion!T14*N9</f>
        <v>0.59097499999999992</v>
      </c>
      <c r="X9" s="597">
        <f>Evaluacion!U14*N9</f>
        <v>0.69385433333333324</v>
      </c>
    </row>
    <row r="10" spans="2:25" x14ac:dyDescent="0.25">
      <c r="B10" t="s">
        <v>807</v>
      </c>
      <c r="C10" t="str">
        <f>Evaluacion!A10</f>
        <v>E. Romweber</v>
      </c>
      <c r="D10" s="636" t="str">
        <f>Evaluacion!D10</f>
        <v>IMP</v>
      </c>
      <c r="E10" s="265">
        <f>Evaluacion!K10</f>
        <v>0</v>
      </c>
      <c r="F10" s="265">
        <f>Evaluacion!L10</f>
        <v>12.005555555555555</v>
      </c>
      <c r="G10" s="265">
        <f>Evaluacion!M10</f>
        <v>12.534111111111114</v>
      </c>
      <c r="H10" s="265">
        <f>Evaluacion!N10</f>
        <v>13.133333333333335</v>
      </c>
      <c r="I10" s="265">
        <f>Evaluacion!O10</f>
        <v>10.91</v>
      </c>
      <c r="J10" s="265">
        <f>Evaluacion!P10</f>
        <v>7.7700000000000005</v>
      </c>
      <c r="K10" s="265">
        <f>Evaluacion!Q10</f>
        <v>17.13</v>
      </c>
      <c r="M10" t="s">
        <v>807</v>
      </c>
      <c r="N10" s="596">
        <v>1</v>
      </c>
      <c r="O10" s="597">
        <f>Evaluacion!BT10</f>
        <v>4.2482885133094959</v>
      </c>
      <c r="P10" s="597">
        <f>Evaluacion!BU10</f>
        <v>3.6499380184771728</v>
      </c>
      <c r="Q10" s="597">
        <v>0</v>
      </c>
      <c r="R10" s="597">
        <f>Evaluacion!BV10</f>
        <v>7.0467296564954589</v>
      </c>
      <c r="S10" s="597">
        <f>Evaluacion!BW10</f>
        <v>17.281393151299806</v>
      </c>
      <c r="T10" s="597">
        <f>Evaluacion!BX10</f>
        <v>1.6774480246455561</v>
      </c>
      <c r="U10" s="597">
        <v>0</v>
      </c>
      <c r="V10" s="597">
        <v>0</v>
      </c>
      <c r="W10" s="597">
        <f>Evaluacion!T10*N10</f>
        <v>0.90239999999999987</v>
      </c>
      <c r="X10" s="597">
        <f>Evaluacion!U10*N10</f>
        <v>0.99412222222222224</v>
      </c>
    </row>
    <row r="11" spans="2:25" x14ac:dyDescent="0.25">
      <c r="B11" t="s">
        <v>807</v>
      </c>
      <c r="C11" t="str">
        <f>Evaluacion!A11</f>
        <v>K. Helms</v>
      </c>
      <c r="D11" s="636" t="str">
        <f>Evaluacion!D11</f>
        <v>TEC</v>
      </c>
      <c r="E11" s="265">
        <f>Evaluacion!K11</f>
        <v>0</v>
      </c>
      <c r="F11" s="265">
        <f>Evaluacion!L11</f>
        <v>7.2200000000000006</v>
      </c>
      <c r="G11" s="265">
        <f>Evaluacion!M11</f>
        <v>10.500000000000004</v>
      </c>
      <c r="H11" s="265">
        <f>Evaluacion!N11</f>
        <v>13.388333333333334</v>
      </c>
      <c r="I11" s="265">
        <f>Evaluacion!O11</f>
        <v>10.359999999999998</v>
      </c>
      <c r="J11" s="265">
        <f>Evaluacion!P11</f>
        <v>5.4050000000000002</v>
      </c>
      <c r="K11" s="265">
        <f>Evaluacion!Q11</f>
        <v>17.300000000000004</v>
      </c>
      <c r="M11" t="s">
        <v>807</v>
      </c>
      <c r="N11" s="596">
        <v>1</v>
      </c>
      <c r="O11" s="597">
        <v>0</v>
      </c>
      <c r="P11" s="597">
        <f>Evaluacion!BU11</f>
        <v>2.4571897104374161</v>
      </c>
      <c r="Q11" s="597">
        <f>Evaluacion!BT11</f>
        <v>2.8600076957550251</v>
      </c>
      <c r="R11" s="597">
        <f>Evaluacion!BV11</f>
        <v>6.0744545829878058</v>
      </c>
      <c r="S11" s="597">
        <v>0</v>
      </c>
      <c r="T11" s="597">
        <f>Evaluacion!BX11</f>
        <v>1.5984644055857675</v>
      </c>
      <c r="U11" s="597">
        <f>Evaluacion!BW11</f>
        <v>17.253658193297774</v>
      </c>
      <c r="V11" s="597">
        <v>0</v>
      </c>
      <c r="W11" s="597">
        <f>Evaluacion!T11*N11</f>
        <v>0.78925000000000023</v>
      </c>
      <c r="X11" s="597">
        <f>Evaluacion!U11*N11</f>
        <v>0.80780000000000007</v>
      </c>
    </row>
    <row r="12" spans="2:25" x14ac:dyDescent="0.25">
      <c r="B12" t="s">
        <v>66</v>
      </c>
      <c r="C12" t="str">
        <f>Evaluacion!A19</f>
        <v>J. Limon</v>
      </c>
      <c r="D12" s="636" t="str">
        <f>Evaluacion!D19</f>
        <v>RAP</v>
      </c>
      <c r="E12" s="265">
        <f>Evaluacion!K19</f>
        <v>0</v>
      </c>
      <c r="F12" s="265">
        <f>Evaluacion!L19</f>
        <v>6.8276190476190495</v>
      </c>
      <c r="G12" s="265">
        <f>Evaluacion!M19</f>
        <v>8.625</v>
      </c>
      <c r="H12" s="265">
        <f>Evaluacion!N19</f>
        <v>8.7299999999999969</v>
      </c>
      <c r="I12" s="265">
        <f>Evaluacion!O19</f>
        <v>9.6900000000000013</v>
      </c>
      <c r="J12" s="265">
        <f>Evaluacion!P19</f>
        <v>8.5625000000000018</v>
      </c>
      <c r="K12" s="265">
        <f>Evaluacion!Q19</f>
        <v>18.639999999999993</v>
      </c>
      <c r="M12" t="s">
        <v>66</v>
      </c>
      <c r="N12" s="596">
        <v>0.94499999999999995</v>
      </c>
      <c r="O12" s="597">
        <v>0</v>
      </c>
      <c r="P12" s="597">
        <v>0</v>
      </c>
      <c r="Q12" s="597">
        <v>0</v>
      </c>
      <c r="R12" s="597">
        <f>N12*Evaluacion!CK19</f>
        <v>2.70703125</v>
      </c>
      <c r="S12" s="597">
        <f>N12*Evaluacion!CH19</f>
        <v>6.7725566999999991</v>
      </c>
      <c r="T12" s="597">
        <f>N12*Evaluacion!CI19</f>
        <v>15.136011450000003</v>
      </c>
      <c r="U12" s="597">
        <f>S12</f>
        <v>6.7725566999999991</v>
      </c>
      <c r="V12" s="597">
        <v>0</v>
      </c>
      <c r="W12" s="597">
        <f>Evaluacion!T19*N12</f>
        <v>0.93302212499999981</v>
      </c>
      <c r="X12" s="597">
        <f>Evaluacion!U19*N12</f>
        <v>0.78652799999999978</v>
      </c>
    </row>
    <row r="13" spans="2:25" x14ac:dyDescent="0.25">
      <c r="B13" t="s">
        <v>602</v>
      </c>
      <c r="C13" t="str">
        <f>Evaluacion!A20</f>
        <v>L. Calosso</v>
      </c>
      <c r="D13" s="636" t="str">
        <f>Evaluacion!D20</f>
        <v>TEC</v>
      </c>
      <c r="E13" s="265">
        <f>Evaluacion!K20</f>
        <v>0</v>
      </c>
      <c r="F13" s="265">
        <f>Evaluacion!L20</f>
        <v>3</v>
      </c>
      <c r="G13" s="265">
        <f>Evaluacion!M20</f>
        <v>14.137609523809523</v>
      </c>
      <c r="H13" s="265">
        <f>Evaluacion!N20</f>
        <v>3.02</v>
      </c>
      <c r="I13" s="265">
        <f>Evaluacion!O20</f>
        <v>15.02</v>
      </c>
      <c r="J13" s="265">
        <f>Evaluacion!P20</f>
        <v>10</v>
      </c>
      <c r="K13" s="265">
        <f>Evaluacion!Q20</f>
        <v>9.3000000000000007</v>
      </c>
      <c r="M13" t="s">
        <v>602</v>
      </c>
      <c r="N13" s="596">
        <f>1-0.055</f>
        <v>0.94499999999999995</v>
      </c>
      <c r="O13" s="597">
        <v>0</v>
      </c>
      <c r="P13" s="597">
        <v>0</v>
      </c>
      <c r="Q13" s="597">
        <v>0</v>
      </c>
      <c r="R13" s="597">
        <f>N13*Evaluacion!CD20</f>
        <v>6.5156411498665259</v>
      </c>
      <c r="S13" s="597">
        <f>N13*Evaluacion!CE20</f>
        <v>7.8427486660684291</v>
      </c>
      <c r="T13" s="597">
        <f>N13*Evaluacion!CF20</f>
        <v>16.243704279688938</v>
      </c>
      <c r="U13" s="597">
        <f>S13</f>
        <v>7.8427486660684291</v>
      </c>
      <c r="V13" s="597">
        <v>0</v>
      </c>
      <c r="W13" s="597">
        <f>Evaluacion!T20*N13</f>
        <v>0.736155</v>
      </c>
      <c r="X13" s="597">
        <f>Evaluacion!U20*N13</f>
        <v>0.37705499999999997</v>
      </c>
    </row>
    <row r="14" spans="2:25" x14ac:dyDescent="0.25">
      <c r="M14" s="263"/>
      <c r="N14" s="444"/>
      <c r="O14" s="598">
        <f>SUM(O3:O13)</f>
        <v>42.687387560031105</v>
      </c>
      <c r="P14" s="598">
        <f t="shared" ref="P14:X14" si="0">SUM(P3:P13)</f>
        <v>64.969710460616625</v>
      </c>
      <c r="Q14" s="598">
        <f t="shared" si="0"/>
        <v>42.733700929982483</v>
      </c>
      <c r="R14" s="598">
        <f t="shared" si="0"/>
        <v>69.322162550414689</v>
      </c>
      <c r="S14" s="598">
        <f t="shared" si="0"/>
        <v>51.946379812682963</v>
      </c>
      <c r="T14" s="598">
        <f t="shared" si="0"/>
        <v>44.818617168946169</v>
      </c>
      <c r="U14" s="598">
        <f t="shared" si="0"/>
        <v>53.088119036069685</v>
      </c>
      <c r="V14" s="654">
        <f t="shared" si="0"/>
        <v>12.793750000000001</v>
      </c>
      <c r="W14" s="654">
        <f t="shared" si="0"/>
        <v>7.4621610932539681</v>
      </c>
      <c r="X14" s="654">
        <f t="shared" si="0"/>
        <v>8.6947185101010103</v>
      </c>
    </row>
    <row r="15" spans="2:25" ht="15.75" x14ac:dyDescent="0.25">
      <c r="M15" s="263"/>
      <c r="N15" s="263" t="s">
        <v>812</v>
      </c>
      <c r="O15" s="600">
        <f>O14*0.34</f>
        <v>14.513711770410577</v>
      </c>
      <c r="P15" s="600">
        <f>P14*0.245</f>
        <v>15.917579062851074</v>
      </c>
      <c r="Q15" s="600">
        <f>Q14*0.34</f>
        <v>14.529458316194045</v>
      </c>
      <c r="R15" s="600">
        <f>R14*0.125</f>
        <v>8.6652703188018361</v>
      </c>
      <c r="S15" s="600">
        <f>S14*0.25</f>
        <v>12.986594953170741</v>
      </c>
      <c r="T15" s="600">
        <f>T14*0.19</f>
        <v>8.5155372620997714</v>
      </c>
      <c r="U15" s="600">
        <f>U14*0.25</f>
        <v>13.272029759017421</v>
      </c>
    </row>
    <row r="16" spans="2:25" ht="15.75" x14ac:dyDescent="0.25">
      <c r="M16" s="263"/>
      <c r="N16" s="263" t="s">
        <v>813</v>
      </c>
      <c r="O16" s="610">
        <f>O15*1.2/1.05</f>
        <v>16.587099166183513</v>
      </c>
      <c r="P16" s="610">
        <f t="shared" ref="P16:Q16" si="1">P15*1.2/1.05</f>
        <v>18.191518928972656</v>
      </c>
      <c r="Q16" s="610">
        <f t="shared" si="1"/>
        <v>16.605095218507479</v>
      </c>
      <c r="R16" s="610">
        <f>R15</f>
        <v>8.6652703188018361</v>
      </c>
      <c r="S16" s="610">
        <f>S15*0.925/1.05</f>
        <v>11.440571744459939</v>
      </c>
      <c r="T16" s="610">
        <f t="shared" ref="T16:U16" si="2">T15*0.925/1.05</f>
        <v>7.5017828261355124</v>
      </c>
      <c r="U16" s="610">
        <f t="shared" si="2"/>
        <v>11.692026216277252</v>
      </c>
    </row>
    <row r="17" spans="13:21" ht="15.75" x14ac:dyDescent="0.25">
      <c r="M17" s="263"/>
      <c r="N17" s="263" t="s">
        <v>814</v>
      </c>
      <c r="O17" s="610">
        <f>O15*0.925/1.05</f>
        <v>12.785888940599795</v>
      </c>
      <c r="P17" s="610">
        <f t="shared" ref="P17:Q17" si="3">P15*0.925/1.05</f>
        <v>14.022629174416423</v>
      </c>
      <c r="Q17" s="610">
        <f t="shared" si="3"/>
        <v>12.799760897599516</v>
      </c>
      <c r="R17" s="610">
        <f>R16</f>
        <v>8.6652703188018361</v>
      </c>
      <c r="S17" s="610">
        <f>S15*1.135/1.05</f>
        <v>14.037890735094086</v>
      </c>
      <c r="T17" s="610">
        <f t="shared" ref="T17:U17" si="4">T15*1.135/1.05</f>
        <v>9.2048902785554656</v>
      </c>
      <c r="U17" s="610">
        <f t="shared" si="4"/>
        <v>14.346432168080737</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3" t="s">
        <v>276</v>
      </c>
      <c r="B1" s="493" t="s">
        <v>179</v>
      </c>
      <c r="C1" s="493" t="s">
        <v>690</v>
      </c>
      <c r="D1" s="493" t="s">
        <v>1</v>
      </c>
      <c r="E1" s="493" t="s">
        <v>2</v>
      </c>
      <c r="F1" s="493" t="s">
        <v>697</v>
      </c>
      <c r="G1" s="493" t="s">
        <v>65</v>
      </c>
      <c r="H1" s="493" t="s">
        <v>578</v>
      </c>
      <c r="I1" s="493" t="s">
        <v>698</v>
      </c>
      <c r="J1" s="493" t="s">
        <v>0</v>
      </c>
      <c r="L1" s="595">
        <v>541</v>
      </c>
      <c r="M1" s="444" t="s">
        <v>808</v>
      </c>
      <c r="N1" s="48" t="s">
        <v>701</v>
      </c>
      <c r="O1" s="48" t="s">
        <v>809</v>
      </c>
      <c r="P1" s="48" t="s">
        <v>701</v>
      </c>
      <c r="Q1" s="48" t="s">
        <v>64</v>
      </c>
      <c r="R1" s="48" t="s">
        <v>703</v>
      </c>
      <c r="S1" s="48" t="s">
        <v>704</v>
      </c>
      <c r="T1" s="48" t="s">
        <v>703</v>
      </c>
      <c r="U1" s="48" t="s">
        <v>565</v>
      </c>
      <c r="V1" s="48" t="s">
        <v>810</v>
      </c>
      <c r="W1" s="48" t="s">
        <v>811</v>
      </c>
    </row>
    <row r="2" spans="1:27" x14ac:dyDescent="0.25">
      <c r="A2" t="s">
        <v>1</v>
      </c>
      <c r="B2" t="str">
        <f>Evaluacion!A3</f>
        <v>D. Gehmacher</v>
      </c>
      <c r="C2">
        <f>Evaluacion!D3</f>
        <v>0</v>
      </c>
      <c r="D2" s="265">
        <f>Evaluacion!K3</f>
        <v>16.666666666666668</v>
      </c>
      <c r="E2" s="265">
        <f>Evaluacion!L3</f>
        <v>12.003636363636367</v>
      </c>
      <c r="F2" s="265">
        <f>Evaluacion!M3</f>
        <v>2.0499999999999989</v>
      </c>
      <c r="G2" s="265">
        <f>Evaluacion!N3</f>
        <v>2.1399999999999992</v>
      </c>
      <c r="H2" s="265">
        <f>Evaluacion!O3</f>
        <v>1.0400000000000003</v>
      </c>
      <c r="I2" s="265">
        <f>Evaluacion!P3</f>
        <v>0.14055555555555557</v>
      </c>
      <c r="J2" s="265">
        <f>Evaluacion!Q3</f>
        <v>17.849999999999998</v>
      </c>
      <c r="L2" t="str">
        <f>A2</f>
        <v>POR</v>
      </c>
      <c r="M2" s="596">
        <v>1</v>
      </c>
      <c r="N2" s="597">
        <f>Evaluacion!X3</f>
        <v>15.599941497511368</v>
      </c>
      <c r="O2" s="597">
        <f>Evaluacion!Y3</f>
        <v>22.990762841420281</v>
      </c>
      <c r="P2" s="597">
        <f>Evaluacion!Z3</f>
        <v>15.599941497511368</v>
      </c>
      <c r="Q2" s="597">
        <v>0</v>
      </c>
      <c r="R2" s="597">
        <v>0</v>
      </c>
      <c r="S2" s="597">
        <v>0</v>
      </c>
      <c r="T2" s="597">
        <v>0</v>
      </c>
      <c r="U2" s="597">
        <v>0</v>
      </c>
      <c r="V2" s="597">
        <f>Evaluacion!T3</f>
        <v>0.54252777777777772</v>
      </c>
      <c r="W2" s="597">
        <f>Evaluacion!U3</f>
        <v>1.0156454545454547</v>
      </c>
      <c r="AA2" s="602"/>
    </row>
    <row r="3" spans="1:27" x14ac:dyDescent="0.25">
      <c r="A3" t="s">
        <v>804</v>
      </c>
      <c r="B3" t="str">
        <f>Evaluacion!A9</f>
        <v>B. Pinczehelyi</v>
      </c>
      <c r="C3" t="str">
        <f>Evaluacion!D9</f>
        <v>CAB</v>
      </c>
      <c r="D3" s="265">
        <f>Evaluacion!K9</f>
        <v>0</v>
      </c>
      <c r="E3" s="265">
        <f>Evaluacion!L9</f>
        <v>14.250000000000004</v>
      </c>
      <c r="F3" s="265">
        <f>Evaluacion!M9</f>
        <v>9.3193333333333346</v>
      </c>
      <c r="G3" s="265">
        <f>Evaluacion!N9</f>
        <v>14.291666666666663</v>
      </c>
      <c r="H3" s="265">
        <f>Evaluacion!O9</f>
        <v>9.4199999999999982</v>
      </c>
      <c r="I3" s="265">
        <f>Evaluacion!P9</f>
        <v>1.1428571428571428</v>
      </c>
      <c r="J3" s="265">
        <f>Evaluacion!Q9</f>
        <v>9.4</v>
      </c>
      <c r="L3" t="str">
        <f t="shared" ref="L3:L12" si="0">A3</f>
        <v>LATN</v>
      </c>
      <c r="M3" s="596">
        <v>1</v>
      </c>
      <c r="N3" s="597">
        <f>Evaluacion!AI9</f>
        <v>15.439708778190603</v>
      </c>
      <c r="O3" s="597">
        <f>Evaluacion!AJ9</f>
        <v>6.9478689501857707</v>
      </c>
      <c r="P3" s="597">
        <v>0</v>
      </c>
      <c r="Q3" s="597">
        <f>Evaluacion!AK9</f>
        <v>1.9792214557512648</v>
      </c>
      <c r="R3" s="597">
        <f>Evaluacion!AL9</f>
        <v>9.8924877843218155</v>
      </c>
      <c r="S3" s="597">
        <v>0</v>
      </c>
      <c r="T3" s="597">
        <v>0</v>
      </c>
      <c r="U3" s="597">
        <f>Evaluacion!R9</f>
        <v>4.5112500000000004</v>
      </c>
      <c r="V3" s="597">
        <f>Evaluacion!T9</f>
        <v>0.33914285714285713</v>
      </c>
      <c r="W3" s="597">
        <f>Evaluacion!U9</f>
        <v>0.85200000000000009</v>
      </c>
      <c r="AA3" s="603"/>
    </row>
    <row r="4" spans="1:27" x14ac:dyDescent="0.25">
      <c r="A4" t="s">
        <v>816</v>
      </c>
      <c r="B4" t="str">
        <f>Evaluacion!A7</f>
        <v>B. Bartolache</v>
      </c>
      <c r="C4">
        <f>Evaluacion!D7</f>
        <v>0</v>
      </c>
      <c r="D4" s="265">
        <f>Evaluacion!K7</f>
        <v>0</v>
      </c>
      <c r="E4" s="265">
        <f>Evaluacion!L7</f>
        <v>11.749999999999996</v>
      </c>
      <c r="F4" s="265">
        <f>Evaluacion!M7</f>
        <v>7.0025000000000022</v>
      </c>
      <c r="G4" s="265">
        <f>Evaluacion!N7</f>
        <v>7.4300000000000015</v>
      </c>
      <c r="H4" s="265">
        <f>Evaluacion!O7</f>
        <v>9.0199999999999978</v>
      </c>
      <c r="I4" s="265">
        <f>Evaluacion!P7</f>
        <v>4.6199999999999966</v>
      </c>
      <c r="J4" s="265">
        <f>Evaluacion!Q7</f>
        <v>15.6</v>
      </c>
      <c r="L4" t="str">
        <f t="shared" si="0"/>
        <v>DCHL</v>
      </c>
      <c r="M4" s="596">
        <v>0.9</v>
      </c>
      <c r="N4" s="597">
        <f>M4*Evaluacion!AM7</f>
        <v>9.8677333718515978</v>
      </c>
      <c r="O4" s="597">
        <f>M4*Evaluacion!AN7</f>
        <v>9.2657231130914202</v>
      </c>
      <c r="P4" s="597">
        <v>0</v>
      </c>
      <c r="Q4" s="597">
        <f>M4*Evaluacion!AO7</f>
        <v>2.764213982890209</v>
      </c>
      <c r="R4" s="597">
        <f>M4*Evaluacion!AP7</f>
        <v>1.7859037070202395</v>
      </c>
      <c r="S4" s="597">
        <v>0</v>
      </c>
      <c r="T4" s="597">
        <v>0</v>
      </c>
      <c r="U4" s="597">
        <f>Evaluacion!R7</f>
        <v>4.098749999999999</v>
      </c>
      <c r="V4" s="597">
        <f>Evaluacion!T7*M4</f>
        <v>0.62909999999999988</v>
      </c>
      <c r="W4" s="597">
        <f>Evaluacion!U7*M4</f>
        <v>0.84419999999999995</v>
      </c>
      <c r="AA4" s="603"/>
    </row>
    <row r="5" spans="1:27" x14ac:dyDescent="0.25">
      <c r="A5" t="s">
        <v>815</v>
      </c>
      <c r="B5" t="str">
        <f>Evaluacion!A6</f>
        <v>E. Toney</v>
      </c>
      <c r="C5">
        <f>Evaluacion!D6</f>
        <v>0</v>
      </c>
      <c r="D5" s="265">
        <f>Evaluacion!K6</f>
        <v>0</v>
      </c>
      <c r="E5" s="265">
        <f>Evaluacion!L6</f>
        <v>12.130000000000004</v>
      </c>
      <c r="F5" s="265">
        <f>Evaluacion!M6</f>
        <v>13.156555555555553</v>
      </c>
      <c r="G5" s="265">
        <f>Evaluacion!N6</f>
        <v>9.8200000000000056</v>
      </c>
      <c r="H5" s="265">
        <f>Evaluacion!O6</f>
        <v>9.6</v>
      </c>
      <c r="I5" s="265">
        <f>Evaluacion!P6</f>
        <v>3.6816666666666658</v>
      </c>
      <c r="J5" s="265">
        <f>Evaluacion!Q6</f>
        <v>16.627777777777773</v>
      </c>
      <c r="L5" t="str">
        <f t="shared" si="0"/>
        <v>DCN</v>
      </c>
      <c r="M5" s="596">
        <v>0.9</v>
      </c>
      <c r="N5" s="597">
        <f>M5*(Evaluacion!AA6+Evaluacion!AC6)/2</f>
        <v>5.2518345053653555</v>
      </c>
      <c r="O5" s="597">
        <f>M5*Evaluacion!AB6</f>
        <v>13.570631796809703</v>
      </c>
      <c r="P5" s="597">
        <f>N5</f>
        <v>5.2518345053653555</v>
      </c>
      <c r="Q5" s="597">
        <f>M5*Evaluacion!AD6</f>
        <v>3.449698567640707</v>
      </c>
      <c r="R5" s="597">
        <v>0</v>
      </c>
      <c r="S5" s="597">
        <f>0</f>
        <v>0</v>
      </c>
      <c r="T5" s="597">
        <v>0</v>
      </c>
      <c r="U5" s="597">
        <f>Evaluacion!R6</f>
        <v>4.2912500000000007</v>
      </c>
      <c r="V5" s="597">
        <f>Evaluacion!T6*M5</f>
        <v>0.61462499999999975</v>
      </c>
      <c r="W5" s="597">
        <f>Evaluacion!U6*M5</f>
        <v>0.88563000000000003</v>
      </c>
      <c r="AA5" s="603"/>
    </row>
    <row r="6" spans="1:27" x14ac:dyDescent="0.25">
      <c r="A6" t="s">
        <v>816</v>
      </c>
      <c r="B6" t="str">
        <f>Evaluacion!A5</f>
        <v>D. Toh</v>
      </c>
      <c r="C6" t="str">
        <f>Evaluacion!D5</f>
        <v>CAB</v>
      </c>
      <c r="D6" s="265">
        <f>Evaluacion!K5</f>
        <v>0</v>
      </c>
      <c r="E6" s="265">
        <f>Evaluacion!L5</f>
        <v>11.010666666666667</v>
      </c>
      <c r="F6" s="265">
        <f>Evaluacion!M5</f>
        <v>6.199444444444441</v>
      </c>
      <c r="G6" s="265">
        <f>Evaluacion!N5</f>
        <v>6.04</v>
      </c>
      <c r="H6" s="265">
        <f>Evaluacion!O5</f>
        <v>7.7227777777777789</v>
      </c>
      <c r="I6" s="265">
        <f>Evaluacion!P5</f>
        <v>4.383333333333332</v>
      </c>
      <c r="J6" s="265">
        <f>Evaluacion!Q5</f>
        <v>15.349999999999998</v>
      </c>
      <c r="L6" t="str">
        <f t="shared" si="0"/>
        <v>DCHL</v>
      </c>
      <c r="M6" s="596">
        <v>0.9</v>
      </c>
      <c r="N6" s="597">
        <v>0</v>
      </c>
      <c r="O6" s="597">
        <f>M6*Evaluacion!AN5</f>
        <v>8.7152488493775895</v>
      </c>
      <c r="P6" s="597">
        <f>M6*Evaluacion!AM5</f>
        <v>9.281493831116812</v>
      </c>
      <c r="Q6" s="597">
        <f>M6*Evaluacion!AO5</f>
        <v>2.7079172771836966</v>
      </c>
      <c r="R6" s="597">
        <v>0</v>
      </c>
      <c r="S6" s="597">
        <v>0</v>
      </c>
      <c r="T6" s="597">
        <f>M6*Evaluacion!AP5</f>
        <v>1.6456027726281715</v>
      </c>
      <c r="U6" s="597">
        <f>Evaluacion!R5</f>
        <v>3.6820277777777779</v>
      </c>
      <c r="V6" s="597">
        <f>Evaluacion!T5*M6</f>
        <v>0.61169999999999991</v>
      </c>
      <c r="W6" s="597">
        <f>Evaluacion!U5*M6</f>
        <v>0.81083400000000005</v>
      </c>
      <c r="AA6" s="603"/>
    </row>
    <row r="7" spans="1:27" x14ac:dyDescent="0.25">
      <c r="A7" t="s">
        <v>804</v>
      </c>
      <c r="B7" t="str">
        <f>Evaluacion!A10</f>
        <v>E. Romweber</v>
      </c>
      <c r="C7" t="str">
        <f>Evaluacion!D10</f>
        <v>IMP</v>
      </c>
      <c r="D7" s="265">
        <f>Evaluacion!K10</f>
        <v>0</v>
      </c>
      <c r="E7" s="265">
        <f>Evaluacion!L10</f>
        <v>12.005555555555555</v>
      </c>
      <c r="F7" s="265">
        <f>Evaluacion!M10</f>
        <v>12.534111111111114</v>
      </c>
      <c r="G7" s="265">
        <f>Evaluacion!N10</f>
        <v>13.133333333333335</v>
      </c>
      <c r="H7" s="265">
        <f>Evaluacion!O10</f>
        <v>10.91</v>
      </c>
      <c r="I7" s="265">
        <f>Evaluacion!P10</f>
        <v>7.7700000000000005</v>
      </c>
      <c r="J7" s="265">
        <f>Evaluacion!Q10</f>
        <v>17.13</v>
      </c>
      <c r="L7" t="str">
        <f t="shared" si="0"/>
        <v>LATN</v>
      </c>
      <c r="M7" s="596">
        <v>1</v>
      </c>
      <c r="N7" s="597">
        <v>0</v>
      </c>
      <c r="O7" s="597">
        <f>Evaluacion!AJ10</f>
        <v>6.1929276215145466</v>
      </c>
      <c r="P7" s="597">
        <f>Evaluacion!AI10</f>
        <v>13.762061381143438</v>
      </c>
      <c r="Q7" s="597">
        <f>Evaluacion!AK10</f>
        <v>2.5863820937027286</v>
      </c>
      <c r="R7" s="597">
        <v>0</v>
      </c>
      <c r="S7" s="597">
        <v>0</v>
      </c>
      <c r="T7" s="597">
        <f>Evaluacion!AL10</f>
        <v>9.4588856073684884</v>
      </c>
      <c r="U7" s="597">
        <f>Evaluacion!R10</f>
        <v>4.6031944444444441</v>
      </c>
      <c r="V7" s="597">
        <f>Evaluacion!T10</f>
        <v>0.90239999999999987</v>
      </c>
      <c r="W7" s="597">
        <f>Evaluacion!U10</f>
        <v>0.99412222222222224</v>
      </c>
      <c r="AA7" s="603"/>
    </row>
    <row r="8" spans="1:27" x14ac:dyDescent="0.25">
      <c r="A8" t="s">
        <v>503</v>
      </c>
      <c r="B8" t="str">
        <f>Evaluacion!A14</f>
        <v>C. Rojas</v>
      </c>
      <c r="C8" t="str">
        <f>Evaluacion!D14</f>
        <v>TEC</v>
      </c>
      <c r="D8" s="265">
        <f>Evaluacion!K14</f>
        <v>0</v>
      </c>
      <c r="E8" s="265">
        <f>Evaluacion!L14</f>
        <v>8.6175555555555583</v>
      </c>
      <c r="F8" s="265">
        <f>Evaluacion!M14</f>
        <v>14.238017460317453</v>
      </c>
      <c r="G8" s="265">
        <f>Evaluacion!N14</f>
        <v>9.99</v>
      </c>
      <c r="H8" s="265">
        <f>Evaluacion!O14</f>
        <v>10.09</v>
      </c>
      <c r="I8" s="265">
        <f>Evaluacion!P14</f>
        <v>4.3999999999999995</v>
      </c>
      <c r="J8" s="265">
        <f>Evaluacion!Q14</f>
        <v>16.544444444444441</v>
      </c>
      <c r="L8" t="str">
        <f t="shared" si="0"/>
        <v>IHL</v>
      </c>
      <c r="M8" s="596">
        <f>1-0.065</f>
        <v>0.93500000000000005</v>
      </c>
      <c r="N8" s="597">
        <f>M8*Evaluacion!BE14</f>
        <v>3.1306315416550348</v>
      </c>
      <c r="O8" s="597">
        <f>M8*Evaluacion!BF14</f>
        <v>3.7438480291957115</v>
      </c>
      <c r="P8" s="597">
        <v>0</v>
      </c>
      <c r="Q8" s="597">
        <f>Evaluacion!BG14*M8</f>
        <v>14.107731284019678</v>
      </c>
      <c r="R8" s="597">
        <f>Evaluacion!BH14*M8</f>
        <v>10.734274477725059</v>
      </c>
      <c r="S8" s="597">
        <f>Evaluacion!BI14*M8</f>
        <v>2.9245156109468384</v>
      </c>
      <c r="T8" s="597">
        <v>0</v>
      </c>
      <c r="U8" s="597">
        <v>0</v>
      </c>
      <c r="V8" s="597">
        <f>Evaluacion!T14*M8</f>
        <v>0.66977166666666665</v>
      </c>
      <c r="W8" s="597">
        <f>Evaluacion!U14*M8</f>
        <v>0.78636824444444442</v>
      </c>
      <c r="AA8" s="603"/>
    </row>
    <row r="9" spans="1:27" x14ac:dyDescent="0.25">
      <c r="A9" t="s">
        <v>503</v>
      </c>
      <c r="B9" t="str">
        <f>Evaluacion!A13</f>
        <v>S. Buschelman</v>
      </c>
      <c r="C9" t="str">
        <f>Evaluacion!D13</f>
        <v>TEC</v>
      </c>
      <c r="D9" s="265">
        <f>Evaluacion!K13</f>
        <v>0</v>
      </c>
      <c r="E9" s="265">
        <f>Evaluacion!L13</f>
        <v>9.2036666666666651</v>
      </c>
      <c r="F9" s="265">
        <f>Evaluacion!M13</f>
        <v>13.759999999999998</v>
      </c>
      <c r="G9" s="265">
        <f>Evaluacion!N13</f>
        <v>12.835000000000001</v>
      </c>
      <c r="H9" s="265">
        <f>Evaluacion!O13</f>
        <v>9.6733333333333356</v>
      </c>
      <c r="I9" s="265">
        <f>Evaluacion!P13</f>
        <v>5.0296666666666656</v>
      </c>
      <c r="J9" s="265">
        <f>Evaluacion!Q13</f>
        <v>15.2</v>
      </c>
      <c r="L9" t="str">
        <f t="shared" si="0"/>
        <v>IHL</v>
      </c>
      <c r="M9" s="596">
        <f>1-0.065</f>
        <v>0.93500000000000005</v>
      </c>
      <c r="N9" s="597">
        <v>0</v>
      </c>
      <c r="O9" s="597">
        <f>M9*Evaluacion!BF13</f>
        <v>3.9239888039213828</v>
      </c>
      <c r="P9" s="597">
        <f>M9*Evaluacion!BE13</f>
        <v>3.281266499830811</v>
      </c>
      <c r="Q9" s="597">
        <f>Evaluacion!BG13*M9</f>
        <v>13.687217376996372</v>
      </c>
      <c r="R9" s="597">
        <v>0</v>
      </c>
      <c r="S9" s="597">
        <f>Evaluacion!BI13*M9</f>
        <v>2.8233073433478548</v>
      </c>
      <c r="T9" s="597">
        <f>Evaluacion!BH13*M9</f>
        <v>12.111441639500317</v>
      </c>
      <c r="U9" s="597">
        <v>0</v>
      </c>
      <c r="V9" s="597">
        <f>Evaluacion!T13*M9</f>
        <v>0.66149691666666666</v>
      </c>
      <c r="W9" s="597">
        <f>Evaluacion!U13*M9</f>
        <v>0.77057713333333333</v>
      </c>
      <c r="AA9" s="603"/>
    </row>
    <row r="10" spans="1:27" x14ac:dyDescent="0.25">
      <c r="A10" t="s">
        <v>807</v>
      </c>
      <c r="B10" t="str">
        <f>Evaluacion!A11</f>
        <v>K. Helms</v>
      </c>
      <c r="C10" t="str">
        <f>Evaluacion!D11</f>
        <v>TEC</v>
      </c>
      <c r="D10" s="265">
        <f>Evaluacion!K11</f>
        <v>0</v>
      </c>
      <c r="E10" s="265">
        <f>Evaluacion!L11</f>
        <v>7.2200000000000006</v>
      </c>
      <c r="F10" s="265">
        <f>Evaluacion!M11</f>
        <v>10.500000000000004</v>
      </c>
      <c r="G10" s="265">
        <f>Evaluacion!N11</f>
        <v>13.388333333333334</v>
      </c>
      <c r="H10" s="265">
        <f>Evaluacion!O11</f>
        <v>10.359999999999998</v>
      </c>
      <c r="I10" s="265">
        <f>Evaluacion!P11</f>
        <v>5.4050000000000002</v>
      </c>
      <c r="J10" s="265">
        <f>Evaluacion!Q11</f>
        <v>17.300000000000004</v>
      </c>
      <c r="L10" t="str">
        <f t="shared" si="0"/>
        <v>EXTN</v>
      </c>
      <c r="M10" s="596">
        <v>1</v>
      </c>
      <c r="N10" s="597">
        <f>Evaluacion!BT11</f>
        <v>2.8600076957550251</v>
      </c>
      <c r="O10" s="597">
        <f>Evaluacion!BU11</f>
        <v>2.4571897104374161</v>
      </c>
      <c r="P10" s="597">
        <v>0</v>
      </c>
      <c r="Q10" s="597">
        <f>Evaluacion!BV11</f>
        <v>6.0744545829878058</v>
      </c>
      <c r="R10" s="597">
        <f>Evaluacion!BW11</f>
        <v>17.253658193297774</v>
      </c>
      <c r="S10" s="597">
        <f>Evaluacion!BX11</f>
        <v>1.5984644055857675</v>
      </c>
      <c r="T10" s="597">
        <v>0</v>
      </c>
      <c r="U10" s="597">
        <v>0</v>
      </c>
      <c r="V10" s="597">
        <f>Evaluacion!T11</f>
        <v>0.78925000000000023</v>
      </c>
      <c r="W10" s="597">
        <f>Evaluacion!U11</f>
        <v>0.80780000000000007</v>
      </c>
      <c r="AA10" s="603"/>
    </row>
    <row r="11" spans="1:27" x14ac:dyDescent="0.25">
      <c r="A11" t="s">
        <v>807</v>
      </c>
      <c r="B11" t="str">
        <f>Evaluacion!A12</f>
        <v>S. Zobbe</v>
      </c>
      <c r="C11" t="str">
        <f>Evaluacion!D12</f>
        <v>CAB</v>
      </c>
      <c r="D11" s="265">
        <f>Evaluacion!K12</f>
        <v>0</v>
      </c>
      <c r="E11" s="265">
        <f>Evaluacion!L12</f>
        <v>8.2399999999999984</v>
      </c>
      <c r="F11" s="265">
        <f>Evaluacion!M12</f>
        <v>12.158412698412699</v>
      </c>
      <c r="G11" s="265">
        <f>Evaluacion!N12</f>
        <v>12.25</v>
      </c>
      <c r="H11" s="265">
        <f>Evaluacion!O12</f>
        <v>10.24</v>
      </c>
      <c r="I11" s="265">
        <f>Evaluacion!P12</f>
        <v>7.4766666666666666</v>
      </c>
      <c r="J11" s="265">
        <f>Evaluacion!Q12</f>
        <v>15.270000000000001</v>
      </c>
      <c r="L11" t="str">
        <f t="shared" si="0"/>
        <v>EXTN</v>
      </c>
      <c r="M11" s="596">
        <v>1</v>
      </c>
      <c r="N11" s="597">
        <v>0</v>
      </c>
      <c r="O11" s="597">
        <f>Evaluacion!BU12</f>
        <v>2.6822169301852572</v>
      </c>
      <c r="P11" s="597">
        <f>Evaluacion!BT12</f>
        <v>3.1219246236582499</v>
      </c>
      <c r="Q11" s="597">
        <f>Evaluacion!BV12</f>
        <v>6.7845527910330725</v>
      </c>
      <c r="R11" s="597">
        <v>0</v>
      </c>
      <c r="S11" s="597">
        <f>Evaluacion!BX12</f>
        <v>1.5721157727558037</v>
      </c>
      <c r="T11" s="597">
        <f>Evaluacion!BW12</f>
        <v>16.132543109201908</v>
      </c>
      <c r="U11" s="597">
        <v>0</v>
      </c>
      <c r="V11" s="597">
        <f>Evaluacion!T12</f>
        <v>0.8319333333333333</v>
      </c>
      <c r="W11" s="597">
        <f>Evaluacion!U12</f>
        <v>0.78769999999999996</v>
      </c>
      <c r="AA11" s="603"/>
    </row>
    <row r="12" spans="1:27" x14ac:dyDescent="0.25">
      <c r="A12" t="s">
        <v>602</v>
      </c>
      <c r="B12" t="str">
        <f>Evaluacion!A20</f>
        <v>L. Calosso</v>
      </c>
      <c r="C12" t="str">
        <f>Evaluacion!D20</f>
        <v>TEC</v>
      </c>
      <c r="D12" s="265">
        <f>Evaluacion!K20</f>
        <v>0</v>
      </c>
      <c r="E12" s="265">
        <f>Evaluacion!L20</f>
        <v>3</v>
      </c>
      <c r="F12" s="265">
        <f>Evaluacion!M20</f>
        <v>14.137609523809523</v>
      </c>
      <c r="G12" s="265">
        <f>Evaluacion!N20</f>
        <v>3.02</v>
      </c>
      <c r="H12" s="265">
        <f>Evaluacion!O20</f>
        <v>15.02</v>
      </c>
      <c r="I12" s="265">
        <f>Evaluacion!P20</f>
        <v>10</v>
      </c>
      <c r="J12" s="265">
        <f>Evaluacion!Q20</f>
        <v>9.3000000000000007</v>
      </c>
      <c r="L12" t="str">
        <f t="shared" si="0"/>
        <v>DD</v>
      </c>
      <c r="M12" s="596">
        <v>1</v>
      </c>
      <c r="N12" s="597">
        <v>0</v>
      </c>
      <c r="O12" s="597">
        <v>0</v>
      </c>
      <c r="P12" s="597">
        <v>0</v>
      </c>
      <c r="Q12" s="597">
        <f>M12*Evaluacion!CD20</f>
        <v>6.8948583596471176</v>
      </c>
      <c r="R12" s="597">
        <f>M12*Evaluacion!CE20</f>
        <v>8.2992049376385495</v>
      </c>
      <c r="S12" s="597">
        <f>M12*Evaluacion!CF20</f>
        <v>17.189105057871892</v>
      </c>
      <c r="T12" s="597">
        <f>R12</f>
        <v>8.2992049376385495</v>
      </c>
      <c r="U12" s="597">
        <v>0</v>
      </c>
      <c r="V12" s="597">
        <f>Evaluacion!T20*M12</f>
        <v>0.77900000000000003</v>
      </c>
      <c r="W12" s="597">
        <f>Evaluacion!U20*M12</f>
        <v>0.39900000000000002</v>
      </c>
      <c r="AA12" s="603"/>
    </row>
    <row r="13" spans="1:27" x14ac:dyDescent="0.25">
      <c r="L13" s="263"/>
      <c r="M13" s="444"/>
      <c r="N13" s="598">
        <f>SUM(N2:N12)</f>
        <v>52.149857390328982</v>
      </c>
      <c r="O13" s="598">
        <f t="shared" ref="O13:W13" si="1">SUM(O2:O12)</f>
        <v>80.490406646139093</v>
      </c>
      <c r="P13" s="598">
        <f t="shared" si="1"/>
        <v>50.298522338626043</v>
      </c>
      <c r="Q13" s="598">
        <f t="shared" si="1"/>
        <v>61.036247771852651</v>
      </c>
      <c r="R13" s="598">
        <f t="shared" si="1"/>
        <v>47.965529100003437</v>
      </c>
      <c r="S13" s="598">
        <f t="shared" si="1"/>
        <v>26.107508190508156</v>
      </c>
      <c r="T13" s="598">
        <f t="shared" si="1"/>
        <v>47.647678066337434</v>
      </c>
      <c r="U13" s="599">
        <f t="shared" si="1"/>
        <v>21.186472222222225</v>
      </c>
      <c r="V13" s="599">
        <f t="shared" si="1"/>
        <v>7.3709475515873013</v>
      </c>
      <c r="W13" s="599">
        <f t="shared" si="1"/>
        <v>8.9538770545454547</v>
      </c>
    </row>
    <row r="14" spans="1:27" ht="15.75" x14ac:dyDescent="0.25">
      <c r="L14" s="263"/>
      <c r="M14" s="263" t="s">
        <v>812</v>
      </c>
      <c r="N14" s="600">
        <f>N13*0.34</f>
        <v>17.730951512711854</v>
      </c>
      <c r="O14" s="600">
        <f>O13*0.245</f>
        <v>19.720149628304078</v>
      </c>
      <c r="P14" s="600">
        <f>P13*0.34</f>
        <v>17.101497595132855</v>
      </c>
      <c r="Q14" s="600">
        <f>Q13*0.125</f>
        <v>7.6295309714815813</v>
      </c>
      <c r="R14" s="600">
        <f>R13*0.25</f>
        <v>11.991382275000859</v>
      </c>
      <c r="S14" s="600">
        <f>S13*0.19</f>
        <v>4.9604265561965502</v>
      </c>
      <c r="T14" s="600">
        <f>T13*0.25</f>
        <v>11.911919516584359</v>
      </c>
    </row>
    <row r="15" spans="1:27" ht="15.75" x14ac:dyDescent="0.25">
      <c r="L15" s="263"/>
      <c r="M15" s="263" t="s">
        <v>813</v>
      </c>
      <c r="N15" s="610">
        <f>N14*1.2/1.05</f>
        <v>20.263944585956406</v>
      </c>
      <c r="O15" s="610">
        <f t="shared" ref="O15:P15" si="2">O14*1.2/1.05</f>
        <v>22.537313860918943</v>
      </c>
      <c r="P15" s="610">
        <f t="shared" si="2"/>
        <v>19.544568680151833</v>
      </c>
      <c r="Q15" s="610">
        <f>Q14</f>
        <v>7.6295309714815813</v>
      </c>
      <c r="R15" s="610">
        <f>R14*0.925/1.05</f>
        <v>10.563836766072185</v>
      </c>
      <c r="S15" s="610">
        <f t="shared" ref="S15:T15" si="3">S14*0.925/1.05</f>
        <v>4.3698995852207698</v>
      </c>
      <c r="T15" s="610">
        <f t="shared" si="3"/>
        <v>10.493833859848126</v>
      </c>
    </row>
    <row r="16" spans="1:27" ht="15.75" x14ac:dyDescent="0.25">
      <c r="L16" s="263"/>
      <c r="M16" s="263" t="s">
        <v>814</v>
      </c>
      <c r="N16" s="610">
        <f>N14*0.925/1.05</f>
        <v>15.62012395167473</v>
      </c>
      <c r="O16" s="610">
        <f t="shared" ref="O16:P16" si="4">O14*0.925/1.05</f>
        <v>17.37251276779169</v>
      </c>
      <c r="P16" s="610">
        <f t="shared" si="4"/>
        <v>15.065605024283705</v>
      </c>
      <c r="Q16" s="610">
        <f>Q15</f>
        <v>7.6295309714815813</v>
      </c>
      <c r="R16" s="610">
        <f>R14*1.135/1.05</f>
        <v>12.962113221072357</v>
      </c>
      <c r="S16" s="610">
        <f t="shared" ref="S16:T16" si="5">S14*1.135/1.05</f>
        <v>5.3619848964600809</v>
      </c>
      <c r="T16" s="610">
        <f t="shared" si="5"/>
        <v>12.876217763164997</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1" bestFit="1" customWidth="1"/>
    <col min="13" max="13" width="6.5703125" style="617" customWidth="1"/>
    <col min="14" max="14" width="8.28515625" style="611"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SUM(Y4:Y12)</f>
        <v>0.23658764552873529</v>
      </c>
      <c r="Z2" s="619">
        <f>SUM(Z4:Z12)</f>
        <v>0.33824859010884656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6" t="s">
        <v>1</v>
      </c>
      <c r="P3" s="614" t="s">
        <v>805</v>
      </c>
      <c r="Q3" s="613" t="s">
        <v>835</v>
      </c>
      <c r="R3" s="613" t="s">
        <v>841</v>
      </c>
      <c r="S3" s="613" t="s">
        <v>836</v>
      </c>
      <c r="T3" s="613" t="s">
        <v>806</v>
      </c>
      <c r="U3" s="613" t="s">
        <v>503</v>
      </c>
      <c r="V3" s="613" t="s">
        <v>840</v>
      </c>
      <c r="W3" s="614" t="s">
        <v>602</v>
      </c>
      <c r="X3" s="614" t="s">
        <v>66</v>
      </c>
      <c r="Y3" s="613" t="s">
        <v>838</v>
      </c>
      <c r="Z3" s="616" t="s">
        <v>839</v>
      </c>
      <c r="AA3" s="616" t="s">
        <v>844</v>
      </c>
      <c r="AD3" t="s">
        <v>1</v>
      </c>
      <c r="AE3" t="s">
        <v>782</v>
      </c>
      <c r="AG3" t="s">
        <v>1</v>
      </c>
      <c r="AH3" t="s">
        <v>782</v>
      </c>
    </row>
    <row r="4" spans="1:34" x14ac:dyDescent="0.25">
      <c r="A4" s="287" t="str">
        <f>PLANTILLA!A17</f>
        <v>#12</v>
      </c>
      <c r="B4" s="169" t="str">
        <f>PLANTILLA!D17</f>
        <v>E. Gross</v>
      </c>
      <c r="C4" s="5">
        <f>PLANTILLA!E17</f>
        <v>30</v>
      </c>
      <c r="D4" s="5">
        <f ca="1">PLANTILLA!F17</f>
        <v>85</v>
      </c>
      <c r="E4" s="163">
        <f>PLANTILLA!X17</f>
        <v>0</v>
      </c>
      <c r="F4" s="163">
        <f>PLANTILLA!Y17</f>
        <v>10.449999999999996</v>
      </c>
      <c r="G4" s="163">
        <f>PLANTILLA!Z17</f>
        <v>12.869777777777777</v>
      </c>
      <c r="H4" s="163">
        <f>PLANTILLA!AA17</f>
        <v>5.1299999999999981</v>
      </c>
      <c r="I4" s="163">
        <f>PLANTILLA!AB17</f>
        <v>9.24</v>
      </c>
      <c r="J4" s="163">
        <f>PLANTILLA!AC17</f>
        <v>2.98</v>
      </c>
      <c r="K4" s="163">
        <f>PLANTILLA!AD17</f>
        <v>16.959999999999997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6">
        <f>P4</f>
        <v>6.6819197896120994E-2</v>
      </c>
      <c r="Z4" s="406">
        <f>P4</f>
        <v>6.6819197896120994E-2</v>
      </c>
      <c r="AA4" s="406">
        <f t="shared" ref="AA4:AA23" si="9">MAX(Z4,Y4)</f>
        <v>6.6819197896120994E-2</v>
      </c>
      <c r="AD4" t="s">
        <v>804</v>
      </c>
      <c r="AE4" s="635" t="s">
        <v>857</v>
      </c>
      <c r="AG4" t="s">
        <v>804</v>
      </c>
      <c r="AH4" s="635" t="str">
        <f>AE4</f>
        <v>B. Pinczehelyi</v>
      </c>
    </row>
    <row r="5" spans="1:34" x14ac:dyDescent="0.25">
      <c r="A5" s="287" t="str">
        <f>PLANTILLA!A10</f>
        <v>#3</v>
      </c>
      <c r="B5" s="169" t="str">
        <f>PLANTILLA!D10</f>
        <v>B. Bartolache</v>
      </c>
      <c r="C5" s="5">
        <f>PLANTILLA!E10</f>
        <v>31</v>
      </c>
      <c r="D5" s="5">
        <f ca="1">PLANTILLA!F10</f>
        <v>9</v>
      </c>
      <c r="E5" s="163">
        <f>PLANTILLA!X10</f>
        <v>0</v>
      </c>
      <c r="F5" s="163">
        <f>PLANTILLA!Y10</f>
        <v>11.749999999999996</v>
      </c>
      <c r="G5" s="163">
        <f>PLANTILLA!Z10</f>
        <v>7.0025000000000022</v>
      </c>
      <c r="H5" s="163">
        <f>PLANTILLA!AA10</f>
        <v>7.4300000000000015</v>
      </c>
      <c r="I5" s="163">
        <f>PLANTILLA!AB10</f>
        <v>9.0199999999999978</v>
      </c>
      <c r="J5" s="163">
        <f>PLANTILLA!AC10</f>
        <v>4.6199999999999966</v>
      </c>
      <c r="K5" s="163">
        <f>PLANTILLA!AD10</f>
        <v>15.6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6"/>
      <c r="Z5" s="406">
        <f>R5</f>
        <v>4.8982336182336182E-2</v>
      </c>
      <c r="AA5" s="406">
        <f t="shared" si="9"/>
        <v>4.8982336182336182E-2</v>
      </c>
      <c r="AD5" t="s">
        <v>805</v>
      </c>
      <c r="AE5" t="s">
        <v>272</v>
      </c>
      <c r="AG5" t="s">
        <v>816</v>
      </c>
      <c r="AH5" t="s">
        <v>273</v>
      </c>
    </row>
    <row r="6" spans="1:34" x14ac:dyDescent="0.25">
      <c r="A6" s="287" t="str">
        <f>PLANTILLA!A8</f>
        <v>#8</v>
      </c>
      <c r="B6" s="169" t="str">
        <f>PLANTILLA!D8</f>
        <v>D. Toh</v>
      </c>
      <c r="C6" s="5">
        <f>PLANTILLA!E8</f>
        <v>31</v>
      </c>
      <c r="D6" s="5">
        <f ca="1">PLANTILLA!F8</f>
        <v>70</v>
      </c>
      <c r="E6" s="163">
        <f>PLANTILLA!X8</f>
        <v>0</v>
      </c>
      <c r="F6" s="163">
        <f>PLANTILLA!Y8</f>
        <v>11.010666666666667</v>
      </c>
      <c r="G6" s="163">
        <f>PLANTILLA!Z8</f>
        <v>6.199444444444441</v>
      </c>
      <c r="H6" s="163">
        <f>PLANTILLA!AA8</f>
        <v>6.04</v>
      </c>
      <c r="I6" s="163">
        <f>PLANTILLA!AB8</f>
        <v>7.7227777777777789</v>
      </c>
      <c r="J6" s="163">
        <f>PLANTILLA!AC8</f>
        <v>4.383333333333332</v>
      </c>
      <c r="K6" s="163">
        <f>PLANTILLA!AD8</f>
        <v>15.349999999999998</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6"/>
      <c r="Z6" s="406">
        <f>R6</f>
        <v>4.8982336182336182E-2</v>
      </c>
      <c r="AA6" s="406">
        <f t="shared" si="9"/>
        <v>4.8982336182336182E-2</v>
      </c>
      <c r="AD6" t="s">
        <v>804</v>
      </c>
      <c r="AE6" t="s">
        <v>269</v>
      </c>
      <c r="AG6" t="s">
        <v>815</v>
      </c>
      <c r="AH6" t="s">
        <v>269</v>
      </c>
    </row>
    <row r="7" spans="1:34" x14ac:dyDescent="0.25">
      <c r="A7" s="287" t="str">
        <f>PLANTILLA!A9</f>
        <v>#2</v>
      </c>
      <c r="B7" s="169" t="str">
        <f>PLANTILLA!D9</f>
        <v>E. Toney</v>
      </c>
      <c r="C7" s="5">
        <f>PLANTILLA!E9</f>
        <v>31</v>
      </c>
      <c r="D7" s="5">
        <f ca="1">PLANTILLA!F9</f>
        <v>24</v>
      </c>
      <c r="E7" s="163">
        <f>PLANTILLA!X9</f>
        <v>0</v>
      </c>
      <c r="F7" s="163">
        <f>PLANTILLA!Y9</f>
        <v>12.130000000000004</v>
      </c>
      <c r="G7" s="163">
        <f>PLANTILLA!Z9</f>
        <v>13.156555555555553</v>
      </c>
      <c r="H7" s="163">
        <f>PLANTILLA!AA9</f>
        <v>9.8200000000000056</v>
      </c>
      <c r="I7" s="163">
        <f>PLANTILLA!AB9</f>
        <v>9.6</v>
      </c>
      <c r="J7" s="163">
        <f>PLANTILLA!AC9</f>
        <v>3.6816666666666658</v>
      </c>
      <c r="K7" s="163">
        <f>PLANTILLA!AD9</f>
        <v>16.627777777777773</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6">
        <f>S7</f>
        <v>3.930579297245964E-2</v>
      </c>
      <c r="Z7" s="406">
        <f>R7</f>
        <v>4.0818613485280153E-2</v>
      </c>
      <c r="AA7" s="406">
        <f t="shared" si="9"/>
        <v>4.0818613485280153E-2</v>
      </c>
      <c r="AD7" t="s">
        <v>503</v>
      </c>
      <c r="AE7" t="s">
        <v>618</v>
      </c>
      <c r="AG7" t="s">
        <v>816</v>
      </c>
      <c r="AH7" t="s">
        <v>275</v>
      </c>
    </row>
    <row r="8" spans="1:34" x14ac:dyDescent="0.25">
      <c r="A8" s="287" t="str">
        <f>PLANTILLA!A12</f>
        <v>#7</v>
      </c>
      <c r="B8" s="169" t="str">
        <f>PLANTILLA!D12</f>
        <v>E. Romweber</v>
      </c>
      <c r="C8" s="5">
        <f>PLANTILLA!E12</f>
        <v>30</v>
      </c>
      <c r="D8" s="5">
        <f ca="1">PLANTILLA!F12</f>
        <v>98</v>
      </c>
      <c r="E8" s="163">
        <f>PLANTILLA!X12</f>
        <v>0</v>
      </c>
      <c r="F8" s="163">
        <f>PLANTILLA!Y12</f>
        <v>12.005555555555555</v>
      </c>
      <c r="G8" s="163">
        <f>PLANTILLA!Z12</f>
        <v>12.534111111111114</v>
      </c>
      <c r="H8" s="163">
        <f>PLANTILLA!AA12</f>
        <v>13.133333333333335</v>
      </c>
      <c r="I8" s="163">
        <f>PLANTILLA!AB12</f>
        <v>10.91</v>
      </c>
      <c r="J8" s="163">
        <f>PLANTILLA!AC12</f>
        <v>7.7700000000000005</v>
      </c>
      <c r="K8" s="163">
        <f>PLANTILLA!AD12</f>
        <v>17.13</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6">
        <f>V8</f>
        <v>9.3280555555555547E-3</v>
      </c>
      <c r="Z8" s="406">
        <f>S8</f>
        <v>3.930579297245964E-2</v>
      </c>
      <c r="AA8" s="406">
        <f t="shared" si="9"/>
        <v>3.930579297245964E-2</v>
      </c>
      <c r="AD8" t="s">
        <v>806</v>
      </c>
      <c r="AE8" t="s">
        <v>400</v>
      </c>
      <c r="AG8" t="s">
        <v>804</v>
      </c>
      <c r="AH8" t="s">
        <v>817</v>
      </c>
    </row>
    <row r="9" spans="1:34" x14ac:dyDescent="0.25">
      <c r="A9" s="287" t="str">
        <f>PLANTILLA!A21</f>
        <v>#19</v>
      </c>
      <c r="B9" s="169" t="str">
        <f>PLANTILLA!D21</f>
        <v>G. Kerschl</v>
      </c>
      <c r="C9" s="5">
        <f>PLANTILLA!E21</f>
        <v>28</v>
      </c>
      <c r="D9" s="5">
        <f ca="1">PLANTILLA!F21</f>
        <v>87</v>
      </c>
      <c r="E9" s="163">
        <f>PLANTILLA!X21</f>
        <v>0</v>
      </c>
      <c r="F9" s="163">
        <f>PLANTILLA!Y21</f>
        <v>2.2000000000000002</v>
      </c>
      <c r="G9" s="163">
        <f>PLANTILLA!Z21</f>
        <v>14.600000000000001</v>
      </c>
      <c r="H9" s="163">
        <f>PLANTILLA!AA21</f>
        <v>12.01</v>
      </c>
      <c r="I9" s="163">
        <f>PLANTILLA!AB21</f>
        <v>12</v>
      </c>
      <c r="J9" s="163">
        <f>PLANTILLA!AC21</f>
        <v>8</v>
      </c>
      <c r="K9" s="163">
        <f>PLANTILLA!AD21</f>
        <v>2</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6">
        <f>U9</f>
        <v>3.6839999999999998E-2</v>
      </c>
      <c r="Z9" s="406">
        <f>U9</f>
        <v>3.6839999999999998E-2</v>
      </c>
      <c r="AA9" s="406">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25</v>
      </c>
      <c r="E10" s="163">
        <f>PLANTILLA!X7</f>
        <v>0</v>
      </c>
      <c r="F10" s="163">
        <f>PLANTILLA!Y7</f>
        <v>14.250000000000004</v>
      </c>
      <c r="G10" s="163">
        <f>PLANTILLA!Z7</f>
        <v>9.3193333333333346</v>
      </c>
      <c r="H10" s="163">
        <f>PLANTILLA!AA7</f>
        <v>14.291666666666663</v>
      </c>
      <c r="I10" s="163">
        <f>PLANTILLA!AB7</f>
        <v>9.4199999999999982</v>
      </c>
      <c r="J10" s="163">
        <f>PLANTILLA!AC7</f>
        <v>1.1428571428571428</v>
      </c>
      <c r="K10" s="163">
        <f>PLANTILLA!AD7</f>
        <v>9.4</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6">
        <f>S10</f>
        <v>2.8300170940170941E-2</v>
      </c>
      <c r="Z10" s="406">
        <f>S10</f>
        <v>2.8300170940170941E-2</v>
      </c>
      <c r="AA10" s="406">
        <f t="shared" si="9"/>
        <v>2.8300170940170941E-2</v>
      </c>
      <c r="AD10" t="s">
        <v>807</v>
      </c>
      <c r="AE10" t="s">
        <v>817</v>
      </c>
      <c r="AG10" t="s">
        <v>503</v>
      </c>
      <c r="AH10" t="s">
        <v>618</v>
      </c>
    </row>
    <row r="11" spans="1:34" x14ac:dyDescent="0.25">
      <c r="A11" s="287" t="str">
        <f>PLANTILLA!A5</f>
        <v>#1</v>
      </c>
      <c r="B11" s="169" t="str">
        <f>PLANTILLA!D5</f>
        <v>D. Gehmacher</v>
      </c>
      <c r="C11" s="5">
        <f>PLANTILLA!E5</f>
        <v>30</v>
      </c>
      <c r="D11" s="5">
        <f ca="1">PLANTILLA!F5</f>
        <v>13</v>
      </c>
      <c r="E11" s="163">
        <f>PLANTILLA!X5</f>
        <v>16.666666666666668</v>
      </c>
      <c r="F11" s="163">
        <f>PLANTILLA!Y5</f>
        <v>12.003636363636367</v>
      </c>
      <c r="G11" s="163">
        <f>PLANTILLA!Z5</f>
        <v>2.0499999999999989</v>
      </c>
      <c r="H11" s="163">
        <f>PLANTILLA!AA5</f>
        <v>2.1399999999999992</v>
      </c>
      <c r="I11" s="163">
        <f>PLANTILLA!AB5</f>
        <v>1.0400000000000003</v>
      </c>
      <c r="J11" s="163">
        <f>PLANTILLA!AC5</f>
        <v>0.14055555555555557</v>
      </c>
      <c r="K11" s="163">
        <f>PLANTILLA!AD5</f>
        <v>17.849999999999998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6">
        <f>O11</f>
        <v>2.8200142450142449E-2</v>
      </c>
      <c r="Z11" s="406">
        <f>O11</f>
        <v>2.8200142450142449E-2</v>
      </c>
      <c r="AA11" s="406">
        <f t="shared" si="9"/>
        <v>2.8200142450142449E-2</v>
      </c>
      <c r="AD11" t="s">
        <v>807</v>
      </c>
      <c r="AE11" t="s">
        <v>298</v>
      </c>
      <c r="AG11" t="s">
        <v>807</v>
      </c>
      <c r="AH11" t="s">
        <v>298</v>
      </c>
    </row>
    <row r="12" spans="1:34" x14ac:dyDescent="0.25">
      <c r="A12" s="287" t="str">
        <f>PLANTILLA!A18</f>
        <v>#5</v>
      </c>
      <c r="B12" s="169" t="str">
        <f>PLANTILLA!D18</f>
        <v>L. Bauman</v>
      </c>
      <c r="C12" s="5">
        <f>PLANTILLA!E18</f>
        <v>30</v>
      </c>
      <c r="D12" s="5">
        <f ca="1">PLANTILLA!F18</f>
        <v>60</v>
      </c>
      <c r="E12" s="163">
        <f>PLANTILLA!X18</f>
        <v>0</v>
      </c>
      <c r="F12" s="163">
        <f>PLANTILLA!Y18</f>
        <v>5.4311111111111119</v>
      </c>
      <c r="G12" s="163">
        <f>PLANTILLA!Z18</f>
        <v>14.331408994708985</v>
      </c>
      <c r="H12" s="163">
        <f>PLANTILLA!AA18</f>
        <v>3.5124999999999993</v>
      </c>
      <c r="I12" s="163">
        <f>PLANTILLA!AB18</f>
        <v>9.1400000000000041</v>
      </c>
      <c r="J12" s="163">
        <f>PLANTILLA!AC18</f>
        <v>7.4318888888888894</v>
      </c>
      <c r="K12" s="163">
        <f>PLANTILLA!AD18</f>
        <v>16.07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6">
        <f>T12</f>
        <v>2.7794285714285716E-2</v>
      </c>
      <c r="Z12" s="406">
        <f>W12</f>
        <v>0</v>
      </c>
      <c r="AA12" s="406">
        <f t="shared" si="9"/>
        <v>2.7794285714285716E-2</v>
      </c>
      <c r="AD12" t="s">
        <v>66</v>
      </c>
      <c r="AE12" t="s">
        <v>287</v>
      </c>
      <c r="AG12" t="s">
        <v>807</v>
      </c>
      <c r="AH12" t="s">
        <v>507</v>
      </c>
    </row>
    <row r="13" spans="1:34" x14ac:dyDescent="0.25">
      <c r="A13" s="287" t="str">
        <f>PLANTILLA!A13</f>
        <v>#11</v>
      </c>
      <c r="B13" s="169" t="str">
        <f>PLANTILLA!D13</f>
        <v>K. Helms</v>
      </c>
      <c r="C13" s="5">
        <f>PLANTILLA!E13</f>
        <v>30</v>
      </c>
      <c r="D13" s="5">
        <f ca="1">PLANTILLA!F13</f>
        <v>45</v>
      </c>
      <c r="E13" s="163">
        <f>PLANTILLA!X13</f>
        <v>0</v>
      </c>
      <c r="F13" s="163">
        <f>PLANTILLA!Y13</f>
        <v>7.2200000000000006</v>
      </c>
      <c r="G13" s="163">
        <f>PLANTILLA!Z13</f>
        <v>10.500000000000004</v>
      </c>
      <c r="H13" s="163">
        <f>PLANTILLA!AA13</f>
        <v>13.388333333333334</v>
      </c>
      <c r="I13" s="163">
        <f>PLANTILLA!AB13</f>
        <v>10.359999999999998</v>
      </c>
      <c r="J13" s="163">
        <f>PLANTILLA!AC13</f>
        <v>5.4050000000000002</v>
      </c>
      <c r="K13" s="163">
        <f>PLANTILLA!AD13</f>
        <v>17.300000000000004</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6">
        <f>V13</f>
        <v>2.0988125E-2</v>
      </c>
      <c r="Z13" s="406">
        <f>V13</f>
        <v>2.0988125E-2</v>
      </c>
      <c r="AA13" s="406">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60</v>
      </c>
      <c r="E14" s="163">
        <f>PLANTILLA!X14</f>
        <v>0</v>
      </c>
      <c r="F14" s="163">
        <f>PLANTILLA!Y14</f>
        <v>8.2399999999999984</v>
      </c>
      <c r="G14" s="163">
        <f>PLANTILLA!Z14</f>
        <v>12.158412698412699</v>
      </c>
      <c r="H14" s="163">
        <f>PLANTILLA!AA14</f>
        <v>12.25</v>
      </c>
      <c r="I14" s="163">
        <f>PLANTILLA!AB14</f>
        <v>10.24</v>
      </c>
      <c r="J14" s="163">
        <f>PLANTILLA!AC14</f>
        <v>7.4766666666666666</v>
      </c>
      <c r="K14" s="163">
        <f>PLANTILLA!AD14</f>
        <v>15.270000000000001</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6">
        <f>V14</f>
        <v>1.8656111111111109E-2</v>
      </c>
      <c r="Z14" s="406">
        <f>V14</f>
        <v>1.8656111111111109E-2</v>
      </c>
      <c r="AA14" s="406">
        <f t="shared" si="9"/>
        <v>1.8656111111111109E-2</v>
      </c>
    </row>
    <row r="15" spans="1:34" x14ac:dyDescent="0.25">
      <c r="A15" s="287" t="str">
        <f>PLANTILLA!A15</f>
        <v>#6</v>
      </c>
      <c r="B15" s="219" t="str">
        <f>PLANTILLA!D15</f>
        <v>S. Buschelman</v>
      </c>
      <c r="C15" s="5">
        <f>PLANTILLA!E15</f>
        <v>29</v>
      </c>
      <c r="D15" s="5">
        <f ca="1">PLANTILLA!F15</f>
        <v>57</v>
      </c>
      <c r="E15" s="163">
        <f>PLANTILLA!X15</f>
        <v>0</v>
      </c>
      <c r="F15" s="163">
        <f>PLANTILLA!Y15</f>
        <v>9.2036666666666651</v>
      </c>
      <c r="G15" s="163">
        <f>PLANTILLA!Z15</f>
        <v>13.759999999999998</v>
      </c>
      <c r="H15" s="163">
        <f>PLANTILLA!AA15</f>
        <v>12.835000000000001</v>
      </c>
      <c r="I15" s="163">
        <f>PLANTILLA!AB15</f>
        <v>9.6733333333333356</v>
      </c>
      <c r="J15" s="163">
        <f>PLANTILLA!AC15</f>
        <v>5.0296666666666656</v>
      </c>
      <c r="K15" s="163">
        <f>PLANTILLA!AD15</f>
        <v>15.2</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6">
        <f>U15</f>
        <v>1.8419999999999999E-2</v>
      </c>
      <c r="Z15" s="406">
        <f>U15</f>
        <v>1.8419999999999999E-2</v>
      </c>
      <c r="AA15" s="406">
        <f t="shared" si="9"/>
        <v>1.8419999999999999E-2</v>
      </c>
    </row>
    <row r="16" spans="1:34" x14ac:dyDescent="0.25">
      <c r="A16" s="287" t="str">
        <f>PLANTILLA!A16</f>
        <v>#4</v>
      </c>
      <c r="B16" s="219" t="str">
        <f>PLANTILLA!D16</f>
        <v>C. Rojas</v>
      </c>
      <c r="C16" s="5">
        <f>PLANTILLA!E16</f>
        <v>31</v>
      </c>
      <c r="D16" s="5">
        <f ca="1">PLANTILLA!F16</f>
        <v>91</v>
      </c>
      <c r="E16" s="163">
        <f>PLANTILLA!X16</f>
        <v>0</v>
      </c>
      <c r="F16" s="163">
        <f>PLANTILLA!Y16</f>
        <v>8.6175555555555583</v>
      </c>
      <c r="G16" s="163">
        <f>PLANTILLA!Z16</f>
        <v>14.238017460317453</v>
      </c>
      <c r="H16" s="163">
        <f>PLANTILLA!AA16</f>
        <v>9.99</v>
      </c>
      <c r="I16" s="163">
        <f>PLANTILLA!AB16</f>
        <v>10.09</v>
      </c>
      <c r="J16" s="163">
        <f>PLANTILLA!AC16</f>
        <v>4.3999999999999995</v>
      </c>
      <c r="K16" s="163">
        <f>PLANTILLA!AD16</f>
        <v>16.544444444444441</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6">
        <f>U16</f>
        <v>1.6745454545454543E-2</v>
      </c>
      <c r="Z16" s="406">
        <f>U16</f>
        <v>1.6745454545454543E-2</v>
      </c>
      <c r="AA16" s="406">
        <f t="shared" si="9"/>
        <v>1.6745454545454543E-2</v>
      </c>
    </row>
    <row r="17" spans="1:27" x14ac:dyDescent="0.25">
      <c r="A17" s="287" t="str">
        <f>PLANTILLA!A22</f>
        <v>#9</v>
      </c>
      <c r="B17" s="287" t="str">
        <f>PLANTILLA!D22</f>
        <v>J. Limon</v>
      </c>
      <c r="C17" s="5">
        <f>PLANTILLA!E22</f>
        <v>29</v>
      </c>
      <c r="D17" s="5">
        <f ca="1">PLANTILLA!F22</f>
        <v>97</v>
      </c>
      <c r="E17" s="163">
        <f>PLANTILLA!X22</f>
        <v>0</v>
      </c>
      <c r="F17" s="163">
        <f>PLANTILLA!Y22</f>
        <v>6.8276190476190495</v>
      </c>
      <c r="G17" s="163">
        <f>PLANTILLA!Z22</f>
        <v>8.625</v>
      </c>
      <c r="H17" s="163">
        <f>PLANTILLA!AA22</f>
        <v>8.7299999999999969</v>
      </c>
      <c r="I17" s="163">
        <f>PLANTILLA!AB22</f>
        <v>9.6900000000000013</v>
      </c>
      <c r="J17" s="163">
        <f>PLANTILLA!AC22</f>
        <v>8.5625000000000018</v>
      </c>
      <c r="K17" s="163">
        <f>PLANTILLA!AD22</f>
        <v>18.639999999999993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6">
        <v>0</v>
      </c>
      <c r="Z17" s="406">
        <v>0</v>
      </c>
      <c r="AA17" s="406">
        <f t="shared" si="9"/>
        <v>0</v>
      </c>
    </row>
    <row r="18" spans="1:27" x14ac:dyDescent="0.25">
      <c r="A18" s="287" t="str">
        <f>PLANTILLA!A24</f>
        <v>#15</v>
      </c>
      <c r="B18" s="287" t="str">
        <f>PLANTILLA!D24</f>
        <v>P .Trivadi</v>
      </c>
      <c r="C18" s="5">
        <f>PLANTILLA!E24</f>
        <v>27</v>
      </c>
      <c r="D18" s="5">
        <f ca="1">PLANTILLA!F24</f>
        <v>16</v>
      </c>
      <c r="E18" s="163">
        <f>PLANTILLA!X24</f>
        <v>0</v>
      </c>
      <c r="F18" s="163">
        <f>PLANTILLA!Y24</f>
        <v>4.01</v>
      </c>
      <c r="G18" s="163">
        <f>PLANTILLA!Z24</f>
        <v>5.5538722222222203</v>
      </c>
      <c r="H18" s="163">
        <f>PLANTILLA!AA24</f>
        <v>5.4899999999999993</v>
      </c>
      <c r="I18" s="163">
        <f>PLANTILLA!AB24</f>
        <v>10.799999999999999</v>
      </c>
      <c r="J18" s="163">
        <f>PLANTILLA!AC24</f>
        <v>8.384500000000001</v>
      </c>
      <c r="K18" s="163">
        <f>PLANTILLA!AD24</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6">
        <v>0</v>
      </c>
      <c r="Z18" s="406">
        <v>0</v>
      </c>
      <c r="AA18" s="406">
        <f t="shared" si="9"/>
        <v>0</v>
      </c>
    </row>
    <row r="19" spans="1:27" x14ac:dyDescent="0.25">
      <c r="A19" s="287" t="str">
        <f>PLANTILLA!A23</f>
        <v>#18</v>
      </c>
      <c r="B19" s="287" t="str">
        <f>PLANTILLA!D23</f>
        <v>L. Calosso</v>
      </c>
      <c r="C19" s="5">
        <f>PLANTILLA!E23</f>
        <v>30</v>
      </c>
      <c r="D19" s="5">
        <f ca="1">PLANTILLA!F23</f>
        <v>54</v>
      </c>
      <c r="E19" s="163">
        <f>PLANTILLA!X23</f>
        <v>0</v>
      </c>
      <c r="F19" s="163">
        <f>PLANTILLA!Y23</f>
        <v>3</v>
      </c>
      <c r="G19" s="163">
        <f>PLANTILLA!Z23</f>
        <v>14.137609523809523</v>
      </c>
      <c r="H19" s="163">
        <f>PLANTILLA!AA23</f>
        <v>3.02</v>
      </c>
      <c r="I19" s="163">
        <f>PLANTILLA!AB23</f>
        <v>15.02</v>
      </c>
      <c r="J19" s="163">
        <f>PLANTILLA!AC23</f>
        <v>10</v>
      </c>
      <c r="K19" s="163">
        <f>PLANTILLA!AD23</f>
        <v>9.3000000000000007</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6">
        <v>0</v>
      </c>
      <c r="Z19" s="406">
        <v>0</v>
      </c>
      <c r="AA19" s="406">
        <f t="shared" si="9"/>
        <v>0</v>
      </c>
    </row>
    <row r="20" spans="1:27" x14ac:dyDescent="0.25">
      <c r="A20" s="287" t="str">
        <f>PLANTILLA!A11</f>
        <v>#13</v>
      </c>
      <c r="B20" s="287" t="str">
        <f>PLANTILLA!D11</f>
        <v>F. Lasprilla</v>
      </c>
      <c r="C20" s="5">
        <f>PLANTILLA!E11</f>
        <v>27</v>
      </c>
      <c r="D20" s="5">
        <f ca="1">PLANTILLA!F11</f>
        <v>32</v>
      </c>
      <c r="E20" s="163">
        <f>PLANTILLA!X11</f>
        <v>0</v>
      </c>
      <c r="F20" s="163">
        <f>PLANTILLA!Y11</f>
        <v>9.5996666666666659</v>
      </c>
      <c r="G20" s="163">
        <f>PLANTILLA!Z11</f>
        <v>7.7507222222222225</v>
      </c>
      <c r="H20" s="163">
        <f>PLANTILLA!AA11</f>
        <v>6.1499999999999986</v>
      </c>
      <c r="I20" s="163">
        <f>PLANTILLA!AB11</f>
        <v>8.8633333333333315</v>
      </c>
      <c r="J20" s="163">
        <f>PLANTILLA!AC11</f>
        <v>3.2566666666666673</v>
      </c>
      <c r="K20" s="163">
        <f>PLANTILLA!AD11</f>
        <v>13.238888888888889</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6"/>
      <c r="Z20" s="406"/>
      <c r="AA20" s="406">
        <f t="shared" si="9"/>
        <v>0</v>
      </c>
    </row>
    <row r="21" spans="1:27" x14ac:dyDescent="0.25">
      <c r="A21" s="287" t="str">
        <f>PLANTILLA!A19</f>
        <v>#14</v>
      </c>
      <c r="B21" s="287" t="str">
        <f>PLANTILLA!D19</f>
        <v>W. Gelifini</v>
      </c>
      <c r="C21" s="5">
        <f>PLANTILLA!E19</f>
        <v>29</v>
      </c>
      <c r="D21" s="5">
        <f ca="1">PLANTILLA!F19</f>
        <v>10</v>
      </c>
      <c r="E21" s="163">
        <f>PLANTILLA!X19</f>
        <v>0</v>
      </c>
      <c r="F21" s="163">
        <f>PLANTILLA!Y19</f>
        <v>5.6515555555555519</v>
      </c>
      <c r="G21" s="163">
        <f>PLANTILLA!Z19</f>
        <v>9.8623388888888872</v>
      </c>
      <c r="H21" s="163">
        <f>PLANTILLA!AA19</f>
        <v>7.0726666666666667</v>
      </c>
      <c r="I21" s="163">
        <f>PLANTILLA!AB19</f>
        <v>9.2666666666666639</v>
      </c>
      <c r="J21" s="163">
        <f>PLANTILLA!AC19</f>
        <v>3.5417777777777766</v>
      </c>
      <c r="K21" s="163">
        <f>PLANTILLA!AD19</f>
        <v>12.450000000000001</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6"/>
      <c r="Z21" s="406"/>
      <c r="AA21" s="406">
        <f t="shared" si="9"/>
        <v>0</v>
      </c>
    </row>
    <row r="22" spans="1:27" x14ac:dyDescent="0.25">
      <c r="A22" s="287" t="str">
        <f>PLANTILLA!A6</f>
        <v>#16</v>
      </c>
      <c r="B22" s="287" t="str">
        <f>PLANTILLA!D6</f>
        <v>T. Hammond</v>
      </c>
      <c r="C22" s="5">
        <f>PLANTILLA!E6</f>
        <v>34</v>
      </c>
      <c r="D22" s="5">
        <f ca="1">PLANTILLA!F6</f>
        <v>22</v>
      </c>
      <c r="E22" s="163">
        <f>PLANTILLA!X6</f>
        <v>10.3</v>
      </c>
      <c r="F22" s="163">
        <f>PLANTILLA!Y6</f>
        <v>10.804999999999998</v>
      </c>
      <c r="G22" s="163">
        <f>PLANTILLA!Z6</f>
        <v>4.6400000000000006</v>
      </c>
      <c r="H22" s="163">
        <f>PLANTILLA!AA6</f>
        <v>4.95</v>
      </c>
      <c r="I22" s="163">
        <f>PLANTILLA!AB6</f>
        <v>6.5444444444444434</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6"/>
      <c r="Z22" s="406"/>
      <c r="AA22" s="406">
        <f t="shared" si="9"/>
        <v>0</v>
      </c>
    </row>
    <row r="23" spans="1:27" x14ac:dyDescent="0.25">
      <c r="A23" s="287" t="str">
        <f>PLANTILLA!A20</f>
        <v>#89</v>
      </c>
      <c r="B23" s="287" t="str">
        <f>PLANTILLA!D20</f>
        <v>M. Amico</v>
      </c>
      <c r="C23" s="5">
        <f>PLANTILLA!E20</f>
        <v>29</v>
      </c>
      <c r="D23" s="5">
        <f ca="1">PLANTILLA!F20</f>
        <v>17</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6"/>
      <c r="Z23" s="406"/>
      <c r="AA23" s="406">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tabSelected="1"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1" bestFit="1" customWidth="1"/>
    <col min="14" max="14" width="8.28515625" style="611"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42584</v>
      </c>
      <c r="Y2" s="619">
        <f>SUM(Y4:Y22)</f>
        <v>0.38669362836502424</v>
      </c>
      <c r="Z2" s="619">
        <f>SUM(Z4:Z22)</f>
        <v>0.36442744206594319</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834</v>
      </c>
      <c r="O3" s="614" t="s">
        <v>1</v>
      </c>
      <c r="P3" s="614" t="s">
        <v>805</v>
      </c>
      <c r="Q3" s="613" t="s">
        <v>835</v>
      </c>
      <c r="R3" s="613" t="s">
        <v>841</v>
      </c>
      <c r="S3" s="613" t="s">
        <v>836</v>
      </c>
      <c r="T3" s="613" t="s">
        <v>806</v>
      </c>
      <c r="U3" s="613" t="s">
        <v>503</v>
      </c>
      <c r="V3" s="613" t="s">
        <v>840</v>
      </c>
      <c r="W3" s="614" t="s">
        <v>602</v>
      </c>
      <c r="X3" s="618" t="s">
        <v>66</v>
      </c>
      <c r="Y3" s="616" t="s">
        <v>838</v>
      </c>
      <c r="Z3" s="616" t="s">
        <v>839</v>
      </c>
      <c r="AA3" s="616" t="s">
        <v>844</v>
      </c>
      <c r="AD3" t="s">
        <v>1</v>
      </c>
      <c r="AE3" t="s">
        <v>782</v>
      </c>
      <c r="AG3" t="s">
        <v>1</v>
      </c>
      <c r="AH3" t="s">
        <v>782</v>
      </c>
    </row>
    <row r="4" spans="1:34" x14ac:dyDescent="0.25">
      <c r="A4" s="287" t="str">
        <f>PLANTILLA!A15</f>
        <v>#6</v>
      </c>
      <c r="B4" s="169" t="str">
        <f>PLANTILLA!D15</f>
        <v>S. Buschelman</v>
      </c>
      <c r="C4" s="287">
        <f>PLANTILLA!E15</f>
        <v>29</v>
      </c>
      <c r="D4" s="287">
        <f ca="1">PLANTILLA!F15</f>
        <v>57</v>
      </c>
      <c r="E4" s="163">
        <f>PLANTILLA!X15</f>
        <v>0</v>
      </c>
      <c r="F4" s="163">
        <f>PLANTILLA!Y15</f>
        <v>9.2036666666666651</v>
      </c>
      <c r="G4" s="163">
        <f>PLANTILLA!Z15</f>
        <v>13.759999999999998</v>
      </c>
      <c r="H4" s="163">
        <f>PLANTILLA!AA15</f>
        <v>12.835000000000001</v>
      </c>
      <c r="I4" s="163">
        <f>PLANTILLA!AB15</f>
        <v>9.6733333333333356</v>
      </c>
      <c r="J4" s="163">
        <f>PLANTILLA!AC15</f>
        <v>5.0296666666666656</v>
      </c>
      <c r="K4" s="163">
        <f>PLANTILLA!AD15</f>
        <v>15.2</v>
      </c>
      <c r="L4" s="615">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6">
        <f>U4</f>
        <v>5.50625E-2</v>
      </c>
      <c r="Z4" s="406">
        <f>U4</f>
        <v>5.50625E-2</v>
      </c>
      <c r="AA4" s="406">
        <f t="shared" ref="AA4:AA23" si="11">MAX(Z4,Y4)</f>
        <v>5.50625E-2</v>
      </c>
      <c r="AD4" t="s">
        <v>804</v>
      </c>
      <c r="AE4" s="635" t="s">
        <v>857</v>
      </c>
      <c r="AG4" t="s">
        <v>804</v>
      </c>
      <c r="AH4" s="635" t="str">
        <f>AE4</f>
        <v>B. Pinczehelyi</v>
      </c>
    </row>
    <row r="5" spans="1:34" x14ac:dyDescent="0.25">
      <c r="A5" s="287" t="str">
        <f>PLANTILLA!A18</f>
        <v>#5</v>
      </c>
      <c r="B5" s="169" t="str">
        <f>PLANTILLA!D18</f>
        <v>L. Bauman</v>
      </c>
      <c r="C5" s="287">
        <f>PLANTILLA!E18</f>
        <v>30</v>
      </c>
      <c r="D5" s="287">
        <f ca="1">PLANTILLA!F18</f>
        <v>60</v>
      </c>
      <c r="E5" s="163">
        <f>PLANTILLA!X18</f>
        <v>0</v>
      </c>
      <c r="F5" s="163">
        <f>PLANTILLA!Y18</f>
        <v>5.4311111111111119</v>
      </c>
      <c r="G5" s="163">
        <f>PLANTILLA!Z18</f>
        <v>14.331408994708985</v>
      </c>
      <c r="H5" s="163">
        <f>PLANTILLA!AA18</f>
        <v>3.5124999999999993</v>
      </c>
      <c r="I5" s="163">
        <f>PLANTILLA!AB18</f>
        <v>9.1400000000000041</v>
      </c>
      <c r="J5" s="163">
        <f>PLANTILLA!AC18</f>
        <v>7.4318888888888894</v>
      </c>
      <c r="K5" s="163">
        <f>PLANTILLA!AD18</f>
        <v>16.07</v>
      </c>
      <c r="L5" s="615">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6">
        <f>T5</f>
        <v>4.7619047619047616E-2</v>
      </c>
      <c r="Z5" s="406">
        <f>W5</f>
        <v>1.9333333333333334E-2</v>
      </c>
      <c r="AA5" s="406">
        <f t="shared" si="11"/>
        <v>4.7619047619047616E-2</v>
      </c>
      <c r="AD5" t="s">
        <v>805</v>
      </c>
      <c r="AE5" t="s">
        <v>272</v>
      </c>
      <c r="AG5" t="s">
        <v>816</v>
      </c>
      <c r="AH5" t="s">
        <v>273</v>
      </c>
    </row>
    <row r="6" spans="1:34" x14ac:dyDescent="0.25">
      <c r="A6" s="287" t="str">
        <f>PLANTILLA!A22</f>
        <v>#9</v>
      </c>
      <c r="B6" s="169" t="str">
        <f>PLANTILLA!D22</f>
        <v>J. Limon</v>
      </c>
      <c r="C6" s="287">
        <f>PLANTILLA!E22</f>
        <v>29</v>
      </c>
      <c r="D6" s="287">
        <f ca="1">PLANTILLA!F22</f>
        <v>97</v>
      </c>
      <c r="E6" s="163">
        <f>PLANTILLA!X22</f>
        <v>0</v>
      </c>
      <c r="F6" s="163">
        <f>PLANTILLA!Y22</f>
        <v>6.8276190476190495</v>
      </c>
      <c r="G6" s="163">
        <f>PLANTILLA!Z22</f>
        <v>8.625</v>
      </c>
      <c r="H6" s="163">
        <f>PLANTILLA!AA22</f>
        <v>8.7299999999999969</v>
      </c>
      <c r="I6" s="163">
        <f>PLANTILLA!AB22</f>
        <v>9.6900000000000013</v>
      </c>
      <c r="J6" s="163">
        <f>PLANTILLA!AC22</f>
        <v>8.5625000000000018</v>
      </c>
      <c r="K6" s="163">
        <f>PLANTILLA!AD22</f>
        <v>18.639999999999993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6">
        <f>W6</f>
        <v>4.5111111111111109E-2</v>
      </c>
      <c r="Z6" s="406"/>
      <c r="AA6" s="406">
        <f t="shared" si="11"/>
        <v>4.5111111111111109E-2</v>
      </c>
      <c r="AD6" t="s">
        <v>804</v>
      </c>
      <c r="AE6" t="s">
        <v>269</v>
      </c>
      <c r="AG6" t="s">
        <v>815</v>
      </c>
      <c r="AH6" t="s">
        <v>269</v>
      </c>
    </row>
    <row r="7" spans="1:34" x14ac:dyDescent="0.25">
      <c r="A7" s="287" t="str">
        <f>PLANTILLA!A21</f>
        <v>#19</v>
      </c>
      <c r="B7" s="169" t="str">
        <f>PLANTILLA!D21</f>
        <v>G. Kerschl</v>
      </c>
      <c r="C7" s="287">
        <f>PLANTILLA!E21</f>
        <v>28</v>
      </c>
      <c r="D7" s="287">
        <f ca="1">PLANTILLA!F21</f>
        <v>87</v>
      </c>
      <c r="E7" s="163">
        <f>PLANTILLA!X21</f>
        <v>0</v>
      </c>
      <c r="F7" s="163">
        <f>PLANTILLA!Y21</f>
        <v>2.2000000000000002</v>
      </c>
      <c r="G7" s="163">
        <f>PLANTILLA!Z21</f>
        <v>14.600000000000001</v>
      </c>
      <c r="H7" s="163">
        <f>PLANTILLA!AA21</f>
        <v>12.01</v>
      </c>
      <c r="I7" s="163">
        <f>PLANTILLA!AB21</f>
        <v>12</v>
      </c>
      <c r="J7" s="163">
        <f>PLANTILLA!AC21</f>
        <v>8</v>
      </c>
      <c r="K7" s="163">
        <f>PLANTILLA!AD21</f>
        <v>2</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6">
        <f>U7</f>
        <v>4.4050000000000006E-2</v>
      </c>
      <c r="Z7" s="406">
        <f>U7</f>
        <v>4.4050000000000006E-2</v>
      </c>
      <c r="AA7" s="406">
        <f t="shared" si="11"/>
        <v>4.4050000000000006E-2</v>
      </c>
      <c r="AD7" t="s">
        <v>503</v>
      </c>
      <c r="AE7" t="s">
        <v>618</v>
      </c>
      <c r="AG7" t="s">
        <v>816</v>
      </c>
      <c r="AH7" t="s">
        <v>275</v>
      </c>
    </row>
    <row r="8" spans="1:34" x14ac:dyDescent="0.25">
      <c r="A8" s="287" t="str">
        <f>PLANTILLA!A13</f>
        <v>#11</v>
      </c>
      <c r="B8" s="169" t="str">
        <f>PLANTILLA!D13</f>
        <v>K. Helms</v>
      </c>
      <c r="C8" s="287">
        <f>PLANTILLA!E13</f>
        <v>30</v>
      </c>
      <c r="D8" s="287">
        <f ca="1">PLANTILLA!F13</f>
        <v>45</v>
      </c>
      <c r="E8" s="163">
        <f>PLANTILLA!X13</f>
        <v>0</v>
      </c>
      <c r="F8" s="163">
        <f>PLANTILLA!Y13</f>
        <v>7.2200000000000006</v>
      </c>
      <c r="G8" s="163">
        <f>PLANTILLA!Z13</f>
        <v>10.500000000000004</v>
      </c>
      <c r="H8" s="163">
        <f>PLANTILLA!AA13</f>
        <v>13.388333333333334</v>
      </c>
      <c r="I8" s="163">
        <f>PLANTILLA!AB13</f>
        <v>10.359999999999998</v>
      </c>
      <c r="J8" s="163">
        <f>PLANTILLA!AC13</f>
        <v>5.4050000000000002</v>
      </c>
      <c r="K8" s="163">
        <f>PLANTILLA!AD13</f>
        <v>17.300000000000004</v>
      </c>
      <c r="L8" s="615">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6">
        <f>V8</f>
        <v>3.7916666666666668E-2</v>
      </c>
      <c r="Z8" s="406">
        <f>V8</f>
        <v>3.7916666666666668E-2</v>
      </c>
      <c r="AA8" s="406">
        <f t="shared" si="11"/>
        <v>3.7916666666666668E-2</v>
      </c>
      <c r="AD8" t="s">
        <v>806</v>
      </c>
      <c r="AE8" t="s">
        <v>400</v>
      </c>
      <c r="AG8" t="s">
        <v>804</v>
      </c>
      <c r="AH8" t="s">
        <v>817</v>
      </c>
    </row>
    <row r="9" spans="1:34" x14ac:dyDescent="0.25">
      <c r="A9" s="287" t="str">
        <f>PLANTILLA!A16</f>
        <v>#4</v>
      </c>
      <c r="B9" s="169" t="str">
        <f>PLANTILLA!D16</f>
        <v>C. Rojas</v>
      </c>
      <c r="C9" s="287">
        <f>PLANTILLA!E16</f>
        <v>31</v>
      </c>
      <c r="D9" s="287">
        <f ca="1">PLANTILLA!F16</f>
        <v>91</v>
      </c>
      <c r="E9" s="163">
        <f>PLANTILLA!X16</f>
        <v>0</v>
      </c>
      <c r="F9" s="163">
        <f>PLANTILLA!Y16</f>
        <v>8.6175555555555583</v>
      </c>
      <c r="G9" s="163">
        <f>PLANTILLA!Z16</f>
        <v>14.238017460317453</v>
      </c>
      <c r="H9" s="163">
        <f>PLANTILLA!AA16</f>
        <v>9.99</v>
      </c>
      <c r="I9" s="163">
        <f>PLANTILLA!AB16</f>
        <v>10.09</v>
      </c>
      <c r="J9" s="163">
        <f>PLANTILLA!AC16</f>
        <v>4.3999999999999995</v>
      </c>
      <c r="K9" s="163">
        <f>PLANTILLA!AD16</f>
        <v>16.544444444444441</v>
      </c>
      <c r="L9" s="615">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6">
        <f>U9</f>
        <v>3.3884615384615388E-2</v>
      </c>
      <c r="Z9" s="406">
        <f>U9</f>
        <v>3.3884615384615388E-2</v>
      </c>
      <c r="AA9" s="406">
        <f t="shared" si="11"/>
        <v>3.3884615384615388E-2</v>
      </c>
      <c r="AD9" t="s">
        <v>503</v>
      </c>
      <c r="AE9" t="s">
        <v>285</v>
      </c>
      <c r="AG9" t="s">
        <v>503</v>
      </c>
      <c r="AH9" t="s">
        <v>285</v>
      </c>
    </row>
    <row r="10" spans="1:34" x14ac:dyDescent="0.25">
      <c r="A10" s="287" t="str">
        <f>PLANTILLA!A14</f>
        <v>#10</v>
      </c>
      <c r="B10" s="671" t="str">
        <f>PLANTILLA!D14</f>
        <v>S. Zobbe</v>
      </c>
      <c r="C10" s="287">
        <f>PLANTILLA!E14</f>
        <v>27</v>
      </c>
      <c r="D10" s="287">
        <f ca="1">PLANTILLA!F14</f>
        <v>60</v>
      </c>
      <c r="E10" s="163">
        <f>PLANTILLA!X14</f>
        <v>0</v>
      </c>
      <c r="F10" s="163">
        <f>PLANTILLA!Y14</f>
        <v>8.2399999999999984</v>
      </c>
      <c r="G10" s="163">
        <f>PLANTILLA!Z14</f>
        <v>12.158412698412699</v>
      </c>
      <c r="H10" s="163">
        <f>PLANTILLA!AA14</f>
        <v>12.25</v>
      </c>
      <c r="I10" s="163">
        <f>PLANTILLA!AB14</f>
        <v>10.24</v>
      </c>
      <c r="J10" s="163">
        <f>PLANTILLA!AC14</f>
        <v>7.4766666666666666</v>
      </c>
      <c r="K10" s="163">
        <f>PLANTILLA!AD14</f>
        <v>15.270000000000001</v>
      </c>
      <c r="L10" s="615">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6">
        <f>V10</f>
        <v>3.2500000000000001E-2</v>
      </c>
      <c r="Z10" s="406">
        <f>V10</f>
        <v>3.2500000000000001E-2</v>
      </c>
      <c r="AA10" s="406">
        <f t="shared" si="11"/>
        <v>3.2500000000000001E-2</v>
      </c>
      <c r="AD10" t="s">
        <v>807</v>
      </c>
      <c r="AE10" t="s">
        <v>817</v>
      </c>
      <c r="AG10" t="s">
        <v>503</v>
      </c>
      <c r="AH10" t="s">
        <v>618</v>
      </c>
    </row>
    <row r="11" spans="1:34" x14ac:dyDescent="0.25">
      <c r="A11" s="287" t="str">
        <f>PLANTILLA!A12</f>
        <v>#7</v>
      </c>
      <c r="B11" s="671" t="str">
        <f>PLANTILLA!D12</f>
        <v>E. Romweber</v>
      </c>
      <c r="C11" s="287">
        <f>PLANTILLA!E12</f>
        <v>30</v>
      </c>
      <c r="D11" s="287">
        <f ca="1">PLANTILLA!F12</f>
        <v>98</v>
      </c>
      <c r="E11" s="163">
        <f>PLANTILLA!X12</f>
        <v>0</v>
      </c>
      <c r="F11" s="163">
        <f>PLANTILLA!Y12</f>
        <v>12.005555555555555</v>
      </c>
      <c r="G11" s="163">
        <f>PLANTILLA!Z12</f>
        <v>12.534111111111114</v>
      </c>
      <c r="H11" s="163">
        <f>PLANTILLA!AA12</f>
        <v>13.133333333333335</v>
      </c>
      <c r="I11" s="163">
        <f>PLANTILLA!AB12</f>
        <v>10.91</v>
      </c>
      <c r="J11" s="163">
        <f>PLANTILLA!AC12</f>
        <v>7.7700000000000005</v>
      </c>
      <c r="K11" s="163">
        <f>PLANTILLA!AD12</f>
        <v>17.13</v>
      </c>
      <c r="L11" s="615">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6">
        <f>V11</f>
        <v>2.8437500000000001E-2</v>
      </c>
      <c r="Z11" s="406">
        <f>V11</f>
        <v>2.8437500000000001E-2</v>
      </c>
      <c r="AA11" s="406">
        <f t="shared" si="11"/>
        <v>2.8437500000000001E-2</v>
      </c>
      <c r="AD11" t="s">
        <v>807</v>
      </c>
      <c r="AE11" t="s">
        <v>298</v>
      </c>
      <c r="AG11" t="s">
        <v>807</v>
      </c>
      <c r="AH11" t="s">
        <v>298</v>
      </c>
    </row>
    <row r="12" spans="1:34" x14ac:dyDescent="0.25">
      <c r="A12" s="287" t="str">
        <f>PLANTILLA!A8</f>
        <v>#8</v>
      </c>
      <c r="B12" s="219" t="str">
        <f>PLANTILLA!D8</f>
        <v>D. Toh</v>
      </c>
      <c r="C12" s="287">
        <f>PLANTILLA!E8</f>
        <v>31</v>
      </c>
      <c r="D12" s="287">
        <f ca="1">PLANTILLA!F8</f>
        <v>70</v>
      </c>
      <c r="E12" s="163">
        <f>PLANTILLA!X8</f>
        <v>0</v>
      </c>
      <c r="F12" s="163">
        <f>PLANTILLA!Y8</f>
        <v>11.010666666666667</v>
      </c>
      <c r="G12" s="163">
        <f>PLANTILLA!Z8</f>
        <v>6.199444444444441</v>
      </c>
      <c r="H12" s="163">
        <f>PLANTILLA!AA8</f>
        <v>6.04</v>
      </c>
      <c r="I12" s="163">
        <f>PLANTILLA!AB8</f>
        <v>7.7227777777777789</v>
      </c>
      <c r="J12" s="163">
        <f>PLANTILLA!AC8</f>
        <v>4.383333333333332</v>
      </c>
      <c r="K12" s="163">
        <f>PLANTILLA!AD8</f>
        <v>15.349999999999998</v>
      </c>
      <c r="L12" s="615">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6"/>
      <c r="Z12" s="406">
        <f>R12</f>
        <v>2.357142857142857E-2</v>
      </c>
      <c r="AA12" s="406">
        <f t="shared" si="11"/>
        <v>2.357142857142857E-2</v>
      </c>
      <c r="AD12" t="s">
        <v>66</v>
      </c>
      <c r="AE12" t="s">
        <v>287</v>
      </c>
      <c r="AG12" t="s">
        <v>807</v>
      </c>
      <c r="AH12" t="s">
        <v>507</v>
      </c>
    </row>
    <row r="13" spans="1:34" x14ac:dyDescent="0.25">
      <c r="A13" s="287" t="str">
        <f>PLANTILLA!A10</f>
        <v>#3</v>
      </c>
      <c r="B13" s="219" t="str">
        <f>PLANTILLA!D10</f>
        <v>B. Bartolache</v>
      </c>
      <c r="C13" s="287">
        <f>PLANTILLA!E10</f>
        <v>31</v>
      </c>
      <c r="D13" s="287">
        <f ca="1">PLANTILLA!F10</f>
        <v>9</v>
      </c>
      <c r="E13" s="163">
        <f>PLANTILLA!X10</f>
        <v>0</v>
      </c>
      <c r="F13" s="163">
        <f>PLANTILLA!Y10</f>
        <v>11.749999999999996</v>
      </c>
      <c r="G13" s="163">
        <f>PLANTILLA!Z10</f>
        <v>7.0025000000000022</v>
      </c>
      <c r="H13" s="163">
        <f>PLANTILLA!AA10</f>
        <v>7.4300000000000015</v>
      </c>
      <c r="I13" s="163">
        <f>PLANTILLA!AB10</f>
        <v>9.0199999999999978</v>
      </c>
      <c r="J13" s="163">
        <f>PLANTILLA!AC10</f>
        <v>4.6199999999999966</v>
      </c>
      <c r="K13" s="163">
        <f>PLANTILLA!AD10</f>
        <v>15.6</v>
      </c>
      <c r="L13" s="615">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6"/>
      <c r="Z13" s="406">
        <f>S13</f>
        <v>2.0875000000000001E-2</v>
      </c>
      <c r="AA13" s="406">
        <f t="shared" si="11"/>
        <v>2.0875000000000001E-2</v>
      </c>
      <c r="AD13" t="s">
        <v>66</v>
      </c>
      <c r="AE13" t="s">
        <v>507</v>
      </c>
      <c r="AG13" t="s">
        <v>66</v>
      </c>
      <c r="AH13" t="s">
        <v>287</v>
      </c>
    </row>
    <row r="14" spans="1:34" x14ac:dyDescent="0.25">
      <c r="A14" s="287" t="str">
        <f>PLANTILLA!A9</f>
        <v>#2</v>
      </c>
      <c r="B14" s="671" t="str">
        <f>PLANTILLA!D9</f>
        <v>E. Toney</v>
      </c>
      <c r="C14" s="287">
        <f>PLANTILLA!E9</f>
        <v>31</v>
      </c>
      <c r="D14" s="287">
        <f ca="1">PLANTILLA!F9</f>
        <v>24</v>
      </c>
      <c r="E14" s="163">
        <f>PLANTILLA!X9</f>
        <v>0</v>
      </c>
      <c r="F14" s="163">
        <f>PLANTILLA!Y9</f>
        <v>12.130000000000004</v>
      </c>
      <c r="G14" s="163">
        <f>PLANTILLA!Z9</f>
        <v>13.156555555555553</v>
      </c>
      <c r="H14" s="163">
        <f>PLANTILLA!AA9</f>
        <v>9.8200000000000056</v>
      </c>
      <c r="I14" s="163">
        <f>PLANTILLA!AB9</f>
        <v>9.6</v>
      </c>
      <c r="J14" s="163">
        <f>PLANTILLA!AC9</f>
        <v>3.6816666666666658</v>
      </c>
      <c r="K14" s="163">
        <f>PLANTILLA!AD9</f>
        <v>16.627777777777773</v>
      </c>
      <c r="L14" s="615">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6">
        <f>P14</f>
        <v>1.2421052631578946E-2</v>
      </c>
      <c r="Z14" s="406">
        <f>Q14</f>
        <v>1.9105263157894736E-2</v>
      </c>
      <c r="AA14" s="406">
        <f t="shared" si="11"/>
        <v>1.9105263157894736E-2</v>
      </c>
    </row>
    <row r="15" spans="1:34" x14ac:dyDescent="0.25">
      <c r="A15" s="287" t="str">
        <f>PLANTILLA!A23</f>
        <v>#18</v>
      </c>
      <c r="B15" s="671" t="str">
        <f>PLANTILLA!D23</f>
        <v>L. Calosso</v>
      </c>
      <c r="C15" s="287">
        <f>PLANTILLA!E23</f>
        <v>30</v>
      </c>
      <c r="D15" s="287">
        <f ca="1">PLANTILLA!F23</f>
        <v>54</v>
      </c>
      <c r="E15" s="163">
        <f>PLANTILLA!X23</f>
        <v>0</v>
      </c>
      <c r="F15" s="163">
        <f>PLANTILLA!Y23</f>
        <v>3</v>
      </c>
      <c r="G15" s="163">
        <f>PLANTILLA!Z23</f>
        <v>14.137609523809523</v>
      </c>
      <c r="H15" s="163">
        <f>PLANTILLA!AA23</f>
        <v>3.02</v>
      </c>
      <c r="I15" s="163">
        <f>PLANTILLA!AB23</f>
        <v>15.02</v>
      </c>
      <c r="J15" s="163">
        <f>PLANTILLA!AC23</f>
        <v>10</v>
      </c>
      <c r="K15" s="163">
        <f>PLANTILLA!AD23</f>
        <v>9.3000000000000007</v>
      </c>
      <c r="L15" s="615">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6">
        <f>W15</f>
        <v>1.7652173913043478E-2</v>
      </c>
      <c r="Z15" s="406">
        <f>W15</f>
        <v>1.7652173913043478E-2</v>
      </c>
      <c r="AA15" s="406">
        <f t="shared" si="11"/>
        <v>1.7652173913043478E-2</v>
      </c>
    </row>
    <row r="16" spans="1:34" x14ac:dyDescent="0.25">
      <c r="A16" s="287" t="str">
        <f>PLANTILLA!A17</f>
        <v>#12</v>
      </c>
      <c r="B16" s="219" t="str">
        <f>PLANTILLA!D17</f>
        <v>E. Gross</v>
      </c>
      <c r="C16" s="287">
        <f>PLANTILLA!E17</f>
        <v>30</v>
      </c>
      <c r="D16" s="287">
        <f ca="1">PLANTILLA!F17</f>
        <v>85</v>
      </c>
      <c r="E16" s="163">
        <f>PLANTILLA!X17</f>
        <v>0</v>
      </c>
      <c r="F16" s="163">
        <f>PLANTILLA!Y17</f>
        <v>10.449999999999996</v>
      </c>
      <c r="G16" s="163">
        <f>PLANTILLA!Z17</f>
        <v>12.869777777777777</v>
      </c>
      <c r="H16" s="163">
        <f>PLANTILLA!AA17</f>
        <v>5.1299999999999981</v>
      </c>
      <c r="I16" s="163">
        <f>PLANTILLA!AB17</f>
        <v>9.24</v>
      </c>
      <c r="J16" s="163">
        <f>PLANTILLA!AC17</f>
        <v>2.98</v>
      </c>
      <c r="K16" s="163">
        <f>PLANTILLA!AD17</f>
        <v>16.959999999999997</v>
      </c>
      <c r="L16" s="615">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6">
        <f>P16</f>
        <v>1.6857142857142855E-2</v>
      </c>
      <c r="Z16" s="406">
        <f>P16</f>
        <v>1.6857142857142855E-2</v>
      </c>
      <c r="AA16" s="406">
        <f t="shared" si="11"/>
        <v>1.6857142857142855E-2</v>
      </c>
    </row>
    <row r="17" spans="1:27" x14ac:dyDescent="0.25">
      <c r="A17" s="287" t="str">
        <f>PLANTILLA!A7</f>
        <v>#17</v>
      </c>
      <c r="B17" s="219" t="str">
        <f>PLANTILLA!D7</f>
        <v>B. Pinczehelyi</v>
      </c>
      <c r="C17" s="287">
        <f>PLANTILLA!E7</f>
        <v>30</v>
      </c>
      <c r="D17" s="287">
        <f ca="1">PLANTILLA!F7</f>
        <v>25</v>
      </c>
      <c r="E17" s="163">
        <f>PLANTILLA!X7</f>
        <v>0</v>
      </c>
      <c r="F17" s="163">
        <f>PLANTILLA!Y7</f>
        <v>14.250000000000004</v>
      </c>
      <c r="G17" s="163">
        <f>PLANTILLA!Z7</f>
        <v>9.3193333333333346</v>
      </c>
      <c r="H17" s="163">
        <f>PLANTILLA!AA7</f>
        <v>14.291666666666663</v>
      </c>
      <c r="I17" s="163">
        <f>PLANTILLA!AB7</f>
        <v>9.4199999999999982</v>
      </c>
      <c r="J17" s="163">
        <f>PLANTILLA!AC7</f>
        <v>1.1428571428571428</v>
      </c>
      <c r="K17" s="163">
        <f>PLANTILLA!AD7</f>
        <v>9.4</v>
      </c>
      <c r="L17" s="615">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6">
        <f>S17</f>
        <v>1.5181818181818183E-2</v>
      </c>
      <c r="Z17" s="406">
        <f>S17</f>
        <v>1.5181818181818183E-2</v>
      </c>
      <c r="AA17" s="406">
        <f t="shared" si="11"/>
        <v>1.5181818181818183E-2</v>
      </c>
    </row>
    <row r="18" spans="1:27" x14ac:dyDescent="0.25">
      <c r="A18" s="287" t="str">
        <f>PLANTILLA!A24</f>
        <v>#15</v>
      </c>
      <c r="B18" s="287" t="str">
        <f>PLANTILLA!D24</f>
        <v>P .Trivadi</v>
      </c>
      <c r="C18" s="287">
        <f>PLANTILLA!E24</f>
        <v>27</v>
      </c>
      <c r="D18" s="287">
        <f ca="1">PLANTILLA!F24</f>
        <v>16</v>
      </c>
      <c r="E18" s="163">
        <f>PLANTILLA!X24</f>
        <v>0</v>
      </c>
      <c r="F18" s="163">
        <f>PLANTILLA!Y24</f>
        <v>4.01</v>
      </c>
      <c r="G18" s="163">
        <f>PLANTILLA!Z24</f>
        <v>5.5538722222222203</v>
      </c>
      <c r="H18" s="163">
        <f>PLANTILLA!AA24</f>
        <v>5.4899999999999993</v>
      </c>
      <c r="I18" s="163">
        <f>PLANTILLA!AB24</f>
        <v>10.799999999999999</v>
      </c>
      <c r="J18" s="163">
        <f>PLANTILLA!AC24</f>
        <v>8.384500000000001</v>
      </c>
      <c r="K18" s="163">
        <f>PLANTILLA!AD24</f>
        <v>13.566666666666668</v>
      </c>
      <c r="L18" s="615">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6">
        <v>0</v>
      </c>
      <c r="Z18" s="406">
        <v>0</v>
      </c>
      <c r="AA18" s="406">
        <f t="shared" si="11"/>
        <v>0</v>
      </c>
    </row>
    <row r="19" spans="1:27" x14ac:dyDescent="0.25">
      <c r="A19" s="287" t="str">
        <f>PLANTILLA!A5</f>
        <v>#1</v>
      </c>
      <c r="B19" s="287" t="str">
        <f>PLANTILLA!D5</f>
        <v>D. Gehmacher</v>
      </c>
      <c r="C19" s="287">
        <f>PLANTILLA!E5</f>
        <v>30</v>
      </c>
      <c r="D19" s="287">
        <f ca="1">PLANTILLA!F5</f>
        <v>13</v>
      </c>
      <c r="E19" s="163">
        <f>PLANTILLA!X5</f>
        <v>16.666666666666668</v>
      </c>
      <c r="F19" s="163">
        <f>PLANTILLA!Y5</f>
        <v>12.003636363636367</v>
      </c>
      <c r="G19" s="163">
        <f>PLANTILLA!Z5</f>
        <v>2.0499999999999989</v>
      </c>
      <c r="H19" s="163">
        <f>PLANTILLA!AA5</f>
        <v>2.1399999999999992</v>
      </c>
      <c r="I19" s="163">
        <f>PLANTILLA!AB5</f>
        <v>1.0400000000000003</v>
      </c>
      <c r="J19" s="163">
        <f>PLANTILLA!AC5</f>
        <v>0.14055555555555557</v>
      </c>
      <c r="K19" s="163">
        <f>PLANTILLA!AD5</f>
        <v>17.849999999999998</v>
      </c>
      <c r="L19" s="615">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6">
        <f>O19</f>
        <v>0</v>
      </c>
      <c r="Z19" s="406">
        <f>O19</f>
        <v>0</v>
      </c>
      <c r="AA19" s="406">
        <f t="shared" si="11"/>
        <v>0</v>
      </c>
    </row>
    <row r="20" spans="1:27" x14ac:dyDescent="0.25">
      <c r="A20" s="287" t="str">
        <f>PLANTILLA!A6</f>
        <v>#16</v>
      </c>
      <c r="B20" s="287" t="str">
        <f>PLANTILLA!D6</f>
        <v>T. Hammond</v>
      </c>
      <c r="C20" s="287">
        <f>PLANTILLA!E6</f>
        <v>34</v>
      </c>
      <c r="D20" s="287">
        <f ca="1">PLANTILLA!F6</f>
        <v>22</v>
      </c>
      <c r="E20" s="163">
        <f>PLANTILLA!X6</f>
        <v>10.3</v>
      </c>
      <c r="F20" s="163">
        <f>PLANTILLA!Y6</f>
        <v>10.804999999999998</v>
      </c>
      <c r="G20" s="163">
        <f>PLANTILLA!Z6</f>
        <v>4.6400000000000006</v>
      </c>
      <c r="H20" s="163">
        <f>PLANTILLA!AA6</f>
        <v>4.95</v>
      </c>
      <c r="I20" s="163">
        <f>PLANTILLA!AB6</f>
        <v>6.5444444444444434</v>
      </c>
      <c r="J20" s="163">
        <f>PLANTILLA!AC6</f>
        <v>3.99</v>
      </c>
      <c r="K20" s="163">
        <f>PLANTILLA!AD6</f>
        <v>15.778888888888888</v>
      </c>
      <c r="L20" s="615"/>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6"/>
      <c r="Z20" s="406"/>
      <c r="AA20" s="406">
        <f t="shared" si="11"/>
        <v>0</v>
      </c>
    </row>
    <row r="21" spans="1:27" x14ac:dyDescent="0.25">
      <c r="A21" s="287" t="str">
        <f>PLANTILLA!A11</f>
        <v>#13</v>
      </c>
      <c r="B21" s="287" t="str">
        <f>PLANTILLA!D11</f>
        <v>F. Lasprilla</v>
      </c>
      <c r="C21" s="287">
        <f>PLANTILLA!E11</f>
        <v>27</v>
      </c>
      <c r="D21" s="287">
        <f ca="1">PLANTILLA!F11</f>
        <v>32</v>
      </c>
      <c r="E21" s="163">
        <f>PLANTILLA!X11</f>
        <v>0</v>
      </c>
      <c r="F21" s="163">
        <f>PLANTILLA!Y11</f>
        <v>9.5996666666666659</v>
      </c>
      <c r="G21" s="163">
        <f>PLANTILLA!Z11</f>
        <v>7.7507222222222225</v>
      </c>
      <c r="H21" s="163">
        <f>PLANTILLA!AA11</f>
        <v>6.1499999999999986</v>
      </c>
      <c r="I21" s="163">
        <f>PLANTILLA!AB11</f>
        <v>8.8633333333333315</v>
      </c>
      <c r="J21" s="163">
        <f>PLANTILLA!AC11</f>
        <v>3.2566666666666673</v>
      </c>
      <c r="K21" s="163">
        <f>PLANTILLA!AD11</f>
        <v>13.238888888888889</v>
      </c>
      <c r="L21" s="615"/>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6"/>
      <c r="Z21" s="406"/>
      <c r="AA21" s="406">
        <f t="shared" si="11"/>
        <v>0</v>
      </c>
    </row>
    <row r="22" spans="1:27" x14ac:dyDescent="0.25">
      <c r="A22" s="287" t="str">
        <f>PLANTILLA!A19</f>
        <v>#14</v>
      </c>
      <c r="B22" s="287" t="str">
        <f>PLANTILLA!D19</f>
        <v>W. Gelifini</v>
      </c>
      <c r="C22" s="287">
        <f>PLANTILLA!E19</f>
        <v>29</v>
      </c>
      <c r="D22" s="287">
        <f ca="1">PLANTILLA!F19</f>
        <v>10</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615"/>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6"/>
      <c r="Z22" s="406"/>
      <c r="AA22" s="406">
        <f t="shared" si="11"/>
        <v>0</v>
      </c>
    </row>
    <row r="23" spans="1:27" x14ac:dyDescent="0.25">
      <c r="A23" s="287" t="str">
        <f>PLANTILLA!A20</f>
        <v>#89</v>
      </c>
      <c r="B23" s="287" t="str">
        <f>PLANTILLA!D20</f>
        <v>M. Amico</v>
      </c>
      <c r="C23" s="287">
        <f>PLANTILLA!E20</f>
        <v>29</v>
      </c>
      <c r="D23" s="287">
        <f ca="1">PLANTILLA!F20</f>
        <v>17</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6"/>
      <c r="Z23" s="406"/>
      <c r="AA23" s="406">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42585</v>
      </c>
      <c r="Y2" s="619">
        <f>SUM(Y4:Y22)</f>
        <v>0.24062111707736711</v>
      </c>
      <c r="Z2" s="619">
        <f>SUM(Z4:Z22)</f>
        <v>0.19504062465312466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PLANTILLA!A22</f>
        <v>#9</v>
      </c>
      <c r="B4" s="670" t="str">
        <f>PLANTILLA!D22</f>
        <v>J. Limon</v>
      </c>
      <c r="C4" s="287">
        <f>PLANTILLA!E22</f>
        <v>29</v>
      </c>
      <c r="D4" s="287">
        <f ca="1">PLANTILLA!F22</f>
        <v>97</v>
      </c>
      <c r="E4" s="163">
        <f>PLANTILLA!X22</f>
        <v>0</v>
      </c>
      <c r="F4" s="163">
        <f>PLANTILLA!Y22</f>
        <v>6.8276190476190495</v>
      </c>
      <c r="G4" s="163">
        <f>PLANTILLA!Z22</f>
        <v>8.625</v>
      </c>
      <c r="H4" s="163">
        <f>PLANTILLA!AA22</f>
        <v>8.7299999999999969</v>
      </c>
      <c r="I4" s="163">
        <f>PLANTILLA!AB22</f>
        <v>9.6900000000000013</v>
      </c>
      <c r="J4" s="163">
        <f>PLANTILLA!AC22</f>
        <v>8.5625000000000018</v>
      </c>
      <c r="K4" s="163">
        <f>PLANTILLA!AD22</f>
        <v>18.639999999999993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6">
        <f>W4</f>
        <v>4.7065340909090911E-2</v>
      </c>
      <c r="Z4" s="406"/>
      <c r="AA4" s="406">
        <f t="shared" ref="AA4:AA23" si="6">MAX(Z4,Y4)</f>
        <v>4.7065340909090911E-2</v>
      </c>
      <c r="AD4" t="s">
        <v>804</v>
      </c>
      <c r="AE4" s="635" t="s">
        <v>857</v>
      </c>
      <c r="AG4" t="s">
        <v>804</v>
      </c>
      <c r="AH4" s="635" t="str">
        <f>AE4</f>
        <v>B. Pinczehelyi</v>
      </c>
    </row>
    <row r="5" spans="1:34" x14ac:dyDescent="0.25">
      <c r="A5" s="287" t="str">
        <f>PLANTILLA!A18</f>
        <v>#5</v>
      </c>
      <c r="B5" s="670" t="str">
        <f>PLANTILLA!D18</f>
        <v>L. Bauman</v>
      </c>
      <c r="C5" s="287">
        <f>PLANTILLA!E18</f>
        <v>30</v>
      </c>
      <c r="D5" s="287">
        <f ca="1">PLANTILLA!F18</f>
        <v>60</v>
      </c>
      <c r="E5" s="163">
        <f>PLANTILLA!X18</f>
        <v>0</v>
      </c>
      <c r="F5" s="163">
        <f>PLANTILLA!Y18</f>
        <v>5.4311111111111119</v>
      </c>
      <c r="G5" s="163">
        <f>PLANTILLA!Z18</f>
        <v>14.331408994708985</v>
      </c>
      <c r="H5" s="163">
        <f>PLANTILLA!AA18</f>
        <v>3.5124999999999993</v>
      </c>
      <c r="I5" s="163">
        <f>PLANTILLA!AB18</f>
        <v>9.1400000000000041</v>
      </c>
      <c r="J5" s="163">
        <f>PLANTILLA!AC18</f>
        <v>7.4318888888888894</v>
      </c>
      <c r="K5" s="163">
        <f>PLANTILLA!AD18</f>
        <v>16.07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6">
        <f>T5</f>
        <v>4.0351010101010096E-2</v>
      </c>
      <c r="Z5" s="406">
        <f>W5</f>
        <v>4.183585858585858E-2</v>
      </c>
      <c r="AA5" s="406">
        <f t="shared" si="6"/>
        <v>4.183585858585858E-2</v>
      </c>
      <c r="AD5" t="s">
        <v>805</v>
      </c>
      <c r="AE5" t="s">
        <v>272</v>
      </c>
      <c r="AG5" t="s">
        <v>816</v>
      </c>
      <c r="AH5" t="s">
        <v>273</v>
      </c>
    </row>
    <row r="6" spans="1:34" x14ac:dyDescent="0.25">
      <c r="A6" s="287" t="str">
        <f>PLANTILLA!A15</f>
        <v>#6</v>
      </c>
      <c r="B6" s="670" t="str">
        <f>PLANTILLA!D15</f>
        <v>S. Buschelman</v>
      </c>
      <c r="C6" s="287">
        <f>PLANTILLA!E15</f>
        <v>29</v>
      </c>
      <c r="D6" s="287">
        <f ca="1">PLANTILLA!F15</f>
        <v>57</v>
      </c>
      <c r="E6" s="163">
        <f>PLANTILLA!X15</f>
        <v>0</v>
      </c>
      <c r="F6" s="163">
        <f>PLANTILLA!Y15</f>
        <v>9.2036666666666651</v>
      </c>
      <c r="G6" s="163">
        <f>PLANTILLA!Z15</f>
        <v>13.759999999999998</v>
      </c>
      <c r="H6" s="163">
        <f>PLANTILLA!AA15</f>
        <v>12.835000000000001</v>
      </c>
      <c r="I6" s="163">
        <f>PLANTILLA!AB15</f>
        <v>9.6733333333333356</v>
      </c>
      <c r="J6" s="163">
        <f>PLANTILLA!AC15</f>
        <v>5.0296666666666656</v>
      </c>
      <c r="K6" s="163">
        <f>PLANTILLA!AD15</f>
        <v>15.2</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6">
        <f>U6</f>
        <v>3.5380681818181818E-2</v>
      </c>
      <c r="Z6" s="406">
        <f>U6</f>
        <v>3.5380681818181818E-2</v>
      </c>
      <c r="AA6" s="406">
        <f t="shared" si="6"/>
        <v>3.5380681818181818E-2</v>
      </c>
      <c r="AD6" t="s">
        <v>804</v>
      </c>
      <c r="AE6" t="s">
        <v>269</v>
      </c>
      <c r="AG6" t="s">
        <v>815</v>
      </c>
      <c r="AH6" t="s">
        <v>269</v>
      </c>
    </row>
    <row r="7" spans="1:34" x14ac:dyDescent="0.25">
      <c r="A7" s="287" t="str">
        <f>PLANTILLA!A21</f>
        <v>#19</v>
      </c>
      <c r="B7" s="670" t="str">
        <f>PLANTILLA!D21</f>
        <v>G. Kerschl</v>
      </c>
      <c r="C7" s="287">
        <f>PLANTILLA!E21</f>
        <v>28</v>
      </c>
      <c r="D7" s="287">
        <f ca="1">PLANTILLA!F21</f>
        <v>87</v>
      </c>
      <c r="E7" s="163">
        <f>PLANTILLA!X21</f>
        <v>0</v>
      </c>
      <c r="F7" s="163">
        <f>PLANTILLA!Y21</f>
        <v>2.2000000000000002</v>
      </c>
      <c r="G7" s="163">
        <f>PLANTILLA!Z21</f>
        <v>14.600000000000001</v>
      </c>
      <c r="H7" s="163">
        <f>PLANTILLA!AA21</f>
        <v>12.01</v>
      </c>
      <c r="I7" s="163">
        <f>PLANTILLA!AB21</f>
        <v>12</v>
      </c>
      <c r="J7" s="163">
        <f>PLANTILLA!AC21</f>
        <v>8</v>
      </c>
      <c r="K7" s="163">
        <f>PLANTILLA!AD21</f>
        <v>2</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6">
        <f>W7</f>
        <v>2.6894480519480523E-2</v>
      </c>
      <c r="Z7" s="406">
        <f>W7</f>
        <v>2.6894480519480523E-2</v>
      </c>
      <c r="AA7" s="406">
        <f t="shared" si="6"/>
        <v>2.6894480519480523E-2</v>
      </c>
      <c r="AD7" t="s">
        <v>503</v>
      </c>
      <c r="AE7" t="s">
        <v>618</v>
      </c>
      <c r="AG7" t="s">
        <v>816</v>
      </c>
      <c r="AH7" t="s">
        <v>275</v>
      </c>
    </row>
    <row r="8" spans="1:34" x14ac:dyDescent="0.25">
      <c r="A8" s="287" t="str">
        <f>PLANTILLA!A16</f>
        <v>#4</v>
      </c>
      <c r="B8" s="670" t="str">
        <f>PLANTILLA!D16</f>
        <v>C. Rojas</v>
      </c>
      <c r="C8" s="287">
        <f>PLANTILLA!E16</f>
        <v>31</v>
      </c>
      <c r="D8" s="287">
        <f ca="1">PLANTILLA!F16</f>
        <v>91</v>
      </c>
      <c r="E8" s="163">
        <f>PLANTILLA!X16</f>
        <v>0</v>
      </c>
      <c r="F8" s="163">
        <f>PLANTILLA!Y16</f>
        <v>8.6175555555555583</v>
      </c>
      <c r="G8" s="163">
        <f>PLANTILLA!Z16</f>
        <v>14.238017460317453</v>
      </c>
      <c r="H8" s="163">
        <f>PLANTILLA!AA16</f>
        <v>9.99</v>
      </c>
      <c r="I8" s="163">
        <f>PLANTILLA!AB16</f>
        <v>10.09</v>
      </c>
      <c r="J8" s="163">
        <f>PLANTILLA!AC16</f>
        <v>4.3999999999999995</v>
      </c>
      <c r="K8" s="163">
        <f>PLANTILLA!AD16</f>
        <v>16.544444444444441</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6">
        <f>U8</f>
        <v>2.3587121212121212E-2</v>
      </c>
      <c r="Z8" s="406">
        <f>U8</f>
        <v>2.3587121212121212E-2</v>
      </c>
      <c r="AA8" s="406">
        <f t="shared" si="6"/>
        <v>2.3587121212121212E-2</v>
      </c>
      <c r="AD8" t="s">
        <v>806</v>
      </c>
      <c r="AE8" t="s">
        <v>400</v>
      </c>
      <c r="AG8" t="s">
        <v>804</v>
      </c>
      <c r="AH8" t="s">
        <v>817</v>
      </c>
    </row>
    <row r="9" spans="1:34" x14ac:dyDescent="0.25">
      <c r="A9" s="287" t="str">
        <f>PLANTILLA!A13</f>
        <v>#11</v>
      </c>
      <c r="B9" s="670" t="str">
        <f>PLANTILLA!D13</f>
        <v>K. Helms</v>
      </c>
      <c r="C9" s="287">
        <f>PLANTILLA!E13</f>
        <v>30</v>
      </c>
      <c r="D9" s="287">
        <f ca="1">PLANTILLA!F13</f>
        <v>45</v>
      </c>
      <c r="E9" s="163">
        <f>PLANTILLA!X13</f>
        <v>0</v>
      </c>
      <c r="F9" s="163">
        <f>PLANTILLA!Y13</f>
        <v>7.2200000000000006</v>
      </c>
      <c r="G9" s="163">
        <f>PLANTILLA!Z13</f>
        <v>10.500000000000004</v>
      </c>
      <c r="H9" s="163">
        <f>PLANTILLA!AA13</f>
        <v>13.388333333333334</v>
      </c>
      <c r="I9" s="163">
        <f>PLANTILLA!AB13</f>
        <v>10.359999999999998</v>
      </c>
      <c r="J9" s="163">
        <f>PLANTILLA!AC13</f>
        <v>5.4050000000000002</v>
      </c>
      <c r="K9" s="163">
        <f>PLANTILLA!AD13</f>
        <v>17.300000000000004</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6">
        <f>V9</f>
        <v>1.9088636363636363E-2</v>
      </c>
      <c r="Z9" s="406">
        <f>V9</f>
        <v>1.9088636363636363E-2</v>
      </c>
      <c r="AA9" s="406">
        <f t="shared" si="6"/>
        <v>1.9088636363636363E-2</v>
      </c>
      <c r="AD9" t="s">
        <v>503</v>
      </c>
      <c r="AE9" t="s">
        <v>285</v>
      </c>
      <c r="AG9" t="s">
        <v>503</v>
      </c>
      <c r="AH9" t="s">
        <v>285</v>
      </c>
    </row>
    <row r="10" spans="1:34" x14ac:dyDescent="0.25">
      <c r="A10" s="287" t="str">
        <f>PLANTILLA!A14</f>
        <v>#10</v>
      </c>
      <c r="B10" s="670" t="str">
        <f>PLANTILLA!D14</f>
        <v>S. Zobbe</v>
      </c>
      <c r="C10" s="287">
        <f>PLANTILLA!E14</f>
        <v>27</v>
      </c>
      <c r="D10" s="287">
        <f ca="1">PLANTILLA!F14</f>
        <v>60</v>
      </c>
      <c r="E10" s="163">
        <f>PLANTILLA!X14</f>
        <v>0</v>
      </c>
      <c r="F10" s="163">
        <f>PLANTILLA!Y14</f>
        <v>8.2399999999999984</v>
      </c>
      <c r="G10" s="163">
        <f>PLANTILLA!Z14</f>
        <v>12.158412698412699</v>
      </c>
      <c r="H10" s="163">
        <f>PLANTILLA!AA14</f>
        <v>12.25</v>
      </c>
      <c r="I10" s="163">
        <f>PLANTILLA!AB14</f>
        <v>10.24</v>
      </c>
      <c r="J10" s="163">
        <f>PLANTILLA!AC14</f>
        <v>7.4766666666666666</v>
      </c>
      <c r="K10" s="163">
        <f>PLANTILLA!AD14</f>
        <v>15.270000000000001</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6">
        <f>V10</f>
        <v>1.9088636363636363E-2</v>
      </c>
      <c r="Z10" s="406">
        <f>V10</f>
        <v>1.9088636363636363E-2</v>
      </c>
      <c r="AA10" s="406">
        <f t="shared" si="6"/>
        <v>1.9088636363636363E-2</v>
      </c>
      <c r="AD10" t="s">
        <v>807</v>
      </c>
      <c r="AE10" t="s">
        <v>817</v>
      </c>
      <c r="AG10" t="s">
        <v>503</v>
      </c>
      <c r="AH10" t="s">
        <v>618</v>
      </c>
    </row>
    <row r="11" spans="1:34" x14ac:dyDescent="0.25">
      <c r="A11" s="287" t="str">
        <f>PLANTILLA!A12</f>
        <v>#7</v>
      </c>
      <c r="B11" s="670" t="str">
        <f>PLANTILLA!D12</f>
        <v>E. Romweber</v>
      </c>
      <c r="C11" s="287">
        <f>PLANTILLA!E12</f>
        <v>30</v>
      </c>
      <c r="D11" s="287">
        <f ca="1">PLANTILLA!F12</f>
        <v>98</v>
      </c>
      <c r="E11" s="163">
        <f>PLANTILLA!X12</f>
        <v>0</v>
      </c>
      <c r="F11" s="163">
        <f>PLANTILLA!Y12</f>
        <v>12.005555555555555</v>
      </c>
      <c r="G11" s="163">
        <f>PLANTILLA!Z12</f>
        <v>12.534111111111114</v>
      </c>
      <c r="H11" s="163">
        <f>PLANTILLA!AA12</f>
        <v>13.133333333333335</v>
      </c>
      <c r="I11" s="163">
        <f>PLANTILLA!AB12</f>
        <v>10.91</v>
      </c>
      <c r="J11" s="163">
        <f>PLANTILLA!AC12</f>
        <v>7.7700000000000005</v>
      </c>
      <c r="K11" s="163">
        <f>PLANTILLA!AD12</f>
        <v>17.13</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6">
        <f>V11</f>
        <v>1.4683566433566433E-2</v>
      </c>
      <c r="Z11" s="406">
        <f>V11</f>
        <v>1.4683566433566433E-2</v>
      </c>
      <c r="AA11" s="406">
        <f t="shared" si="6"/>
        <v>1.4683566433566433E-2</v>
      </c>
      <c r="AD11" t="s">
        <v>807</v>
      </c>
      <c r="AE11" t="s">
        <v>298</v>
      </c>
      <c r="AG11" t="s">
        <v>807</v>
      </c>
      <c r="AH11" t="s">
        <v>298</v>
      </c>
    </row>
    <row r="12" spans="1:34" x14ac:dyDescent="0.25">
      <c r="A12" s="287" t="str">
        <f>PLANTILLA!A23</f>
        <v>#18</v>
      </c>
      <c r="B12" s="670" t="str">
        <f>PLANTILLA!D23</f>
        <v>L. Calosso</v>
      </c>
      <c r="C12" s="287">
        <f>PLANTILLA!E23</f>
        <v>30</v>
      </c>
      <c r="D12" s="287">
        <f ca="1">PLANTILLA!F23</f>
        <v>54</v>
      </c>
      <c r="E12" s="163">
        <f>PLANTILLA!X23</f>
        <v>0</v>
      </c>
      <c r="F12" s="163">
        <f>PLANTILLA!Y23</f>
        <v>3</v>
      </c>
      <c r="G12" s="163">
        <f>PLANTILLA!Z23</f>
        <v>14.137609523809523</v>
      </c>
      <c r="H12" s="163">
        <f>PLANTILLA!AA23</f>
        <v>3.02</v>
      </c>
      <c r="I12" s="163">
        <f>PLANTILLA!AB23</f>
        <v>15.02</v>
      </c>
      <c r="J12" s="163">
        <f>PLANTILLA!AC23</f>
        <v>10</v>
      </c>
      <c r="K12" s="163">
        <f>PLANTILLA!AD23</f>
        <v>9.3000000000000007</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6">
        <f>W12</f>
        <v>1.448164335664336E-2</v>
      </c>
      <c r="Z12" s="406">
        <f>W12</f>
        <v>1.448164335664336E-2</v>
      </c>
      <c r="AA12" s="406">
        <f t="shared" si="6"/>
        <v>1.448164335664336E-2</v>
      </c>
      <c r="AD12" t="s">
        <v>66</v>
      </c>
      <c r="AE12" t="s">
        <v>287</v>
      </c>
      <c r="AG12" t="s">
        <v>807</v>
      </c>
      <c r="AH12" t="s">
        <v>507</v>
      </c>
    </row>
    <row r="13" spans="1:34" x14ac:dyDescent="0.25">
      <c r="A13" s="287" t="str">
        <f>PLANTILLA!A24</f>
        <v>#15</v>
      </c>
      <c r="B13" s="670" t="str">
        <f>PLANTILLA!D24</f>
        <v>P .Trivadi</v>
      </c>
      <c r="C13" s="287">
        <f>PLANTILLA!E24</f>
        <v>27</v>
      </c>
      <c r="D13" s="287">
        <f ca="1">PLANTILLA!F24</f>
        <v>16</v>
      </c>
      <c r="E13" s="163">
        <f>PLANTILLA!X24</f>
        <v>0</v>
      </c>
      <c r="F13" s="163">
        <f>PLANTILLA!Y24</f>
        <v>4.01</v>
      </c>
      <c r="G13" s="163">
        <f>PLANTILLA!Z24</f>
        <v>5.5538722222222203</v>
      </c>
      <c r="H13" s="163">
        <f>PLANTILLA!AA24</f>
        <v>5.4899999999999993</v>
      </c>
      <c r="I13" s="163">
        <f>PLANTILLA!AB24</f>
        <v>10.799999999999999</v>
      </c>
      <c r="J13" s="163">
        <f>PLANTILLA!AC24</f>
        <v>8.384500000000001</v>
      </c>
      <c r="K13" s="163">
        <f>PLANTILLA!AD24</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6">
        <v>0</v>
      </c>
      <c r="Z13" s="406">
        <v>0</v>
      </c>
      <c r="AA13" s="406">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13</v>
      </c>
      <c r="E14" s="163">
        <f>PLANTILLA!X5</f>
        <v>16.666666666666668</v>
      </c>
      <c r="F14" s="163">
        <f>PLANTILLA!Y5</f>
        <v>12.003636363636367</v>
      </c>
      <c r="G14" s="163">
        <f>PLANTILLA!Z5</f>
        <v>2.0499999999999989</v>
      </c>
      <c r="H14" s="163">
        <f>PLANTILLA!AA5</f>
        <v>2.1399999999999992</v>
      </c>
      <c r="I14" s="163">
        <f>PLANTILLA!AB5</f>
        <v>1.0400000000000003</v>
      </c>
      <c r="J14" s="163">
        <f>PLANTILLA!AC5</f>
        <v>0.14055555555555557</v>
      </c>
      <c r="K14" s="163">
        <f>PLANTILLA!AD5</f>
        <v>17.849999999999998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6">
        <f>L14</f>
        <v>0</v>
      </c>
      <c r="Z14" s="406">
        <f>L14</f>
        <v>0</v>
      </c>
      <c r="AA14" s="406">
        <f t="shared" si="6"/>
        <v>0</v>
      </c>
    </row>
    <row r="15" spans="1:34" x14ac:dyDescent="0.25">
      <c r="A15" s="287" t="str">
        <f>PLANTILLA!A7</f>
        <v>#17</v>
      </c>
      <c r="B15" s="670" t="str">
        <f>PLANTILLA!D7</f>
        <v>B. Pinczehelyi</v>
      </c>
      <c r="C15" s="287">
        <f>PLANTILLA!E7</f>
        <v>30</v>
      </c>
      <c r="D15" s="287">
        <f ca="1">PLANTILLA!F7</f>
        <v>25</v>
      </c>
      <c r="E15" s="163">
        <f>PLANTILLA!X7</f>
        <v>0</v>
      </c>
      <c r="F15" s="163">
        <f>PLANTILLA!Y7</f>
        <v>14.250000000000004</v>
      </c>
      <c r="G15" s="163">
        <f>PLANTILLA!Z7</f>
        <v>9.3193333333333346</v>
      </c>
      <c r="H15" s="163">
        <f>PLANTILLA!AA7</f>
        <v>14.291666666666663</v>
      </c>
      <c r="I15" s="163">
        <f>PLANTILLA!AB7</f>
        <v>9.4199999999999982</v>
      </c>
      <c r="J15" s="163">
        <f>PLANTILLA!AC7</f>
        <v>1.1428571428571428</v>
      </c>
      <c r="K15" s="163">
        <f>PLANTILLA!AD7</f>
        <v>9.4</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6">
        <v>0</v>
      </c>
      <c r="Z15" s="406">
        <v>0</v>
      </c>
      <c r="AA15" s="406">
        <f t="shared" si="6"/>
        <v>0</v>
      </c>
    </row>
    <row r="16" spans="1:34" x14ac:dyDescent="0.25">
      <c r="A16" s="287" t="str">
        <f>PLANTILLA!A8</f>
        <v>#8</v>
      </c>
      <c r="B16" s="670" t="str">
        <f>PLANTILLA!D8</f>
        <v>D. Toh</v>
      </c>
      <c r="C16" s="287">
        <f>PLANTILLA!E8</f>
        <v>31</v>
      </c>
      <c r="D16" s="287">
        <f ca="1">PLANTILLA!F8</f>
        <v>70</v>
      </c>
      <c r="E16" s="163">
        <f>PLANTILLA!X8</f>
        <v>0</v>
      </c>
      <c r="F16" s="163">
        <f>PLANTILLA!Y8</f>
        <v>11.010666666666667</v>
      </c>
      <c r="G16" s="163">
        <f>PLANTILLA!Z8</f>
        <v>6.199444444444441</v>
      </c>
      <c r="H16" s="163">
        <f>PLANTILLA!AA8</f>
        <v>6.04</v>
      </c>
      <c r="I16" s="163">
        <f>PLANTILLA!AB8</f>
        <v>7.7227777777777789</v>
      </c>
      <c r="J16" s="163">
        <f>PLANTILLA!AC8</f>
        <v>4.383333333333332</v>
      </c>
      <c r="K16" s="163">
        <f>PLANTILLA!AD8</f>
        <v>15.349999999999998</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6">
        <v>0</v>
      </c>
      <c r="Z16" s="406">
        <v>0</v>
      </c>
      <c r="AA16" s="406">
        <f t="shared" si="6"/>
        <v>0</v>
      </c>
    </row>
    <row r="17" spans="1:27" x14ac:dyDescent="0.25">
      <c r="A17" s="287" t="str">
        <f>PLANTILLA!A9</f>
        <v>#2</v>
      </c>
      <c r="B17" s="670" t="str">
        <f>PLANTILLA!D9</f>
        <v>E. Toney</v>
      </c>
      <c r="C17" s="287">
        <f>PLANTILLA!E9</f>
        <v>31</v>
      </c>
      <c r="D17" s="287">
        <f ca="1">PLANTILLA!F9</f>
        <v>24</v>
      </c>
      <c r="E17" s="163">
        <f>PLANTILLA!X9</f>
        <v>0</v>
      </c>
      <c r="F17" s="163">
        <f>PLANTILLA!Y9</f>
        <v>12.130000000000004</v>
      </c>
      <c r="G17" s="163">
        <f>PLANTILLA!Z9</f>
        <v>13.156555555555553</v>
      </c>
      <c r="H17" s="163">
        <f>PLANTILLA!AA9</f>
        <v>9.8200000000000056</v>
      </c>
      <c r="I17" s="163">
        <f>PLANTILLA!AB9</f>
        <v>9.6</v>
      </c>
      <c r="J17" s="163">
        <f>PLANTILLA!AC9</f>
        <v>3.6816666666666658</v>
      </c>
      <c r="K17" s="163">
        <f>PLANTILLA!AD9</f>
        <v>16.627777777777773</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6">
        <f>S17</f>
        <v>0</v>
      </c>
      <c r="Z17" s="406">
        <f>S17</f>
        <v>0</v>
      </c>
      <c r="AA17" s="406">
        <f t="shared" si="6"/>
        <v>0</v>
      </c>
    </row>
    <row r="18" spans="1:27" x14ac:dyDescent="0.25">
      <c r="A18" s="287" t="str">
        <f>PLANTILLA!A17</f>
        <v>#12</v>
      </c>
      <c r="B18" s="670" t="str">
        <f>PLANTILLA!D17</f>
        <v>E. Gross</v>
      </c>
      <c r="C18" s="287">
        <f>PLANTILLA!E17</f>
        <v>30</v>
      </c>
      <c r="D18" s="287">
        <f ca="1">PLANTILLA!F17</f>
        <v>85</v>
      </c>
      <c r="E18" s="163">
        <f>PLANTILLA!X17</f>
        <v>0</v>
      </c>
      <c r="F18" s="163">
        <f>PLANTILLA!Y17</f>
        <v>10.449999999999996</v>
      </c>
      <c r="G18" s="163">
        <f>PLANTILLA!Z17</f>
        <v>12.869777777777777</v>
      </c>
      <c r="H18" s="163">
        <f>PLANTILLA!AA17</f>
        <v>5.1299999999999981</v>
      </c>
      <c r="I18" s="163">
        <f>PLANTILLA!AB17</f>
        <v>9.24</v>
      </c>
      <c r="J18" s="163">
        <f>PLANTILLA!AC17</f>
        <v>2.98</v>
      </c>
      <c r="K18" s="163">
        <f>PLANTILLA!AD17</f>
        <v>16.959999999999997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6">
        <v>0</v>
      </c>
      <c r="Z18" s="406">
        <v>0</v>
      </c>
      <c r="AA18" s="406">
        <f t="shared" si="6"/>
        <v>0</v>
      </c>
    </row>
    <row r="19" spans="1:27" x14ac:dyDescent="0.25">
      <c r="A19" s="287" t="str">
        <f>PLANTILLA!A10</f>
        <v>#3</v>
      </c>
      <c r="B19" s="670" t="str">
        <f>PLANTILLA!D10</f>
        <v>B. Bartolache</v>
      </c>
      <c r="C19" s="287">
        <f>PLANTILLA!E10</f>
        <v>31</v>
      </c>
      <c r="D19" s="287">
        <f ca="1">PLANTILLA!F10</f>
        <v>9</v>
      </c>
      <c r="E19" s="163">
        <f>PLANTILLA!X10</f>
        <v>0</v>
      </c>
      <c r="F19" s="163">
        <f>PLANTILLA!Y10</f>
        <v>11.749999999999996</v>
      </c>
      <c r="G19" s="163">
        <f>PLANTILLA!Z10</f>
        <v>7.0025000000000022</v>
      </c>
      <c r="H19" s="163">
        <f>PLANTILLA!AA10</f>
        <v>7.4300000000000015</v>
      </c>
      <c r="I19" s="163">
        <f>PLANTILLA!AB10</f>
        <v>9.0199999999999978</v>
      </c>
      <c r="J19" s="163">
        <f>PLANTILLA!AC10</f>
        <v>4.6199999999999966</v>
      </c>
      <c r="K19" s="163">
        <f>PLANTILLA!AD10</f>
        <v>15.6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6">
        <v>0</v>
      </c>
      <c r="Z19" s="406">
        <f>S19</f>
        <v>0</v>
      </c>
      <c r="AA19" s="406">
        <f t="shared" si="6"/>
        <v>0</v>
      </c>
    </row>
    <row r="20" spans="1:27" x14ac:dyDescent="0.25">
      <c r="A20" s="287" t="str">
        <f>PLANTILLA!A6</f>
        <v>#16</v>
      </c>
      <c r="B20" s="287" t="str">
        <f>PLANTILLA!D6</f>
        <v>T. Hammond</v>
      </c>
      <c r="C20" s="287">
        <f>PLANTILLA!E6</f>
        <v>34</v>
      </c>
      <c r="D20" s="287">
        <f ca="1">PLANTILLA!F6</f>
        <v>22</v>
      </c>
      <c r="E20" s="163">
        <f>PLANTILLA!X6</f>
        <v>10.3</v>
      </c>
      <c r="F20" s="163">
        <f>PLANTILLA!Y6</f>
        <v>10.804999999999998</v>
      </c>
      <c r="G20" s="163">
        <f>PLANTILLA!Z6</f>
        <v>4.6400000000000006</v>
      </c>
      <c r="H20" s="163">
        <f>PLANTILLA!AA6</f>
        <v>4.95</v>
      </c>
      <c r="I20" s="163">
        <f>PLANTILLA!AB6</f>
        <v>6.5444444444444434</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6"/>
      <c r="Z20" s="406"/>
      <c r="AA20" s="406">
        <f t="shared" si="6"/>
        <v>0</v>
      </c>
    </row>
    <row r="21" spans="1:27" x14ac:dyDescent="0.25">
      <c r="A21" s="287" t="str">
        <f>PLANTILLA!A11</f>
        <v>#13</v>
      </c>
      <c r="B21" s="287" t="str">
        <f>PLANTILLA!D11</f>
        <v>F. Lasprilla</v>
      </c>
      <c r="C21" s="287">
        <f>PLANTILLA!E11</f>
        <v>27</v>
      </c>
      <c r="D21" s="287">
        <f ca="1">PLANTILLA!F11</f>
        <v>32</v>
      </c>
      <c r="E21" s="163">
        <f>PLANTILLA!X11</f>
        <v>0</v>
      </c>
      <c r="F21" s="163">
        <f>PLANTILLA!Y11</f>
        <v>9.5996666666666659</v>
      </c>
      <c r="G21" s="163">
        <f>PLANTILLA!Z11</f>
        <v>7.7507222222222225</v>
      </c>
      <c r="H21" s="163">
        <f>PLANTILLA!AA11</f>
        <v>6.1499999999999986</v>
      </c>
      <c r="I21" s="163">
        <f>PLANTILLA!AB11</f>
        <v>8.8633333333333315</v>
      </c>
      <c r="J21" s="163">
        <f>PLANTILLA!AC11</f>
        <v>3.2566666666666673</v>
      </c>
      <c r="K21" s="163">
        <f>PLANTILLA!AD11</f>
        <v>13.238888888888889</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6"/>
      <c r="Z21" s="406"/>
      <c r="AA21" s="406">
        <f t="shared" si="6"/>
        <v>0</v>
      </c>
    </row>
    <row r="22" spans="1:27" x14ac:dyDescent="0.25">
      <c r="A22" s="287" t="str">
        <f>PLANTILLA!A19</f>
        <v>#14</v>
      </c>
      <c r="B22" s="287" t="str">
        <f>PLANTILLA!D19</f>
        <v>W. Gelifini</v>
      </c>
      <c r="C22" s="287">
        <f>PLANTILLA!E19</f>
        <v>29</v>
      </c>
      <c r="D22" s="287">
        <f ca="1">PLANTILLA!F19</f>
        <v>10</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6"/>
      <c r="Z22" s="406"/>
      <c r="AA22" s="406">
        <f t="shared" si="6"/>
        <v>0</v>
      </c>
    </row>
    <row r="23" spans="1:27" x14ac:dyDescent="0.25">
      <c r="A23" s="287" t="str">
        <f>PLANTILLA!A20</f>
        <v>#89</v>
      </c>
      <c r="B23" s="287" t="str">
        <f>PLANTILLA!D20</f>
        <v>M. Amico</v>
      </c>
      <c r="C23" s="287">
        <f>PLANTILLA!E20</f>
        <v>29</v>
      </c>
      <c r="D23" s="287">
        <f ca="1">PLANTILLA!F20</f>
        <v>17</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6"/>
      <c r="Z23" s="406"/>
      <c r="AA23" s="406">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B15" sqref="B1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SUM(Y4:Y22)</f>
        <v>0.35961805555555554</v>
      </c>
      <c r="Z2" s="619">
        <f>SUM(Z4:Z22)</f>
        <v>0.49770896464646464</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PLANTILLA!A8</f>
        <v>#8</v>
      </c>
      <c r="B4" s="670" t="str">
        <f>PLANTILLA!D8</f>
        <v>D. Toh</v>
      </c>
      <c r="C4" s="287">
        <f>PLANTILLA!E8</f>
        <v>31</v>
      </c>
      <c r="D4" s="287">
        <f ca="1">PLANTILLA!F8</f>
        <v>70</v>
      </c>
      <c r="E4" s="163">
        <f>PLANTILLA!X8</f>
        <v>0</v>
      </c>
      <c r="F4" s="163">
        <f>PLANTILLA!Y8</f>
        <v>11.010666666666667</v>
      </c>
      <c r="G4" s="163">
        <f>PLANTILLA!Z8</f>
        <v>6.199444444444441</v>
      </c>
      <c r="H4" s="163">
        <f>PLANTILLA!AA8</f>
        <v>6.04</v>
      </c>
      <c r="I4" s="163">
        <f>PLANTILLA!AB8</f>
        <v>7.7227777777777789</v>
      </c>
      <c r="J4" s="163">
        <f>PLANTILLA!AC8</f>
        <v>4.383333333333332</v>
      </c>
      <c r="K4" s="163">
        <f>PLANTILLA!AD8</f>
        <v>15.349999999999998</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6"/>
      <c r="Z4" s="406">
        <f>R4</f>
        <v>7.1499999999999994E-2</v>
      </c>
      <c r="AA4" s="406">
        <f t="shared" ref="AA4:AA23" si="8">MAX(Z4,Y4)</f>
        <v>7.1499999999999994E-2</v>
      </c>
      <c r="AD4" t="s">
        <v>804</v>
      </c>
      <c r="AE4" s="635" t="s">
        <v>857</v>
      </c>
      <c r="AG4" t="s">
        <v>804</v>
      </c>
      <c r="AH4" s="635" t="str">
        <f>AE4</f>
        <v>B. Pinczehelyi</v>
      </c>
    </row>
    <row r="5" spans="1:34" x14ac:dyDescent="0.25">
      <c r="A5" s="287" t="str">
        <f>PLANTILLA!A10</f>
        <v>#3</v>
      </c>
      <c r="B5" s="670" t="str">
        <f>PLANTILLA!D10</f>
        <v>B. Bartolache</v>
      </c>
      <c r="C5" s="287">
        <f>PLANTILLA!E10</f>
        <v>31</v>
      </c>
      <c r="D5" s="287">
        <f ca="1">PLANTILLA!F10</f>
        <v>9</v>
      </c>
      <c r="E5" s="163">
        <f>PLANTILLA!X10</f>
        <v>0</v>
      </c>
      <c r="F5" s="163">
        <f>PLANTILLA!Y10</f>
        <v>11.749999999999996</v>
      </c>
      <c r="G5" s="163">
        <f>PLANTILLA!Z10</f>
        <v>7.0025000000000022</v>
      </c>
      <c r="H5" s="163">
        <f>PLANTILLA!AA10</f>
        <v>7.4300000000000015</v>
      </c>
      <c r="I5" s="163">
        <f>PLANTILLA!AB10</f>
        <v>9.0199999999999978</v>
      </c>
      <c r="J5" s="163">
        <f>PLANTILLA!AC10</f>
        <v>4.6199999999999966</v>
      </c>
      <c r="K5" s="163">
        <f>PLANTILLA!AD10</f>
        <v>15.6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6"/>
      <c r="Z5" s="406">
        <f>S5</f>
        <v>5.5681818181818173E-2</v>
      </c>
      <c r="AA5" s="406">
        <f t="shared" si="8"/>
        <v>5.5681818181818173E-2</v>
      </c>
      <c r="AD5" t="s">
        <v>805</v>
      </c>
      <c r="AE5" t="s">
        <v>272</v>
      </c>
      <c r="AG5" t="s">
        <v>816</v>
      </c>
      <c r="AH5" t="s">
        <v>273</v>
      </c>
    </row>
    <row r="6" spans="1:34" x14ac:dyDescent="0.25">
      <c r="A6" s="287" t="str">
        <f>PLANTILLA!A14</f>
        <v>#10</v>
      </c>
      <c r="B6" s="670" t="str">
        <f>PLANTILLA!D14</f>
        <v>S. Zobbe</v>
      </c>
      <c r="C6" s="287">
        <f>PLANTILLA!E14</f>
        <v>27</v>
      </c>
      <c r="D6" s="287">
        <f ca="1">PLANTILLA!F14</f>
        <v>60</v>
      </c>
      <c r="E6" s="163">
        <f>PLANTILLA!X14</f>
        <v>0</v>
      </c>
      <c r="F6" s="163">
        <f>PLANTILLA!Y14</f>
        <v>8.2399999999999984</v>
      </c>
      <c r="G6" s="163">
        <f>PLANTILLA!Z14</f>
        <v>12.158412698412699</v>
      </c>
      <c r="H6" s="163">
        <f>PLANTILLA!AA14</f>
        <v>12.25</v>
      </c>
      <c r="I6" s="163">
        <f>PLANTILLA!AB14</f>
        <v>10.24</v>
      </c>
      <c r="J6" s="163">
        <f>PLANTILLA!AC14</f>
        <v>7.4766666666666666</v>
      </c>
      <c r="K6" s="163">
        <f>PLANTILLA!AD14</f>
        <v>15.270000000000001</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6">
        <f>V6</f>
        <v>5.4545454545454536E-2</v>
      </c>
      <c r="Z6" s="406">
        <f>V6</f>
        <v>5.4545454545454536E-2</v>
      </c>
      <c r="AA6" s="406">
        <f t="shared" si="8"/>
        <v>5.4545454545454536E-2</v>
      </c>
      <c r="AD6" t="s">
        <v>804</v>
      </c>
      <c r="AE6" t="s">
        <v>269</v>
      </c>
      <c r="AG6" t="s">
        <v>815</v>
      </c>
      <c r="AH6" t="s">
        <v>269</v>
      </c>
    </row>
    <row r="7" spans="1:34" x14ac:dyDescent="0.25">
      <c r="A7" s="287" t="str">
        <f>PLANTILLA!A9</f>
        <v>#2</v>
      </c>
      <c r="B7" s="670" t="str">
        <f>PLANTILLA!D9</f>
        <v>E. Toney</v>
      </c>
      <c r="C7" s="287">
        <f>PLANTILLA!E9</f>
        <v>31</v>
      </c>
      <c r="D7" s="287">
        <f ca="1">PLANTILLA!F9</f>
        <v>24</v>
      </c>
      <c r="E7" s="163">
        <f>PLANTILLA!X9</f>
        <v>0</v>
      </c>
      <c r="F7" s="163">
        <f>PLANTILLA!Y9</f>
        <v>12.130000000000004</v>
      </c>
      <c r="G7" s="163">
        <f>PLANTILLA!Z9</f>
        <v>13.156555555555553</v>
      </c>
      <c r="H7" s="163">
        <f>PLANTILLA!AA9</f>
        <v>9.8200000000000056</v>
      </c>
      <c r="I7" s="163">
        <f>PLANTILLA!AB9</f>
        <v>9.6</v>
      </c>
      <c r="J7" s="163">
        <f>PLANTILLA!AC9</f>
        <v>3.6816666666666658</v>
      </c>
      <c r="K7" s="163">
        <f>PLANTILLA!AD9</f>
        <v>16.627777777777773</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6">
        <f>S7</f>
        <v>4.7727272727272722E-2</v>
      </c>
      <c r="Z7" s="406">
        <f>S7</f>
        <v>4.7727272727272722E-2</v>
      </c>
      <c r="AA7" s="406">
        <f t="shared" si="8"/>
        <v>4.7727272727272722E-2</v>
      </c>
      <c r="AD7" t="s">
        <v>503</v>
      </c>
      <c r="AE7" t="s">
        <v>618</v>
      </c>
      <c r="AG7" t="s">
        <v>816</v>
      </c>
      <c r="AH7" t="s">
        <v>275</v>
      </c>
    </row>
    <row r="8" spans="1:34" x14ac:dyDescent="0.25">
      <c r="A8" s="287" t="str">
        <f>PLANTILLA!A12</f>
        <v>#7</v>
      </c>
      <c r="B8" s="671" t="str">
        <f>PLANTILLA!D12</f>
        <v>E. Romweber</v>
      </c>
      <c r="C8" s="287">
        <f>PLANTILLA!E12</f>
        <v>30</v>
      </c>
      <c r="D8" s="287">
        <f ca="1">PLANTILLA!F12</f>
        <v>98</v>
      </c>
      <c r="E8" s="163">
        <f>PLANTILLA!X12</f>
        <v>0</v>
      </c>
      <c r="F8" s="163">
        <f>PLANTILLA!Y12</f>
        <v>12.005555555555555</v>
      </c>
      <c r="G8" s="163">
        <f>PLANTILLA!Z12</f>
        <v>12.534111111111114</v>
      </c>
      <c r="H8" s="163">
        <f>PLANTILLA!AA12</f>
        <v>13.133333333333335</v>
      </c>
      <c r="I8" s="163">
        <f>PLANTILLA!AB12</f>
        <v>10.91</v>
      </c>
      <c r="J8" s="163">
        <f>PLANTILLA!AC12</f>
        <v>7.7700000000000005</v>
      </c>
      <c r="K8" s="163">
        <f>PLANTILLA!AD12</f>
        <v>17.13</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6">
        <f>V8</f>
        <v>4.0909090909090909E-2</v>
      </c>
      <c r="Z8" s="406">
        <f>V8</f>
        <v>4.0909090909090909E-2</v>
      </c>
      <c r="AA8" s="406">
        <f t="shared" si="8"/>
        <v>4.0909090909090909E-2</v>
      </c>
      <c r="AD8" t="s">
        <v>806</v>
      </c>
      <c r="AE8" t="s">
        <v>400</v>
      </c>
      <c r="AG8" t="s">
        <v>804</v>
      </c>
      <c r="AH8" t="s">
        <v>817</v>
      </c>
    </row>
    <row r="9" spans="1:34" x14ac:dyDescent="0.25">
      <c r="A9" s="287" t="str">
        <f>PLANTILLA!A13</f>
        <v>#11</v>
      </c>
      <c r="B9" s="671" t="str">
        <f>PLANTILLA!D13</f>
        <v>K. Helms</v>
      </c>
      <c r="C9" s="287">
        <f>PLANTILLA!E13</f>
        <v>30</v>
      </c>
      <c r="D9" s="287">
        <f ca="1">PLANTILLA!F13</f>
        <v>45</v>
      </c>
      <c r="E9" s="163">
        <f>PLANTILLA!X13</f>
        <v>0</v>
      </c>
      <c r="F9" s="163">
        <f>PLANTILLA!Y13</f>
        <v>7.2200000000000006</v>
      </c>
      <c r="G9" s="163">
        <f>PLANTILLA!Z13</f>
        <v>10.500000000000004</v>
      </c>
      <c r="H9" s="163">
        <f>PLANTILLA!AA13</f>
        <v>13.388333333333334</v>
      </c>
      <c r="I9" s="163">
        <f>PLANTILLA!AB13</f>
        <v>10.359999999999998</v>
      </c>
      <c r="J9" s="163">
        <f>PLANTILLA!AC13</f>
        <v>5.4050000000000002</v>
      </c>
      <c r="K9" s="163">
        <f>PLANTILLA!AD13</f>
        <v>17.300000000000004</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6">
        <f>V9</f>
        <v>4.0909090909090909E-2</v>
      </c>
      <c r="Z9" s="406">
        <f>V9</f>
        <v>4.0909090909090909E-2</v>
      </c>
      <c r="AA9" s="406">
        <f t="shared" si="8"/>
        <v>4.0909090909090909E-2</v>
      </c>
      <c r="AD9" t="s">
        <v>503</v>
      </c>
      <c r="AE9" t="s">
        <v>285</v>
      </c>
      <c r="AG9" t="s">
        <v>503</v>
      </c>
      <c r="AH9" t="s">
        <v>285</v>
      </c>
    </row>
    <row r="10" spans="1:34" x14ac:dyDescent="0.25">
      <c r="A10" s="287" t="str">
        <f>PLANTILLA!A16</f>
        <v>#4</v>
      </c>
      <c r="B10" s="671" t="str">
        <f>PLANTILLA!D16</f>
        <v>C. Rojas</v>
      </c>
      <c r="C10" s="287">
        <f>PLANTILLA!E16</f>
        <v>31</v>
      </c>
      <c r="D10" s="287">
        <f ca="1">PLANTILLA!F16</f>
        <v>91</v>
      </c>
      <c r="E10" s="163">
        <f>PLANTILLA!X16</f>
        <v>0</v>
      </c>
      <c r="F10" s="163">
        <f>PLANTILLA!Y16</f>
        <v>8.6175555555555583</v>
      </c>
      <c r="G10" s="163">
        <f>PLANTILLA!Z16</f>
        <v>14.238017460317453</v>
      </c>
      <c r="H10" s="163">
        <f>PLANTILLA!AA16</f>
        <v>9.99</v>
      </c>
      <c r="I10" s="163">
        <f>PLANTILLA!AB16</f>
        <v>10.09</v>
      </c>
      <c r="J10" s="163">
        <f>PLANTILLA!AC16</f>
        <v>4.3999999999999995</v>
      </c>
      <c r="K10" s="163">
        <f>PLANTILLA!AD16</f>
        <v>16.544444444444441</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6">
        <f>U10</f>
        <v>4.0767045454545452E-2</v>
      </c>
      <c r="Z10" s="406">
        <f>U10</f>
        <v>4.0767045454545452E-2</v>
      </c>
      <c r="AA10" s="406">
        <f t="shared" si="8"/>
        <v>4.0767045454545452E-2</v>
      </c>
      <c r="AD10" t="s">
        <v>807</v>
      </c>
      <c r="AE10" t="s">
        <v>817</v>
      </c>
      <c r="AG10" t="s">
        <v>503</v>
      </c>
      <c r="AH10" t="s">
        <v>618</v>
      </c>
    </row>
    <row r="11" spans="1:34" x14ac:dyDescent="0.25">
      <c r="A11" s="287" t="str">
        <f>PLANTILLA!A15</f>
        <v>#6</v>
      </c>
      <c r="B11" s="671" t="str">
        <f>PLANTILLA!D15</f>
        <v>S. Buschelman</v>
      </c>
      <c r="C11" s="287">
        <f>PLANTILLA!E15</f>
        <v>29</v>
      </c>
      <c r="D11" s="287">
        <f ca="1">PLANTILLA!F15</f>
        <v>57</v>
      </c>
      <c r="E11" s="163">
        <f>PLANTILLA!X15</f>
        <v>0</v>
      </c>
      <c r="F11" s="163">
        <f>PLANTILLA!Y15</f>
        <v>9.2036666666666651</v>
      </c>
      <c r="G11" s="163">
        <f>PLANTILLA!Z15</f>
        <v>13.759999999999998</v>
      </c>
      <c r="H11" s="163">
        <f>PLANTILLA!AA15</f>
        <v>12.835000000000001</v>
      </c>
      <c r="I11" s="163">
        <f>PLANTILLA!AB15</f>
        <v>9.6733333333333356</v>
      </c>
      <c r="J11" s="163">
        <f>PLANTILLA!AC15</f>
        <v>5.0296666666666656</v>
      </c>
      <c r="K11" s="163">
        <f>PLANTILLA!AD15</f>
        <v>15.2</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6">
        <f>U11</f>
        <v>3.6237373737373728E-2</v>
      </c>
      <c r="Z11" s="406">
        <f>U11</f>
        <v>3.6237373737373728E-2</v>
      </c>
      <c r="AA11" s="406">
        <f t="shared" si="8"/>
        <v>3.6237373737373728E-2</v>
      </c>
      <c r="AD11" t="s">
        <v>807</v>
      </c>
      <c r="AE11" t="s">
        <v>298</v>
      </c>
      <c r="AG11" t="s">
        <v>807</v>
      </c>
      <c r="AH11" t="s">
        <v>298</v>
      </c>
    </row>
    <row r="12" spans="1:34" x14ac:dyDescent="0.25">
      <c r="A12" s="287" t="str">
        <f>PLANTILLA!A21</f>
        <v>#19</v>
      </c>
      <c r="B12" s="219" t="str">
        <f>PLANTILLA!D21</f>
        <v>G. Kerschl</v>
      </c>
      <c r="C12" s="287">
        <f>PLANTILLA!E21</f>
        <v>28</v>
      </c>
      <c r="D12" s="287">
        <f ca="1">PLANTILLA!F21</f>
        <v>87</v>
      </c>
      <c r="E12" s="163">
        <f>PLANTILLA!X21</f>
        <v>0</v>
      </c>
      <c r="F12" s="163">
        <f>PLANTILLA!Y21</f>
        <v>2.2000000000000002</v>
      </c>
      <c r="G12" s="163">
        <f>PLANTILLA!Z21</f>
        <v>14.600000000000001</v>
      </c>
      <c r="H12" s="163">
        <f>PLANTILLA!AA21</f>
        <v>12.01</v>
      </c>
      <c r="I12" s="163">
        <f>PLANTILLA!AB21</f>
        <v>12</v>
      </c>
      <c r="J12" s="163">
        <f>PLANTILLA!AC21</f>
        <v>8</v>
      </c>
      <c r="K12" s="163">
        <f>PLANTILLA!AD21</f>
        <v>2</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6">
        <f>U12</f>
        <v>3.2613636363636365E-2</v>
      </c>
      <c r="Z12" s="406">
        <f>U12</f>
        <v>3.2613636363636365E-2</v>
      </c>
      <c r="AA12" s="406">
        <f t="shared" si="8"/>
        <v>3.2613636363636365E-2</v>
      </c>
      <c r="AD12" t="s">
        <v>66</v>
      </c>
      <c r="AE12" t="s">
        <v>287</v>
      </c>
      <c r="AG12" t="s">
        <v>807</v>
      </c>
      <c r="AH12" t="s">
        <v>507</v>
      </c>
    </row>
    <row r="13" spans="1:34" x14ac:dyDescent="0.25">
      <c r="A13" s="287" t="str">
        <f>PLANTILLA!A23</f>
        <v>#18</v>
      </c>
      <c r="B13" s="219" t="str">
        <f>PLANTILLA!D23</f>
        <v>L. Calosso</v>
      </c>
      <c r="C13" s="287">
        <f>PLANTILLA!E23</f>
        <v>30</v>
      </c>
      <c r="D13" s="287">
        <f ca="1">PLANTILLA!F23</f>
        <v>54</v>
      </c>
      <c r="E13" s="163">
        <f>PLANTILLA!X23</f>
        <v>0</v>
      </c>
      <c r="F13" s="163">
        <f>PLANTILLA!Y23</f>
        <v>3</v>
      </c>
      <c r="G13" s="163">
        <f>PLANTILLA!Z23</f>
        <v>14.137609523809523</v>
      </c>
      <c r="H13" s="163">
        <f>PLANTILLA!AA23</f>
        <v>3.02</v>
      </c>
      <c r="I13" s="163">
        <f>PLANTILLA!AB23</f>
        <v>15.02</v>
      </c>
      <c r="J13" s="163">
        <f>PLANTILLA!AC23</f>
        <v>10</v>
      </c>
      <c r="K13" s="163">
        <f>PLANTILLA!AD23</f>
        <v>9.3000000000000007</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6">
        <f>W13</f>
        <v>2.7272727272727268E-2</v>
      </c>
      <c r="Z13" s="406">
        <f>W13</f>
        <v>2.7272727272727268E-2</v>
      </c>
      <c r="AA13" s="406">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60</v>
      </c>
      <c r="E14" s="163">
        <f>PLANTILLA!X18</f>
        <v>0</v>
      </c>
      <c r="F14" s="163">
        <f>PLANTILLA!Y18</f>
        <v>5.4311111111111119</v>
      </c>
      <c r="G14" s="163">
        <f>PLANTILLA!Z18</f>
        <v>14.331408994708985</v>
      </c>
      <c r="H14" s="163">
        <f>PLANTILLA!AA18</f>
        <v>3.5124999999999993</v>
      </c>
      <c r="I14" s="163">
        <f>PLANTILLA!AB18</f>
        <v>9.1400000000000041</v>
      </c>
      <c r="J14" s="163">
        <f>PLANTILLA!AC18</f>
        <v>7.4318888888888894</v>
      </c>
      <c r="K14" s="163">
        <f>PLANTILLA!AD18</f>
        <v>16.07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6">
        <f>T14</f>
        <v>0</v>
      </c>
      <c r="Z14" s="406">
        <f>W14</f>
        <v>2.7272727272727268E-2</v>
      </c>
      <c r="AA14" s="406">
        <f t="shared" si="8"/>
        <v>2.7272727272727268E-2</v>
      </c>
    </row>
    <row r="15" spans="1:34" x14ac:dyDescent="0.25">
      <c r="A15" s="287" t="str">
        <f>PLANTILLA!A7</f>
        <v>#17</v>
      </c>
      <c r="B15" s="219" t="str">
        <f>PLANTILLA!D7</f>
        <v>B. Pinczehelyi</v>
      </c>
      <c r="C15" s="287">
        <f>PLANTILLA!E7</f>
        <v>30</v>
      </c>
      <c r="D15" s="287">
        <f ca="1">PLANTILLA!F7</f>
        <v>25</v>
      </c>
      <c r="E15" s="163">
        <f>PLANTILLA!X7</f>
        <v>0</v>
      </c>
      <c r="F15" s="163">
        <f>PLANTILLA!Y7</f>
        <v>14.250000000000004</v>
      </c>
      <c r="G15" s="163">
        <f>PLANTILLA!Z7</f>
        <v>9.3193333333333346</v>
      </c>
      <c r="H15" s="163">
        <f>PLANTILLA!AA7</f>
        <v>14.291666666666663</v>
      </c>
      <c r="I15" s="163">
        <f>PLANTILLA!AB7</f>
        <v>9.4199999999999982</v>
      </c>
      <c r="J15" s="163">
        <f>PLANTILLA!AC7</f>
        <v>1.1428571428571428</v>
      </c>
      <c r="K15" s="163">
        <f>PLANTILLA!AD7</f>
        <v>9.4</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6">
        <f>S15</f>
        <v>2.227272727272727E-2</v>
      </c>
      <c r="Z15" s="406">
        <f>S15</f>
        <v>2.227272727272727E-2</v>
      </c>
      <c r="AA15" s="406">
        <f t="shared" si="8"/>
        <v>2.227272727272727E-2</v>
      </c>
    </row>
    <row r="16" spans="1:34" x14ac:dyDescent="0.25">
      <c r="A16" s="287" t="str">
        <f>PLANTILLA!A22</f>
        <v>#9</v>
      </c>
      <c r="B16" s="219" t="str">
        <f>PLANTILLA!D22</f>
        <v>J. Limon</v>
      </c>
      <c r="C16" s="287">
        <f>PLANTILLA!E22</f>
        <v>29</v>
      </c>
      <c r="D16" s="287">
        <f ca="1">PLANTILLA!F22</f>
        <v>97</v>
      </c>
      <c r="E16" s="163">
        <f>PLANTILLA!X22</f>
        <v>0</v>
      </c>
      <c r="F16" s="163">
        <f>PLANTILLA!Y22</f>
        <v>6.8276190476190495</v>
      </c>
      <c r="G16" s="163">
        <f>PLANTILLA!Z22</f>
        <v>8.625</v>
      </c>
      <c r="H16" s="163">
        <f>PLANTILLA!AA22</f>
        <v>8.7299999999999969</v>
      </c>
      <c r="I16" s="163">
        <f>PLANTILLA!AB22</f>
        <v>9.6900000000000013</v>
      </c>
      <c r="J16" s="163">
        <f>PLANTILLA!AC22</f>
        <v>8.5625000000000018</v>
      </c>
      <c r="K16" s="163">
        <f>PLANTILLA!AD22</f>
        <v>18.639999999999993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6">
        <f>W16</f>
        <v>1.6363636363636361E-2</v>
      </c>
      <c r="Z16" s="406"/>
      <c r="AA16" s="406">
        <f t="shared" si="8"/>
        <v>1.6363636363636361E-2</v>
      </c>
    </row>
    <row r="17" spans="1:27" x14ac:dyDescent="0.25">
      <c r="A17" s="287" t="str">
        <f>PLANTILLA!A24</f>
        <v>#15</v>
      </c>
      <c r="B17" s="219" t="str">
        <f>PLANTILLA!D24</f>
        <v>P .Trivadi</v>
      </c>
      <c r="C17" s="287">
        <f>PLANTILLA!E24</f>
        <v>27</v>
      </c>
      <c r="D17" s="287">
        <f ca="1">PLANTILLA!F24</f>
        <v>16</v>
      </c>
      <c r="E17" s="163">
        <f>PLANTILLA!X24</f>
        <v>0</v>
      </c>
      <c r="F17" s="163">
        <f>PLANTILLA!Y24</f>
        <v>4.01</v>
      </c>
      <c r="G17" s="163">
        <f>PLANTILLA!Z24</f>
        <v>5.5538722222222203</v>
      </c>
      <c r="H17" s="163">
        <f>PLANTILLA!AA24</f>
        <v>5.4899999999999993</v>
      </c>
      <c r="I17" s="163">
        <f>PLANTILLA!AB24</f>
        <v>10.799999999999999</v>
      </c>
      <c r="J17" s="163">
        <f>PLANTILLA!AC24</f>
        <v>8.384500000000001</v>
      </c>
      <c r="K17" s="163">
        <f>PLANTILLA!AD24</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6">
        <v>0</v>
      </c>
      <c r="Z17" s="406">
        <v>0</v>
      </c>
      <c r="AA17" s="406">
        <f t="shared" si="8"/>
        <v>0</v>
      </c>
    </row>
    <row r="18" spans="1:27" x14ac:dyDescent="0.25">
      <c r="A18" s="287" t="str">
        <f>PLANTILLA!A5</f>
        <v>#1</v>
      </c>
      <c r="B18" s="287" t="str">
        <f>PLANTILLA!D5</f>
        <v>D. Gehmacher</v>
      </c>
      <c r="C18" s="287">
        <f>PLANTILLA!E5</f>
        <v>30</v>
      </c>
      <c r="D18" s="287">
        <f ca="1">PLANTILLA!F5</f>
        <v>13</v>
      </c>
      <c r="E18" s="163">
        <f>PLANTILLA!X5</f>
        <v>16.666666666666668</v>
      </c>
      <c r="F18" s="163">
        <f>PLANTILLA!Y5</f>
        <v>12.003636363636367</v>
      </c>
      <c r="G18" s="163">
        <f>PLANTILLA!Z5</f>
        <v>2.0499999999999989</v>
      </c>
      <c r="H18" s="163">
        <f>PLANTILLA!AA5</f>
        <v>2.1399999999999992</v>
      </c>
      <c r="I18" s="163">
        <f>PLANTILLA!AB5</f>
        <v>1.0400000000000003</v>
      </c>
      <c r="J18" s="163">
        <f>PLANTILLA!AC5</f>
        <v>0.14055555555555557</v>
      </c>
      <c r="K18" s="163">
        <f>PLANTILLA!AD5</f>
        <v>17.849999999999998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6">
        <f>L18</f>
        <v>0</v>
      </c>
      <c r="Z18" s="406">
        <f>L18</f>
        <v>0</v>
      </c>
      <c r="AA18" s="406">
        <f t="shared" si="8"/>
        <v>0</v>
      </c>
    </row>
    <row r="19" spans="1:27" x14ac:dyDescent="0.25">
      <c r="A19" s="287" t="str">
        <f>PLANTILLA!A17</f>
        <v>#12</v>
      </c>
      <c r="B19" s="287" t="str">
        <f>PLANTILLA!D17</f>
        <v>E. Gross</v>
      </c>
      <c r="C19" s="287">
        <f>PLANTILLA!E17</f>
        <v>30</v>
      </c>
      <c r="D19" s="287">
        <f ca="1">PLANTILLA!F17</f>
        <v>85</v>
      </c>
      <c r="E19" s="163">
        <f>PLANTILLA!X17</f>
        <v>0</v>
      </c>
      <c r="F19" s="163">
        <f>PLANTILLA!Y17</f>
        <v>10.449999999999996</v>
      </c>
      <c r="G19" s="163">
        <f>PLANTILLA!Z17</f>
        <v>12.869777777777777</v>
      </c>
      <c r="H19" s="163">
        <f>PLANTILLA!AA17</f>
        <v>5.1299999999999981</v>
      </c>
      <c r="I19" s="163">
        <f>PLANTILLA!AB17</f>
        <v>9.24</v>
      </c>
      <c r="J19" s="163">
        <f>PLANTILLA!AC17</f>
        <v>2.98</v>
      </c>
      <c r="K19" s="163">
        <f>PLANTILLA!AD17</f>
        <v>16.959999999999997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6">
        <v>0</v>
      </c>
      <c r="Z19" s="406">
        <v>0</v>
      </c>
      <c r="AA19" s="406">
        <f t="shared" si="8"/>
        <v>0</v>
      </c>
    </row>
    <row r="20" spans="1:27" x14ac:dyDescent="0.25">
      <c r="A20" s="287" t="str">
        <f>PLANTILLA!A6</f>
        <v>#16</v>
      </c>
      <c r="B20" s="287" t="str">
        <f>PLANTILLA!D6</f>
        <v>T. Hammond</v>
      </c>
      <c r="C20" s="287">
        <f>PLANTILLA!E6</f>
        <v>34</v>
      </c>
      <c r="D20" s="287">
        <f ca="1">PLANTILLA!F6</f>
        <v>22</v>
      </c>
      <c r="E20" s="163">
        <f>PLANTILLA!X6</f>
        <v>10.3</v>
      </c>
      <c r="F20" s="163">
        <f>PLANTILLA!Y6</f>
        <v>10.804999999999998</v>
      </c>
      <c r="G20" s="163">
        <f>PLANTILLA!Z6</f>
        <v>4.6400000000000006</v>
      </c>
      <c r="H20" s="163">
        <f>PLANTILLA!AA6</f>
        <v>4.95</v>
      </c>
      <c r="I20" s="163">
        <f>PLANTILLA!AB6</f>
        <v>6.5444444444444434</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6"/>
      <c r="Z20" s="406"/>
      <c r="AA20" s="406">
        <f t="shared" si="8"/>
        <v>0</v>
      </c>
    </row>
    <row r="21" spans="1:27" x14ac:dyDescent="0.25">
      <c r="A21" s="287" t="str">
        <f>PLANTILLA!A11</f>
        <v>#13</v>
      </c>
      <c r="B21" s="287" t="str">
        <f>PLANTILLA!D11</f>
        <v>F. Lasprilla</v>
      </c>
      <c r="C21" s="287">
        <f>PLANTILLA!E11</f>
        <v>27</v>
      </c>
      <c r="D21" s="287">
        <f ca="1">PLANTILLA!F11</f>
        <v>32</v>
      </c>
      <c r="E21" s="163">
        <f>PLANTILLA!X11</f>
        <v>0</v>
      </c>
      <c r="F21" s="163">
        <f>PLANTILLA!Y11</f>
        <v>9.5996666666666659</v>
      </c>
      <c r="G21" s="163">
        <f>PLANTILLA!Z11</f>
        <v>7.7507222222222225</v>
      </c>
      <c r="H21" s="163">
        <f>PLANTILLA!AA11</f>
        <v>6.1499999999999986</v>
      </c>
      <c r="I21" s="163">
        <f>PLANTILLA!AB11</f>
        <v>8.8633333333333315</v>
      </c>
      <c r="J21" s="163">
        <f>PLANTILLA!AC11</f>
        <v>3.2566666666666673</v>
      </c>
      <c r="K21" s="163">
        <f>PLANTILLA!AD11</f>
        <v>13.238888888888889</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6"/>
      <c r="Z21" s="406"/>
      <c r="AA21" s="406">
        <f t="shared" si="8"/>
        <v>0</v>
      </c>
    </row>
    <row r="22" spans="1:27" x14ac:dyDescent="0.25">
      <c r="A22" s="287" t="str">
        <f>PLANTILLA!A19</f>
        <v>#14</v>
      </c>
      <c r="B22" s="287" t="str">
        <f>PLANTILLA!D19</f>
        <v>W. Gelifini</v>
      </c>
      <c r="C22" s="287">
        <f>PLANTILLA!E19</f>
        <v>29</v>
      </c>
      <c r="D22" s="287">
        <f ca="1">PLANTILLA!F19</f>
        <v>10</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6"/>
      <c r="Z22" s="406"/>
      <c r="AA22" s="406">
        <f t="shared" si="8"/>
        <v>0</v>
      </c>
    </row>
    <row r="23" spans="1:27" x14ac:dyDescent="0.25">
      <c r="A23" s="287" t="str">
        <f>PLANTILLA!A20</f>
        <v>#89</v>
      </c>
      <c r="B23" s="287" t="str">
        <f>PLANTILLA!D20</f>
        <v>M. Amico</v>
      </c>
      <c r="C23" s="287">
        <f>PLANTILLA!E20</f>
        <v>29</v>
      </c>
      <c r="D23" s="287">
        <f ca="1">PLANTILLA!F20</f>
        <v>17</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6"/>
      <c r="Z23" s="406"/>
      <c r="AA23" s="406">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Q3" sqref="Q3"/>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9"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43073</v>
      </c>
      <c r="F2" s="291"/>
      <c r="G2" s="698" t="s">
        <v>444</v>
      </c>
      <c r="H2" s="698"/>
      <c r="J2" s="291"/>
      <c r="K2" s="291"/>
      <c r="L2" s="698" t="s">
        <v>865</v>
      </c>
      <c r="M2" s="698"/>
      <c r="N2" s="698"/>
      <c r="O2" s="630"/>
      <c r="P2" s="309"/>
      <c r="Q2" s="309"/>
      <c r="R2" s="698" t="s">
        <v>446</v>
      </c>
      <c r="S2" s="698"/>
      <c r="U2" s="4" t="s">
        <v>874</v>
      </c>
      <c r="V2" s="3" t="s">
        <v>176</v>
      </c>
      <c r="W2" s="291"/>
      <c r="X2" s="291"/>
    </row>
    <row r="3" spans="1:24" x14ac:dyDescent="0.25">
      <c r="F3">
        <v>1</v>
      </c>
      <c r="G3" s="3">
        <v>55</v>
      </c>
      <c r="H3" t="s">
        <v>783</v>
      </c>
      <c r="I3" t="s">
        <v>1</v>
      </c>
      <c r="K3" s="620">
        <v>1</v>
      </c>
      <c r="L3" s="3">
        <v>274</v>
      </c>
      <c r="M3" t="s">
        <v>460</v>
      </c>
      <c r="N3" t="s">
        <v>459</v>
      </c>
      <c r="O3" s="370">
        <f t="shared" ref="O3:O22" si="0">L3/$G$22</f>
        <v>0.88102893890675238</v>
      </c>
      <c r="Q3" s="620">
        <v>1</v>
      </c>
      <c r="R3" s="3">
        <v>189</v>
      </c>
      <c r="S3" t="s">
        <v>447</v>
      </c>
      <c r="T3" t="s">
        <v>212</v>
      </c>
      <c r="U3" s="159">
        <f>R3/L7</f>
        <v>0.86301369863013699</v>
      </c>
      <c r="V3" s="47">
        <f t="shared" ref="V3:V16" si="1">R3/$R$32</f>
        <v>0.18529411764705883</v>
      </c>
    </row>
    <row r="4" spans="1:24" s="291" customFormat="1" ht="18.75" x14ac:dyDescent="0.3">
      <c r="A4" s="291" t="s">
        <v>441</v>
      </c>
      <c r="F4">
        <v>2</v>
      </c>
      <c r="G4" s="3">
        <v>53</v>
      </c>
      <c r="H4" t="s">
        <v>206</v>
      </c>
      <c r="I4" s="290" t="s">
        <v>1</v>
      </c>
      <c r="J4"/>
      <c r="K4" s="620">
        <v>2</v>
      </c>
      <c r="L4" s="3">
        <v>270</v>
      </c>
      <c r="M4" t="s">
        <v>473</v>
      </c>
      <c r="N4" s="290" t="s">
        <v>439</v>
      </c>
      <c r="O4" s="370">
        <f t="shared" si="0"/>
        <v>0.86816720257234725</v>
      </c>
      <c r="P4"/>
      <c r="Q4" s="620">
        <v>2</v>
      </c>
      <c r="R4" s="3">
        <v>87</v>
      </c>
      <c r="S4" t="s">
        <v>547</v>
      </c>
      <c r="T4" t="s">
        <v>65</v>
      </c>
      <c r="U4" s="159">
        <f>R4/L13</f>
        <v>0.47802197802197804</v>
      </c>
      <c r="V4" s="47">
        <f t="shared" si="1"/>
        <v>8.5294117647058826E-2</v>
      </c>
      <c r="W4"/>
      <c r="X4"/>
    </row>
    <row r="5" spans="1:24" x14ac:dyDescent="0.25">
      <c r="A5" s="179" t="s">
        <v>442</v>
      </c>
      <c r="B5" s="492" t="s">
        <v>877</v>
      </c>
      <c r="C5" s="290">
        <v>43066</v>
      </c>
      <c r="D5" t="s">
        <v>878</v>
      </c>
      <c r="F5">
        <v>3</v>
      </c>
      <c r="G5" s="665">
        <v>46</v>
      </c>
      <c r="H5" s="663" t="s">
        <v>204</v>
      </c>
      <c r="I5" s="664" t="s">
        <v>1</v>
      </c>
      <c r="K5" s="632">
        <v>3</v>
      </c>
      <c r="L5" s="3">
        <v>242</v>
      </c>
      <c r="M5" t="s">
        <v>449</v>
      </c>
      <c r="N5" s="290" t="s">
        <v>64</v>
      </c>
      <c r="O5" s="370">
        <f t="shared" si="0"/>
        <v>0.77813504823151125</v>
      </c>
      <c r="Q5" s="620">
        <v>3</v>
      </c>
      <c r="R5" s="3">
        <v>79</v>
      </c>
      <c r="S5" t="s">
        <v>449</v>
      </c>
      <c r="T5" t="s">
        <v>64</v>
      </c>
      <c r="U5" s="159">
        <f>R5/L5</f>
        <v>0.32644628099173556</v>
      </c>
      <c r="V5" s="47">
        <f t="shared" si="1"/>
        <v>7.7450980392156865E-2</v>
      </c>
    </row>
    <row r="6" spans="1:24" ht="18.75" x14ac:dyDescent="0.3">
      <c r="A6" s="179" t="s">
        <v>863</v>
      </c>
      <c r="B6" s="366" t="s">
        <v>870</v>
      </c>
      <c r="C6" s="290">
        <v>43055</v>
      </c>
      <c r="D6" t="s">
        <v>871</v>
      </c>
      <c r="F6">
        <v>4</v>
      </c>
      <c r="G6" s="665">
        <v>2</v>
      </c>
      <c r="H6" s="663" t="s">
        <v>200</v>
      </c>
      <c r="I6" s="663" t="s">
        <v>1</v>
      </c>
      <c r="J6" s="291"/>
      <c r="K6" s="632">
        <v>4</v>
      </c>
      <c r="L6" s="342">
        <v>226</v>
      </c>
      <c r="M6" t="s">
        <v>498</v>
      </c>
      <c r="N6" s="290" t="s">
        <v>64</v>
      </c>
      <c r="O6" s="370">
        <f t="shared" si="0"/>
        <v>0.72668810289389063</v>
      </c>
      <c r="P6" s="291"/>
      <c r="Q6" s="620">
        <v>4</v>
      </c>
      <c r="R6" s="321">
        <v>72</v>
      </c>
      <c r="S6" t="s">
        <v>460</v>
      </c>
      <c r="T6" t="s">
        <v>459</v>
      </c>
      <c r="U6" s="159">
        <f>R6/L3</f>
        <v>0.26277372262773724</v>
      </c>
      <c r="V6" s="47">
        <f t="shared" si="1"/>
        <v>7.0588235294117646E-2</v>
      </c>
      <c r="X6" s="291"/>
    </row>
    <row r="7" spans="1:24" ht="18.75" x14ac:dyDescent="0.3">
      <c r="F7">
        <v>5</v>
      </c>
      <c r="G7" s="3">
        <v>1</v>
      </c>
      <c r="H7" t="s">
        <v>448</v>
      </c>
      <c r="I7" t="s">
        <v>2</v>
      </c>
      <c r="K7" s="632">
        <v>5</v>
      </c>
      <c r="L7" s="342">
        <v>219</v>
      </c>
      <c r="M7" t="s">
        <v>496</v>
      </c>
      <c r="N7" s="290" t="s">
        <v>212</v>
      </c>
      <c r="O7" s="370">
        <f t="shared" si="0"/>
        <v>0.70418006430868163</v>
      </c>
      <c r="Q7" s="620">
        <v>5</v>
      </c>
      <c r="R7" s="380">
        <v>62</v>
      </c>
      <c r="S7" t="s">
        <v>497</v>
      </c>
      <c r="T7" s="290" t="s">
        <v>65</v>
      </c>
      <c r="U7" s="159">
        <f>R7/L10</f>
        <v>0.29665071770334928</v>
      </c>
      <c r="V7" s="47">
        <f t="shared" si="1"/>
        <v>6.0784313725490195E-2</v>
      </c>
      <c r="W7" s="291"/>
    </row>
    <row r="8" spans="1:24" s="291" customFormat="1" ht="18.75" x14ac:dyDescent="0.3">
      <c r="A8" s="698" t="s">
        <v>864</v>
      </c>
      <c r="B8" s="698"/>
      <c r="F8">
        <v>5</v>
      </c>
      <c r="G8" s="665">
        <v>1</v>
      </c>
      <c r="H8" s="663" t="s">
        <v>462</v>
      </c>
      <c r="I8" s="663" t="s">
        <v>439</v>
      </c>
      <c r="J8"/>
      <c r="K8" s="632">
        <v>6</v>
      </c>
      <c r="L8" s="317">
        <v>215</v>
      </c>
      <c r="M8" t="s">
        <v>457</v>
      </c>
      <c r="N8" s="290" t="s">
        <v>64</v>
      </c>
      <c r="O8" s="370">
        <f t="shared" si="0"/>
        <v>0.6913183279742765</v>
      </c>
      <c r="P8"/>
      <c r="Q8" s="620">
        <v>6</v>
      </c>
      <c r="R8" s="321">
        <v>58</v>
      </c>
      <c r="S8" t="s">
        <v>473</v>
      </c>
      <c r="T8" s="290" t="s">
        <v>439</v>
      </c>
      <c r="U8" s="159">
        <f>R8/L4</f>
        <v>0.21481481481481482</v>
      </c>
      <c r="V8" s="47">
        <f t="shared" si="1"/>
        <v>5.6862745098039215E-2</v>
      </c>
      <c r="W8"/>
      <c r="X8"/>
    </row>
    <row r="9" spans="1:24" ht="18.75" x14ac:dyDescent="0.3">
      <c r="A9" s="660" t="s">
        <v>867</v>
      </c>
      <c r="B9" t="s">
        <v>861</v>
      </c>
      <c r="C9" s="290" t="s">
        <v>66</v>
      </c>
      <c r="K9" s="632">
        <v>6</v>
      </c>
      <c r="L9" s="317">
        <v>215</v>
      </c>
      <c r="M9" t="s">
        <v>461</v>
      </c>
      <c r="N9" s="290" t="s">
        <v>439</v>
      </c>
      <c r="O9" s="370">
        <f t="shared" si="0"/>
        <v>0.6913183279742765</v>
      </c>
      <c r="Q9" s="620">
        <v>7</v>
      </c>
      <c r="R9" s="317">
        <v>53</v>
      </c>
      <c r="S9" t="s">
        <v>498</v>
      </c>
      <c r="T9" s="290" t="s">
        <v>64</v>
      </c>
      <c r="U9" s="159">
        <f>R9/L6</f>
        <v>0.23451327433628319</v>
      </c>
      <c r="V9" s="47">
        <f t="shared" si="1"/>
        <v>5.1960784313725493E-2</v>
      </c>
      <c r="W9" s="291"/>
    </row>
    <row r="10" spans="1:24" ht="18.75" x14ac:dyDescent="0.3">
      <c r="A10" s="568" t="s">
        <v>868</v>
      </c>
      <c r="B10" t="s">
        <v>783</v>
      </c>
      <c r="C10" t="s">
        <v>1</v>
      </c>
      <c r="F10" s="291"/>
      <c r="G10" s="698" t="s">
        <v>445</v>
      </c>
      <c r="H10" s="698"/>
      <c r="J10" s="291"/>
      <c r="K10" s="632">
        <v>8</v>
      </c>
      <c r="L10" s="342">
        <v>209</v>
      </c>
      <c r="M10" t="s">
        <v>497</v>
      </c>
      <c r="N10" s="290" t="s">
        <v>65</v>
      </c>
      <c r="O10" s="370">
        <f t="shared" si="0"/>
        <v>0.67202572347266876</v>
      </c>
      <c r="P10" s="291"/>
      <c r="Q10" s="620">
        <v>7</v>
      </c>
      <c r="R10" s="360">
        <v>53</v>
      </c>
      <c r="S10" t="s">
        <v>476</v>
      </c>
      <c r="T10" s="290" t="s">
        <v>64</v>
      </c>
      <c r="U10" s="159">
        <f>R10/L11</f>
        <v>0.28342245989304815</v>
      </c>
      <c r="V10" s="47">
        <f t="shared" si="1"/>
        <v>5.1960784313725493E-2</v>
      </c>
      <c r="X10" s="291"/>
    </row>
    <row r="11" spans="1:24" x14ac:dyDescent="0.25">
      <c r="A11" s="382" t="s">
        <v>791</v>
      </c>
      <c r="B11" t="s">
        <v>460</v>
      </c>
      <c r="C11" t="s">
        <v>459</v>
      </c>
      <c r="F11">
        <v>1</v>
      </c>
      <c r="G11" s="444">
        <v>108</v>
      </c>
      <c r="H11" t="s">
        <v>783</v>
      </c>
      <c r="I11" t="s">
        <v>1</v>
      </c>
      <c r="K11" s="632">
        <v>9</v>
      </c>
      <c r="L11" s="317">
        <v>187</v>
      </c>
      <c r="M11" t="s">
        <v>476</v>
      </c>
      <c r="N11" s="290" t="s">
        <v>64</v>
      </c>
      <c r="O11" s="370">
        <f t="shared" si="0"/>
        <v>0.6012861736334405</v>
      </c>
      <c r="Q11" s="620">
        <v>9</v>
      </c>
      <c r="R11" s="381">
        <v>50</v>
      </c>
      <c r="S11" t="s">
        <v>550</v>
      </c>
      <c r="T11" s="290" t="s">
        <v>212</v>
      </c>
      <c r="U11" s="159">
        <f>R11/L17</f>
        <v>0.47169811320754718</v>
      </c>
      <c r="V11" s="47">
        <f t="shared" si="1"/>
        <v>4.9019607843137254E-2</v>
      </c>
    </row>
    <row r="12" spans="1:24" s="291" customFormat="1" ht="18.75" x14ac:dyDescent="0.3">
      <c r="A12" s="382" t="s">
        <v>791</v>
      </c>
      <c r="B12" t="s">
        <v>498</v>
      </c>
      <c r="C12" s="290" t="s">
        <v>64</v>
      </c>
      <c r="F12">
        <v>2</v>
      </c>
      <c r="G12" s="665">
        <v>88</v>
      </c>
      <c r="H12" s="663" t="s">
        <v>204</v>
      </c>
      <c r="I12" s="664" t="s">
        <v>1</v>
      </c>
      <c r="J12"/>
      <c r="K12" s="632">
        <v>10</v>
      </c>
      <c r="L12" s="321">
        <v>184</v>
      </c>
      <c r="M12" t="s">
        <v>206</v>
      </c>
      <c r="N12" s="290" t="s">
        <v>1</v>
      </c>
      <c r="O12" s="370">
        <f t="shared" si="0"/>
        <v>0.59163987138263663</v>
      </c>
      <c r="P12"/>
      <c r="Q12" s="620">
        <v>10</v>
      </c>
      <c r="R12" s="321">
        <v>49</v>
      </c>
      <c r="S12" t="s">
        <v>461</v>
      </c>
      <c r="T12" s="290" t="s">
        <v>439</v>
      </c>
      <c r="U12" s="159">
        <f>R12/L9</f>
        <v>0.22790697674418606</v>
      </c>
      <c r="V12" s="47">
        <f t="shared" si="1"/>
        <v>4.8039215686274513E-2</v>
      </c>
      <c r="W12"/>
      <c r="X12"/>
    </row>
    <row r="13" spans="1:24" x14ac:dyDescent="0.25">
      <c r="A13" s="656" t="s">
        <v>791</v>
      </c>
      <c r="B13" t="s">
        <v>858</v>
      </c>
      <c r="C13" t="s">
        <v>2</v>
      </c>
      <c r="F13">
        <v>3</v>
      </c>
      <c r="G13" s="317">
        <v>68</v>
      </c>
      <c r="H13" t="s">
        <v>473</v>
      </c>
      <c r="I13" s="290" t="s">
        <v>439</v>
      </c>
      <c r="K13" s="632">
        <v>11</v>
      </c>
      <c r="L13" s="444">
        <v>182</v>
      </c>
      <c r="M13" t="s">
        <v>547</v>
      </c>
      <c r="N13" t="s">
        <v>65</v>
      </c>
      <c r="O13" s="370">
        <f t="shared" si="0"/>
        <v>0.58520900321543412</v>
      </c>
      <c r="Q13" s="620">
        <v>11</v>
      </c>
      <c r="R13" s="317">
        <v>47</v>
      </c>
      <c r="S13" t="s">
        <v>448</v>
      </c>
      <c r="T13" t="s">
        <v>2</v>
      </c>
      <c r="U13" s="159">
        <f>R13/L14</f>
        <v>0.28834355828220859</v>
      </c>
      <c r="V13" s="47">
        <f t="shared" si="1"/>
        <v>4.6078431372549022E-2</v>
      </c>
    </row>
    <row r="14" spans="1:24" x14ac:dyDescent="0.25">
      <c r="A14" s="382" t="s">
        <v>791</v>
      </c>
      <c r="B14" t="s">
        <v>449</v>
      </c>
      <c r="C14" s="290" t="s">
        <v>64</v>
      </c>
      <c r="F14">
        <v>4</v>
      </c>
      <c r="G14" s="662">
        <v>21</v>
      </c>
      <c r="H14" s="663" t="s">
        <v>190</v>
      </c>
      <c r="I14" s="663" t="s">
        <v>65</v>
      </c>
      <c r="K14" s="632">
        <v>12</v>
      </c>
      <c r="L14" s="317">
        <v>163</v>
      </c>
      <c r="M14" t="s">
        <v>448</v>
      </c>
      <c r="N14" s="290" t="s">
        <v>439</v>
      </c>
      <c r="O14" s="370">
        <f t="shared" si="0"/>
        <v>0.52411575562700963</v>
      </c>
      <c r="Q14" s="620">
        <v>12</v>
      </c>
      <c r="R14" s="321">
        <v>36</v>
      </c>
      <c r="S14" t="s">
        <v>457</v>
      </c>
      <c r="T14" t="s">
        <v>64</v>
      </c>
      <c r="U14" s="159">
        <f>R14/L8</f>
        <v>0.16744186046511628</v>
      </c>
      <c r="V14" s="47">
        <f t="shared" si="1"/>
        <v>3.5294117647058823E-2</v>
      </c>
    </row>
    <row r="15" spans="1:24" x14ac:dyDescent="0.25">
      <c r="A15" s="382" t="s">
        <v>820</v>
      </c>
      <c r="B15" t="s">
        <v>497</v>
      </c>
      <c r="C15" s="290" t="s">
        <v>65</v>
      </c>
      <c r="F15">
        <v>5</v>
      </c>
      <c r="G15" s="444">
        <v>7</v>
      </c>
      <c r="H15" t="s">
        <v>449</v>
      </c>
      <c r="I15" s="290" t="s">
        <v>64</v>
      </c>
      <c r="K15" s="632">
        <v>13</v>
      </c>
      <c r="L15" s="662">
        <v>146</v>
      </c>
      <c r="M15" s="663" t="s">
        <v>204</v>
      </c>
      <c r="N15" s="664" t="s">
        <v>1</v>
      </c>
      <c r="O15" s="666">
        <f t="shared" si="0"/>
        <v>0.46945337620578781</v>
      </c>
      <c r="Q15" s="620">
        <v>13</v>
      </c>
      <c r="R15" s="444">
        <v>27</v>
      </c>
      <c r="S15" s="246" t="s">
        <v>861</v>
      </c>
      <c r="T15" s="246" t="s">
        <v>66</v>
      </c>
      <c r="U15" s="159">
        <f>R15/L23</f>
        <v>0.6428571428571429</v>
      </c>
      <c r="V15" s="47">
        <f t="shared" si="1"/>
        <v>2.6470588235294117E-2</v>
      </c>
      <c r="W15">
        <v>103</v>
      </c>
    </row>
    <row r="16" spans="1:24" x14ac:dyDescent="0.25">
      <c r="A16" s="380" t="s">
        <v>820</v>
      </c>
      <c r="B16" t="s">
        <v>473</v>
      </c>
      <c r="C16" s="290" t="s">
        <v>439</v>
      </c>
      <c r="F16">
        <v>6</v>
      </c>
      <c r="G16" s="662">
        <v>6</v>
      </c>
      <c r="H16" s="663" t="s">
        <v>194</v>
      </c>
      <c r="I16" s="664" t="s">
        <v>64</v>
      </c>
      <c r="K16" s="632">
        <v>14</v>
      </c>
      <c r="L16" s="444">
        <v>120</v>
      </c>
      <c r="M16" t="s">
        <v>783</v>
      </c>
      <c r="N16" t="s">
        <v>1</v>
      </c>
      <c r="O16" s="370">
        <f t="shared" si="0"/>
        <v>0.38585209003215432</v>
      </c>
      <c r="Q16" s="620">
        <v>14</v>
      </c>
      <c r="R16" s="317">
        <v>20</v>
      </c>
      <c r="S16" t="s">
        <v>513</v>
      </c>
      <c r="T16" t="s">
        <v>64</v>
      </c>
      <c r="U16" s="159">
        <f>R16/L18</f>
        <v>0.20833333333333334</v>
      </c>
      <c r="V16" s="47">
        <f t="shared" si="1"/>
        <v>1.9607843137254902E-2</v>
      </c>
    </row>
    <row r="17" spans="1:23" x14ac:dyDescent="0.25">
      <c r="A17" s="382" t="s">
        <v>820</v>
      </c>
      <c r="B17" t="s">
        <v>476</v>
      </c>
      <c r="C17" s="290" t="s">
        <v>64</v>
      </c>
      <c r="F17">
        <v>7</v>
      </c>
      <c r="G17" s="665">
        <v>5</v>
      </c>
      <c r="H17" s="663" t="s">
        <v>193</v>
      </c>
      <c r="I17" s="664" t="s">
        <v>64</v>
      </c>
      <c r="K17" s="632">
        <v>15</v>
      </c>
      <c r="L17" s="444">
        <v>106</v>
      </c>
      <c r="M17" s="246" t="s">
        <v>627</v>
      </c>
      <c r="N17" s="453" t="s">
        <v>212</v>
      </c>
      <c r="O17" s="370">
        <f t="shared" si="0"/>
        <v>0.34083601286173631</v>
      </c>
      <c r="Q17" s="620">
        <v>15</v>
      </c>
      <c r="R17" s="662">
        <v>19</v>
      </c>
      <c r="S17" s="663" t="s">
        <v>205</v>
      </c>
      <c r="T17" s="664" t="s">
        <v>451</v>
      </c>
      <c r="U17" s="159"/>
      <c r="V17" s="47"/>
    </row>
    <row r="18" spans="1:23" x14ac:dyDescent="0.25">
      <c r="A18" s="380" t="s">
        <v>792</v>
      </c>
      <c r="B18" t="s">
        <v>547</v>
      </c>
      <c r="C18" s="290" t="s">
        <v>65</v>
      </c>
      <c r="F18">
        <v>8</v>
      </c>
      <c r="G18" s="662">
        <v>4</v>
      </c>
      <c r="H18" s="663" t="s">
        <v>387</v>
      </c>
      <c r="I18" s="664" t="s">
        <v>212</v>
      </c>
      <c r="K18" s="632">
        <v>16</v>
      </c>
      <c r="L18" s="444">
        <v>96</v>
      </c>
      <c r="M18" t="s">
        <v>513</v>
      </c>
      <c r="N18" t="s">
        <v>64</v>
      </c>
      <c r="O18" s="370">
        <f t="shared" si="0"/>
        <v>0.3086816720257235</v>
      </c>
      <c r="Q18" s="620">
        <v>16</v>
      </c>
      <c r="R18" s="662">
        <v>15</v>
      </c>
      <c r="S18" s="663" t="s">
        <v>193</v>
      </c>
      <c r="T18" s="664" t="s">
        <v>64</v>
      </c>
      <c r="U18" s="159"/>
      <c r="V18" s="47"/>
    </row>
    <row r="19" spans="1:23" x14ac:dyDescent="0.25">
      <c r="A19" s="380" t="s">
        <v>792</v>
      </c>
      <c r="B19" t="s">
        <v>496</v>
      </c>
      <c r="C19" s="290" t="s">
        <v>212</v>
      </c>
      <c r="F19">
        <v>9</v>
      </c>
      <c r="G19" s="605">
        <v>2</v>
      </c>
      <c r="H19" t="s">
        <v>206</v>
      </c>
      <c r="I19" s="290" t="s">
        <v>1</v>
      </c>
      <c r="K19" s="632">
        <v>17</v>
      </c>
      <c r="L19" s="662">
        <v>89</v>
      </c>
      <c r="M19" s="663" t="s">
        <v>462</v>
      </c>
      <c r="N19" s="664" t="s">
        <v>439</v>
      </c>
      <c r="O19" s="666">
        <f t="shared" si="0"/>
        <v>0.2861736334405145</v>
      </c>
      <c r="Q19" s="620">
        <v>17</v>
      </c>
      <c r="R19" s="317">
        <v>12</v>
      </c>
      <c r="S19" t="s">
        <v>533</v>
      </c>
      <c r="T19" t="s">
        <v>212</v>
      </c>
      <c r="U19" s="159">
        <f>R19/L25</f>
        <v>0.375</v>
      </c>
      <c r="V19" s="47">
        <f>R19/$R$32</f>
        <v>1.1764705882352941E-2</v>
      </c>
    </row>
    <row r="20" spans="1:23" x14ac:dyDescent="0.25">
      <c r="A20" s="382" t="s">
        <v>792</v>
      </c>
      <c r="B20" t="s">
        <v>457</v>
      </c>
      <c r="C20" s="290" t="s">
        <v>64</v>
      </c>
      <c r="F20">
        <v>10</v>
      </c>
      <c r="G20" s="665">
        <v>1</v>
      </c>
      <c r="H20" s="663" t="s">
        <v>205</v>
      </c>
      <c r="I20" s="664" t="s">
        <v>451</v>
      </c>
      <c r="K20" s="632">
        <v>18</v>
      </c>
      <c r="L20" s="444">
        <v>71</v>
      </c>
      <c r="M20" t="s">
        <v>858</v>
      </c>
      <c r="N20" t="s">
        <v>2</v>
      </c>
      <c r="O20" s="370">
        <f t="shared" si="0"/>
        <v>0.22829581993569131</v>
      </c>
      <c r="Q20" s="620">
        <v>18</v>
      </c>
      <c r="R20" s="321">
        <v>11</v>
      </c>
      <c r="S20" t="s">
        <v>206</v>
      </c>
      <c r="T20" s="290" t="s">
        <v>1</v>
      </c>
      <c r="U20" s="159">
        <f>R20/L12</f>
        <v>5.9782608695652176E-2</v>
      </c>
      <c r="V20" s="47">
        <f>R20/$R$32</f>
        <v>1.0784313725490196E-2</v>
      </c>
    </row>
    <row r="21" spans="1:23" x14ac:dyDescent="0.25">
      <c r="A21" s="382" t="s">
        <v>713</v>
      </c>
      <c r="B21" t="s">
        <v>550</v>
      </c>
      <c r="C21" s="290" t="s">
        <v>212</v>
      </c>
      <c r="F21">
        <v>10</v>
      </c>
      <c r="G21" s="3">
        <v>1</v>
      </c>
      <c r="H21" t="s">
        <v>448</v>
      </c>
      <c r="I21" t="s">
        <v>2</v>
      </c>
      <c r="K21" s="632">
        <v>19</v>
      </c>
      <c r="L21" s="605">
        <v>63</v>
      </c>
      <c r="M21" t="s">
        <v>630</v>
      </c>
      <c r="N21" t="s">
        <v>439</v>
      </c>
      <c r="O21" s="370">
        <f t="shared" si="0"/>
        <v>0.20257234726688103</v>
      </c>
      <c r="Q21" s="620">
        <v>18</v>
      </c>
      <c r="R21" s="317">
        <v>11</v>
      </c>
      <c r="S21" t="s">
        <v>630</v>
      </c>
      <c r="T21" t="s">
        <v>2</v>
      </c>
      <c r="U21" s="159">
        <f>R21/L21</f>
        <v>0.17460317460317459</v>
      </c>
      <c r="V21" s="47">
        <f>R21/$R$32</f>
        <v>1.0784313725490196E-2</v>
      </c>
    </row>
    <row r="22" spans="1:23" x14ac:dyDescent="0.25">
      <c r="A22" s="326" t="s">
        <v>869</v>
      </c>
      <c r="B22" t="s">
        <v>461</v>
      </c>
      <c r="C22" s="290" t="s">
        <v>439</v>
      </c>
      <c r="G22" s="667">
        <f>SUM(G11:G21)</f>
        <v>311</v>
      </c>
      <c r="K22" s="632">
        <v>20</v>
      </c>
      <c r="L22" s="662">
        <v>55</v>
      </c>
      <c r="M22" s="663" t="s">
        <v>205</v>
      </c>
      <c r="N22" s="664" t="s">
        <v>451</v>
      </c>
      <c r="O22" s="666">
        <f t="shared" si="0"/>
        <v>0.17684887459807075</v>
      </c>
      <c r="Q22" s="620">
        <v>20</v>
      </c>
      <c r="R22" s="594">
        <v>11</v>
      </c>
      <c r="S22" t="s">
        <v>858</v>
      </c>
      <c r="T22" t="s">
        <v>2</v>
      </c>
      <c r="U22" s="159">
        <f>R22/L23</f>
        <v>0.26190476190476192</v>
      </c>
      <c r="V22" s="47">
        <f>R22/$R$32</f>
        <v>1.0784313725490196E-2</v>
      </c>
      <c r="W22">
        <v>57</v>
      </c>
    </row>
    <row r="23" spans="1:23" x14ac:dyDescent="0.25">
      <c r="A23" s="382" t="s">
        <v>574</v>
      </c>
      <c r="B23" t="s">
        <v>206</v>
      </c>
      <c r="C23" s="290" t="s">
        <v>1</v>
      </c>
      <c r="K23" s="632">
        <v>21</v>
      </c>
      <c r="L23" s="444">
        <v>42</v>
      </c>
      <c r="M23" t="s">
        <v>861</v>
      </c>
      <c r="N23" t="s">
        <v>66</v>
      </c>
      <c r="O23" s="370">
        <f t="shared" ref="O23" si="2">L23/$G$22</f>
        <v>0.13504823151125403</v>
      </c>
      <c r="Q23" s="620">
        <v>20</v>
      </c>
      <c r="R23" s="662">
        <v>10</v>
      </c>
      <c r="S23" s="663" t="s">
        <v>462</v>
      </c>
      <c r="T23" s="664" t="s">
        <v>439</v>
      </c>
      <c r="U23" s="159"/>
      <c r="V23" s="47"/>
    </row>
    <row r="24" spans="1:23" x14ac:dyDescent="0.25">
      <c r="A24" s="662" t="s">
        <v>574</v>
      </c>
      <c r="B24" s="663" t="s">
        <v>204</v>
      </c>
      <c r="C24" s="664" t="s">
        <v>1</v>
      </c>
      <c r="K24" s="632"/>
      <c r="L24" s="605" t="s">
        <v>794</v>
      </c>
      <c r="M24" t="s">
        <v>794</v>
      </c>
      <c r="N24" t="s">
        <v>794</v>
      </c>
      <c r="O24" s="629" t="s">
        <v>794</v>
      </c>
      <c r="Q24" s="620">
        <v>20</v>
      </c>
      <c r="R24" s="662">
        <v>10</v>
      </c>
      <c r="S24" s="663" t="s">
        <v>548</v>
      </c>
      <c r="T24" s="664" t="s">
        <v>212</v>
      </c>
      <c r="U24" s="503"/>
      <c r="V24" s="47"/>
    </row>
    <row r="25" spans="1:23" x14ac:dyDescent="0.25">
      <c r="A25" s="380" t="s">
        <v>574</v>
      </c>
      <c r="B25" t="s">
        <v>513</v>
      </c>
      <c r="C25" t="s">
        <v>64</v>
      </c>
      <c r="K25" s="632"/>
      <c r="L25" s="605">
        <v>32</v>
      </c>
      <c r="M25" t="s">
        <v>533</v>
      </c>
      <c r="N25" t="s">
        <v>212</v>
      </c>
      <c r="O25" s="370">
        <f>L25/$G$22</f>
        <v>0.10289389067524116</v>
      </c>
      <c r="Q25" s="620">
        <v>23</v>
      </c>
      <c r="R25" s="662">
        <v>9</v>
      </c>
      <c r="S25" s="663" t="s">
        <v>464</v>
      </c>
      <c r="T25" s="663" t="s">
        <v>212</v>
      </c>
      <c r="U25" s="159"/>
      <c r="V25" s="47"/>
    </row>
    <row r="26" spans="1:23" x14ac:dyDescent="0.25">
      <c r="A26" s="662" t="s">
        <v>458</v>
      </c>
      <c r="B26" s="663" t="s">
        <v>387</v>
      </c>
      <c r="C26" s="664" t="s">
        <v>212</v>
      </c>
      <c r="L26" s="673">
        <v>1</v>
      </c>
      <c r="M26" s="246" t="s">
        <v>879</v>
      </c>
      <c r="N26" s="246" t="s">
        <v>66</v>
      </c>
      <c r="O26" s="370">
        <f>L26/$G$22</f>
        <v>3.2154340836012861E-3</v>
      </c>
      <c r="Q26" s="620">
        <v>23</v>
      </c>
      <c r="R26" s="662">
        <v>9</v>
      </c>
      <c r="S26" s="663" t="s">
        <v>463</v>
      </c>
      <c r="T26" s="663" t="s">
        <v>212</v>
      </c>
      <c r="U26" s="159"/>
      <c r="V26" s="47"/>
    </row>
    <row r="27" spans="1:23" x14ac:dyDescent="0.25">
      <c r="A27" s="380" t="s">
        <v>458</v>
      </c>
      <c r="B27" t="s">
        <v>448</v>
      </c>
      <c r="C27" s="290" t="s">
        <v>2</v>
      </c>
      <c r="Q27" s="620">
        <v>25</v>
      </c>
      <c r="R27" s="662">
        <v>8</v>
      </c>
      <c r="S27" s="663" t="s">
        <v>199</v>
      </c>
      <c r="T27" s="663" t="s">
        <v>439</v>
      </c>
      <c r="U27" s="159"/>
      <c r="V27" s="47"/>
    </row>
    <row r="28" spans="1:23" x14ac:dyDescent="0.25">
      <c r="A28" s="455" t="s">
        <v>458</v>
      </c>
      <c r="B28" t="s">
        <v>630</v>
      </c>
      <c r="C28" t="s">
        <v>439</v>
      </c>
      <c r="Q28" s="620">
        <v>26</v>
      </c>
      <c r="R28" s="662">
        <v>6</v>
      </c>
      <c r="S28" s="663" t="s">
        <v>204</v>
      </c>
      <c r="T28" s="664" t="s">
        <v>1</v>
      </c>
      <c r="U28" s="159"/>
      <c r="V28" s="47"/>
    </row>
    <row r="29" spans="1:23" x14ac:dyDescent="0.25">
      <c r="A29" s="662" t="s">
        <v>860</v>
      </c>
      <c r="B29" s="663" t="s">
        <v>795</v>
      </c>
      <c r="C29" s="663" t="s">
        <v>66</v>
      </c>
      <c r="Q29" s="634">
        <v>27</v>
      </c>
      <c r="R29" s="662">
        <v>3</v>
      </c>
      <c r="S29" s="663" t="s">
        <v>795</v>
      </c>
      <c r="T29" s="663" t="s">
        <v>66</v>
      </c>
      <c r="U29" s="159"/>
      <c r="V29" s="47"/>
    </row>
    <row r="30" spans="1:23" x14ac:dyDescent="0.25">
      <c r="A30" s="680" t="s">
        <v>860</v>
      </c>
      <c r="B30" s="246" t="s">
        <v>879</v>
      </c>
      <c r="C30" s="246" t="s">
        <v>66</v>
      </c>
      <c r="Q30" s="660">
        <v>27</v>
      </c>
      <c r="R30" s="662">
        <v>3</v>
      </c>
      <c r="S30" s="663" t="s">
        <v>638</v>
      </c>
      <c r="T30" s="663" t="s">
        <v>64</v>
      </c>
      <c r="U30" s="159"/>
      <c r="V30" s="47"/>
    </row>
    <row r="31" spans="1:23" x14ac:dyDescent="0.25">
      <c r="A31" s="662" t="s">
        <v>512</v>
      </c>
      <c r="B31" s="663" t="s">
        <v>548</v>
      </c>
      <c r="C31" s="664" t="s">
        <v>212</v>
      </c>
      <c r="Q31" s="673">
        <v>29</v>
      </c>
      <c r="R31" s="444">
        <v>1</v>
      </c>
      <c r="S31" s="246" t="s">
        <v>879</v>
      </c>
      <c r="T31" s="246" t="s">
        <v>66</v>
      </c>
      <c r="U31" s="676"/>
      <c r="V31" s="677"/>
      <c r="W31" s="246">
        <v>58</v>
      </c>
    </row>
    <row r="32" spans="1:23" x14ac:dyDescent="0.25">
      <c r="A32" s="393" t="s">
        <v>512</v>
      </c>
      <c r="B32" t="s">
        <v>533</v>
      </c>
      <c r="C32" t="s">
        <v>212</v>
      </c>
      <c r="R32" s="668">
        <f>SUM(R3:R31)</f>
        <v>1020</v>
      </c>
    </row>
    <row r="33" spans="1:3" x14ac:dyDescent="0.25">
      <c r="A33" s="320"/>
      <c r="B33" s="318"/>
      <c r="C33" s="319"/>
    </row>
    <row r="34" spans="1:3" x14ac:dyDescent="0.25">
      <c r="A34" s="320"/>
      <c r="B34" s="318"/>
      <c r="C34" s="319"/>
    </row>
    <row r="35" spans="1:3" x14ac:dyDescent="0.25">
      <c r="A35" s="320"/>
      <c r="B35" s="318"/>
      <c r="C35" s="319"/>
    </row>
    <row r="36" spans="1:3" x14ac:dyDescent="0.25">
      <c r="A36" s="320"/>
      <c r="B36" s="318"/>
      <c r="C36" s="318"/>
    </row>
    <row r="37" spans="1:3" x14ac:dyDescent="0.25">
      <c r="A37" s="657"/>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699" t="s">
        <v>11</v>
      </c>
      <c r="E2" s="699"/>
      <c r="F2" s="700" t="s">
        <v>12</v>
      </c>
      <c r="G2" s="700"/>
      <c r="H2" s="701" t="s">
        <v>13</v>
      </c>
      <c r="I2" s="701"/>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4">
        <f>B18/B17</f>
        <v>0.5760921747479596</v>
      </c>
      <c r="C37" s="404">
        <f t="shared" ref="C37:P37" si="14">C18/C17</f>
        <v>0.57609217474795971</v>
      </c>
      <c r="D37" s="404">
        <f t="shared" si="14"/>
        <v>0.5760921747479596</v>
      </c>
      <c r="E37" s="404">
        <f t="shared" si="14"/>
        <v>0.57609217474795971</v>
      </c>
      <c r="F37" s="404">
        <f t="shared" si="14"/>
        <v>0.57609217474795971</v>
      </c>
      <c r="G37" s="404">
        <f t="shared" si="14"/>
        <v>0.57609217474795971</v>
      </c>
      <c r="H37" s="404">
        <f t="shared" si="14"/>
        <v>0.57609217474795982</v>
      </c>
      <c r="I37" s="404">
        <f t="shared" si="14"/>
        <v>0.5760921747479596</v>
      </c>
      <c r="J37" s="404">
        <f t="shared" si="14"/>
        <v>0.57609217474795971</v>
      </c>
      <c r="K37" s="404">
        <f t="shared" si="14"/>
        <v>0.5760921747479596</v>
      </c>
      <c r="L37" s="404">
        <f t="shared" si="14"/>
        <v>0.57609217474795971</v>
      </c>
      <c r="M37" s="404">
        <f t="shared" si="14"/>
        <v>0.57609217474795971</v>
      </c>
      <c r="N37" s="404">
        <f t="shared" si="14"/>
        <v>0.57609217474795971</v>
      </c>
      <c r="O37" s="404">
        <f t="shared" si="14"/>
        <v>0.57609217474795971</v>
      </c>
      <c r="P37" s="404">
        <f t="shared" si="14"/>
        <v>0.5760921747479596</v>
      </c>
    </row>
    <row r="38" spans="1:30" x14ac:dyDescent="0.25">
      <c r="B38" s="404">
        <f>B19/B17</f>
        <v>0.21747479596735478</v>
      </c>
      <c r="C38" s="404">
        <f t="shared" ref="C38:P38" si="15">C19/C17</f>
        <v>0.21747479596735481</v>
      </c>
      <c r="D38" s="404">
        <f t="shared" si="15"/>
        <v>0.21747479596735475</v>
      </c>
      <c r="E38" s="404">
        <f t="shared" si="15"/>
        <v>0.21747479596735481</v>
      </c>
      <c r="F38" s="404">
        <f t="shared" si="15"/>
        <v>0.21747479596735478</v>
      </c>
      <c r="G38" s="404">
        <f t="shared" si="15"/>
        <v>0.21747479596735478</v>
      </c>
      <c r="H38" s="404">
        <f t="shared" si="15"/>
        <v>0.21747479596735483</v>
      </c>
      <c r="I38" s="404">
        <f t="shared" si="15"/>
        <v>0.21747479596735475</v>
      </c>
      <c r="J38" s="404">
        <f t="shared" si="15"/>
        <v>0.21747479596735481</v>
      </c>
      <c r="K38" s="404">
        <f t="shared" si="15"/>
        <v>0.21747479596735478</v>
      </c>
      <c r="L38" s="404">
        <f t="shared" si="15"/>
        <v>0.21747479596735481</v>
      </c>
      <c r="M38" s="404">
        <f t="shared" si="15"/>
        <v>0.21747479596735481</v>
      </c>
      <c r="N38" s="404">
        <f t="shared" si="15"/>
        <v>0.21747479596735481</v>
      </c>
      <c r="O38" s="404">
        <f t="shared" si="15"/>
        <v>0.21747479596735478</v>
      </c>
      <c r="P38" s="404">
        <f t="shared" si="15"/>
        <v>0.21747479596735478</v>
      </c>
    </row>
    <row r="39" spans="1:30" x14ac:dyDescent="0.25">
      <c r="B39" s="404">
        <f>B20/B17</f>
        <v>0.18434949591934707</v>
      </c>
      <c r="C39" s="404">
        <f t="shared" ref="C39:P39" si="16">C20/C17</f>
        <v>0.1843494959193471</v>
      </c>
      <c r="D39" s="404">
        <f t="shared" si="16"/>
        <v>0.18434949591934707</v>
      </c>
      <c r="E39" s="404">
        <f t="shared" si="16"/>
        <v>0.1843494959193471</v>
      </c>
      <c r="F39" s="404">
        <f t="shared" si="16"/>
        <v>0.1843494959193471</v>
      </c>
      <c r="G39" s="404">
        <f t="shared" si="16"/>
        <v>0.1843494959193471</v>
      </c>
      <c r="H39" s="404">
        <f t="shared" si="16"/>
        <v>0.18434949591934713</v>
      </c>
      <c r="I39" s="404">
        <f t="shared" si="16"/>
        <v>0.18434949591934707</v>
      </c>
      <c r="J39" s="404">
        <f t="shared" si="16"/>
        <v>0.1843494959193471</v>
      </c>
      <c r="K39" s="404">
        <f t="shared" si="16"/>
        <v>0.18434949591934705</v>
      </c>
      <c r="L39" s="404">
        <f t="shared" si="16"/>
        <v>0.1843494959193471</v>
      </c>
      <c r="M39" s="404">
        <f t="shared" si="16"/>
        <v>0.1843494959193471</v>
      </c>
      <c r="N39" s="404">
        <f t="shared" si="16"/>
        <v>0.1843494959193471</v>
      </c>
      <c r="O39" s="404">
        <f t="shared" si="16"/>
        <v>0.18434949591934707</v>
      </c>
      <c r="P39" s="404">
        <f t="shared" si="16"/>
        <v>0.18434949591934707</v>
      </c>
    </row>
    <row r="40" spans="1:30" x14ac:dyDescent="0.25">
      <c r="B40" s="404">
        <f>B21/B17</f>
        <v>2.2083533365338453E-2</v>
      </c>
      <c r="C40" s="404">
        <f t="shared" ref="C40:P40" si="17">C21/C17</f>
        <v>2.2083533365338456E-2</v>
      </c>
      <c r="D40" s="404">
        <f t="shared" si="17"/>
        <v>2.2083533365338453E-2</v>
      </c>
      <c r="E40" s="404">
        <f t="shared" si="17"/>
        <v>2.2083533365338453E-2</v>
      </c>
      <c r="F40" s="404">
        <f t="shared" si="17"/>
        <v>2.2083533365338453E-2</v>
      </c>
      <c r="G40" s="404">
        <f t="shared" si="17"/>
        <v>2.2083533365338453E-2</v>
      </c>
      <c r="H40" s="404">
        <f t="shared" si="17"/>
        <v>2.208353336533846E-2</v>
      </c>
      <c r="I40" s="404">
        <f t="shared" si="17"/>
        <v>2.2083533365338453E-2</v>
      </c>
      <c r="J40" s="404">
        <f t="shared" si="17"/>
        <v>2.208353336533846E-2</v>
      </c>
      <c r="K40" s="404">
        <f t="shared" si="17"/>
        <v>2.2083533365338449E-2</v>
      </c>
      <c r="L40" s="404">
        <f t="shared" si="17"/>
        <v>2.2083533365338456E-2</v>
      </c>
      <c r="M40" s="404">
        <f t="shared" si="17"/>
        <v>2.2083533365338456E-2</v>
      </c>
      <c r="N40" s="404">
        <f t="shared" si="17"/>
        <v>2.2083533365338456E-2</v>
      </c>
      <c r="O40" s="404">
        <f t="shared" si="17"/>
        <v>2.2083533365338456E-2</v>
      </c>
      <c r="P40" s="404">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3" t="s">
        <v>230</v>
      </c>
      <c r="C59" s="195" t="s">
        <v>177</v>
      </c>
      <c r="D59" s="684" t="s">
        <v>231</v>
      </c>
      <c r="E59" s="684" t="s">
        <v>231</v>
      </c>
      <c r="F59" s="196" t="s">
        <v>232</v>
      </c>
      <c r="H59" s="274" t="s">
        <v>233</v>
      </c>
    </row>
    <row r="60" spans="1:24" ht="23.25" x14ac:dyDescent="0.25">
      <c r="A60" s="197">
        <v>18</v>
      </c>
      <c r="B60" s="683"/>
      <c r="C60" s="195" t="s">
        <v>234</v>
      </c>
      <c r="D60" s="684"/>
      <c r="E60" s="684"/>
      <c r="F60" s="196" t="s">
        <v>235</v>
      </c>
      <c r="H60" s="273" t="s">
        <v>236</v>
      </c>
    </row>
    <row r="61" spans="1:24" x14ac:dyDescent="0.25">
      <c r="A61" s="194">
        <v>19</v>
      </c>
      <c r="B61" s="683"/>
      <c r="C61" s="198"/>
      <c r="D61" s="684"/>
      <c r="E61" s="684"/>
      <c r="F61" s="199"/>
      <c r="H61" s="273" t="s">
        <v>237</v>
      </c>
      <c r="I61" s="158"/>
    </row>
    <row r="62" spans="1:24" ht="23.25" x14ac:dyDescent="0.25">
      <c r="A62" s="197">
        <v>20</v>
      </c>
      <c r="B62" s="683"/>
      <c r="C62" s="196" t="s">
        <v>231</v>
      </c>
      <c r="D62" s="685" t="s">
        <v>232</v>
      </c>
      <c r="E62" s="196" t="s">
        <v>232</v>
      </c>
      <c r="F62" s="199"/>
      <c r="H62" s="273" t="s">
        <v>238</v>
      </c>
    </row>
    <row r="63" spans="1:24" ht="23.25" x14ac:dyDescent="0.25">
      <c r="A63" s="194">
        <v>21</v>
      </c>
      <c r="B63" s="686" t="s">
        <v>177</v>
      </c>
      <c r="C63" s="196" t="s">
        <v>239</v>
      </c>
      <c r="D63" s="685"/>
      <c r="E63" s="196" t="s">
        <v>235</v>
      </c>
      <c r="F63" s="199"/>
      <c r="H63" s="273" t="s">
        <v>240</v>
      </c>
    </row>
    <row r="64" spans="1:24" x14ac:dyDescent="0.25">
      <c r="A64" s="197">
        <v>22</v>
      </c>
      <c r="B64" s="686"/>
      <c r="C64" s="199"/>
      <c r="D64" s="685"/>
      <c r="E64" s="199"/>
      <c r="F64" s="199"/>
      <c r="H64" s="273" t="s">
        <v>241</v>
      </c>
    </row>
    <row r="65" spans="1:8" x14ac:dyDescent="0.25">
      <c r="A65" s="194">
        <v>23</v>
      </c>
      <c r="B65" s="686"/>
      <c r="C65" s="199"/>
      <c r="D65" s="685"/>
      <c r="E65" s="199"/>
      <c r="F65" s="199"/>
    </row>
    <row r="66" spans="1:8" x14ac:dyDescent="0.25">
      <c r="A66" s="197">
        <v>24</v>
      </c>
      <c r="B66" s="686"/>
      <c r="C66" s="199"/>
      <c r="D66" s="685"/>
      <c r="E66" s="199"/>
      <c r="F66" s="199"/>
      <c r="H66" s="273" t="s">
        <v>242</v>
      </c>
    </row>
    <row r="67" spans="1:8" x14ac:dyDescent="0.25">
      <c r="A67" s="194">
        <v>25</v>
      </c>
      <c r="B67" s="686"/>
      <c r="C67" s="199"/>
      <c r="D67" s="684" t="s">
        <v>231</v>
      </c>
      <c r="E67" s="199"/>
      <c r="F67" s="199"/>
      <c r="H67" s="273" t="s">
        <v>243</v>
      </c>
    </row>
    <row r="68" spans="1:8" x14ac:dyDescent="0.25">
      <c r="A68" s="197">
        <v>26</v>
      </c>
      <c r="B68" s="686"/>
      <c r="C68" s="684" t="s">
        <v>231</v>
      </c>
      <c r="D68" s="684"/>
      <c r="E68" s="199"/>
      <c r="F68" s="199"/>
    </row>
    <row r="69" spans="1:8" x14ac:dyDescent="0.25">
      <c r="A69" s="194">
        <v>27</v>
      </c>
      <c r="B69" s="683" t="s">
        <v>230</v>
      </c>
      <c r="C69" s="684"/>
      <c r="D69" s="684"/>
      <c r="E69" s="199"/>
      <c r="F69" s="199"/>
    </row>
    <row r="70" spans="1:8" x14ac:dyDescent="0.25">
      <c r="A70" s="197">
        <v>28</v>
      </c>
      <c r="B70" s="683"/>
      <c r="C70" s="686" t="s">
        <v>177</v>
      </c>
      <c r="D70" s="684"/>
      <c r="E70" s="199"/>
      <c r="F70" s="199"/>
      <c r="H70" s="273" t="s">
        <v>244</v>
      </c>
    </row>
    <row r="71" spans="1:8" x14ac:dyDescent="0.25">
      <c r="A71" s="194">
        <v>29</v>
      </c>
      <c r="B71" s="683"/>
      <c r="C71" s="686"/>
      <c r="D71" s="684"/>
      <c r="E71" s="199"/>
      <c r="F71" s="199"/>
    </row>
    <row r="72" spans="1:8" x14ac:dyDescent="0.25">
      <c r="A72" s="197">
        <v>30</v>
      </c>
      <c r="B72" s="683"/>
      <c r="C72" s="686"/>
      <c r="D72" s="686" t="s">
        <v>177</v>
      </c>
      <c r="E72" s="199"/>
      <c r="F72" s="199"/>
      <c r="H72" s="273" t="s">
        <v>245</v>
      </c>
    </row>
    <row r="73" spans="1:8" x14ac:dyDescent="0.25">
      <c r="A73" s="194">
        <v>31</v>
      </c>
      <c r="B73" s="683"/>
      <c r="C73" s="686"/>
      <c r="D73" s="686"/>
      <c r="E73" s="196" t="s">
        <v>231</v>
      </c>
      <c r="F73" s="199"/>
    </row>
    <row r="74" spans="1:8" ht="23.25" x14ac:dyDescent="0.25">
      <c r="A74" s="197">
        <v>32</v>
      </c>
      <c r="B74" s="683"/>
      <c r="C74" s="686"/>
      <c r="D74" s="686"/>
      <c r="E74" s="196" t="s">
        <v>239</v>
      </c>
      <c r="F74" s="199"/>
      <c r="H74" s="273" t="s">
        <v>246</v>
      </c>
    </row>
    <row r="75" spans="1:8" ht="23.25" x14ac:dyDescent="0.25">
      <c r="A75" s="194">
        <v>33</v>
      </c>
      <c r="B75" s="683"/>
      <c r="C75" s="683" t="s">
        <v>230</v>
      </c>
      <c r="D75" s="686"/>
      <c r="E75" s="195" t="s">
        <v>177</v>
      </c>
      <c r="F75" s="195" t="s">
        <v>177</v>
      </c>
    </row>
    <row r="76" spans="1:8" x14ac:dyDescent="0.25">
      <c r="A76" s="197">
        <v>34</v>
      </c>
      <c r="B76" s="687" t="s">
        <v>247</v>
      </c>
      <c r="C76" s="683"/>
      <c r="D76" s="686"/>
      <c r="E76" s="195" t="s">
        <v>234</v>
      </c>
      <c r="F76" s="195" t="s">
        <v>234</v>
      </c>
      <c r="H76" s="273" t="s">
        <v>248</v>
      </c>
    </row>
    <row r="77" spans="1:8" x14ac:dyDescent="0.25">
      <c r="A77" s="194">
        <v>35</v>
      </c>
      <c r="B77" s="687"/>
      <c r="C77" s="687" t="s">
        <v>247</v>
      </c>
      <c r="D77" s="683" t="s">
        <v>230</v>
      </c>
      <c r="E77" s="683" t="s">
        <v>230</v>
      </c>
      <c r="F77" s="198"/>
    </row>
    <row r="78" spans="1:8" ht="23.25" x14ac:dyDescent="0.25">
      <c r="A78" s="197">
        <v>36</v>
      </c>
      <c r="B78" s="687"/>
      <c r="C78" s="687"/>
      <c r="D78" s="683"/>
      <c r="E78" s="683"/>
      <c r="F78" s="200" t="s">
        <v>230</v>
      </c>
      <c r="H78" s="273" t="s">
        <v>249</v>
      </c>
    </row>
    <row r="79" spans="1:8" x14ac:dyDescent="0.25">
      <c r="A79" s="682" t="s">
        <v>250</v>
      </c>
      <c r="B79" s="682"/>
      <c r="C79" s="682"/>
      <c r="D79" s="682"/>
      <c r="E79" s="682"/>
      <c r="F79" s="682"/>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08"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09"/>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0">
        <f>C13</f>
        <v>1504841</v>
      </c>
      <c r="AA14" s="711"/>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2" t="s">
        <v>93</v>
      </c>
      <c r="B26" s="712"/>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03" t="s">
        <v>94</v>
      </c>
      <c r="B27" s="703"/>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04" t="s">
        <v>95</v>
      </c>
      <c r="B28" s="704"/>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2" t="s">
        <v>96</v>
      </c>
      <c r="B29" s="712"/>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03" t="s">
        <v>97</v>
      </c>
      <c r="B30" s="703"/>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04" t="s">
        <v>98</v>
      </c>
      <c r="B31" s="704"/>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3"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5">
        <f>C23</f>
        <v>1482625</v>
      </c>
      <c r="AA33" s="706"/>
    </row>
    <row r="34" spans="1:27" x14ac:dyDescent="0.25">
      <c r="A34" s="57"/>
      <c r="B34" s="713"/>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3"/>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3"/>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3"/>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3"/>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7"/>
      <c r="I40" s="707"/>
      <c r="J40" s="707"/>
      <c r="K40" s="707"/>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02"/>
      <c r="I49" s="702"/>
      <c r="J49" s="702"/>
      <c r="K49" s="702"/>
    </row>
    <row r="50" spans="8:11" x14ac:dyDescent="0.25">
      <c r="H50" s="103"/>
      <c r="I50" s="103"/>
      <c r="J50" s="103"/>
      <c r="K50" s="103"/>
    </row>
    <row r="51" spans="8:11" x14ac:dyDescent="0.25">
      <c r="H51" s="702"/>
      <c r="I51" s="702"/>
      <c r="J51" s="702"/>
      <c r="K51" s="702"/>
    </row>
    <row r="52" spans="8:11" ht="15" customHeight="1" x14ac:dyDescent="0.25">
      <c r="H52" s="702"/>
      <c r="I52" s="702"/>
      <c r="J52" s="702"/>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208</v>
      </c>
      <c r="C2" s="715"/>
      <c r="D2" s="715"/>
      <c r="E2" s="715"/>
      <c r="F2" s="715"/>
      <c r="G2" s="716"/>
      <c r="I2" s="717" t="s">
        <v>101</v>
      </c>
      <c r="J2" s="717"/>
      <c r="K2" s="717"/>
      <c r="L2" s="717"/>
      <c r="M2" s="717"/>
      <c r="N2" s="717"/>
      <c r="O2" s="717"/>
      <c r="P2" s="717"/>
      <c r="Q2" s="717"/>
      <c r="R2" s="717"/>
      <c r="S2" s="717"/>
      <c r="T2" s="717"/>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8"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09"/>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0">
        <f>C13</f>
        <v>2257672</v>
      </c>
      <c r="Z14" s="711"/>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2" t="s">
        <v>93</v>
      </c>
      <c r="B26" s="712"/>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03" t="s">
        <v>94</v>
      </c>
      <c r="B27" s="703"/>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04" t="s">
        <v>95</v>
      </c>
      <c r="B28" s="704"/>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2" t="s">
        <v>96</v>
      </c>
      <c r="B29" s="712"/>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03" t="s">
        <v>97</v>
      </c>
      <c r="B30" s="703"/>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04" t="s">
        <v>98</v>
      </c>
      <c r="B31" s="704"/>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259</v>
      </c>
      <c r="C33" s="173" t="s">
        <v>181</v>
      </c>
      <c r="D33" s="174"/>
      <c r="E33" s="174"/>
      <c r="F33" s="174"/>
      <c r="G33" s="174"/>
      <c r="H33" s="174"/>
      <c r="I33" s="174"/>
      <c r="J33" s="174"/>
      <c r="K33" s="174"/>
      <c r="L33" s="174"/>
      <c r="M33" s="174"/>
      <c r="N33" s="174"/>
      <c r="O33" s="174"/>
      <c r="P33" s="174"/>
      <c r="Q33" s="174"/>
      <c r="R33" s="174"/>
      <c r="S33" s="174">
        <v>49820</v>
      </c>
      <c r="Y33" s="705">
        <f>C23</f>
        <v>2470257</v>
      </c>
      <c r="Z33" s="706"/>
    </row>
    <row r="34" spans="1:26" x14ac:dyDescent="0.25">
      <c r="A34" s="57"/>
      <c r="B34" s="713"/>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3"/>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3"/>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3"/>
      <c r="C37" s="173" t="s">
        <v>211</v>
      </c>
      <c r="D37" s="176"/>
      <c r="E37" s="176"/>
      <c r="F37" s="176"/>
      <c r="G37" s="176"/>
      <c r="H37" s="176"/>
      <c r="I37" s="176"/>
      <c r="J37" s="176"/>
      <c r="K37" s="176"/>
      <c r="L37" s="176"/>
      <c r="M37" s="176"/>
      <c r="N37" s="176"/>
      <c r="O37" s="176"/>
      <c r="P37" s="176"/>
      <c r="Q37" s="176"/>
      <c r="R37" s="176"/>
      <c r="S37" s="176" t="s">
        <v>393</v>
      </c>
    </row>
    <row r="38" spans="1:26" x14ac:dyDescent="0.25">
      <c r="B38" s="713"/>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7"/>
      <c r="H40" s="707"/>
      <c r="I40" s="707"/>
      <c r="J40" s="707"/>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02"/>
      <c r="H49" s="702"/>
      <c r="I49" s="702"/>
      <c r="J49" s="702"/>
    </row>
    <row r="50" spans="7:10" x14ac:dyDescent="0.25">
      <c r="G50" s="216"/>
      <c r="H50" s="216"/>
      <c r="I50" s="216"/>
      <c r="J50" s="216"/>
    </row>
    <row r="51" spans="7:10" x14ac:dyDescent="0.25">
      <c r="G51" s="702"/>
      <c r="H51" s="702"/>
      <c r="I51" s="702"/>
      <c r="J51" s="702"/>
    </row>
    <row r="52" spans="7:10" ht="15" customHeight="1" x14ac:dyDescent="0.25">
      <c r="G52" s="702"/>
      <c r="H52" s="702"/>
      <c r="I52" s="702"/>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289</v>
      </c>
      <c r="C2" s="715"/>
      <c r="D2" s="715"/>
      <c r="E2" s="715"/>
      <c r="F2" s="715"/>
      <c r="G2" s="716"/>
      <c r="I2" s="717" t="s">
        <v>101</v>
      </c>
      <c r="J2" s="717"/>
      <c r="K2" s="717"/>
      <c r="L2" s="717"/>
      <c r="M2" s="717"/>
      <c r="N2" s="717"/>
      <c r="O2" s="717"/>
      <c r="P2" s="717"/>
      <c r="Q2" s="717"/>
      <c r="R2" s="717"/>
      <c r="S2" s="717"/>
      <c r="T2" s="717"/>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8"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09"/>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0">
        <f>C13</f>
        <v>3165941</v>
      </c>
      <c r="Z14" s="711"/>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2" t="s">
        <v>93</v>
      </c>
      <c r="B26" s="712"/>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03" t="s">
        <v>94</v>
      </c>
      <c r="B27" s="703"/>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04" t="s">
        <v>95</v>
      </c>
      <c r="B28" s="704"/>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2" t="s">
        <v>96</v>
      </c>
      <c r="B29" s="712"/>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03" t="s">
        <v>97</v>
      </c>
      <c r="B30" s="703"/>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04" t="s">
        <v>98</v>
      </c>
      <c r="B31" s="704"/>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259</v>
      </c>
      <c r="C33" s="173" t="s">
        <v>181</v>
      </c>
      <c r="D33" s="174"/>
      <c r="E33" s="174"/>
      <c r="F33" s="174"/>
      <c r="G33" s="174"/>
      <c r="H33" s="174"/>
      <c r="I33" s="174"/>
      <c r="J33" s="174"/>
      <c r="K33" s="174"/>
      <c r="L33" s="174"/>
      <c r="M33" s="174"/>
      <c r="N33" s="174"/>
      <c r="O33" s="174"/>
      <c r="P33" s="174"/>
      <c r="Q33" s="174"/>
      <c r="R33" s="174"/>
      <c r="S33" s="174"/>
      <c r="Y33" s="705">
        <f>C23</f>
        <v>1505104</v>
      </c>
      <c r="Z33" s="706"/>
    </row>
    <row r="34" spans="1:26" x14ac:dyDescent="0.25">
      <c r="A34" s="57"/>
      <c r="B34" s="713"/>
      <c r="C34" s="173" t="s">
        <v>104</v>
      </c>
      <c r="D34" s="174"/>
      <c r="E34" s="174"/>
      <c r="F34" s="174"/>
      <c r="G34" s="174"/>
      <c r="H34" s="174"/>
      <c r="I34" s="174"/>
      <c r="J34" s="174"/>
      <c r="K34" s="174"/>
      <c r="L34" s="174"/>
      <c r="M34" s="174"/>
      <c r="N34" s="174"/>
      <c r="O34" s="174"/>
      <c r="P34" s="174"/>
      <c r="Q34" s="174"/>
      <c r="R34" s="174"/>
      <c r="S34" s="174"/>
    </row>
    <row r="35" spans="1:26" x14ac:dyDescent="0.25">
      <c r="A35" s="57"/>
      <c r="B35" s="713"/>
      <c r="C35" s="173" t="s">
        <v>61</v>
      </c>
      <c r="D35" s="175"/>
      <c r="E35" s="175"/>
      <c r="F35" s="175"/>
      <c r="G35" s="175"/>
      <c r="H35" s="175"/>
      <c r="I35" s="175"/>
      <c r="J35" s="175"/>
      <c r="K35" s="175"/>
      <c r="L35" s="175"/>
      <c r="M35" s="175"/>
      <c r="N35" s="175"/>
      <c r="O35" s="175"/>
      <c r="P35" s="175"/>
      <c r="Q35" s="175"/>
      <c r="R35" s="175"/>
      <c r="S35" s="175"/>
    </row>
    <row r="36" spans="1:26" x14ac:dyDescent="0.25">
      <c r="A36" s="57"/>
      <c r="B36" s="713"/>
      <c r="C36" s="173" t="s">
        <v>210</v>
      </c>
      <c r="D36" s="176"/>
      <c r="E36" s="176"/>
      <c r="F36" s="176"/>
      <c r="G36" s="176"/>
      <c r="H36" s="176"/>
      <c r="I36" s="176"/>
      <c r="J36" s="176"/>
      <c r="K36" s="176"/>
      <c r="L36" s="176"/>
      <c r="M36" s="176"/>
      <c r="N36" s="176"/>
      <c r="O36" s="176"/>
      <c r="P36" s="176"/>
      <c r="Q36" s="176"/>
      <c r="R36" s="176"/>
      <c r="S36" s="176"/>
    </row>
    <row r="37" spans="1:26" x14ac:dyDescent="0.25">
      <c r="B37" s="713"/>
      <c r="C37" s="173" t="s">
        <v>211</v>
      </c>
      <c r="D37" s="176"/>
      <c r="E37" s="176"/>
      <c r="F37" s="176"/>
      <c r="G37" s="176"/>
      <c r="H37" s="176"/>
      <c r="I37" s="176"/>
      <c r="J37" s="176"/>
      <c r="K37" s="176"/>
      <c r="L37" s="176"/>
      <c r="M37" s="176"/>
      <c r="N37" s="176"/>
      <c r="O37" s="176"/>
      <c r="P37" s="176"/>
      <c r="Q37" s="176"/>
      <c r="R37" s="176"/>
      <c r="S37" s="176"/>
    </row>
    <row r="38" spans="1:26" x14ac:dyDescent="0.25">
      <c r="B38" s="713"/>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7"/>
      <c r="H40" s="707"/>
      <c r="I40" s="707"/>
      <c r="J40" s="707"/>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02"/>
      <c r="H49" s="702"/>
      <c r="I49" s="702"/>
      <c r="J49" s="702"/>
    </row>
    <row r="50" spans="7:10" x14ac:dyDescent="0.25">
      <c r="G50" s="243"/>
      <c r="H50" s="243"/>
      <c r="I50" s="243"/>
      <c r="J50" s="243"/>
    </row>
    <row r="51" spans="7:10" x14ac:dyDescent="0.25">
      <c r="G51" s="702"/>
      <c r="H51" s="702"/>
      <c r="I51" s="702"/>
      <c r="J51" s="702"/>
    </row>
    <row r="52" spans="7:10" ht="15" customHeight="1" x14ac:dyDescent="0.25">
      <c r="G52" s="702"/>
      <c r="H52" s="702"/>
      <c r="I52" s="702"/>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389</v>
      </c>
      <c r="C2" s="715"/>
      <c r="D2" s="715"/>
      <c r="E2" s="715"/>
      <c r="F2" s="715"/>
      <c r="G2" s="716"/>
      <c r="I2" s="717" t="s">
        <v>390</v>
      </c>
      <c r="J2" s="717"/>
      <c r="K2" s="717"/>
      <c r="L2" s="717"/>
      <c r="M2" s="717"/>
      <c r="N2" s="717"/>
      <c r="O2" s="717"/>
      <c r="P2" s="717"/>
      <c r="Q2" s="717"/>
      <c r="R2" s="717"/>
      <c r="S2" s="717"/>
      <c r="T2" s="717"/>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08"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09"/>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0">
        <f>C13</f>
        <v>3470401</v>
      </c>
      <c r="Z14" s="711"/>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2" t="s">
        <v>93</v>
      </c>
      <c r="B26" s="712"/>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03" t="s">
        <v>94</v>
      </c>
      <c r="B27" s="703"/>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04" t="s">
        <v>95</v>
      </c>
      <c r="B28" s="704"/>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2" t="s">
        <v>96</v>
      </c>
      <c r="B29" s="712"/>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03" t="s">
        <v>97</v>
      </c>
      <c r="B30" s="703"/>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04" t="s">
        <v>98</v>
      </c>
      <c r="B31" s="704"/>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5">
        <f>C23</f>
        <v>4347517</v>
      </c>
      <c r="Z33" s="706"/>
    </row>
    <row r="34" spans="1:26" x14ac:dyDescent="0.25">
      <c r="A34" s="57"/>
      <c r="B34" s="713"/>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3"/>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3"/>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3"/>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3"/>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7"/>
      <c r="H40" s="707"/>
      <c r="I40" s="707"/>
      <c r="J40" s="707"/>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02"/>
      <c r="H49" s="702"/>
      <c r="I49" s="702"/>
      <c r="J49" s="702"/>
    </row>
    <row r="50" spans="7:10" x14ac:dyDescent="0.25">
      <c r="G50" s="258"/>
      <c r="H50" s="258"/>
      <c r="I50" s="258"/>
      <c r="J50" s="258"/>
    </row>
    <row r="51" spans="7:10" x14ac:dyDescent="0.25">
      <c r="G51" s="702"/>
      <c r="H51" s="702"/>
      <c r="I51" s="702"/>
      <c r="J51" s="702"/>
    </row>
    <row r="52" spans="7:10" ht="15" customHeight="1" x14ac:dyDescent="0.25">
      <c r="G52" s="702"/>
      <c r="H52" s="702"/>
      <c r="I52" s="702"/>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424</v>
      </c>
      <c r="C2" s="715"/>
      <c r="D2" s="715"/>
      <c r="E2" s="715"/>
      <c r="F2" s="715"/>
      <c r="G2" s="716"/>
      <c r="I2" s="724" t="s">
        <v>425</v>
      </c>
      <c r="J2" s="724"/>
      <c r="K2" s="724"/>
      <c r="L2" s="724"/>
      <c r="M2" s="724"/>
      <c r="N2" s="724"/>
      <c r="O2" s="724"/>
      <c r="P2" s="724"/>
      <c r="Q2" s="724"/>
      <c r="R2" s="724"/>
      <c r="S2" s="724"/>
      <c r="T2" s="724"/>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08"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09"/>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0">
        <f>C13</f>
        <v>3901063</v>
      </c>
      <c r="Z14" s="711"/>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2" t="s">
        <v>93</v>
      </c>
      <c r="B26" s="712"/>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03" t="s">
        <v>94</v>
      </c>
      <c r="B27" s="703"/>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04" t="s">
        <v>95</v>
      </c>
      <c r="B28" s="704"/>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2" t="s">
        <v>96</v>
      </c>
      <c r="B29" s="712"/>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03" t="s">
        <v>97</v>
      </c>
      <c r="B30" s="703"/>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04" t="s">
        <v>98</v>
      </c>
      <c r="B31" s="704"/>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3"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5">
        <f>C23</f>
        <v>2535782</v>
      </c>
      <c r="Z34" s="706"/>
    </row>
    <row r="35" spans="1:26" x14ac:dyDescent="0.25">
      <c r="A35" s="57"/>
      <c r="B35" s="713"/>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3"/>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3"/>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3"/>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3"/>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7"/>
      <c r="H41" s="707"/>
      <c r="I41" s="707"/>
      <c r="J41" s="707"/>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02"/>
      <c r="H46" s="702"/>
      <c r="I46" s="702"/>
      <c r="J46" s="702"/>
    </row>
    <row r="47" spans="1:26" x14ac:dyDescent="0.25">
      <c r="G47" s="329"/>
      <c r="H47" s="329"/>
      <c r="I47" s="329"/>
      <c r="J47" s="329"/>
    </row>
    <row r="48" spans="1:26" x14ac:dyDescent="0.25">
      <c r="G48" s="702"/>
      <c r="H48" s="702"/>
      <c r="I48" s="702"/>
      <c r="J48" s="702"/>
    </row>
    <row r="49" spans="7:10" ht="15" customHeight="1" x14ac:dyDescent="0.25">
      <c r="G49" s="702"/>
      <c r="H49" s="702"/>
      <c r="I49" s="702"/>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493</v>
      </c>
      <c r="C2" s="715"/>
      <c r="D2" s="715"/>
      <c r="E2" s="715"/>
      <c r="F2" s="715"/>
      <c r="G2" s="716"/>
      <c r="I2" s="724" t="s">
        <v>494</v>
      </c>
      <c r="J2" s="724"/>
      <c r="K2" s="724"/>
      <c r="L2" s="724"/>
      <c r="M2" s="724"/>
      <c r="N2" s="724"/>
      <c r="O2" s="724"/>
      <c r="P2" s="724"/>
      <c r="Q2" s="724"/>
      <c r="R2" s="724"/>
      <c r="S2" s="724"/>
      <c r="T2" s="724"/>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F14" sqref="F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5" t="s">
        <v>179</v>
      </c>
      <c r="B1" s="405" t="s">
        <v>2</v>
      </c>
      <c r="C1" s="405" t="s">
        <v>578</v>
      </c>
      <c r="D1" s="332" t="s">
        <v>579</v>
      </c>
      <c r="E1" s="332" t="s">
        <v>515</v>
      </c>
      <c r="F1" s="332" t="s">
        <v>516</v>
      </c>
      <c r="H1" s="405" t="s">
        <v>487</v>
      </c>
      <c r="I1" s="405" t="str">
        <f>D1</f>
        <v>N_CA</v>
      </c>
      <c r="J1" s="332" t="s">
        <v>515</v>
      </c>
      <c r="K1" s="332" t="s">
        <v>516</v>
      </c>
      <c r="M1" s="405" t="s">
        <v>487</v>
      </c>
      <c r="N1" s="405" t="str">
        <f>I1</f>
        <v>N_CA</v>
      </c>
      <c r="O1" s="332" t="s">
        <v>515</v>
      </c>
      <c r="P1" s="332" t="s">
        <v>516</v>
      </c>
    </row>
    <row r="2" spans="1:16" x14ac:dyDescent="0.25">
      <c r="A2" t="str">
        <f>PLANTILLA!D7</f>
        <v>B. Pinczehelyi</v>
      </c>
      <c r="B2" s="159">
        <f>PLANTILLA!Y7+1.5+PLANTILLA!J7</f>
        <v>17.321969263057564</v>
      </c>
      <c r="C2" s="159">
        <f>PLANTILLA!AB7+1.5+PLANTILLA!J7</f>
        <v>12.491969263057557</v>
      </c>
      <c r="D2" s="357">
        <f t="shared" ref="D2:D20" si="0">(C2*2+B2)/8</f>
        <v>5.2882384736465848</v>
      </c>
      <c r="E2" s="159">
        <f>D2*PLANTILLA!R7</f>
        <v>4.4693772460214474</v>
      </c>
      <c r="F2" s="159">
        <f>E2*PLANTILLA!S7</f>
        <v>4.1343896504779272</v>
      </c>
      <c r="H2" t="str">
        <f>A2</f>
        <v>B. Pinczehelyi</v>
      </c>
      <c r="I2" s="159">
        <f>D2</f>
        <v>5.2882384736465848</v>
      </c>
      <c r="J2" s="159">
        <f t="shared" ref="J2:K2" si="1">E2</f>
        <v>4.4693772460214474</v>
      </c>
      <c r="K2" s="159">
        <f t="shared" si="1"/>
        <v>4.1343896504779272</v>
      </c>
      <c r="M2" t="str">
        <f>A2</f>
        <v>B. Pinczehelyi</v>
      </c>
      <c r="N2" s="159">
        <f>D2</f>
        <v>5.2882384736465848</v>
      </c>
      <c r="O2" s="159">
        <f t="shared" ref="O2:P2" si="2">E2</f>
        <v>4.4693772460214474</v>
      </c>
      <c r="P2" s="159">
        <f t="shared" si="2"/>
        <v>4.1343896504779272</v>
      </c>
    </row>
    <row r="3" spans="1:16" x14ac:dyDescent="0.25">
      <c r="A3" t="str">
        <f>PLANTILLA!D16</f>
        <v>C. Rojas</v>
      </c>
      <c r="B3" s="159">
        <f>PLANTILLA!Y16+1.5+PLANTILLA!J16</f>
        <v>11.556463883619058</v>
      </c>
      <c r="C3" s="159">
        <f>PLANTILLA!AB16+1.5+PLANTILLA!J16</f>
        <v>13.028908328063499</v>
      </c>
      <c r="D3" s="357">
        <f t="shared" si="0"/>
        <v>4.7017850674682569</v>
      </c>
      <c r="E3" s="159">
        <f>D3*PLANTILLA!R16</f>
        <v>3.9737336545898025</v>
      </c>
      <c r="F3" s="159">
        <f>E3*PLANTILLA!S16</f>
        <v>3.6758954080049193</v>
      </c>
      <c r="H3" s="159" t="str">
        <f>A7</f>
        <v>E. Toney</v>
      </c>
      <c r="I3" s="159">
        <f>D7</f>
        <v>5.039036965602925</v>
      </c>
      <c r="J3" s="159">
        <f t="shared" ref="J3:K3" si="3">E7</f>
        <v>4.2587635312135861</v>
      </c>
      <c r="K3" s="159">
        <f t="shared" si="3"/>
        <v>3.9395617997912429</v>
      </c>
      <c r="M3" t="str">
        <f>A7</f>
        <v>E. Toney</v>
      </c>
      <c r="N3" s="159">
        <f>D7</f>
        <v>5.039036965602925</v>
      </c>
      <c r="O3" s="159">
        <f t="shared" ref="O3:P3" si="4">E7</f>
        <v>4.2587635312135861</v>
      </c>
      <c r="P3" s="159">
        <f t="shared" si="4"/>
        <v>3.9395617997912429</v>
      </c>
    </row>
    <row r="4" spans="1:16" x14ac:dyDescent="0.25">
      <c r="A4" t="str">
        <f>PLANTILLA!D12</f>
        <v>E. Romweber</v>
      </c>
      <c r="B4" s="159">
        <f>PLANTILLA!Y12+1.5+PLANTILLA!J12</f>
        <v>15.004024410178335</v>
      </c>
      <c r="C4" s="159">
        <f>PLANTILLA!AB12+1.5+PLANTILLA!J12</f>
        <v>13.908468854622781</v>
      </c>
      <c r="D4" s="357">
        <f t="shared" si="0"/>
        <v>5.352620264927987</v>
      </c>
      <c r="E4" s="159">
        <f>D4*PLANTILLA!R12</f>
        <v>3.5041125043410113</v>
      </c>
      <c r="F4" s="159">
        <f>E4*PLANTILLA!S12</f>
        <v>2.6455469250336594</v>
      </c>
      <c r="H4" t="str">
        <f t="shared" ref="H4:H6" si="5">A4</f>
        <v>E. Romweber</v>
      </c>
      <c r="I4" s="159">
        <f t="shared" ref="I4:I6" si="6">D4</f>
        <v>5.352620264927987</v>
      </c>
      <c r="J4" s="159">
        <f t="shared" ref="J4" si="7">E4</f>
        <v>3.5041125043410113</v>
      </c>
      <c r="K4" s="159">
        <f t="shared" ref="K4" si="8">F4</f>
        <v>2.6455469250336594</v>
      </c>
      <c r="M4" t="str">
        <f t="shared" ref="M4" si="9">A4</f>
        <v>E. Romweber</v>
      </c>
      <c r="N4" s="159">
        <f t="shared" ref="N4" si="10">D4</f>
        <v>5.352620264927987</v>
      </c>
      <c r="O4" s="159">
        <f t="shared" ref="O4" si="11">E4</f>
        <v>3.5041125043410113</v>
      </c>
      <c r="P4" s="159">
        <f t="shared" ref="P4" si="12">F4</f>
        <v>2.6455469250336594</v>
      </c>
    </row>
    <row r="5" spans="1:16" x14ac:dyDescent="0.25">
      <c r="A5" t="str">
        <f>PLANTILLA!D8</f>
        <v>D. Toh</v>
      </c>
      <c r="B5" s="159">
        <f>PLANTILLA!Y8+1.5+PLANTILLA!J8</f>
        <v>13.749891900952392</v>
      </c>
      <c r="C5" s="159">
        <f>PLANTILLA!AB8+1.5+PLANTILLA!J8</f>
        <v>10.462003012063503</v>
      </c>
      <c r="D5" s="357">
        <f t="shared" si="0"/>
        <v>4.3342372406349252</v>
      </c>
      <c r="E5" s="159">
        <f>D5*PLANTILLA!R8</f>
        <v>2.8374243193008675</v>
      </c>
      <c r="F5" s="159">
        <f>E5*PLANTILLA!S8</f>
        <v>2.1422083833332359</v>
      </c>
      <c r="H5" s="159" t="str">
        <f>A12</f>
        <v>B. Bartolache</v>
      </c>
      <c r="I5" s="159">
        <f>D12</f>
        <v>4.7926686123525855</v>
      </c>
      <c r="J5" s="159">
        <f t="shared" ref="J5:K5" si="13">E12</f>
        <v>4.7926686123525855</v>
      </c>
      <c r="K5" s="159">
        <f t="shared" si="13"/>
        <v>4.7926686123525855</v>
      </c>
      <c r="M5" s="159" t="str">
        <f>H5</f>
        <v>B. Bartolache</v>
      </c>
      <c r="N5" s="159">
        <f t="shared" ref="N5:P5" si="14">I5</f>
        <v>4.7926686123525855</v>
      </c>
      <c r="O5" s="159">
        <f t="shared" si="14"/>
        <v>4.7926686123525855</v>
      </c>
      <c r="P5" s="159">
        <f t="shared" si="14"/>
        <v>4.7926686123525855</v>
      </c>
    </row>
    <row r="6" spans="1:16" x14ac:dyDescent="0.25">
      <c r="A6" t="str">
        <f>PLANTILLA!D17</f>
        <v>E. Gross</v>
      </c>
      <c r="B6" s="159">
        <f>PLANTILLA!Y17+1.5+PLANTILLA!J17</f>
        <v>13.28909516504352</v>
      </c>
      <c r="C6" s="159">
        <f>PLANTILLA!AB17+1.5+PLANTILLA!J17</f>
        <v>12.079095165043524</v>
      </c>
      <c r="D6" s="357">
        <f t="shared" si="0"/>
        <v>4.6809106868913215</v>
      </c>
      <c r="E6" s="159">
        <f>D6*PLANTILLA!R17</f>
        <v>4.6809106868913215</v>
      </c>
      <c r="F6" s="159">
        <f>E6*PLANTILLA!S17</f>
        <v>4.6809106868913215</v>
      </c>
      <c r="H6" t="str">
        <f t="shared" si="5"/>
        <v>E. Gross</v>
      </c>
      <c r="I6" s="159">
        <f t="shared" si="6"/>
        <v>4.6809106868913215</v>
      </c>
      <c r="J6" s="159">
        <f t="shared" ref="J6" si="15">E6</f>
        <v>4.6809106868913215</v>
      </c>
      <c r="K6" s="159">
        <f t="shared" ref="K6" si="16">F6</f>
        <v>4.6809106868913215</v>
      </c>
      <c r="N6" s="406"/>
      <c r="O6" s="406"/>
      <c r="P6" s="406"/>
    </row>
    <row r="7" spans="1:16" x14ac:dyDescent="0.25">
      <c r="A7" t="str">
        <f>PLANTILLA!D9</f>
        <v>E. Toney</v>
      </c>
      <c r="B7" s="159">
        <f>PLANTILLA!Y9+1.5+PLANTILLA!J9</f>
        <v>15.124098574941137</v>
      </c>
      <c r="C7" s="159">
        <f>PLANTILLA!AB9+1.5+PLANTILLA!J9</f>
        <v>12.594098574941132</v>
      </c>
      <c r="D7" s="357">
        <f t="shared" si="0"/>
        <v>5.039036965602925</v>
      </c>
      <c r="E7" s="159">
        <f>D7*PLANTILLA!R9</f>
        <v>4.2587635312135861</v>
      </c>
      <c r="F7" s="159">
        <f>E7*PLANTILLA!S9</f>
        <v>3.9395617997912429</v>
      </c>
      <c r="I7" s="423">
        <f>SUM(I2:I6)</f>
        <v>25.153475003421406</v>
      </c>
      <c r="J7" s="423">
        <f t="shared" ref="J7:K7" si="17">SUM(J2:J6)</f>
        <v>21.705832580819951</v>
      </c>
      <c r="K7" s="423">
        <f t="shared" si="17"/>
        <v>20.193077674546736</v>
      </c>
      <c r="L7" s="423"/>
      <c r="M7" s="423"/>
      <c r="N7" s="423">
        <f>SUM(N2:N6)</f>
        <v>20.472564316530082</v>
      </c>
      <c r="O7" s="423">
        <f t="shared" ref="O7:P7" si="18">SUM(O2:O6)</f>
        <v>17.024921893928628</v>
      </c>
      <c r="P7" s="423">
        <f t="shared" si="18"/>
        <v>15.512166987655416</v>
      </c>
    </row>
    <row r="8" spans="1:16" x14ac:dyDescent="0.25">
      <c r="A8" t="str">
        <f>PLANTILLA!D24</f>
        <v>P .Trivadi</v>
      </c>
      <c r="B8" s="159">
        <f>PLANTILLA!Y24+1.5+PLANTILLA!J24</f>
        <v>6.5757873992714417</v>
      </c>
      <c r="C8" s="159">
        <f>PLANTILLA!AB24+1.5+PLANTILLA!J24</f>
        <v>13.365787399271442</v>
      </c>
      <c r="D8" s="357">
        <f t="shared" si="0"/>
        <v>4.163420274726791</v>
      </c>
      <c r="E8" s="159">
        <f>D8*PLANTILLA!R24</f>
        <v>3.8545781741426213</v>
      </c>
      <c r="F8" s="159">
        <f>E8*PLANTILLA!S24</f>
        <v>3.8518239200044824</v>
      </c>
    </row>
    <row r="9" spans="1:16" x14ac:dyDescent="0.25">
      <c r="A9" t="str">
        <f>PLANTILLA!D13</f>
        <v>K. Helms</v>
      </c>
      <c r="B9" s="159">
        <f>PLANTILLA!Y13+1.5+PLANTILLA!J13</f>
        <v>10.124104591311227</v>
      </c>
      <c r="C9" s="159">
        <f>PLANTILLA!AB13+1.5+PLANTILLA!J13</f>
        <v>13.264104591311224</v>
      </c>
      <c r="D9" s="357">
        <f t="shared" si="0"/>
        <v>4.5815392217417088</v>
      </c>
      <c r="E9" s="159">
        <f>D9*PLANTILLA!R13</f>
        <v>3.8721073664605816</v>
      </c>
      <c r="F9" s="159">
        <f>E9*PLANTILLA!S13</f>
        <v>3.5818861868697023</v>
      </c>
    </row>
    <row r="10" spans="1:16" x14ac:dyDescent="0.25">
      <c r="A10" t="str">
        <f>PLANTILLA!D22</f>
        <v>J. Limon</v>
      </c>
      <c r="B10" s="159">
        <f>PLANTILLA!Y22+1.5+PLANTILLA!J22</f>
        <v>9.7161426278300151</v>
      </c>
      <c r="C10" s="159">
        <f>PLANTILLA!AB22+1.5+PLANTILLA!J22</f>
        <v>12.578523580210968</v>
      </c>
      <c r="D10" s="357">
        <f t="shared" si="0"/>
        <v>4.3591487235314936</v>
      </c>
      <c r="E10" s="159">
        <f>D10*PLANTILLA!R22</f>
        <v>4.3591487235314936</v>
      </c>
      <c r="F10" s="159">
        <f>E10*PLANTILLA!S22</f>
        <v>4.3591487235314936</v>
      </c>
      <c r="H10" s="159"/>
    </row>
    <row r="11" spans="1:16" x14ac:dyDescent="0.25">
      <c r="A11" t="str">
        <f>PLANTILLA!D23</f>
        <v>L. Calosso</v>
      </c>
      <c r="B11" s="159">
        <f>PLANTILLA!Y23+1.5+PLANTILLA!J23</f>
        <v>5.8989573635602417</v>
      </c>
      <c r="C11" s="159">
        <f>PLANTILLA!AB23+1.5+PLANTILLA!J23</f>
        <v>17.918957363560242</v>
      </c>
      <c r="D11" s="357">
        <f t="shared" si="0"/>
        <v>5.2171090113350909</v>
      </c>
      <c r="E11" s="159">
        <f>D11*PLANTILLA!R23</f>
        <v>4.8301043853985313</v>
      </c>
      <c r="F11" s="159">
        <f>E11*PLANTILLA!S23</f>
        <v>4.8266530777871388</v>
      </c>
    </row>
    <row r="12" spans="1:16" x14ac:dyDescent="0.25">
      <c r="A12" t="str">
        <f>PLANTILLA!D10</f>
        <v>B. Bartolache</v>
      </c>
      <c r="B12" s="159">
        <f>PLANTILLA!Y10+1.5+PLANTILLA!J10</f>
        <v>14.600449632940226</v>
      </c>
      <c r="C12" s="159">
        <f>PLANTILLA!AB10+1.5+PLANTILLA!J10</f>
        <v>11.870449632940227</v>
      </c>
      <c r="D12" s="357">
        <f t="shared" si="0"/>
        <v>4.7926686123525855</v>
      </c>
      <c r="E12" s="159">
        <f>D12*PLANTILLA!R10</f>
        <v>4.7926686123525855</v>
      </c>
      <c r="F12" s="159">
        <f>E12*PLANTILLA!S10</f>
        <v>4.7926686123525855</v>
      </c>
    </row>
    <row r="13" spans="1:16" x14ac:dyDescent="0.25">
      <c r="A13" t="str">
        <f>PLANTILLA!D14</f>
        <v>S. Zobbe</v>
      </c>
      <c r="B13" s="159">
        <f>PLANTILLA!Y14+1.5+PLANTILLA!J14</f>
        <v>11.055695645688324</v>
      </c>
      <c r="C13" s="159">
        <f>PLANTILLA!AB14+1.5+PLANTILLA!J14</f>
        <v>13.055695645688326</v>
      </c>
      <c r="D13" s="357">
        <f t="shared" si="0"/>
        <v>4.6458858671331225</v>
      </c>
      <c r="E13" s="159">
        <f>D13*PLANTILLA!R14</f>
        <v>3.5119596068639742</v>
      </c>
      <c r="F13" s="159">
        <f>E13*PLANTILLA!S14</f>
        <v>2.9651779710118671</v>
      </c>
    </row>
    <row r="14" spans="1:16" x14ac:dyDescent="0.25">
      <c r="A14" t="str">
        <f>PLANTILLA!D15</f>
        <v>S. Buschelman</v>
      </c>
      <c r="B14" s="159">
        <f>PLANTILLA!Y15+1.5+PLANTILLA!J15</f>
        <v>12.112873135115295</v>
      </c>
      <c r="C14" s="159">
        <f>PLANTILLA!AB15+1.5+PLANTILLA!J15</f>
        <v>12.582539801781966</v>
      </c>
      <c r="D14" s="357">
        <f t="shared" si="0"/>
        <v>4.6597440923349032</v>
      </c>
      <c r="E14" s="159">
        <f>D14*PLANTILLA!R15</f>
        <v>3.9382025455829131</v>
      </c>
      <c r="F14" s="159">
        <f>E14*PLANTILLA!S15</f>
        <v>3.643027417396417</v>
      </c>
    </row>
    <row r="15" spans="1:16" x14ac:dyDescent="0.25">
      <c r="A15" t="str">
        <f>PLANTILLA!D6</f>
        <v>T. Hammond</v>
      </c>
      <c r="B15" s="159">
        <f>PLANTILLA!Y6+1.5+PLANTILLA!J6</f>
        <v>13.564310229533556</v>
      </c>
      <c r="C15" s="159">
        <f>PLANTILLA!AB6+1.5+PLANTILLA!J6</f>
        <v>9.3037546739780019</v>
      </c>
      <c r="D15" s="357">
        <f t="shared" si="0"/>
        <v>4.0214774471861947</v>
      </c>
      <c r="E15" s="159">
        <f>D15*PLANTILLA!R6</f>
        <v>3.3987687747841857</v>
      </c>
      <c r="F15" s="159">
        <f>E15*PLANTILLA!S6</f>
        <v>3.1440251456383446</v>
      </c>
    </row>
    <row r="16" spans="1:16" x14ac:dyDescent="0.25">
      <c r="A16" t="str">
        <f>PLANTILLA!D11</f>
        <v>F. Lasprilla</v>
      </c>
      <c r="B16" s="159">
        <f>PLANTILLA!Y11+1.5+PLANTILLA!J11</f>
        <v>12.127469348856192</v>
      </c>
      <c r="C16" s="159">
        <f>PLANTILLA!AB11+1.5+PLANTILLA!J11</f>
        <v>11.391136015522857</v>
      </c>
      <c r="D16" s="357">
        <f t="shared" si="0"/>
        <v>4.3637176724877378</v>
      </c>
      <c r="E16" s="159">
        <f>D16*PLANTILLA!R11</f>
        <v>4.3637176724877378</v>
      </c>
      <c r="F16" s="159">
        <f>E16*PLANTILLA!S11</f>
        <v>4.3637176724877378</v>
      </c>
    </row>
    <row r="17" spans="1:6" x14ac:dyDescent="0.25">
      <c r="A17" t="str">
        <f>PLANTILLA!D18</f>
        <v>L. Bauman</v>
      </c>
      <c r="B17" s="159">
        <f>PLANTILLA!Y18+1.5+PLANTILLA!J18</f>
        <v>8.2098329675392367</v>
      </c>
      <c r="C17" s="159">
        <f>PLANTILLA!AB18+1.5+PLANTILLA!J18</f>
        <v>11.918721856428128</v>
      </c>
      <c r="D17" s="357">
        <f t="shared" si="0"/>
        <v>4.0059095850494364</v>
      </c>
      <c r="E17" s="159">
        <f>D17*PLANTILLA!R18</f>
        <v>3.7087516117102894</v>
      </c>
      <c r="F17" s="159">
        <f>E17*PLANTILLA!S18</f>
        <v>3.7061015566297084</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3.3257632229034964</v>
      </c>
      <c r="F18" s="159">
        <f>E18*PLANTILLA!S19</f>
        <v>3.0764914868066495</v>
      </c>
    </row>
    <row r="19" spans="1:6" x14ac:dyDescent="0.25">
      <c r="A19" t="str">
        <f>PLANTILLA!D20</f>
        <v>M. Amico</v>
      </c>
      <c r="B19" s="159">
        <f>PLANTILLA!Y20+1.5+PLANTILLA!J20</f>
        <v>4.4526746855407184</v>
      </c>
      <c r="C19" s="159">
        <f>PLANTILLA!AB20+1.5+PLANTILLA!J20</f>
        <v>9.2215635744296076</v>
      </c>
      <c r="D19" s="357">
        <f t="shared" si="0"/>
        <v>2.8619752292999916</v>
      </c>
      <c r="E19" s="159">
        <f>D19*PLANTILLA!R20</f>
        <v>2.649674192337089</v>
      </c>
      <c r="F19" s="159">
        <f>E19*PLANTILLA!S20</f>
        <v>2.6477808914934533</v>
      </c>
    </row>
    <row r="20" spans="1:6" x14ac:dyDescent="0.25">
      <c r="A20" t="str">
        <f>PLANTILLA!D5</f>
        <v>D. Gehmacher</v>
      </c>
      <c r="B20" s="159">
        <f>PLANTILLA!Y5+1.5+PLANTILLA!J5</f>
        <v>15.211680853300004</v>
      </c>
      <c r="C20" s="159">
        <f>PLANTILLA!AB5+1.5+PLANTILLA!J5</f>
        <v>4.2480444896636369</v>
      </c>
      <c r="D20" s="357">
        <f t="shared" si="0"/>
        <v>2.9634712290784098</v>
      </c>
      <c r="E20" s="159">
        <f>D20*PLANTILLA!R5</f>
        <v>2.9634712290784098</v>
      </c>
      <c r="F20" s="159">
        <f>E20*PLANTILLA!S5</f>
        <v>2.9634712290784098</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08"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09"/>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0">
        <f>C13</f>
        <v>5218072</v>
      </c>
      <c r="Z14" s="711"/>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2" t="s">
        <v>93</v>
      </c>
      <c r="B26" s="712"/>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03" t="s">
        <v>94</v>
      </c>
      <c r="B27" s="703"/>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04" t="s">
        <v>95</v>
      </c>
      <c r="B28" s="704"/>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2" t="s">
        <v>96</v>
      </c>
      <c r="B29" s="712"/>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03" t="s">
        <v>97</v>
      </c>
      <c r="B30" s="703"/>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04" t="s">
        <v>98</v>
      </c>
      <c r="B31" s="704"/>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3"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5">
        <f>C23</f>
        <v>4415274</v>
      </c>
      <c r="Z34" s="706"/>
    </row>
    <row r="35" spans="1:26" x14ac:dyDescent="0.25">
      <c r="A35" s="57"/>
      <c r="B35" s="713"/>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3"/>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3"/>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3"/>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3"/>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7"/>
      <c r="H41" s="707"/>
      <c r="I41" s="707"/>
      <c r="J41" s="707"/>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02"/>
      <c r="H46" s="702"/>
      <c r="I46" s="702"/>
      <c r="J46" s="702"/>
    </row>
    <row r="47" spans="1:26" x14ac:dyDescent="0.25">
      <c r="G47" s="363"/>
      <c r="H47" s="363"/>
      <c r="I47" s="363"/>
      <c r="J47" s="363"/>
    </row>
    <row r="48" spans="1:26" x14ac:dyDescent="0.25">
      <c r="G48" s="702"/>
      <c r="H48" s="702"/>
      <c r="I48" s="702"/>
      <c r="J48" s="702"/>
      <c r="P48" s="383"/>
    </row>
    <row r="49" spans="7:10" ht="15" customHeight="1" x14ac:dyDescent="0.25">
      <c r="G49" s="702"/>
      <c r="H49" s="702"/>
      <c r="I49" s="702"/>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559</v>
      </c>
      <c r="C2" s="715"/>
      <c r="D2" s="715"/>
      <c r="E2" s="715"/>
      <c r="F2" s="715"/>
      <c r="G2" s="716"/>
      <c r="I2" s="724" t="s">
        <v>494</v>
      </c>
      <c r="J2" s="724"/>
      <c r="K2" s="724"/>
      <c r="L2" s="724"/>
      <c r="M2" s="724"/>
      <c r="N2" s="724"/>
      <c r="O2" s="724"/>
      <c r="P2" s="724"/>
      <c r="Q2" s="724"/>
      <c r="R2" s="724"/>
      <c r="S2" s="724"/>
      <c r="T2" s="724"/>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08"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09"/>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0">
        <f>C13</f>
        <v>6564204.3711659508</v>
      </c>
      <c r="Z14" s="711"/>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2" t="s">
        <v>93</v>
      </c>
      <c r="B26" s="712"/>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03" t="s">
        <v>94</v>
      </c>
      <c r="B27" s="703"/>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04" t="s">
        <v>95</v>
      </c>
      <c r="B28" s="704"/>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2" t="s">
        <v>96</v>
      </c>
      <c r="B29" s="712"/>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03" t="s">
        <v>97</v>
      </c>
      <c r="B30" s="703"/>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04" t="s">
        <v>98</v>
      </c>
      <c r="B31" s="704"/>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3"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5">
        <f>C23</f>
        <v>4502296</v>
      </c>
      <c r="Z34" s="706"/>
    </row>
    <row r="35" spans="1:26" x14ac:dyDescent="0.25">
      <c r="A35" s="57"/>
      <c r="B35" s="713"/>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3"/>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3"/>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3"/>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3"/>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7"/>
      <c r="H41" s="707"/>
      <c r="I41" s="707"/>
      <c r="J41" s="707"/>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02"/>
      <c r="H46" s="702"/>
      <c r="I46" s="702"/>
      <c r="J46" s="702"/>
    </row>
    <row r="47" spans="1:26" x14ac:dyDescent="0.25">
      <c r="G47" s="392"/>
      <c r="H47" s="392"/>
      <c r="I47" s="392"/>
      <c r="J47" s="392"/>
    </row>
    <row r="48" spans="1:26" x14ac:dyDescent="0.25">
      <c r="G48" s="702"/>
      <c r="H48" s="702"/>
      <c r="I48" s="702"/>
      <c r="J48" s="702"/>
      <c r="P48" s="383"/>
    </row>
    <row r="49" spans="7:10" ht="15" customHeight="1" x14ac:dyDescent="0.25">
      <c r="G49" s="702"/>
      <c r="H49" s="702"/>
      <c r="I49" s="702"/>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4" t="s">
        <v>561</v>
      </c>
      <c r="C2" s="715"/>
      <c r="D2" s="715"/>
      <c r="E2" s="715"/>
      <c r="F2" s="715"/>
      <c r="G2" s="716"/>
      <c r="I2" s="724" t="s">
        <v>494</v>
      </c>
      <c r="J2" s="724"/>
      <c r="K2" s="724"/>
      <c r="L2" s="724"/>
      <c r="M2" s="724"/>
      <c r="N2" s="724"/>
      <c r="O2" s="724"/>
      <c r="P2" s="724"/>
      <c r="Q2" s="724"/>
      <c r="R2" s="724"/>
      <c r="S2" s="724"/>
      <c r="T2" s="724"/>
    </row>
    <row r="3" spans="2:21"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1" t="s">
        <v>113</v>
      </c>
      <c r="C4" s="722"/>
      <c r="D4" s="109"/>
      <c r="E4" s="723" t="s">
        <v>114</v>
      </c>
      <c r="F4" s="722"/>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7" t="s">
        <v>491</v>
      </c>
      <c r="J5" s="398" t="s">
        <v>571</v>
      </c>
      <c r="K5" s="397">
        <v>0</v>
      </c>
      <c r="L5" s="397">
        <v>0</v>
      </c>
      <c r="M5" s="397">
        <v>13000</v>
      </c>
      <c r="N5" s="397">
        <v>650</v>
      </c>
      <c r="O5" s="399">
        <f t="shared" si="0"/>
        <v>12350</v>
      </c>
      <c r="P5" s="399">
        <f t="shared" si="1"/>
        <v>0</v>
      </c>
      <c r="Q5" s="400"/>
      <c r="R5" s="401"/>
      <c r="S5" s="401">
        <v>42104</v>
      </c>
      <c r="T5" s="402"/>
      <c r="U5" s="47"/>
    </row>
    <row r="6" spans="2:21" x14ac:dyDescent="0.25">
      <c r="B6" s="116" t="s">
        <v>116</v>
      </c>
      <c r="C6" s="117">
        <f>SUM(C7:C9)</f>
        <v>4751570</v>
      </c>
      <c r="D6" s="140">
        <f>C6/$C$34</f>
        <v>0.27164532659126617</v>
      </c>
      <c r="E6" s="116" t="s">
        <v>117</v>
      </c>
      <c r="F6" s="117">
        <f>F7+F8+F9</f>
        <v>7870713</v>
      </c>
      <c r="G6" s="118">
        <f ca="1">F6/$F$34</f>
        <v>0.44996546476030541</v>
      </c>
      <c r="I6" s="397" t="s">
        <v>491</v>
      </c>
      <c r="J6" s="398" t="s">
        <v>616</v>
      </c>
      <c r="K6" s="397">
        <v>0</v>
      </c>
      <c r="L6" s="397">
        <v>0</v>
      </c>
      <c r="M6" s="397">
        <v>1000</v>
      </c>
      <c r="N6" s="397">
        <v>50</v>
      </c>
      <c r="O6" s="399">
        <f t="shared" si="0"/>
        <v>950</v>
      </c>
      <c r="P6" s="399">
        <f t="shared" si="1"/>
        <v>0</v>
      </c>
      <c r="Q6" s="400"/>
      <c r="R6" s="401"/>
      <c r="S6" s="401">
        <v>42169</v>
      </c>
      <c r="T6" s="402"/>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5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7">
        <v>125000</v>
      </c>
      <c r="J6" s="457">
        <v>567000</v>
      </c>
      <c r="K6" s="457">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8">
        <f t="shared" ref="I7:K7" si="4">H7*(1+I43)</f>
        <v>132296.52871784955</v>
      </c>
      <c r="J7" s="458">
        <f t="shared" si="4"/>
        <v>133696.42525623669</v>
      </c>
      <c r="K7" s="458">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7"/>
      <c r="J8" s="457">
        <v>0</v>
      </c>
      <c r="K8" s="457"/>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7"/>
      <c r="J9" s="464">
        <v>95000</v>
      </c>
      <c r="K9" s="457"/>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8"/>
      <c r="J10" s="458">
        <v>0</v>
      </c>
      <c r="K10" s="458"/>
      <c r="L10" s="72">
        <v>0</v>
      </c>
      <c r="M10" s="72">
        <v>0</v>
      </c>
      <c r="N10" s="72">
        <v>7920</v>
      </c>
      <c r="O10" s="72">
        <v>0</v>
      </c>
      <c r="P10" s="72">
        <v>0</v>
      </c>
      <c r="Q10" s="72">
        <v>0</v>
      </c>
      <c r="R10" s="72">
        <v>0</v>
      </c>
      <c r="S10" s="70">
        <v>13520</v>
      </c>
      <c r="Y10" s="67" t="s">
        <v>76</v>
      </c>
      <c r="Z10" s="71">
        <f t="shared" si="5"/>
        <v>3.1039581409092768E-3</v>
      </c>
    </row>
    <row r="11" spans="1:26" x14ac:dyDescent="0.25">
      <c r="A11" s="708" t="s">
        <v>77</v>
      </c>
      <c r="B11" s="67" t="s">
        <v>78</v>
      </c>
      <c r="C11" s="68">
        <f t="shared" si="3"/>
        <v>82440</v>
      </c>
      <c r="D11" s="72">
        <v>270</v>
      </c>
      <c r="E11" s="72">
        <v>300</v>
      </c>
      <c r="F11" s="72">
        <v>240</v>
      </c>
      <c r="G11" s="72">
        <v>180</v>
      </c>
      <c r="H11" s="72">
        <v>180</v>
      </c>
      <c r="I11" s="458"/>
      <c r="J11" s="458"/>
      <c r="K11" s="458"/>
      <c r="L11" s="72"/>
      <c r="M11" s="72">
        <v>240</v>
      </c>
      <c r="N11" s="72">
        <v>300</v>
      </c>
      <c r="O11" s="72">
        <v>120</v>
      </c>
      <c r="P11" s="72">
        <v>0</v>
      </c>
      <c r="Q11" s="72">
        <v>0</v>
      </c>
      <c r="R11" s="72">
        <v>0</v>
      </c>
      <c r="S11" s="70">
        <f>80580+30</f>
        <v>80610</v>
      </c>
      <c r="Y11" s="67" t="s">
        <v>78</v>
      </c>
      <c r="Z11" s="71">
        <f t="shared" si="5"/>
        <v>1.1935182329130635E-2</v>
      </c>
    </row>
    <row r="12" spans="1:26" x14ac:dyDescent="0.25">
      <c r="A12" s="709"/>
      <c r="B12" s="67" t="s">
        <v>79</v>
      </c>
      <c r="C12" s="68">
        <f t="shared" si="3"/>
        <v>25000</v>
      </c>
      <c r="D12" s="72">
        <v>0</v>
      </c>
      <c r="E12" s="72">
        <v>0</v>
      </c>
      <c r="F12" s="72">
        <v>0</v>
      </c>
      <c r="G12" s="72">
        <v>0</v>
      </c>
      <c r="H12" s="72">
        <v>0</v>
      </c>
      <c r="I12" s="458"/>
      <c r="J12" s="458">
        <v>0</v>
      </c>
      <c r="K12" s="458"/>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9">
        <f t="shared" ref="I13:S13" si="7">SUM(I6:I12)</f>
        <v>257296.52871784955</v>
      </c>
      <c r="J13" s="459">
        <f t="shared" si="7"/>
        <v>795696.42525623669</v>
      </c>
      <c r="K13" s="459">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60">
        <f t="shared" ref="I14:J14" si="8">H14+200</f>
        <v>65470</v>
      </c>
      <c r="J14" s="460">
        <f t="shared" si="8"/>
        <v>65670</v>
      </c>
      <c r="K14" s="460">
        <v>66550</v>
      </c>
      <c r="L14" s="83">
        <v>66550</v>
      </c>
      <c r="M14" s="83">
        <v>68690</v>
      </c>
      <c r="N14" s="83">
        <v>68710</v>
      </c>
      <c r="O14" s="83">
        <v>69590</v>
      </c>
      <c r="P14" s="83">
        <v>69590</v>
      </c>
      <c r="Q14" s="83">
        <v>69710</v>
      </c>
      <c r="R14" s="83">
        <v>71090</v>
      </c>
      <c r="S14" s="70">
        <v>71850</v>
      </c>
      <c r="Y14" s="710">
        <f>C13</f>
        <v>6907309.643589247</v>
      </c>
      <c r="Z14" s="711"/>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60">
        <f t="shared" si="9"/>
        <v>34706</v>
      </c>
      <c r="J15" s="460">
        <f t="shared" si="9"/>
        <v>34706</v>
      </c>
      <c r="K15" s="460">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3">
        <f t="shared" si="10"/>
        <v>0</v>
      </c>
      <c r="J16" s="463">
        <f t="shared" si="10"/>
        <v>0</v>
      </c>
      <c r="K16" s="463">
        <f t="shared" si="10"/>
        <v>0</v>
      </c>
      <c r="L16" s="463">
        <f t="shared" si="10"/>
        <v>0</v>
      </c>
      <c r="M16" s="463">
        <f t="shared" si="10"/>
        <v>0</v>
      </c>
      <c r="N16" s="463">
        <f t="shared" si="10"/>
        <v>0</v>
      </c>
      <c r="O16" s="463">
        <v>112900</v>
      </c>
      <c r="P16" s="463">
        <v>0</v>
      </c>
      <c r="Q16" s="463">
        <f t="shared" si="10"/>
        <v>0</v>
      </c>
      <c r="R16" s="463">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3">
        <f t="shared" si="11"/>
        <v>120000</v>
      </c>
      <c r="J17" s="463">
        <f t="shared" si="11"/>
        <v>120000</v>
      </c>
      <c r="K17" s="463">
        <f t="shared" si="11"/>
        <v>120000</v>
      </c>
      <c r="L17" s="463">
        <f t="shared" si="11"/>
        <v>120000</v>
      </c>
      <c r="M17" s="463">
        <f t="shared" si="11"/>
        <v>120000</v>
      </c>
      <c r="N17" s="463">
        <f t="shared" si="11"/>
        <v>120000</v>
      </c>
      <c r="O17" s="463">
        <f t="shared" si="11"/>
        <v>120000</v>
      </c>
      <c r="P17" s="463">
        <f t="shared" si="11"/>
        <v>120000</v>
      </c>
      <c r="Q17" s="463">
        <f t="shared" si="11"/>
        <v>120000</v>
      </c>
      <c r="R17" s="463">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3">
        <f t="shared" si="11"/>
        <v>20000</v>
      </c>
      <c r="J18" s="463">
        <f t="shared" si="11"/>
        <v>20000</v>
      </c>
      <c r="K18" s="463">
        <f t="shared" si="11"/>
        <v>20000</v>
      </c>
      <c r="L18" s="463">
        <f t="shared" si="11"/>
        <v>20000</v>
      </c>
      <c r="M18" s="463">
        <f t="shared" si="11"/>
        <v>20000</v>
      </c>
      <c r="N18" s="463">
        <f t="shared" si="11"/>
        <v>20000</v>
      </c>
      <c r="O18" s="463">
        <f t="shared" si="11"/>
        <v>20000</v>
      </c>
      <c r="P18" s="463">
        <f t="shared" si="11"/>
        <v>20000</v>
      </c>
      <c r="Q18" s="463">
        <f t="shared" si="11"/>
        <v>20000</v>
      </c>
      <c r="R18" s="463">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60">
        <f t="shared" si="11"/>
        <v>0</v>
      </c>
      <c r="J19" s="460">
        <f t="shared" si="11"/>
        <v>0</v>
      </c>
      <c r="K19" s="460">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60">
        <f t="shared" si="11"/>
        <v>0</v>
      </c>
      <c r="J20" s="460">
        <f t="shared" si="11"/>
        <v>0</v>
      </c>
      <c r="K20" s="460">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60">
        <v>0</v>
      </c>
      <c r="J21" s="460">
        <v>4000</v>
      </c>
      <c r="K21" s="460">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60">
        <f t="shared" si="11"/>
        <v>0</v>
      </c>
      <c r="J22" s="460">
        <f t="shared" si="11"/>
        <v>0</v>
      </c>
      <c r="K22" s="460">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1">
        <f t="shared" si="12"/>
        <v>240176</v>
      </c>
      <c r="J23" s="461">
        <f t="shared" si="12"/>
        <v>244376</v>
      </c>
      <c r="K23" s="461">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2">
        <f t="shared" si="13"/>
        <v>5748972.8998837993</v>
      </c>
      <c r="J24" s="462">
        <f t="shared" si="13"/>
        <v>6300293.3251400357</v>
      </c>
      <c r="K24" s="462">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2" t="s">
        <v>93</v>
      </c>
      <c r="B26" s="712"/>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03" t="s">
        <v>94</v>
      </c>
      <c r="B27" s="703"/>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04" t="s">
        <v>95</v>
      </c>
      <c r="B28" s="704"/>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2" t="s">
        <v>96</v>
      </c>
      <c r="B29" s="712"/>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03" t="s">
        <v>97</v>
      </c>
      <c r="B30" s="703"/>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04" t="s">
        <v>98</v>
      </c>
      <c r="B31" s="704"/>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3"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5">
        <f>C23</f>
        <v>4106107</v>
      </c>
      <c r="Z34" s="706"/>
    </row>
    <row r="35" spans="1:26" x14ac:dyDescent="0.25">
      <c r="A35" s="57"/>
      <c r="B35" s="713"/>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3"/>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3"/>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3"/>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3"/>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50"/>
      <c r="G41" s="707"/>
      <c r="H41" s="707"/>
      <c r="I41" s="707"/>
      <c r="J41" s="707"/>
    </row>
    <row r="42" spans="1:26" x14ac:dyDescent="0.25">
      <c r="C42" s="4" t="s">
        <v>485</v>
      </c>
      <c r="D42" s="9">
        <v>85845</v>
      </c>
      <c r="E42" s="341">
        <v>92875</v>
      </c>
      <c r="F42" s="246">
        <v>97870</v>
      </c>
      <c r="G42" s="451">
        <v>101200</v>
      </c>
      <c r="H42" s="451">
        <v>103420</v>
      </c>
      <c r="I42" s="451">
        <v>104900</v>
      </c>
      <c r="J42" s="451">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2"/>
      <c r="H46" s="702"/>
      <c r="I46" s="702"/>
      <c r="J46" s="702"/>
      <c r="M46" s="383"/>
    </row>
    <row r="47" spans="1:26" x14ac:dyDescent="0.25">
      <c r="E47" s="106"/>
      <c r="G47" s="451"/>
      <c r="H47" s="451"/>
      <c r="I47" s="451"/>
      <c r="J47" s="451"/>
    </row>
    <row r="48" spans="1:26" x14ac:dyDescent="0.25">
      <c r="G48" s="702"/>
      <c r="H48" s="702"/>
      <c r="I48" s="702"/>
      <c r="J48" s="702"/>
      <c r="P48" s="383"/>
    </row>
    <row r="49" spans="7:10" ht="15" customHeight="1" x14ac:dyDescent="0.25">
      <c r="G49" s="702"/>
      <c r="H49" s="702"/>
      <c r="I49" s="702"/>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620</v>
      </c>
      <c r="C2" s="715"/>
      <c r="D2" s="715"/>
      <c r="E2" s="715"/>
      <c r="F2" s="715"/>
      <c r="G2" s="716"/>
      <c r="I2" s="724" t="s">
        <v>621</v>
      </c>
      <c r="J2" s="724"/>
      <c r="K2" s="724"/>
      <c r="L2" s="724"/>
      <c r="M2" s="724"/>
      <c r="N2" s="724"/>
      <c r="O2" s="724"/>
      <c r="P2" s="724"/>
      <c r="Q2" s="724"/>
      <c r="R2" s="724"/>
      <c r="S2" s="724"/>
      <c r="T2" s="724"/>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7" t="s">
        <v>491</v>
      </c>
      <c r="J5" s="398" t="s">
        <v>626</v>
      </c>
      <c r="K5" s="397">
        <v>0</v>
      </c>
      <c r="L5" s="397">
        <v>0</v>
      </c>
      <c r="M5" s="397">
        <v>11000</v>
      </c>
      <c r="N5" s="397">
        <f>M5*0.05</f>
        <v>550</v>
      </c>
      <c r="O5" s="399">
        <f t="shared" si="0"/>
        <v>10450</v>
      </c>
      <c r="P5" s="399">
        <f t="shared" si="1"/>
        <v>0</v>
      </c>
      <c r="Q5" s="400"/>
      <c r="R5" s="401"/>
      <c r="S5" s="401">
        <v>42197</v>
      </c>
      <c r="T5" s="402"/>
    </row>
    <row r="6" spans="2:20" x14ac:dyDescent="0.25">
      <c r="B6" s="116" t="s">
        <v>116</v>
      </c>
      <c r="C6" s="117">
        <f>SUM(C7:C9)</f>
        <v>4935685</v>
      </c>
      <c r="D6" s="140">
        <f>C6/$C$34</f>
        <v>0.23704025225199579</v>
      </c>
      <c r="E6" s="116" t="s">
        <v>117</v>
      </c>
      <c r="F6" s="117">
        <f ca="1">F7+F8+F9</f>
        <v>10929511.37116595</v>
      </c>
      <c r="G6" s="118">
        <f ca="1">F6/$F$34</f>
        <v>0.52489859713742526</v>
      </c>
      <c r="I6" s="397" t="s">
        <v>491</v>
      </c>
      <c r="J6" s="398" t="s">
        <v>635</v>
      </c>
      <c r="K6" s="397">
        <v>0</v>
      </c>
      <c r="L6" s="397">
        <v>0</v>
      </c>
      <c r="M6" s="397">
        <v>1000</v>
      </c>
      <c r="N6" s="397">
        <f>M6*0.05</f>
        <v>50</v>
      </c>
      <c r="O6" s="399">
        <f t="shared" ref="O6" si="2">IF(M6=0,0,M6-K6)-N6</f>
        <v>950</v>
      </c>
      <c r="P6" s="399">
        <f t="shared" ref="P6" si="3">IF(M6=0,K6,0)</f>
        <v>0</v>
      </c>
      <c r="Q6" s="400"/>
      <c r="R6" s="401"/>
      <c r="S6" s="401">
        <v>42216</v>
      </c>
      <c r="T6" s="402"/>
    </row>
    <row r="7" spans="2:20" x14ac:dyDescent="0.25">
      <c r="B7" s="119" t="s">
        <v>84</v>
      </c>
      <c r="C7" s="120">
        <f>EconomiaT47!C16+'A-P_T46'!C7</f>
        <v>2866885</v>
      </c>
      <c r="D7" s="202">
        <f>C7/$C$34</f>
        <v>0.13768446397561088</v>
      </c>
      <c r="E7" s="203" t="s">
        <v>118</v>
      </c>
      <c r="F7" s="204">
        <v>300000</v>
      </c>
      <c r="G7" s="121">
        <f ca="1">F7/$F$34</f>
        <v>1.4407741919429368E-2</v>
      </c>
      <c r="I7" s="397" t="s">
        <v>491</v>
      </c>
      <c r="J7" s="398" t="s">
        <v>637</v>
      </c>
      <c r="K7" s="397">
        <v>0</v>
      </c>
      <c r="L7" s="397">
        <v>0</v>
      </c>
      <c r="M7" s="397">
        <v>100000</v>
      </c>
      <c r="N7" s="397">
        <f>M7*0.05</f>
        <v>5000</v>
      </c>
      <c r="O7" s="399">
        <f t="shared" ref="O7" si="4">IF(M7=0,0,M7-K7)-N7</f>
        <v>95000</v>
      </c>
      <c r="P7" s="399">
        <f t="shared" ref="P7" si="5">IF(M7=0,K7,0)</f>
        <v>0</v>
      </c>
      <c r="Q7" s="400"/>
      <c r="R7" s="401"/>
      <c r="S7" s="401">
        <v>42235</v>
      </c>
      <c r="T7" s="402"/>
    </row>
    <row r="8" spans="2:20" x14ac:dyDescent="0.25">
      <c r="B8" s="119" t="s">
        <v>67</v>
      </c>
      <c r="C8" s="120">
        <f>'A-P_T46'!C8+'A-P_T46'!C9</f>
        <v>2068800</v>
      </c>
      <c r="D8" s="202">
        <f>C8/$C$34</f>
        <v>9.9355788276384915E-2</v>
      </c>
      <c r="E8" s="203" t="s">
        <v>261</v>
      </c>
      <c r="F8" s="204">
        <f>'A-P_T46'!F9+'A-P_T46'!F8</f>
        <v>7570713</v>
      </c>
      <c r="G8" s="121">
        <f ca="1">F8/$F$34</f>
        <v>0.36358959683356284</v>
      </c>
      <c r="I8" s="397" t="s">
        <v>491</v>
      </c>
      <c r="J8" s="398" t="s">
        <v>640</v>
      </c>
      <c r="K8" s="397">
        <v>0</v>
      </c>
      <c r="L8" s="397">
        <v>0</v>
      </c>
      <c r="M8" s="397">
        <v>2000</v>
      </c>
      <c r="N8" s="397">
        <f>M8*0.05</f>
        <v>100</v>
      </c>
      <c r="O8" s="399">
        <f t="shared" ref="O8" si="6">IF(M8=0,0,M8-K8)-N8</f>
        <v>1900</v>
      </c>
      <c r="P8" s="399">
        <f t="shared" ref="P8" si="7">IF(M8=0,K8,0)</f>
        <v>0</v>
      </c>
      <c r="Q8" s="400"/>
      <c r="R8" s="401"/>
      <c r="S8" s="401">
        <v>42265</v>
      </c>
      <c r="T8" s="402"/>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4">
        <v>8310</v>
      </c>
      <c r="N6" s="464">
        <v>461286</v>
      </c>
      <c r="O6" s="464">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8">
        <v>187500</v>
      </c>
      <c r="N7" s="559">
        <v>187965</v>
      </c>
      <c r="O7" s="559">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7">
        <v>0</v>
      </c>
      <c r="N8" s="464">
        <v>0</v>
      </c>
      <c r="O8" s="464">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7">
        <v>0</v>
      </c>
      <c r="N9" s="464">
        <v>0</v>
      </c>
      <c r="O9" s="464">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8">
        <v>0</v>
      </c>
      <c r="N10" s="559">
        <v>0</v>
      </c>
      <c r="O10" s="559">
        <v>0</v>
      </c>
      <c r="P10" s="70">
        <v>0</v>
      </c>
      <c r="Q10" s="72">
        <v>10000</v>
      </c>
      <c r="R10" s="72">
        <v>120</v>
      </c>
      <c r="S10" s="72">
        <v>0</v>
      </c>
      <c r="Y10" s="67" t="s">
        <v>76</v>
      </c>
      <c r="Z10" s="71">
        <f t="shared" si="4"/>
        <v>1.4744551340901927E-3</v>
      </c>
    </row>
    <row r="11" spans="1:26" x14ac:dyDescent="0.25">
      <c r="A11" s="708" t="s">
        <v>77</v>
      </c>
      <c r="B11" s="67" t="s">
        <v>78</v>
      </c>
      <c r="C11" s="68">
        <f t="shared" si="3"/>
        <v>84270</v>
      </c>
      <c r="D11" s="72">
        <v>120</v>
      </c>
      <c r="E11" s="72">
        <v>60</v>
      </c>
      <c r="F11" s="72">
        <v>90</v>
      </c>
      <c r="G11" s="72">
        <v>0</v>
      </c>
      <c r="H11" s="72">
        <v>0</v>
      </c>
      <c r="I11" s="72">
        <v>0</v>
      </c>
      <c r="J11" s="72">
        <v>120</v>
      </c>
      <c r="K11" s="72">
        <v>300</v>
      </c>
      <c r="L11" s="72">
        <v>60</v>
      </c>
      <c r="M11" s="559">
        <v>240</v>
      </c>
      <c r="N11" s="559">
        <v>300</v>
      </c>
      <c r="O11" s="559">
        <v>300</v>
      </c>
      <c r="P11" s="70">
        <v>60</v>
      </c>
      <c r="Q11" s="72">
        <v>0</v>
      </c>
      <c r="R11" s="72">
        <v>180</v>
      </c>
      <c r="S11" s="72">
        <v>82440</v>
      </c>
      <c r="Y11" s="67" t="s">
        <v>78</v>
      </c>
      <c r="Z11" s="71">
        <f t="shared" si="4"/>
        <v>1.1677850953926741E-2</v>
      </c>
    </row>
    <row r="12" spans="1:26" x14ac:dyDescent="0.25">
      <c r="A12" s="709"/>
      <c r="B12" s="67" t="s">
        <v>79</v>
      </c>
      <c r="C12" s="68">
        <f t="shared" si="3"/>
        <v>0</v>
      </c>
      <c r="D12" s="72">
        <v>0</v>
      </c>
      <c r="E12" s="72">
        <v>0</v>
      </c>
      <c r="F12" s="72">
        <v>0</v>
      </c>
      <c r="G12" s="72"/>
      <c r="H12" s="72">
        <v>0</v>
      </c>
      <c r="I12" s="72">
        <v>0</v>
      </c>
      <c r="J12" s="72">
        <v>0</v>
      </c>
      <c r="K12" s="72">
        <v>0</v>
      </c>
      <c r="L12" s="72"/>
      <c r="M12" s="458">
        <v>0</v>
      </c>
      <c r="N12" s="559">
        <v>0</v>
      </c>
      <c r="O12" s="559">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60">
        <v>82690</v>
      </c>
      <c r="N14" s="463">
        <v>82690</v>
      </c>
      <c r="O14" s="463">
        <v>83870</v>
      </c>
      <c r="P14" s="70">
        <f t="shared" si="7"/>
        <v>83870</v>
      </c>
      <c r="Q14" s="83">
        <f t="shared" si="7"/>
        <v>83870</v>
      </c>
      <c r="R14" s="83">
        <f t="shared" si="7"/>
        <v>83870</v>
      </c>
      <c r="S14" s="83">
        <v>85220</v>
      </c>
      <c r="Y14" s="710">
        <f>C13</f>
        <v>7216225</v>
      </c>
      <c r="Z14" s="711"/>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3">
        <f t="shared" si="8"/>
        <v>35776</v>
      </c>
      <c r="N15" s="463">
        <f t="shared" si="8"/>
        <v>35776</v>
      </c>
      <c r="O15" s="463">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3">
        <f t="shared" si="9"/>
        <v>0</v>
      </c>
      <c r="N16" s="463">
        <f t="shared" si="9"/>
        <v>0</v>
      </c>
      <c r="O16" s="463">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3">
        <f t="shared" si="9"/>
        <v>65280.000000000007</v>
      </c>
      <c r="N17" s="463">
        <f t="shared" si="9"/>
        <v>65280.000000000007</v>
      </c>
      <c r="O17" s="463">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3">
        <f t="shared" si="9"/>
        <v>20000</v>
      </c>
      <c r="N18" s="463">
        <f t="shared" si="9"/>
        <v>20000</v>
      </c>
      <c r="O18" s="463">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60">
        <f t="shared" si="9"/>
        <v>0</v>
      </c>
      <c r="N19" s="463">
        <f t="shared" si="9"/>
        <v>0</v>
      </c>
      <c r="O19" s="463">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60">
        <f t="shared" si="9"/>
        <v>0</v>
      </c>
      <c r="N20" s="463">
        <f t="shared" si="9"/>
        <v>0</v>
      </c>
      <c r="O20" s="463">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60">
        <f t="shared" si="9"/>
        <v>2000</v>
      </c>
      <c r="N21" s="463">
        <v>6000</v>
      </c>
      <c r="O21" s="463">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60">
        <f t="shared" si="9"/>
        <v>0</v>
      </c>
      <c r="N22" s="463">
        <f t="shared" si="9"/>
        <v>0</v>
      </c>
      <c r="O22" s="463">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2" t="s">
        <v>93</v>
      </c>
      <c r="B26" s="712"/>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03" t="s">
        <v>94</v>
      </c>
      <c r="B27" s="703"/>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04" t="s">
        <v>95</v>
      </c>
      <c r="B28" s="704"/>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2" t="s">
        <v>96</v>
      </c>
      <c r="B29" s="712"/>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03" t="s">
        <v>97</v>
      </c>
      <c r="B30" s="703"/>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04" t="s">
        <v>98</v>
      </c>
      <c r="B31" s="704"/>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3"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5">
        <f>C23</f>
        <v>5755973</v>
      </c>
      <c r="Z34" s="706"/>
    </row>
    <row r="35" spans="1:26" x14ac:dyDescent="0.25">
      <c r="A35" s="57"/>
      <c r="B35" s="713"/>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3"/>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3"/>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3"/>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3"/>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3"/>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3"/>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5"/>
      <c r="G43" s="707"/>
      <c r="H43" s="707"/>
      <c r="I43" s="707"/>
      <c r="J43" s="707"/>
    </row>
    <row r="44" spans="1:26" x14ac:dyDescent="0.25">
      <c r="C44" s="4" t="s">
        <v>485</v>
      </c>
      <c r="D44" s="9">
        <v>85845</v>
      </c>
      <c r="E44" s="341">
        <v>92875</v>
      </c>
      <c r="F44" s="246">
        <v>97870</v>
      </c>
      <c r="G44" s="466">
        <v>101200</v>
      </c>
      <c r="H44" s="466">
        <v>103420</v>
      </c>
      <c r="I44" s="466">
        <v>104900</v>
      </c>
      <c r="J44" s="466">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02"/>
      <c r="H48" s="702"/>
      <c r="I48" s="702"/>
      <c r="J48" s="702"/>
      <c r="M48" s="383"/>
    </row>
    <row r="49" spans="5:16" x14ac:dyDescent="0.25">
      <c r="E49" s="106"/>
      <c r="G49" s="466"/>
      <c r="H49" s="466"/>
      <c r="I49" s="466"/>
      <c r="J49" s="466"/>
    </row>
    <row r="50" spans="5:16" x14ac:dyDescent="0.25">
      <c r="G50" s="702"/>
      <c r="H50" s="702"/>
      <c r="I50" s="702"/>
      <c r="J50" s="702"/>
      <c r="P50" s="383"/>
    </row>
    <row r="51" spans="5:16" ht="15" customHeight="1" x14ac:dyDescent="0.25">
      <c r="G51" s="702"/>
      <c r="H51" s="702"/>
      <c r="I51" s="702"/>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4" t="s">
        <v>654</v>
      </c>
      <c r="C2" s="715"/>
      <c r="D2" s="715"/>
      <c r="E2" s="715"/>
      <c r="F2" s="715"/>
      <c r="G2" s="716"/>
      <c r="I2" s="725" t="s">
        <v>655</v>
      </c>
      <c r="J2" s="726"/>
      <c r="K2" s="726"/>
      <c r="L2" s="726"/>
      <c r="M2" s="726"/>
      <c r="N2" s="726"/>
      <c r="O2" s="726"/>
      <c r="P2" s="726"/>
      <c r="Q2" s="726"/>
      <c r="R2" s="726"/>
      <c r="S2" s="727"/>
    </row>
    <row r="3" spans="2:19" x14ac:dyDescent="0.25">
      <c r="B3" s="718" t="s">
        <v>102</v>
      </c>
      <c r="C3" s="719"/>
      <c r="D3" s="719"/>
      <c r="E3" s="719"/>
      <c r="F3" s="719"/>
      <c r="G3" s="720"/>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8" t="s">
        <v>113</v>
      </c>
      <c r="C4" s="729"/>
      <c r="D4" s="109"/>
      <c r="E4" s="730" t="s">
        <v>114</v>
      </c>
      <c r="F4" s="731"/>
      <c r="G4" s="109"/>
      <c r="I4" s="397" t="s">
        <v>115</v>
      </c>
      <c r="J4" s="398" t="s">
        <v>539</v>
      </c>
      <c r="K4" s="397">
        <f>1052640+300</f>
        <v>1052940</v>
      </c>
      <c r="L4" s="397">
        <v>0</v>
      </c>
      <c r="M4" s="397">
        <v>0</v>
      </c>
      <c r="N4" s="397">
        <v>0</v>
      </c>
      <c r="O4" s="399">
        <v>-1052940</v>
      </c>
      <c r="P4" s="399">
        <v>0</v>
      </c>
      <c r="Q4" s="400"/>
      <c r="R4" s="401"/>
      <c r="S4" s="401">
        <v>42305</v>
      </c>
    </row>
    <row r="5" spans="2:19" x14ac:dyDescent="0.25">
      <c r="B5" s="113"/>
      <c r="C5" s="114"/>
      <c r="D5" s="201"/>
      <c r="E5" s="113"/>
      <c r="F5" s="114"/>
      <c r="G5" s="115"/>
      <c r="I5" s="397" t="s">
        <v>491</v>
      </c>
      <c r="J5" s="398" t="s">
        <v>708</v>
      </c>
      <c r="K5" s="397">
        <v>0</v>
      </c>
      <c r="L5" s="397">
        <v>0</v>
      </c>
      <c r="M5" s="397">
        <v>500000</v>
      </c>
      <c r="N5" s="397">
        <f>M5*0.05</f>
        <v>25000</v>
      </c>
      <c r="O5" s="399">
        <f t="shared" ref="O5" si="0">IF(M5=0,0,M5-K5)-N5</f>
        <v>475000</v>
      </c>
      <c r="P5" s="399">
        <f t="shared" ref="P5" si="1">IF(M5=0,K5,0)</f>
        <v>0</v>
      </c>
      <c r="Q5" s="400"/>
      <c r="R5" s="401"/>
      <c r="S5" s="401">
        <v>42322</v>
      </c>
    </row>
    <row r="6" spans="2:19" x14ac:dyDescent="0.25">
      <c r="B6" s="116" t="s">
        <v>116</v>
      </c>
      <c r="C6" s="117">
        <f>SUM(C7:C9)</f>
        <v>4926685</v>
      </c>
      <c r="D6" s="140">
        <f>C6/C30</f>
        <v>0.24548592411094017</v>
      </c>
      <c r="E6" s="116" t="s">
        <v>117</v>
      </c>
      <c r="F6" s="117">
        <f ca="1">F7+F8+F9</f>
        <v>13914829.014755197</v>
      </c>
      <c r="G6" s="118">
        <f ca="1">F6/$F$30</f>
        <v>0.69334545633278821</v>
      </c>
      <c r="I6" s="397" t="s">
        <v>491</v>
      </c>
      <c r="J6" s="398" t="s">
        <v>548</v>
      </c>
      <c r="K6" s="397">
        <v>0</v>
      </c>
      <c r="L6" s="397">
        <v>0</v>
      </c>
      <c r="M6" s="397">
        <v>1000</v>
      </c>
      <c r="N6" s="397">
        <f>M6*0.05</f>
        <v>50</v>
      </c>
      <c r="O6" s="399">
        <f t="shared" ref="O6" si="2">IF(M6=0,0,M6-K6)-N6</f>
        <v>950</v>
      </c>
      <c r="P6" s="399">
        <f t="shared" ref="P6" si="3">IF(M6=0,K6,0)</f>
        <v>0</v>
      </c>
      <c r="Q6" s="400"/>
      <c r="R6" s="401"/>
      <c r="S6" s="401">
        <v>42330</v>
      </c>
    </row>
    <row r="7" spans="2:19" x14ac:dyDescent="0.25">
      <c r="B7" s="119" t="s">
        <v>84</v>
      </c>
      <c r="C7" s="120">
        <f>'A-P_T47'!C7+EconomiaT48!C16</f>
        <v>2866885</v>
      </c>
      <c r="D7" s="202">
        <f>C7/C30</f>
        <v>0.14285060107248437</v>
      </c>
      <c r="E7" s="203" t="s">
        <v>118</v>
      </c>
      <c r="F7" s="204">
        <v>300000</v>
      </c>
      <c r="G7" s="121">
        <f ca="1">F7/$F$30</f>
        <v>1.4948343000066384E-2</v>
      </c>
      <c r="I7" s="397" t="s">
        <v>491</v>
      </c>
      <c r="J7" s="398" t="s">
        <v>769</v>
      </c>
      <c r="K7" s="397">
        <v>0</v>
      </c>
      <c r="L7" s="397">
        <v>0</v>
      </c>
      <c r="M7" s="397">
        <v>1000</v>
      </c>
      <c r="N7" s="397">
        <f>M7*0.05</f>
        <v>50</v>
      </c>
      <c r="O7" s="399">
        <f t="shared" ref="O7" si="4">IF(M7=0,0,M7-K7)-N7</f>
        <v>950</v>
      </c>
      <c r="P7" s="399">
        <f t="shared" ref="P7" si="5">IF(M7=0,K7,0)</f>
        <v>0</v>
      </c>
      <c r="Q7" s="400"/>
      <c r="R7" s="401"/>
      <c r="S7" s="401">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1"/>
      <c r="J8" s="471"/>
      <c r="K8" s="471"/>
      <c r="L8" s="471"/>
      <c r="M8" s="471"/>
      <c r="N8" s="471"/>
      <c r="O8" s="471"/>
      <c r="P8" s="471"/>
      <c r="Q8" s="471"/>
      <c r="R8" s="471"/>
      <c r="S8" s="471"/>
    </row>
    <row r="9" spans="2:19" x14ac:dyDescent="0.25">
      <c r="B9" s="122" t="s">
        <v>119</v>
      </c>
      <c r="C9" s="123">
        <v>-2068800</v>
      </c>
      <c r="D9" s="202">
        <f>C9/C30</f>
        <v>-0.10308377332845778</v>
      </c>
      <c r="E9" s="203" t="s">
        <v>656</v>
      </c>
      <c r="F9" s="204">
        <f ca="1">'A-P_T47'!F11-EconomiaT47!C24+EconomiaT47!C5</f>
        <v>2985317.643589247</v>
      </c>
      <c r="G9" s="121">
        <f ca="1">F9/$F$30</f>
        <v>0.1487518403350733</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0</v>
      </c>
      <c r="D11" s="140">
        <f>C11/C30</f>
        <v>0</v>
      </c>
      <c r="E11" s="116" t="s">
        <v>657</v>
      </c>
      <c r="F11" s="117">
        <f>SUM(F12:F17)+C9</f>
        <v>2458112</v>
      </c>
      <c r="G11" s="118">
        <f t="shared" ref="G11:G17" ca="1" si="6">F11/$F$30</f>
        <v>0.12248233769526393</v>
      </c>
      <c r="I11" s="471"/>
      <c r="J11" s="471"/>
      <c r="K11" s="471"/>
      <c r="L11" s="471"/>
      <c r="M11" s="471"/>
      <c r="N11" s="471"/>
      <c r="O11" s="471"/>
      <c r="P11" s="471"/>
      <c r="Q11" s="471"/>
      <c r="R11" s="471"/>
      <c r="S11" s="471"/>
    </row>
    <row r="12" spans="2:19" x14ac:dyDescent="0.25">
      <c r="B12" s="129" t="s">
        <v>121</v>
      </c>
      <c r="C12" s="130">
        <f>SUMIF(I4:I516,"S",$P$4:$P$516)</f>
        <v>0</v>
      </c>
      <c r="D12" s="202">
        <f>C12/C30</f>
        <v>0</v>
      </c>
      <c r="E12" s="49" t="s">
        <v>122</v>
      </c>
      <c r="F12" s="131">
        <f>SUMIF(I4:I516,"J",$O$4:$O$516)</f>
        <v>-1052940</v>
      </c>
      <c r="G12" s="121">
        <f t="shared" ca="1" si="6"/>
        <v>-5.2465694261632993E-2</v>
      </c>
      <c r="I12" s="471"/>
      <c r="J12" s="471"/>
      <c r="K12" s="471"/>
      <c r="L12" s="471"/>
      <c r="M12" s="471"/>
      <c r="N12" s="471"/>
      <c r="O12" s="471"/>
      <c r="P12" s="471"/>
      <c r="Q12" s="471"/>
      <c r="R12" s="471"/>
      <c r="S12" s="471"/>
    </row>
    <row r="13" spans="2:19" x14ac:dyDescent="0.25">
      <c r="B13" s="129" t="s">
        <v>100</v>
      </c>
      <c r="C13" s="130">
        <f>SUMIF(I4:I516,"J",$P$4:$P$516)</f>
        <v>0</v>
      </c>
      <c r="D13" s="202">
        <f>C13/C30</f>
        <v>0</v>
      </c>
      <c r="E13" s="49" t="s">
        <v>123</v>
      </c>
      <c r="F13" s="131">
        <f>SUMIF(I4:I516,"S",$O$4:$O$516)</f>
        <v>0</v>
      </c>
      <c r="G13" s="121">
        <f t="shared" ca="1" si="6"/>
        <v>0</v>
      </c>
      <c r="I13" s="471"/>
      <c r="J13" s="471"/>
      <c r="K13" s="471"/>
      <c r="L13" s="471"/>
      <c r="M13" s="471"/>
      <c r="N13" s="471"/>
      <c r="O13" s="471"/>
      <c r="P13" s="471"/>
      <c r="Q13" s="471"/>
      <c r="R13" s="471"/>
      <c r="S13" s="471"/>
    </row>
    <row r="14" spans="2:19" x14ac:dyDescent="0.25">
      <c r="B14" s="129" t="s">
        <v>99</v>
      </c>
      <c r="C14" s="130">
        <f>SUMIF(I4:I516,"E",$P$4:$P$516)</f>
        <v>0</v>
      </c>
      <c r="D14" s="202">
        <f>C14/C30</f>
        <v>0</v>
      </c>
      <c r="E14" s="49" t="s">
        <v>124</v>
      </c>
      <c r="F14" s="131">
        <f>SUMIF(I4:I516,"C",$O$4:$O$516)</f>
        <v>476900</v>
      </c>
      <c r="G14" s="121">
        <f t="shared" ca="1" si="6"/>
        <v>2.3762882589105527E-2</v>
      </c>
      <c r="I14" s="471"/>
      <c r="J14" s="471"/>
      <c r="K14" s="471"/>
      <c r="L14" s="471"/>
      <c r="M14" s="471"/>
      <c r="N14" s="471"/>
      <c r="O14" s="471"/>
      <c r="P14" s="471"/>
      <c r="Q14" s="471"/>
      <c r="R14" s="471"/>
      <c r="S14" s="471"/>
    </row>
    <row r="15" spans="2:19" x14ac:dyDescent="0.25">
      <c r="B15" s="129" t="s">
        <v>125</v>
      </c>
      <c r="C15" s="130">
        <f>SUMIF(I4:I516,"M",$P$4:$P$516)</f>
        <v>0</v>
      </c>
      <c r="D15" s="202">
        <f>C15/C30</f>
        <v>0</v>
      </c>
      <c r="E15" s="49" t="s">
        <v>126</v>
      </c>
      <c r="F15" s="131">
        <f>SUMIF(I4:I516,"E",$O$4:$O$516)</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SUMIF(I4:I516,"M",$O$4:$O$516)</f>
        <v>0</v>
      </c>
      <c r="G16" s="121">
        <f t="shared" ca="1" si="6"/>
        <v>0</v>
      </c>
      <c r="I16" s="471"/>
      <c r="J16" s="471"/>
      <c r="K16" s="471"/>
      <c r="L16" s="471"/>
      <c r="M16" s="471"/>
      <c r="N16" s="471"/>
      <c r="O16" s="471"/>
      <c r="P16" s="471"/>
      <c r="Q16" s="471"/>
      <c r="R16" s="471"/>
      <c r="S16" s="471"/>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9"/>
      <c r="G22" s="470"/>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2" t="s">
        <v>90</v>
      </c>
      <c r="F29" s="473">
        <f>EconomiaT48!C22</f>
        <v>0</v>
      </c>
      <c r="G29" s="474">
        <f t="shared" ca="1" si="7"/>
        <v>0</v>
      </c>
    </row>
    <row r="30" spans="2:11" ht="18.75" x14ac:dyDescent="0.3">
      <c r="B30" s="146" t="s">
        <v>27</v>
      </c>
      <c r="C30" s="147">
        <f>C23+C21+C17+C11+C6</f>
        <v>20069114.014755197</v>
      </c>
      <c r="D30" s="475">
        <f>C30/C30</f>
        <v>1</v>
      </c>
      <c r="E30" s="146" t="s">
        <v>27</v>
      </c>
      <c r="F30" s="147">
        <f ca="1">F23+F19+F11+F6</f>
        <v>20069114.014755197</v>
      </c>
      <c r="G30" s="145">
        <f ca="1">F30/$F$30</f>
        <v>1</v>
      </c>
      <c r="J30" s="106"/>
    </row>
    <row r="31" spans="2:11" x14ac:dyDescent="0.25">
      <c r="C31" s="106"/>
      <c r="D31" s="476"/>
      <c r="E31" s="477" t="s">
        <v>604</v>
      </c>
      <c r="F31" s="478">
        <f ca="1">F30-C30</f>
        <v>0</v>
      </c>
      <c r="G31" s="106"/>
    </row>
    <row r="32" spans="2:11" x14ac:dyDescent="0.25">
      <c r="C32" s="106"/>
      <c r="D32" s="106"/>
      <c r="F32" s="106"/>
      <c r="G32" s="106"/>
      <c r="H32" s="106"/>
    </row>
    <row r="33" spans="2:7" ht="15.75" x14ac:dyDescent="0.25">
      <c r="B33" s="479" t="s">
        <v>660</v>
      </c>
      <c r="C33" s="480">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4">
        <v>21921</v>
      </c>
      <c r="N6" s="464">
        <v>633023</v>
      </c>
      <c r="O6" s="464">
        <v>19414</v>
      </c>
      <c r="P6" s="464">
        <f>609647+15477</f>
        <v>625124</v>
      </c>
      <c r="Q6" s="464">
        <v>18667</v>
      </c>
      <c r="R6" s="464">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9">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7">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7">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8">
        <v>0</v>
      </c>
      <c r="N10" s="72">
        <v>0</v>
      </c>
      <c r="O10" s="72">
        <v>0</v>
      </c>
      <c r="P10" s="72">
        <v>0</v>
      </c>
      <c r="Q10" s="72">
        <v>39020</v>
      </c>
      <c r="R10" s="72">
        <v>0</v>
      </c>
      <c r="S10" s="70">
        <v>0</v>
      </c>
      <c r="Y10" s="67" t="s">
        <v>76</v>
      </c>
      <c r="Z10" s="71">
        <f t="shared" si="4"/>
        <v>1.2443392560305147E-2</v>
      </c>
    </row>
    <row r="11" spans="1:26" x14ac:dyDescent="0.25">
      <c r="A11" s="708" t="s">
        <v>77</v>
      </c>
      <c r="B11" s="67" t="s">
        <v>78</v>
      </c>
      <c r="C11" s="68">
        <f t="shared" si="3"/>
        <v>88230</v>
      </c>
      <c r="D11" s="72">
        <v>210</v>
      </c>
      <c r="E11" s="72">
        <v>300</v>
      </c>
      <c r="F11" s="72">
        <v>300</v>
      </c>
      <c r="G11" s="72">
        <v>270</v>
      </c>
      <c r="H11" s="72">
        <v>240</v>
      </c>
      <c r="I11" s="72">
        <v>120</v>
      </c>
      <c r="J11" s="72">
        <v>0</v>
      </c>
      <c r="K11" s="72">
        <v>60</v>
      </c>
      <c r="L11" s="72">
        <v>120</v>
      </c>
      <c r="M11" s="559">
        <v>120</v>
      </c>
      <c r="N11" s="72">
        <v>240</v>
      </c>
      <c r="O11" s="72">
        <v>240</v>
      </c>
      <c r="P11" s="72">
        <v>240</v>
      </c>
      <c r="Q11" s="72">
        <v>60</v>
      </c>
      <c r="R11" s="72">
        <v>240</v>
      </c>
      <c r="S11" s="70">
        <f>85230+240</f>
        <v>85470</v>
      </c>
      <c r="Y11" s="67" t="s">
        <v>78</v>
      </c>
      <c r="Z11" s="71">
        <f t="shared" si="4"/>
        <v>9.1067339565161966E-3</v>
      </c>
    </row>
    <row r="12" spans="1:26" x14ac:dyDescent="0.25">
      <c r="A12" s="709"/>
      <c r="B12" s="67" t="s">
        <v>79</v>
      </c>
      <c r="C12" s="68">
        <f t="shared" si="3"/>
        <v>1105000</v>
      </c>
      <c r="D12" s="72">
        <v>0</v>
      </c>
      <c r="E12" s="72">
        <v>0</v>
      </c>
      <c r="F12" s="72">
        <v>0</v>
      </c>
      <c r="G12" s="72">
        <v>0</v>
      </c>
      <c r="H12" s="72">
        <v>0</v>
      </c>
      <c r="I12" s="72">
        <v>0</v>
      </c>
      <c r="J12" s="72">
        <v>180000</v>
      </c>
      <c r="K12" s="72">
        <v>0</v>
      </c>
      <c r="L12" s="72">
        <v>0</v>
      </c>
      <c r="M12" s="458">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3">
        <v>147606</v>
      </c>
      <c r="N14" s="83">
        <v>147606</v>
      </c>
      <c r="O14" s="83">
        <v>147886</v>
      </c>
      <c r="P14" s="83">
        <f t="shared" ref="M14:S15" si="7">O14</f>
        <v>147886</v>
      </c>
      <c r="Q14" s="83">
        <v>148566</v>
      </c>
      <c r="R14" s="83">
        <v>150696</v>
      </c>
      <c r="S14" s="70">
        <v>153622</v>
      </c>
      <c r="Y14" s="710">
        <f>C13</f>
        <v>9688435</v>
      </c>
      <c r="Z14" s="711"/>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3">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3">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3">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3">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3">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3">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3">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2" t="s">
        <v>93</v>
      </c>
      <c r="B26" s="712"/>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03" t="s">
        <v>94</v>
      </c>
      <c r="B27" s="703"/>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04" t="s">
        <v>95</v>
      </c>
      <c r="B28" s="704"/>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2" t="s">
        <v>96</v>
      </c>
      <c r="B29" s="712"/>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03" t="s">
        <v>97</v>
      </c>
      <c r="B30" s="703"/>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04" t="s">
        <v>98</v>
      </c>
      <c r="B31" s="704"/>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3"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5">
        <f>C23</f>
        <v>16032490</v>
      </c>
      <c r="Z34" s="706"/>
    </row>
    <row r="35" spans="1:26" x14ac:dyDescent="0.25">
      <c r="A35" s="57"/>
      <c r="B35" s="713"/>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3"/>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3"/>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3"/>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793</v>
      </c>
    </row>
    <row r="39" spans="1:26" x14ac:dyDescent="0.25">
      <c r="A39" s="57"/>
      <c r="B39" s="713"/>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3"/>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3"/>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60"/>
      <c r="G43" s="707"/>
      <c r="H43" s="707"/>
      <c r="I43" s="707"/>
      <c r="J43" s="707"/>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2"/>
      <c r="H46" s="702"/>
      <c r="I46" s="702"/>
      <c r="J46" s="702"/>
      <c r="M46" s="383"/>
    </row>
    <row r="47" spans="1:26" x14ac:dyDescent="0.25">
      <c r="E47" s="106"/>
      <c r="G47" s="561"/>
      <c r="H47" s="561"/>
      <c r="I47" s="561"/>
      <c r="J47" s="561"/>
    </row>
    <row r="48" spans="1:26" x14ac:dyDescent="0.25">
      <c r="G48" s="702"/>
      <c r="H48" s="702"/>
      <c r="I48" s="702"/>
      <c r="J48" s="702"/>
      <c r="P48" s="383"/>
    </row>
    <row r="49" spans="7:10" ht="15" customHeight="1" x14ac:dyDescent="0.25">
      <c r="G49" s="702"/>
      <c r="H49" s="702"/>
      <c r="I49" s="702"/>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4" t="s">
        <v>770</v>
      </c>
      <c r="C2" s="715"/>
      <c r="D2" s="715"/>
      <c r="E2" s="715"/>
      <c r="F2" s="715"/>
      <c r="G2" s="716"/>
      <c r="I2" s="725" t="s">
        <v>771</v>
      </c>
      <c r="J2" s="726"/>
      <c r="K2" s="726"/>
      <c r="L2" s="726"/>
      <c r="M2" s="726"/>
      <c r="N2" s="726"/>
      <c r="O2" s="726"/>
      <c r="P2" s="726"/>
      <c r="Q2" s="726"/>
      <c r="R2" s="726"/>
      <c r="S2" s="727"/>
    </row>
    <row r="3" spans="2:19" x14ac:dyDescent="0.25">
      <c r="B3" s="718" t="s">
        <v>102</v>
      </c>
      <c r="C3" s="719"/>
      <c r="D3" s="719"/>
      <c r="E3" s="719"/>
      <c r="F3" s="719"/>
      <c r="G3" s="720"/>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8" t="s">
        <v>113</v>
      </c>
      <c r="C4" s="729"/>
      <c r="D4" s="109"/>
      <c r="E4" s="730" t="s">
        <v>114</v>
      </c>
      <c r="F4" s="731"/>
      <c r="G4" s="109"/>
      <c r="I4" s="397" t="s">
        <v>491</v>
      </c>
      <c r="J4" s="398" t="s">
        <v>786</v>
      </c>
      <c r="K4" s="397">
        <v>0</v>
      </c>
      <c r="L4" s="397">
        <v>0</v>
      </c>
      <c r="M4" s="397">
        <v>71400</v>
      </c>
      <c r="N4" s="397">
        <f>M4*0.05</f>
        <v>3570</v>
      </c>
      <c r="O4" s="399">
        <f t="shared" ref="O4" si="0">IF(M4=0,0,M4-K4)-N4</f>
        <v>67830</v>
      </c>
      <c r="P4" s="399">
        <f t="shared" ref="P4" si="1">IF(M4=0,K4,0)</f>
        <v>0</v>
      </c>
      <c r="Q4" s="400"/>
      <c r="R4" s="401"/>
      <c r="S4" s="401">
        <v>42467</v>
      </c>
    </row>
    <row r="5" spans="2:19" x14ac:dyDescent="0.25">
      <c r="B5" s="113"/>
      <c r="C5" s="114"/>
      <c r="D5" s="201"/>
      <c r="E5" s="113"/>
      <c r="F5" s="114"/>
      <c r="G5" s="115"/>
      <c r="I5" s="397" t="s">
        <v>491</v>
      </c>
      <c r="J5" s="398" t="s">
        <v>787</v>
      </c>
      <c r="K5" s="397">
        <v>0</v>
      </c>
      <c r="L5" s="397">
        <v>0</v>
      </c>
      <c r="M5" s="397">
        <v>13001</v>
      </c>
      <c r="N5" s="397">
        <v>650</v>
      </c>
      <c r="O5" s="399">
        <f t="shared" ref="O5" si="2">IF(M5=0,0,M5-K5)-N5</f>
        <v>12351</v>
      </c>
      <c r="P5" s="399">
        <f t="shared" ref="P5" si="3">IF(M5=0,K5,0)</f>
        <v>0</v>
      </c>
      <c r="Q5" s="400"/>
      <c r="R5" s="401"/>
      <c r="S5" s="401">
        <v>42471</v>
      </c>
    </row>
    <row r="6" spans="2:19" x14ac:dyDescent="0.25">
      <c r="B6" s="116" t="s">
        <v>116</v>
      </c>
      <c r="C6" s="117">
        <f>SUM(C7:C9)</f>
        <v>5301170</v>
      </c>
      <c r="D6" s="140">
        <f>C6/C34</f>
        <v>0.14788584142163574</v>
      </c>
      <c r="E6" s="116" t="s">
        <v>117</v>
      </c>
      <c r="F6" s="117">
        <f ca="1">F7+F8+F9</f>
        <v>14313141.014755197</v>
      </c>
      <c r="G6" s="118">
        <f ca="1">F6/$F$34</f>
        <v>0.39929127010708909</v>
      </c>
      <c r="I6" s="569" t="s">
        <v>115</v>
      </c>
      <c r="J6" s="110" t="s">
        <v>783</v>
      </c>
      <c r="K6" s="569">
        <v>11662680</v>
      </c>
      <c r="L6" s="569">
        <v>53436</v>
      </c>
      <c r="M6" s="569">
        <v>0</v>
      </c>
      <c r="N6" s="569">
        <v>0</v>
      </c>
      <c r="O6" s="111">
        <f t="shared" ref="O6" si="4">IF(M6=0,0,M6-K6)-N6</f>
        <v>0</v>
      </c>
      <c r="P6" s="111">
        <f t="shared" ref="P6" si="5">IF(M6=0,K6,0)</f>
        <v>11662680</v>
      </c>
      <c r="Q6" s="570"/>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1"/>
      <c r="J7" s="471"/>
      <c r="K7" s="471"/>
      <c r="L7" s="471"/>
      <c r="M7" s="471"/>
      <c r="N7" s="471"/>
      <c r="O7" s="471"/>
      <c r="P7" s="471"/>
      <c r="Q7" s="471"/>
      <c r="R7" s="471"/>
      <c r="S7" s="471"/>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1"/>
      <c r="J8" s="471"/>
      <c r="K8" s="471"/>
      <c r="L8" s="471"/>
      <c r="M8" s="471"/>
      <c r="N8" s="471"/>
      <c r="O8" s="471"/>
      <c r="P8" s="471"/>
      <c r="Q8" s="471"/>
      <c r="R8" s="471"/>
      <c r="S8" s="471"/>
    </row>
    <row r="9" spans="2:19" x14ac:dyDescent="0.25">
      <c r="B9" s="122" t="s">
        <v>119</v>
      </c>
      <c r="C9" s="123">
        <v>0</v>
      </c>
      <c r="D9" s="202">
        <f>C9/C34</f>
        <v>0</v>
      </c>
      <c r="E9" s="203" t="s">
        <v>772</v>
      </c>
      <c r="F9" s="204">
        <f>'A-P_T48'!F11-2059800</f>
        <v>398312</v>
      </c>
      <c r="G9" s="121">
        <f ca="1">F9/$F$34</f>
        <v>1.1111642386177878E-2</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1"/>
      <c r="J11" s="471"/>
      <c r="K11" s="471"/>
      <c r="L11" s="471"/>
      <c r="M11" s="471"/>
      <c r="N11" s="471"/>
      <c r="O11" s="471"/>
      <c r="P11" s="471"/>
      <c r="Q11" s="471"/>
      <c r="R11" s="471"/>
      <c r="S11" s="471"/>
    </row>
    <row r="12" spans="2:19" x14ac:dyDescent="0.25">
      <c r="B12" s="129" t="s">
        <v>121</v>
      </c>
      <c r="C12" s="130">
        <f>SUMIF(I4:I520,"S",$P$4:$P$520)</f>
        <v>0</v>
      </c>
      <c r="D12" s="202">
        <f>C12/C34</f>
        <v>0</v>
      </c>
      <c r="E12" s="49" t="s">
        <v>122</v>
      </c>
      <c r="F12" s="131">
        <f>SUMIF(I4:I520,"J",$O$4:$O$520)</f>
        <v>0</v>
      </c>
      <c r="G12" s="121">
        <f t="shared" ca="1" si="6"/>
        <v>0</v>
      </c>
      <c r="I12" s="471"/>
      <c r="J12" s="471"/>
      <c r="K12" s="471"/>
      <c r="L12" s="471"/>
      <c r="M12" s="471"/>
      <c r="N12" s="471"/>
      <c r="O12" s="471"/>
      <c r="P12" s="471"/>
      <c r="Q12" s="471"/>
      <c r="R12" s="471"/>
      <c r="S12" s="471"/>
    </row>
    <row r="13" spans="2:19" x14ac:dyDescent="0.25">
      <c r="B13" s="129" t="s">
        <v>100</v>
      </c>
      <c r="C13" s="130">
        <f>SUMIF(I4:I520,"J",$P$4:$P$520)</f>
        <v>11662680</v>
      </c>
      <c r="D13" s="202">
        <f>C13/C34</f>
        <v>0.32535180819164122</v>
      </c>
      <c r="E13" s="49" t="s">
        <v>123</v>
      </c>
      <c r="F13" s="131">
        <f>SUMIF(I4:I520,"S",$O$4:$O$520)</f>
        <v>0</v>
      </c>
      <c r="G13" s="121">
        <f t="shared" ca="1" si="6"/>
        <v>0</v>
      </c>
      <c r="I13" s="471"/>
      <c r="J13" s="471"/>
      <c r="K13" s="471"/>
      <c r="L13" s="471"/>
      <c r="M13" s="471"/>
      <c r="N13" s="471"/>
      <c r="O13" s="471"/>
      <c r="P13" s="471"/>
      <c r="Q13" s="471"/>
      <c r="R13" s="471"/>
      <c r="S13" s="471"/>
    </row>
    <row r="14" spans="2:19" x14ac:dyDescent="0.25">
      <c r="B14" s="129" t="s">
        <v>99</v>
      </c>
      <c r="C14" s="130">
        <f>SUMIF(I4:I520,"E",$P$4:$P$520)</f>
        <v>0</v>
      </c>
      <c r="D14" s="202">
        <f>C14/C34</f>
        <v>0</v>
      </c>
      <c r="E14" s="49" t="s">
        <v>124</v>
      </c>
      <c r="F14" s="131">
        <f>SUMIF(I4:I520,"C",$O$4:$O$520)</f>
        <v>80181</v>
      </c>
      <c r="G14" s="121">
        <f t="shared" ca="1" si="6"/>
        <v>2.236795773579828E-3</v>
      </c>
      <c r="I14" s="471"/>
      <c r="J14" s="471"/>
      <c r="K14" s="471"/>
      <c r="L14" s="471"/>
      <c r="M14" s="471"/>
      <c r="N14" s="471"/>
      <c r="O14" s="471"/>
      <c r="P14" s="471"/>
      <c r="Q14" s="471"/>
      <c r="R14" s="471"/>
      <c r="S14" s="471"/>
    </row>
    <row r="15" spans="2:19" x14ac:dyDescent="0.25">
      <c r="B15" s="129" t="s">
        <v>125</v>
      </c>
      <c r="C15" s="130">
        <f>SUMIF(I4:I520,"M",$P$4:$P$520)</f>
        <v>0</v>
      </c>
      <c r="D15" s="202">
        <f>C15/C34</f>
        <v>0</v>
      </c>
      <c r="E15" s="49" t="s">
        <v>126</v>
      </c>
      <c r="F15" s="131">
        <f>SUMIF(I4:I520,"E",$O$4:$O$520)</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SUMIF(I4:I520,"M",$O$4:$O$520)</f>
        <v>0</v>
      </c>
      <c r="G16" s="121">
        <f t="shared" ca="1" si="6"/>
        <v>0</v>
      </c>
      <c r="I16" s="471"/>
      <c r="J16" s="471"/>
      <c r="K16" s="471"/>
      <c r="L16" s="471"/>
      <c r="M16" s="471"/>
      <c r="N16" s="471"/>
      <c r="O16" s="471"/>
      <c r="P16" s="471"/>
      <c r="Q16" s="471"/>
      <c r="R16" s="471"/>
      <c r="S16" s="471"/>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9"/>
      <c r="G22" s="470"/>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1"/>
      <c r="C26" s="572"/>
      <c r="D26" s="573"/>
      <c r="E26" s="574"/>
      <c r="F26" s="575"/>
      <c r="G26" s="576"/>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2" t="s">
        <v>90</v>
      </c>
      <c r="F33" s="473">
        <f>EconomiaT49!C22</f>
        <v>0</v>
      </c>
      <c r="G33" s="474">
        <f t="shared" ca="1" si="7"/>
        <v>0</v>
      </c>
    </row>
    <row r="34" spans="2:10" ht="18.75" x14ac:dyDescent="0.3">
      <c r="B34" s="146" t="s">
        <v>27</v>
      </c>
      <c r="C34" s="147">
        <f>C27+C21+C17+C11+C6</f>
        <v>35846366.014755197</v>
      </c>
      <c r="D34" s="475">
        <f>C34/C34</f>
        <v>1</v>
      </c>
      <c r="E34" s="146" t="s">
        <v>27</v>
      </c>
      <c r="F34" s="147">
        <f ca="1">F27+F19+F11+F6+F23</f>
        <v>35846366.014755197</v>
      </c>
      <c r="G34" s="145">
        <f ca="1">F34/$F$34</f>
        <v>1</v>
      </c>
      <c r="J34" s="106"/>
    </row>
    <row r="35" spans="2:10" x14ac:dyDescent="0.25">
      <c r="C35" s="106"/>
      <c r="D35" s="476"/>
      <c r="E35" s="477" t="s">
        <v>604</v>
      </c>
      <c r="F35" s="478">
        <f ca="1">F34-C34</f>
        <v>0</v>
      </c>
      <c r="G35" s="106"/>
    </row>
    <row r="36" spans="2:10" x14ac:dyDescent="0.25">
      <c r="C36" s="106"/>
      <c r="D36" s="106"/>
      <c r="F36" s="106"/>
      <c r="G36" s="106"/>
      <c r="H36" s="106"/>
    </row>
    <row r="37" spans="2:10" ht="15.75" x14ac:dyDescent="0.25">
      <c r="B37" s="479" t="s">
        <v>660</v>
      </c>
      <c r="C37" s="480">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6" t="str">
        <f>PLANTILLA!D4</f>
        <v>Jugador</v>
      </c>
      <c r="B1" s="586" t="s">
        <v>705</v>
      </c>
      <c r="C1" s="586" t="str">
        <f>PLANTILLA!AC4</f>
        <v>An</v>
      </c>
      <c r="D1" s="586" t="str">
        <f>PLANTILLA!AD4</f>
        <v>PA</v>
      </c>
      <c r="E1" s="586" t="str">
        <f>PLANTILLA!AI4</f>
        <v>TL</v>
      </c>
      <c r="F1" s="586" t="str">
        <f>PLANTILLA!AJ4</f>
        <v>PEN</v>
      </c>
      <c r="G1" s="586" t="str">
        <f>PLANTILLA!AK4</f>
        <v>BPiA</v>
      </c>
      <c r="H1" s="586" t="str">
        <f>PLANTILLA!AL4</f>
        <v>BPiD</v>
      </c>
    </row>
    <row r="2" spans="1:15" x14ac:dyDescent="0.25">
      <c r="A2" t="str">
        <f>PLANTILLA!D22</f>
        <v>J. Limon</v>
      </c>
      <c r="B2" s="159">
        <f>PLANTILLA!J22</f>
        <v>1.3885235802109668</v>
      </c>
      <c r="C2" s="265">
        <f>PLANTILLA!AC22</f>
        <v>8.5625000000000018</v>
      </c>
      <c r="D2" s="265">
        <f>PLANTILLA!AD22</f>
        <v>18.639999999999993</v>
      </c>
      <c r="E2" s="159">
        <f>PLANTILLA!AI22</f>
        <v>23.249387112266234</v>
      </c>
      <c r="F2" s="159">
        <f>PLANTILLA!AJ22</f>
        <v>18.505273580210961</v>
      </c>
      <c r="G2" s="159">
        <f>PLANTILLA!AK22</f>
        <v>1.2184068864168771</v>
      </c>
      <c r="H2" s="159">
        <f>PLANTILLA!AL22</f>
        <v>1.0345014125195295</v>
      </c>
      <c r="K2" t="str">
        <f>A4</f>
        <v>L. Calosso</v>
      </c>
      <c r="L2" s="406">
        <f>B2</f>
        <v>1.3885235802109668</v>
      </c>
      <c r="M2" s="406">
        <f t="shared" ref="M2:N2" si="0">C2</f>
        <v>8.5625000000000018</v>
      </c>
      <c r="N2" s="406">
        <f t="shared" si="0"/>
        <v>18.639999999999993</v>
      </c>
      <c r="O2" s="406"/>
    </row>
    <row r="3" spans="1:15" x14ac:dyDescent="0.25">
      <c r="A3" t="str">
        <f>PLANTILLA!D12</f>
        <v>E. Romweber</v>
      </c>
      <c r="B3" s="159">
        <f>PLANTILLA!J12</f>
        <v>1.4984688546227811</v>
      </c>
      <c r="C3" s="265">
        <f>PLANTILLA!AC12</f>
        <v>7.7700000000000005</v>
      </c>
      <c r="D3" s="265">
        <f>PLANTILLA!AD12</f>
        <v>17.13</v>
      </c>
      <c r="E3" s="159">
        <f>PLANTILLA!AI12</f>
        <v>13.974444235943199</v>
      </c>
      <c r="F3" s="159">
        <f>PLANTILLA!AJ12</f>
        <v>11.338908514061995</v>
      </c>
      <c r="G3" s="159">
        <f>PLANTILLA!AK12</f>
        <v>1.1422775083698222</v>
      </c>
      <c r="H3" s="159">
        <f>PLANTILLA!AL12</f>
        <v>1.2040150420458169</v>
      </c>
      <c r="K3" t="str">
        <f>A5</f>
        <v>L. Bauman</v>
      </c>
      <c r="L3" s="406">
        <f t="shared" ref="L3:L11" si="1">B3</f>
        <v>1.4984688546227811</v>
      </c>
      <c r="M3" s="406">
        <f t="shared" ref="M3:M11" si="2">C3</f>
        <v>7.7700000000000005</v>
      </c>
      <c r="N3" s="406">
        <f t="shared" ref="N3:N11" si="3">D3</f>
        <v>17.13</v>
      </c>
      <c r="O3" s="406"/>
    </row>
    <row r="4" spans="1:15" x14ac:dyDescent="0.25">
      <c r="A4" t="str">
        <f>PLANTILLA!D23</f>
        <v>L. Calosso</v>
      </c>
      <c r="B4" s="159">
        <f>PLANTILLA!J23</f>
        <v>1.3989573635602419</v>
      </c>
      <c r="C4" s="265">
        <f>PLANTILLA!AC23</f>
        <v>10</v>
      </c>
      <c r="D4" s="265">
        <f>PLANTILLA!AD23</f>
        <v>9.3000000000000007</v>
      </c>
      <c r="E4" s="159">
        <f ca="1">PLANTILLA!AI23</f>
        <v>17.49968310396676</v>
      </c>
      <c r="F4" s="159">
        <f ca="1">PLANTILLA!AJ23</f>
        <v>10.809857925161486</v>
      </c>
      <c r="G4" s="159">
        <f ca="1">PLANTILLA!AK23</f>
        <v>0.95227848266134385</v>
      </c>
      <c r="H4" s="159">
        <f ca="1">PLANTILLA!AL23</f>
        <v>0.55061867232867601</v>
      </c>
      <c r="K4" t="str">
        <f>A6</f>
        <v>P .Trivadi</v>
      </c>
      <c r="L4" s="406">
        <f t="shared" si="1"/>
        <v>1.3989573635602419</v>
      </c>
      <c r="M4" s="406">
        <f t="shared" si="2"/>
        <v>10</v>
      </c>
      <c r="N4" s="406">
        <f t="shared" si="3"/>
        <v>9.3000000000000007</v>
      </c>
      <c r="O4" s="406"/>
    </row>
    <row r="5" spans="1:15" x14ac:dyDescent="0.25">
      <c r="A5" t="str">
        <f>PLANTILLA!D18</f>
        <v>L. Bauman</v>
      </c>
      <c r="B5" s="159">
        <f>PLANTILLA!J18</f>
        <v>1.2787218564281246</v>
      </c>
      <c r="C5" s="265">
        <f>PLANTILLA!AC18</f>
        <v>7.4318888888888894</v>
      </c>
      <c r="D5" s="265">
        <f>PLANTILLA!AD18</f>
        <v>16.07</v>
      </c>
      <c r="E5" s="159">
        <f>PLANTILLA!AI18</f>
        <v>18.253849467952474</v>
      </c>
      <c r="F5" s="159">
        <f>PLANTILLA!AJ18</f>
        <v>15.051324482482773</v>
      </c>
      <c r="G5" s="159">
        <f>PLANTILLA!AK18</f>
        <v>1.0759921929586944</v>
      </c>
      <c r="H5" s="159">
        <f>PLANTILLA!AL18</f>
        <v>0.8938549743944133</v>
      </c>
      <c r="K5" t="str">
        <f>A14</f>
        <v>D. Toh</v>
      </c>
      <c r="L5" s="406">
        <f t="shared" si="1"/>
        <v>1.2787218564281246</v>
      </c>
      <c r="M5" s="406">
        <f t="shared" si="2"/>
        <v>7.4318888888888894</v>
      </c>
      <c r="N5" s="406">
        <f t="shared" si="3"/>
        <v>16.07</v>
      </c>
      <c r="O5" s="406"/>
    </row>
    <row r="6" spans="1:15" x14ac:dyDescent="0.25">
      <c r="A6" t="str">
        <f>PLANTILLA!D24</f>
        <v>P .Trivadi</v>
      </c>
      <c r="B6" s="159">
        <f>PLANTILLA!J24</f>
        <v>1.0657873992714422</v>
      </c>
      <c r="C6" s="265">
        <f>PLANTILLA!AC24</f>
        <v>8.384500000000001</v>
      </c>
      <c r="D6" s="265">
        <f>PLANTILLA!AD24</f>
        <v>13.566666666666668</v>
      </c>
      <c r="E6" s="159">
        <f>PLANTILLA!AI24</f>
        <v>18.007503516227672</v>
      </c>
      <c r="F6" s="159">
        <f>PLANTILLA!AJ24</f>
        <v>13.496424014791529</v>
      </c>
      <c r="G6" s="159">
        <f>PLANTILLA!AK24</f>
        <v>1.0314879919417155</v>
      </c>
      <c r="H6" s="159">
        <f>PLANTILLA!AL24</f>
        <v>0.74700511794900093</v>
      </c>
      <c r="K6" t="str">
        <f>A18</f>
        <v>D. Gehmacher</v>
      </c>
      <c r="L6" s="406">
        <f t="shared" si="1"/>
        <v>1.0657873992714422</v>
      </c>
      <c r="M6" s="406">
        <f t="shared" si="2"/>
        <v>8.384500000000001</v>
      </c>
      <c r="N6" s="406">
        <f t="shared" si="3"/>
        <v>13.566666666666668</v>
      </c>
      <c r="O6" s="406"/>
    </row>
    <row r="7" spans="1:15" x14ac:dyDescent="0.25">
      <c r="A7" t="str">
        <f>PLANTILLA!D14</f>
        <v>S. Zobbe</v>
      </c>
      <c r="B7" s="159">
        <f>PLANTILLA!J14</f>
        <v>1.3156956456883264</v>
      </c>
      <c r="C7" s="265">
        <f>PLANTILLA!AC14</f>
        <v>7.4766666666666666</v>
      </c>
      <c r="D7" s="265">
        <f>PLANTILLA!AD14</f>
        <v>15.270000000000001</v>
      </c>
      <c r="E7" s="159">
        <f>PLANTILLA!AI14</f>
        <v>14.689554503759226</v>
      </c>
      <c r="F7" s="159">
        <f>PLANTILLA!AJ14</f>
        <v>11.904138971664581</v>
      </c>
      <c r="G7" s="159">
        <f>PLANTILLA!AK14</f>
        <v>1.0571889849883995</v>
      </c>
      <c r="H7" s="159">
        <f>PLANTILLA!AL14</f>
        <v>0.98479869519818275</v>
      </c>
      <c r="K7" t="str">
        <f>A13</f>
        <v>E. Toney</v>
      </c>
      <c r="L7" s="406">
        <f t="shared" si="1"/>
        <v>1.3156956456883264</v>
      </c>
      <c r="M7" s="406">
        <f t="shared" si="2"/>
        <v>7.4766666666666666</v>
      </c>
      <c r="N7" s="406">
        <f t="shared" si="3"/>
        <v>15.270000000000001</v>
      </c>
      <c r="O7" s="406"/>
    </row>
    <row r="8" spans="1:15" x14ac:dyDescent="0.25">
      <c r="A8" t="str">
        <f>PLANTILLA!D13</f>
        <v>K. Helms</v>
      </c>
      <c r="B8" s="159">
        <f>PLANTILLA!J13</f>
        <v>1.4041045913112262</v>
      </c>
      <c r="C8" s="265">
        <f>PLANTILLA!AC13</f>
        <v>5.4050000000000002</v>
      </c>
      <c r="D8" s="265">
        <f>PLANTILLA!AD13</f>
        <v>17.300000000000004</v>
      </c>
      <c r="E8" s="159">
        <f>PLANTILLA!AI13</f>
        <v>14.625708054372277</v>
      </c>
      <c r="F8" s="159">
        <f>PLANTILLA!AJ13</f>
        <v>14.059652000327929</v>
      </c>
      <c r="G8" s="159">
        <f>PLANTILLA!AK13</f>
        <v>1.0215783673048981</v>
      </c>
      <c r="H8" s="159">
        <f>PLANTILLA!AL13</f>
        <v>1.0110873213917859</v>
      </c>
      <c r="K8" t="str">
        <f>A14</f>
        <v>D. Toh</v>
      </c>
      <c r="L8" s="406">
        <f t="shared" si="1"/>
        <v>1.4041045913112262</v>
      </c>
      <c r="M8" s="406">
        <f t="shared" si="2"/>
        <v>5.4050000000000002</v>
      </c>
      <c r="N8" s="406">
        <f t="shared" si="3"/>
        <v>17.300000000000004</v>
      </c>
      <c r="O8" s="406"/>
    </row>
    <row r="9" spans="1:15" x14ac:dyDescent="0.25">
      <c r="A9" t="str">
        <f>PLANTILLA!D15</f>
        <v>S. Buschelman</v>
      </c>
      <c r="B9" s="159">
        <f>PLANTILLA!J15</f>
        <v>1.4092064684486303</v>
      </c>
      <c r="C9" s="265">
        <f>PLANTILLA!AC15</f>
        <v>5.0296666666666656</v>
      </c>
      <c r="D9" s="265">
        <f>PLANTILLA!AD15</f>
        <v>15.2</v>
      </c>
      <c r="E9" s="159">
        <f>PLANTILLA!AI15</f>
        <v>13.132507954276599</v>
      </c>
      <c r="F9" s="159">
        <f>PLANTILLA!AJ15</f>
        <v>12.726422749964355</v>
      </c>
      <c r="G9" s="159">
        <f>PLANTILLA!AK15</f>
        <v>0.94021985080922366</v>
      </c>
      <c r="H9" s="159">
        <f>PLANTILLA!AL15</f>
        <v>1.0277911194580707</v>
      </c>
      <c r="K9" t="str">
        <f>A9</f>
        <v>S. Buschelman</v>
      </c>
      <c r="L9" s="406">
        <f t="shared" si="1"/>
        <v>1.4092064684486303</v>
      </c>
      <c r="M9" s="406">
        <f t="shared" si="2"/>
        <v>5.0296666666666656</v>
      </c>
      <c r="N9" s="406">
        <f t="shared" si="3"/>
        <v>15.2</v>
      </c>
      <c r="O9" s="406"/>
    </row>
    <row r="10" spans="1:15" x14ac:dyDescent="0.25">
      <c r="A10" t="str">
        <f>PLANTILLA!D16</f>
        <v>C. Rojas</v>
      </c>
      <c r="B10" s="159">
        <f>PLANTILLA!J16</f>
        <v>1.4389083280634998</v>
      </c>
      <c r="C10" s="265">
        <f>PLANTILLA!AC16</f>
        <v>4.3999999999999995</v>
      </c>
      <c r="D10" s="265">
        <f>PLANTILLA!AD16</f>
        <v>16.544444444444441</v>
      </c>
      <c r="E10" s="159">
        <f>PLANTILLA!AI16</f>
        <v>12.929534768249406</v>
      </c>
      <c r="F10" s="159">
        <f>PLANTILLA!AJ16</f>
        <v>13.38725982400083</v>
      </c>
      <c r="G10" s="159">
        <f>PLANTILLA!AK16</f>
        <v>0.95144599957841314</v>
      </c>
      <c r="H10" s="159">
        <f>PLANTILLA!AL16</f>
        <v>1.0467591385200006</v>
      </c>
      <c r="K10" t="str">
        <f>A11</f>
        <v>B. Bartolache</v>
      </c>
      <c r="L10" s="406">
        <f t="shared" si="1"/>
        <v>1.4389083280634998</v>
      </c>
      <c r="M10" s="406">
        <f t="shared" si="2"/>
        <v>4.3999999999999995</v>
      </c>
      <c r="N10" s="406">
        <f t="shared" si="3"/>
        <v>16.544444444444441</v>
      </c>
      <c r="O10" s="406"/>
    </row>
    <row r="11" spans="1:15" x14ac:dyDescent="0.25">
      <c r="A11" t="str">
        <f>PLANTILLA!D10</f>
        <v>B. Bartolache</v>
      </c>
      <c r="B11" s="159">
        <f>PLANTILLA!J10</f>
        <v>1.3504496329402296</v>
      </c>
      <c r="C11" s="265">
        <f>PLANTILLA!AC10</f>
        <v>4.6199999999999966</v>
      </c>
      <c r="D11" s="265">
        <f>PLANTILLA!AD10</f>
        <v>15.6</v>
      </c>
      <c r="E11" s="159">
        <f>PLANTILLA!AI10</f>
        <v>14.948693688797904</v>
      </c>
      <c r="F11" s="159">
        <f>PLANTILLA!AJ10</f>
        <v>15.156449632940229</v>
      </c>
      <c r="G11" s="159">
        <f>PLANTILLA!AK10</f>
        <v>0.92703597063521814</v>
      </c>
      <c r="H11" s="159">
        <f>PLANTILLA!AL10</f>
        <v>1.1375314743058158</v>
      </c>
      <c r="K11" t="str">
        <f>A12</f>
        <v>T. Hammond</v>
      </c>
      <c r="L11" s="406">
        <f t="shared" si="1"/>
        <v>1.3504496329402296</v>
      </c>
      <c r="M11" s="406">
        <f t="shared" si="2"/>
        <v>4.6199999999999966</v>
      </c>
      <c r="N11" s="406">
        <f t="shared" si="3"/>
        <v>15.6</v>
      </c>
      <c r="O11" s="406"/>
    </row>
    <row r="12" spans="1:15" x14ac:dyDescent="0.25">
      <c r="A12" t="str">
        <f>PLANTILLA!D6</f>
        <v>T. Hammond</v>
      </c>
      <c r="B12" s="159">
        <f>PLANTILLA!J6</f>
        <v>1.2593102295335583</v>
      </c>
      <c r="C12" s="265">
        <f>PLANTILLA!AC6</f>
        <v>3.99</v>
      </c>
      <c r="D12" s="265">
        <f>PLANTILLA!AD6</f>
        <v>15.778888888888888</v>
      </c>
      <c r="E12" s="159">
        <f>PLANTILLA!AI6</f>
        <v>11.663014193604974</v>
      </c>
      <c r="F12" s="159">
        <f>PLANTILLA!AJ6</f>
        <v>12.678608979049312</v>
      </c>
      <c r="G12" s="159">
        <f>PLANTILLA!AK6</f>
        <v>0.89361148502935117</v>
      </c>
      <c r="H12" s="159">
        <f>PLANTILLA!AL6</f>
        <v>1.0987183827340155</v>
      </c>
      <c r="M12" s="587">
        <f>AVERAGE(M2:M11)</f>
        <v>6.9080222222222218</v>
      </c>
      <c r="N12" s="587">
        <f>AVERAGE(N2:N11)</f>
        <v>15.46211111111111</v>
      </c>
      <c r="O12" s="588">
        <f>1.66*(M12+1.5)+0.55*(N12+1.5)-7.6</f>
        <v>15.686477999999999</v>
      </c>
    </row>
    <row r="13" spans="1:15" x14ac:dyDescent="0.25">
      <c r="A13" t="str">
        <f>PLANTILLA!D9</f>
        <v>E. Toney</v>
      </c>
      <c r="B13" s="159">
        <f>PLANTILLA!J9</f>
        <v>1.4940985749411331</v>
      </c>
      <c r="C13" s="265">
        <f>PLANTILLA!AC9</f>
        <v>3.6816666666666658</v>
      </c>
      <c r="D13" s="265">
        <f>PLANTILLA!AD9</f>
        <v>16.627777777777773</v>
      </c>
      <c r="E13" s="159">
        <f>PLANTILLA!AI9</f>
        <v>12.063564740827296</v>
      </c>
      <c r="F13" s="159">
        <f>PLANTILLA!AJ9</f>
        <v>13.301074018934147</v>
      </c>
      <c r="G13" s="159">
        <f>PLANTILLA!AK9</f>
        <v>0.92244455266195724</v>
      </c>
      <c r="H13" s="159">
        <f>PLANTILLA!AL9</f>
        <v>1.1936202335792128</v>
      </c>
    </row>
    <row r="14" spans="1:15" x14ac:dyDescent="0.25">
      <c r="A14" t="str">
        <f>PLANTILLA!D8</f>
        <v>D. Toh</v>
      </c>
      <c r="B14" s="159">
        <f>PLANTILLA!J8</f>
        <v>1.2392252342857237</v>
      </c>
      <c r="C14" s="265">
        <f>PLANTILLA!AC8</f>
        <v>4.383333333333332</v>
      </c>
      <c r="D14" s="265">
        <f>PLANTILLA!AD8</f>
        <v>15.349999999999998</v>
      </c>
      <c r="E14" s="159">
        <f>PLANTILLA!AI8</f>
        <v>9.2780929620245054</v>
      </c>
      <c r="F14" s="159">
        <f>PLANTILLA!AJ8</f>
        <v>9.688367123259269</v>
      </c>
      <c r="G14" s="159">
        <f>PLANTILLA!AK8</f>
        <v>0.89880468540952452</v>
      </c>
      <c r="H14" s="159">
        <f>PLANTILLA!AL8</f>
        <v>1.0926724330666673</v>
      </c>
    </row>
    <row r="15" spans="1:15" x14ac:dyDescent="0.25">
      <c r="A15" t="str">
        <f>PLANTILLA!D17</f>
        <v>E. Gross</v>
      </c>
      <c r="B15" s="159">
        <f>PLANTILLA!J17</f>
        <v>1.3390951650435234</v>
      </c>
      <c r="C15" s="265">
        <f>PLANTILLA!AC17</f>
        <v>2.98</v>
      </c>
      <c r="D15" s="265">
        <f>PLANTILLA!AD17</f>
        <v>16.959999999999997</v>
      </c>
      <c r="E15" s="159">
        <f>PLANTILLA!AI17</f>
        <v>12.949200314746188</v>
      </c>
      <c r="F15" s="159">
        <f>PLANTILLA!AJ17</f>
        <v>15.605095165043521</v>
      </c>
      <c r="G15" s="159">
        <f>PLANTILLA!AK17</f>
        <v>0.88492761320348179</v>
      </c>
      <c r="H15" s="159">
        <f>PLANTILLA!AL17</f>
        <v>1.1255366615530464</v>
      </c>
    </row>
    <row r="16" spans="1:15" x14ac:dyDescent="0.25">
      <c r="A16" t="str">
        <f>PLANTILLA!D11</f>
        <v>F. Lasprilla</v>
      </c>
      <c r="B16" s="159">
        <f>PLANTILLA!J11</f>
        <v>1.0278026821895256</v>
      </c>
      <c r="C16" s="265">
        <f>PLANTILLA!AC11</f>
        <v>3.2566666666666673</v>
      </c>
      <c r="D16" s="265">
        <f>PLANTILLA!AD11</f>
        <v>13.238888888888889</v>
      </c>
      <c r="E16" s="159">
        <f>PLANTILLA!AI11</f>
        <v>10.673899483194409</v>
      </c>
      <c r="F16" s="159">
        <f>PLANTILLA!AJ11</f>
        <v>12.772024904411747</v>
      </c>
      <c r="G16" s="159">
        <f>PLANTILLA!AK11</f>
        <v>0.7622242145751621</v>
      </c>
      <c r="H16" s="159">
        <f>PLANTILLA!AL11</f>
        <v>0.95809952108660001</v>
      </c>
    </row>
    <row r="17" spans="1:8" x14ac:dyDescent="0.25">
      <c r="A17" t="str">
        <f>PLANTILLA!D19</f>
        <v>W. Gelifini</v>
      </c>
      <c r="B17" s="159">
        <f>PLANTILLA!J19</f>
        <v>0.93196000578135851</v>
      </c>
      <c r="C17" s="265">
        <f>PLANTILLA!AC19</f>
        <v>3.5417777777777766</v>
      </c>
      <c r="D17" s="265">
        <f>PLANTILLA!AD19</f>
        <v>12.450000000000001</v>
      </c>
      <c r="E17" s="159">
        <f>PLANTILLA!AI19</f>
        <v>8.8753728050518816</v>
      </c>
      <c r="F17" s="159">
        <f>PLANTILLA!AJ19</f>
        <v>10.318905243632264</v>
      </c>
      <c r="G17" s="159">
        <f>PLANTILLA!AK19</f>
        <v>0.74514568935139747</v>
      </c>
      <c r="H17" s="159">
        <f>PLANTILLA!AL19</f>
        <v>0.76979942262691714</v>
      </c>
    </row>
    <row r="18" spans="1:8" x14ac:dyDescent="0.25">
      <c r="A18" t="str">
        <f>PLANTILLA!D5</f>
        <v>D. Gehmacher</v>
      </c>
      <c r="B18" s="159">
        <f>PLANTILLA!J5</f>
        <v>1.7080444896636369</v>
      </c>
      <c r="C18" s="265">
        <f>PLANTILLA!AC5</f>
        <v>0.14055555555555557</v>
      </c>
      <c r="D18" s="265">
        <f>PLANTILLA!AD5</f>
        <v>17.849999999999998</v>
      </c>
      <c r="E18" s="159">
        <f ca="1">PLANTILLA!AI5</f>
        <v>8.4356005443788593</v>
      </c>
      <c r="F18" s="159">
        <f ca="1">PLANTILLA!AJ5</f>
        <v>15.245211156330301</v>
      </c>
      <c r="G18" s="159">
        <f ca="1">PLANTILLA!AK5</f>
        <v>0.75917133695086869</v>
      </c>
      <c r="H18" s="159">
        <f ca="1">PLANTILLA!AL5</f>
        <v>1.2052085688219092</v>
      </c>
    </row>
    <row r="19" spans="1:8" x14ac:dyDescent="0.25">
      <c r="A19" t="str">
        <f>PLANTILLA!D20</f>
        <v>M. Amico</v>
      </c>
      <c r="B19" s="159">
        <f>PLANTILLA!J20</f>
        <v>0.45656357442960838</v>
      </c>
      <c r="C19" s="265">
        <f>PLANTILLA!AC20</f>
        <v>4.3299999999999983</v>
      </c>
      <c r="D19" s="265">
        <f>PLANTILLA!AD20</f>
        <v>9.5</v>
      </c>
      <c r="E19" s="159">
        <f>PLANTILLA!AI20</f>
        <v>8.4590381791397018</v>
      </c>
      <c r="F19" s="159">
        <f>PLANTILLA!AJ20</f>
        <v>9.170769856781769</v>
      </c>
      <c r="G19" s="159">
        <f>PLANTILLA!AK20</f>
        <v>0.65802508595436859</v>
      </c>
      <c r="H19" s="159">
        <f>PLANTILLA!AL20</f>
        <v>0.52180389465451693</v>
      </c>
    </row>
    <row r="20" spans="1:8" x14ac:dyDescent="0.25">
      <c r="A20" t="str">
        <f>PLANTILLA!D7</f>
        <v>B. Pinczehelyi</v>
      </c>
      <c r="B20" s="159">
        <f>PLANTILLA!J7</f>
        <v>1.5719692630575592</v>
      </c>
      <c r="C20" s="265">
        <f>PLANTILLA!AC7</f>
        <v>1.1428571428571428</v>
      </c>
      <c r="D20" s="265">
        <f>PLANTILLA!AD7</f>
        <v>9.4</v>
      </c>
      <c r="E20" s="159">
        <f ca="1">PLANTILLA!AI7</f>
        <v>4.3535543107577848</v>
      </c>
      <c r="F20" s="159">
        <f ca="1">PLANTILLA!AJ7</f>
        <v>8.0245929348674778</v>
      </c>
      <c r="G20" s="159">
        <f ca="1">PLANTILLA!AK7</f>
        <v>0.54490039818746183</v>
      </c>
      <c r="H20" s="159">
        <f ca="1">PLANTILLA!AL7</f>
        <v>1.0320378484140293</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4">
        <f>25483+550584</f>
        <v>576067</v>
      </c>
      <c r="N6" s="464">
        <f>14126+59043</f>
        <v>73169</v>
      </c>
      <c r="O6" s="464">
        <v>21707</v>
      </c>
      <c r="P6" s="464">
        <f>22579+394156</f>
        <v>416735</v>
      </c>
      <c r="Q6" s="464">
        <v>21824</v>
      </c>
      <c r="R6" s="464">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08"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09"/>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0">
        <f>C13</f>
        <v>10943703</v>
      </c>
      <c r="Z14" s="711"/>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2" t="s">
        <v>93</v>
      </c>
      <c r="B26" s="712"/>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03" t="s">
        <v>94</v>
      </c>
      <c r="B27" s="703"/>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04" t="s">
        <v>95</v>
      </c>
      <c r="B28" s="704"/>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2" t="s">
        <v>96</v>
      </c>
      <c r="B29" s="712"/>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03" t="s">
        <v>97</v>
      </c>
      <c r="B30" s="703"/>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04" t="s">
        <v>98</v>
      </c>
      <c r="B31" s="704"/>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3"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5">
        <f>C23</f>
        <v>7143175</v>
      </c>
      <c r="Z34" s="706"/>
    </row>
    <row r="35" spans="1:26" x14ac:dyDescent="0.25">
      <c r="A35" s="57"/>
      <c r="B35" s="713"/>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3"/>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3"/>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3"/>
      <c r="C38" s="173" t="s">
        <v>665</v>
      </c>
      <c r="D38" s="175" t="s">
        <v>799</v>
      </c>
      <c r="E38" s="175" t="s">
        <v>803</v>
      </c>
      <c r="F38" s="175"/>
      <c r="G38" s="175" t="s">
        <v>821</v>
      </c>
      <c r="H38" s="175" t="s">
        <v>822</v>
      </c>
      <c r="I38" s="175" t="s">
        <v>823</v>
      </c>
      <c r="J38" s="175" t="s">
        <v>827</v>
      </c>
      <c r="K38" s="175" t="s">
        <v>833</v>
      </c>
      <c r="L38" s="175" t="s">
        <v>843</v>
      </c>
      <c r="M38" s="175"/>
      <c r="N38" s="175"/>
      <c r="O38" s="175"/>
      <c r="P38" s="175"/>
      <c r="Q38" s="175"/>
      <c r="R38" s="175" t="s">
        <v>849</v>
      </c>
      <c r="S38" s="175" t="s">
        <v>852</v>
      </c>
    </row>
    <row r="39" spans="1:26" x14ac:dyDescent="0.25">
      <c r="A39" s="57"/>
      <c r="B39" s="713"/>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3"/>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3"/>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9"/>
      <c r="G43" s="707"/>
      <c r="H43" s="707"/>
      <c r="I43" s="707"/>
      <c r="J43" s="707"/>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2"/>
      <c r="H46" s="702"/>
      <c r="I46" s="702"/>
      <c r="J46" s="702"/>
      <c r="M46" s="383"/>
    </row>
    <row r="47" spans="1:26" x14ac:dyDescent="0.25">
      <c r="E47" s="106"/>
      <c r="G47" s="590"/>
      <c r="H47" s="590"/>
      <c r="I47" s="590"/>
      <c r="J47" s="590"/>
    </row>
    <row r="48" spans="1:26" x14ac:dyDescent="0.25">
      <c r="G48" s="702"/>
      <c r="H48" s="702"/>
      <c r="I48" s="702"/>
      <c r="J48" s="702"/>
      <c r="P48" s="383"/>
    </row>
    <row r="49" spans="7:10" ht="15" customHeight="1" x14ac:dyDescent="0.25">
      <c r="G49" s="702"/>
      <c r="H49" s="702"/>
      <c r="I49" s="702"/>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4" t="s">
        <v>796</v>
      </c>
      <c r="C2" s="715"/>
      <c r="D2" s="715"/>
      <c r="E2" s="715"/>
      <c r="F2" s="715"/>
      <c r="G2" s="716"/>
      <c r="I2" s="725" t="s">
        <v>797</v>
      </c>
      <c r="J2" s="726"/>
      <c r="K2" s="726"/>
      <c r="L2" s="726"/>
      <c r="M2" s="726"/>
      <c r="N2" s="726"/>
      <c r="O2" s="726"/>
      <c r="P2" s="726"/>
      <c r="Q2" s="726"/>
      <c r="R2" s="726"/>
      <c r="S2" s="727"/>
    </row>
    <row r="3" spans="2:19" x14ac:dyDescent="0.25">
      <c r="B3" s="718" t="s">
        <v>102</v>
      </c>
      <c r="C3" s="719"/>
      <c r="D3" s="719"/>
      <c r="E3" s="719"/>
      <c r="F3" s="719"/>
      <c r="G3" s="720"/>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8" t="s">
        <v>113</v>
      </c>
      <c r="C4" s="729"/>
      <c r="D4" s="109"/>
      <c r="E4" s="730" t="s">
        <v>114</v>
      </c>
      <c r="F4" s="731"/>
      <c r="G4" s="109"/>
      <c r="I4" s="569" t="s">
        <v>115</v>
      </c>
      <c r="J4" s="110" t="s">
        <v>783</v>
      </c>
      <c r="K4" s="625">
        <f>11662680+53436</f>
        <v>11716116</v>
      </c>
      <c r="L4" s="625">
        <v>0</v>
      </c>
      <c r="M4" s="625">
        <v>0</v>
      </c>
      <c r="N4" s="625">
        <v>0</v>
      </c>
      <c r="O4" s="111">
        <f t="shared" ref="O4:O5" si="0">IF(M4=0,0,M4-K4)-N4</f>
        <v>0</v>
      </c>
      <c r="P4" s="111">
        <f t="shared" ref="P4:P5" si="1">IF(M4=0,K4,0)</f>
        <v>11716116</v>
      </c>
      <c r="Q4" s="570"/>
      <c r="R4" s="112">
        <v>42468</v>
      </c>
      <c r="S4" s="112"/>
    </row>
    <row r="5" spans="2:19" x14ac:dyDescent="0.25">
      <c r="B5" s="113"/>
      <c r="C5" s="114"/>
      <c r="D5" s="201"/>
      <c r="E5" s="113"/>
      <c r="F5" s="114"/>
      <c r="G5" s="115"/>
      <c r="I5" s="397" t="s">
        <v>491</v>
      </c>
      <c r="J5" s="398" t="s">
        <v>824</v>
      </c>
      <c r="K5" s="626">
        <v>0</v>
      </c>
      <c r="L5" s="626">
        <v>0</v>
      </c>
      <c r="M5" s="626">
        <v>2000</v>
      </c>
      <c r="N5" s="626">
        <v>650</v>
      </c>
      <c r="O5" s="399">
        <f t="shared" si="0"/>
        <v>1350</v>
      </c>
      <c r="P5" s="399">
        <f t="shared" si="1"/>
        <v>0</v>
      </c>
      <c r="Q5" s="400"/>
      <c r="R5" s="401"/>
      <c r="S5" s="401">
        <v>42562</v>
      </c>
    </row>
    <row r="6" spans="2:19" x14ac:dyDescent="0.25">
      <c r="B6" s="116" t="s">
        <v>116</v>
      </c>
      <c r="C6" s="117">
        <f>SUM(C7:C9)</f>
        <v>7660337</v>
      </c>
      <c r="D6" s="140">
        <f>C6/C34</f>
        <v>0.22958988498479441</v>
      </c>
      <c r="E6" s="116" t="s">
        <v>117</v>
      </c>
      <c r="F6" s="117">
        <f ca="1">F7+F8+F9</f>
        <v>20059687.014755197</v>
      </c>
      <c r="G6" s="118">
        <f ca="1">F6/$F$34</f>
        <v>0.60121391977254002</v>
      </c>
      <c r="I6" s="397" t="s">
        <v>491</v>
      </c>
      <c r="J6" s="398" t="s">
        <v>825</v>
      </c>
      <c r="K6" s="626">
        <v>0</v>
      </c>
      <c r="L6" s="626">
        <v>0</v>
      </c>
      <c r="M6" s="626">
        <v>59000</v>
      </c>
      <c r="N6" s="626">
        <v>650</v>
      </c>
      <c r="O6" s="399">
        <f t="shared" ref="O6" si="2">IF(M6=0,0,M6-K6)-N6</f>
        <v>58350</v>
      </c>
      <c r="P6" s="399">
        <f t="shared" ref="P6" si="3">IF(M6=0,K6,0)</f>
        <v>0</v>
      </c>
      <c r="Q6" s="400"/>
      <c r="R6" s="401"/>
      <c r="S6" s="401">
        <v>42530</v>
      </c>
    </row>
    <row r="7" spans="2:19" x14ac:dyDescent="0.25">
      <c r="B7" s="119" t="s">
        <v>84</v>
      </c>
      <c r="C7" s="120">
        <f>'A-P_T49'!C7+EconomiaT50!C16</f>
        <v>3684165</v>
      </c>
      <c r="D7" s="202">
        <f>C7/C34</f>
        <v>0.11041903490864764</v>
      </c>
      <c r="E7" s="203" t="s">
        <v>118</v>
      </c>
      <c r="F7" s="204">
        <v>300000</v>
      </c>
      <c r="G7" s="121">
        <f ca="1">F7/$F$34</f>
        <v>8.9913753788427742E-3</v>
      </c>
      <c r="I7" s="397" t="s">
        <v>491</v>
      </c>
      <c r="J7" s="398" t="s">
        <v>830</v>
      </c>
      <c r="K7" s="626">
        <v>0</v>
      </c>
      <c r="L7" s="626">
        <v>0</v>
      </c>
      <c r="M7" s="626">
        <v>261000</v>
      </c>
      <c r="N7" s="626">
        <f>M7-247950</f>
        <v>13050</v>
      </c>
      <c r="O7" s="399">
        <f t="shared" ref="O7" si="4">IF(M7=0,0,M7-K7)-N7</f>
        <v>247950</v>
      </c>
      <c r="P7" s="399">
        <f t="shared" ref="P7" si="5">IF(M7=0,K7,0)</f>
        <v>0</v>
      </c>
      <c r="Q7" s="400"/>
      <c r="R7" s="401"/>
      <c r="S7" s="401">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7" t="s">
        <v>491</v>
      </c>
      <c r="J8" s="398" t="s">
        <v>832</v>
      </c>
      <c r="K8" s="626">
        <v>0</v>
      </c>
      <c r="L8" s="626">
        <v>0</v>
      </c>
      <c r="M8" s="626">
        <v>84660</v>
      </c>
      <c r="N8" s="626">
        <f>M8-81427</f>
        <v>3233</v>
      </c>
      <c r="O8" s="399">
        <f t="shared" ref="O8" si="6">IF(M8=0,0,M8-K8)-N8</f>
        <v>81427</v>
      </c>
      <c r="P8" s="399">
        <f t="shared" ref="P8" si="7">IF(M8=0,K8,0)</f>
        <v>0</v>
      </c>
      <c r="Q8" s="400"/>
      <c r="R8" s="401"/>
      <c r="S8" s="401">
        <v>42578</v>
      </c>
    </row>
    <row r="9" spans="2:19" x14ac:dyDescent="0.25">
      <c r="B9" s="122" t="s">
        <v>119</v>
      </c>
      <c r="C9" s="123">
        <v>0</v>
      </c>
      <c r="D9" s="202">
        <f>C9/C34</f>
        <v>0</v>
      </c>
      <c r="E9" s="203" t="s">
        <v>798</v>
      </c>
      <c r="F9" s="204">
        <f>'A-P_T49'!F11+192375</f>
        <v>5746546</v>
      </c>
      <c r="G9" s="121">
        <f ca="1">F9/$F$34</f>
        <v>0.17223117405929145</v>
      </c>
      <c r="I9" s="397" t="s">
        <v>491</v>
      </c>
      <c r="J9" s="398" t="s">
        <v>846</v>
      </c>
      <c r="K9" s="626">
        <v>0</v>
      </c>
      <c r="L9" s="626">
        <v>0</v>
      </c>
      <c r="M9" s="626">
        <v>84000</v>
      </c>
      <c r="N9" s="626">
        <f>M9-79800</f>
        <v>4200</v>
      </c>
      <c r="O9" s="399">
        <f t="shared" ref="O9" si="8">IF(M9=0,0,M9-K9)-N9</f>
        <v>79800</v>
      </c>
      <c r="P9" s="399">
        <f t="shared" ref="P9" si="9">IF(M9=0,K9,0)</f>
        <v>0</v>
      </c>
      <c r="Q9" s="400"/>
      <c r="R9" s="401"/>
      <c r="S9" s="401">
        <v>42613</v>
      </c>
    </row>
    <row r="10" spans="2:19" x14ac:dyDescent="0.25">
      <c r="B10" s="124"/>
      <c r="C10" s="125"/>
      <c r="D10" s="140"/>
      <c r="E10" s="205"/>
      <c r="F10" s="125"/>
      <c r="G10" s="118"/>
      <c r="I10" s="397" t="s">
        <v>491</v>
      </c>
      <c r="J10" s="398" t="s">
        <v>847</v>
      </c>
      <c r="K10" s="626">
        <v>0</v>
      </c>
      <c r="L10" s="626">
        <v>0</v>
      </c>
      <c r="M10" s="626">
        <v>10000</v>
      </c>
      <c r="N10" s="626">
        <f>M10-9500</f>
        <v>500</v>
      </c>
      <c r="O10" s="399">
        <f t="shared" ref="O10" si="10">IF(M10=0,0,M10-K10)-N10</f>
        <v>9500</v>
      </c>
      <c r="P10" s="399">
        <f t="shared" ref="P10" si="11">IF(M10=0,K10,0)</f>
        <v>0</v>
      </c>
      <c r="Q10" s="400"/>
      <c r="R10" s="401"/>
      <c r="S10" s="401">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7" t="s">
        <v>491</v>
      </c>
      <c r="J11" s="398" t="s">
        <v>848</v>
      </c>
      <c r="K11" s="626">
        <v>0</v>
      </c>
      <c r="L11" s="626">
        <v>0</v>
      </c>
      <c r="M11" s="626">
        <v>116000</v>
      </c>
      <c r="N11" s="626">
        <f>M11-110200</f>
        <v>5800</v>
      </c>
      <c r="O11" s="399">
        <f t="shared" ref="O11:O12" si="13">IF(M11=0,0,M11-K11)-N11</f>
        <v>110200</v>
      </c>
      <c r="P11" s="399">
        <f t="shared" ref="P11:P12" si="14">IF(M11=0,K11,0)</f>
        <v>0</v>
      </c>
      <c r="Q11" s="400"/>
      <c r="R11" s="401"/>
      <c r="S11" s="401">
        <v>42608</v>
      </c>
    </row>
    <row r="12" spans="2:19" x14ac:dyDescent="0.25">
      <c r="B12" s="129" t="s">
        <v>121</v>
      </c>
      <c r="C12" s="130">
        <f>SUMIF(I4:I518,"S",$P$4:$P$518)</f>
        <v>0</v>
      </c>
      <c r="D12" s="202">
        <f>C12/C34</f>
        <v>0</v>
      </c>
      <c r="E12" s="49" t="s">
        <v>122</v>
      </c>
      <c r="F12" s="131">
        <f>SUMIF(I4:I518,"J",$O$4:$O$518)</f>
        <v>0</v>
      </c>
      <c r="G12" s="121">
        <f t="shared" ca="1" si="12"/>
        <v>0</v>
      </c>
      <c r="I12" s="569" t="s">
        <v>435</v>
      </c>
      <c r="J12" s="110" t="s">
        <v>851</v>
      </c>
      <c r="K12" s="625">
        <v>1916000</v>
      </c>
      <c r="L12" s="625">
        <v>372</v>
      </c>
      <c r="M12" s="625">
        <v>0</v>
      </c>
      <c r="N12" s="625">
        <v>0</v>
      </c>
      <c r="O12" s="111">
        <f t="shared" si="13"/>
        <v>0</v>
      </c>
      <c r="P12" s="111">
        <f t="shared" si="14"/>
        <v>1916000</v>
      </c>
      <c r="Q12" s="570"/>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1"/>
      <c r="J13" s="471"/>
      <c r="K13" s="471"/>
      <c r="L13" s="471"/>
      <c r="M13" s="471"/>
      <c r="N13" s="471"/>
      <c r="O13" s="471"/>
      <c r="P13" s="471"/>
      <c r="Q13" s="471"/>
      <c r="R13" s="471"/>
      <c r="S13" s="471"/>
    </row>
    <row r="14" spans="2:19" x14ac:dyDescent="0.25">
      <c r="B14" s="129" t="s">
        <v>99</v>
      </c>
      <c r="C14" s="130">
        <f>SUMIF(I4:I518,"E",$P$4:$P$518)</f>
        <v>0</v>
      </c>
      <c r="D14" s="202">
        <f>C14/C34</f>
        <v>0</v>
      </c>
      <c r="E14" s="49" t="s">
        <v>124</v>
      </c>
      <c r="F14" s="131">
        <f>SUMIF(I4:I518,"C",$O$4:$O$518)</f>
        <v>588577</v>
      </c>
      <c r="G14" s="121">
        <f t="shared" ca="1" si="12"/>
        <v>1.764038915451048E-2</v>
      </c>
      <c r="I14" s="471"/>
      <c r="J14" s="471"/>
      <c r="K14" s="471"/>
      <c r="L14" s="471"/>
      <c r="M14" s="471"/>
      <c r="N14" s="471"/>
      <c r="O14" s="471"/>
      <c r="P14" s="471"/>
      <c r="Q14" s="471"/>
      <c r="R14" s="471"/>
      <c r="S14" s="471"/>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9"/>
      <c r="G22" s="470"/>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1"/>
      <c r="C26" s="572"/>
      <c r="D26" s="573"/>
      <c r="E26" s="574"/>
      <c r="F26" s="575"/>
      <c r="G26" s="576"/>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2" t="s">
        <v>90</v>
      </c>
      <c r="F33" s="473">
        <f>EconomiaT50!C22</f>
        <v>0</v>
      </c>
      <c r="G33" s="474">
        <f t="shared" ca="1" si="15"/>
        <v>0</v>
      </c>
    </row>
    <row r="34" spans="2:8" ht="18.75" x14ac:dyDescent="0.3">
      <c r="B34" s="146" t="s">
        <v>27</v>
      </c>
      <c r="C34" s="147">
        <f>C27+C21+C17+C11+C6</f>
        <v>33365307.014755197</v>
      </c>
      <c r="D34" s="475">
        <f>C34/C34</f>
        <v>1</v>
      </c>
      <c r="E34" s="146" t="s">
        <v>27</v>
      </c>
      <c r="F34" s="147">
        <f ca="1">F27+F19+F11+F6+F23</f>
        <v>33365307.014755197</v>
      </c>
      <c r="G34" s="145">
        <f ca="1">F34/$F$34</f>
        <v>1</v>
      </c>
    </row>
    <row r="35" spans="2:8" x14ac:dyDescent="0.25">
      <c r="C35" s="106"/>
      <c r="D35" s="476"/>
      <c r="E35" s="477" t="s">
        <v>604</v>
      </c>
      <c r="F35" s="478">
        <f ca="1">F34-C34</f>
        <v>0</v>
      </c>
      <c r="G35" s="106"/>
    </row>
    <row r="36" spans="2:8" x14ac:dyDescent="0.25">
      <c r="C36" s="106"/>
      <c r="D36" s="106"/>
      <c r="F36" s="106"/>
      <c r="G36" s="106"/>
      <c r="H36" s="106"/>
    </row>
    <row r="37" spans="2:8" ht="15.75" x14ac:dyDescent="0.25">
      <c r="B37" s="479" t="s">
        <v>660</v>
      </c>
      <c r="C37" s="480">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8">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8">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826</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2" t="s">
        <v>147</v>
      </c>
      <c r="B6" s="150" t="s">
        <v>148</v>
      </c>
      <c r="C6" s="150" t="s">
        <v>149</v>
      </c>
      <c r="D6" s="2">
        <v>0</v>
      </c>
      <c r="E6" s="2">
        <v>22</v>
      </c>
      <c r="F6" s="2">
        <v>0</v>
      </c>
      <c r="G6" s="2">
        <v>0</v>
      </c>
      <c r="H6" s="155">
        <f>H4*2</f>
        <v>8.8000000000000007</v>
      </c>
      <c r="I6" s="2">
        <f t="shared" si="0"/>
        <v>35.200000000000003</v>
      </c>
    </row>
    <row r="7" spans="1:9" x14ac:dyDescent="0.25">
      <c r="A7" s="732"/>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88" t="s">
        <v>326</v>
      </c>
      <c r="B30" s="688"/>
      <c r="C30" s="688"/>
      <c r="D30" s="688"/>
      <c r="F30" s="240" t="s">
        <v>337</v>
      </c>
      <c r="G30" s="235"/>
      <c r="H30" s="228">
        <v>4210500</v>
      </c>
      <c r="I30" s="234"/>
      <c r="J30" s="106"/>
    </row>
    <row r="31" spans="1:14" x14ac:dyDescent="0.25">
      <c r="A31" s="689" t="s">
        <v>257</v>
      </c>
      <c r="B31" s="690" t="s">
        <v>327</v>
      </c>
      <c r="C31" s="690" t="s">
        <v>328</v>
      </c>
      <c r="D31" s="690" t="s">
        <v>329</v>
      </c>
      <c r="F31" s="241" t="s">
        <v>341</v>
      </c>
      <c r="G31" s="236"/>
      <c r="H31" s="228">
        <v>3750000</v>
      </c>
      <c r="I31" s="234"/>
      <c r="J31" s="106"/>
    </row>
    <row r="32" spans="1:14" x14ac:dyDescent="0.25">
      <c r="A32" s="689"/>
      <c r="B32" s="690"/>
      <c r="C32" s="690"/>
      <c r="D32" s="690"/>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2">
        <v>10</v>
      </c>
      <c r="E2" s="483">
        <f t="shared" ref="E2:E11" si="0">D2*$A$2</f>
        <v>35</v>
      </c>
      <c r="F2" s="483">
        <f t="shared" ref="F2:F11" si="1">D2*$A$3</f>
        <v>25</v>
      </c>
      <c r="G2" s="484">
        <f t="shared" ref="G2:G11" si="2">D2*$A$4</f>
        <v>0.33333333333333331</v>
      </c>
      <c r="H2" s="482">
        <f>48000*0.68</f>
        <v>32640.000000000004</v>
      </c>
      <c r="I2" s="485">
        <f t="shared" ref="I2:I11" si="3">H2/D2</f>
        <v>3264.0000000000005</v>
      </c>
      <c r="K2">
        <v>15</v>
      </c>
      <c r="L2" s="265">
        <f>K2*3.2</f>
        <v>48</v>
      </c>
      <c r="M2" s="265">
        <f>K2*$A$3</f>
        <v>37.5</v>
      </c>
      <c r="N2" s="406">
        <f>K2*$A$4</f>
        <v>0.5</v>
      </c>
      <c r="O2">
        <f>24000*3</f>
        <v>72000</v>
      </c>
      <c r="P2">
        <f>O2/K2</f>
        <v>4800</v>
      </c>
    </row>
    <row r="3" spans="1:16" x14ac:dyDescent="0.25">
      <c r="A3">
        <v>2.5</v>
      </c>
      <c r="B3" t="s">
        <v>673</v>
      </c>
      <c r="D3" s="482">
        <v>9</v>
      </c>
      <c r="E3" s="483">
        <f t="shared" si="0"/>
        <v>31.5</v>
      </c>
      <c r="F3" s="483">
        <f t="shared" si="1"/>
        <v>22.5</v>
      </c>
      <c r="G3" s="484">
        <f t="shared" si="2"/>
        <v>0.3</v>
      </c>
      <c r="H3" s="482">
        <f>36000*0.68</f>
        <v>24480</v>
      </c>
      <c r="I3" s="485">
        <f t="shared" si="3"/>
        <v>2720</v>
      </c>
      <c r="K3">
        <v>12</v>
      </c>
      <c r="L3" s="265">
        <f>K3*3.2</f>
        <v>38.400000000000006</v>
      </c>
      <c r="M3" s="265">
        <f>K3*$A$3</f>
        <v>30</v>
      </c>
      <c r="N3" s="406">
        <f>K3*$A$4</f>
        <v>0.4</v>
      </c>
      <c r="O3">
        <f>12000*3</f>
        <v>36000</v>
      </c>
      <c r="P3">
        <f>O3/K3</f>
        <v>3000</v>
      </c>
    </row>
    <row r="4" spans="1:16" x14ac:dyDescent="0.25">
      <c r="A4" s="481">
        <f>0.5/15</f>
        <v>3.3333333333333333E-2</v>
      </c>
      <c r="B4" t="s">
        <v>672</v>
      </c>
      <c r="D4" s="482">
        <v>8</v>
      </c>
      <c r="E4" s="483">
        <f t="shared" si="0"/>
        <v>28</v>
      </c>
      <c r="F4" s="483">
        <f t="shared" si="1"/>
        <v>20</v>
      </c>
      <c r="G4" s="484">
        <f t="shared" si="2"/>
        <v>0.26666666666666666</v>
      </c>
      <c r="H4" s="482">
        <f>24000*0.68</f>
        <v>16320.000000000002</v>
      </c>
      <c r="I4" s="485">
        <f t="shared" si="3"/>
        <v>2040.0000000000002</v>
      </c>
    </row>
    <row r="5" spans="1:16" x14ac:dyDescent="0.25">
      <c r="D5" s="482">
        <v>7</v>
      </c>
      <c r="E5" s="483">
        <f t="shared" si="0"/>
        <v>24.5</v>
      </c>
      <c r="F5" s="483">
        <f t="shared" si="1"/>
        <v>17.5</v>
      </c>
      <c r="G5" s="484">
        <f t="shared" si="2"/>
        <v>0.23333333333333334</v>
      </c>
      <c r="H5" s="482">
        <f>18000*0.68</f>
        <v>12240</v>
      </c>
      <c r="I5" s="485">
        <f t="shared" si="3"/>
        <v>1748.5714285714287</v>
      </c>
    </row>
    <row r="6" spans="1:16" x14ac:dyDescent="0.25">
      <c r="D6" s="482">
        <v>6</v>
      </c>
      <c r="E6" s="483">
        <f t="shared" si="0"/>
        <v>21</v>
      </c>
      <c r="F6" s="483">
        <f t="shared" si="1"/>
        <v>15</v>
      </c>
      <c r="G6" s="484">
        <f t="shared" si="2"/>
        <v>0.2</v>
      </c>
      <c r="H6" s="482">
        <f>12000*0.68</f>
        <v>8160.0000000000009</v>
      </c>
      <c r="I6" s="485">
        <f t="shared" si="3"/>
        <v>1360.0000000000002</v>
      </c>
    </row>
    <row r="7" spans="1:16" x14ac:dyDescent="0.25">
      <c r="D7" s="482">
        <v>5</v>
      </c>
      <c r="E7" s="483">
        <f t="shared" si="0"/>
        <v>17.5</v>
      </c>
      <c r="F7" s="483">
        <f t="shared" si="1"/>
        <v>12.5</v>
      </c>
      <c r="G7" s="484">
        <f t="shared" si="2"/>
        <v>0.16666666666666666</v>
      </c>
      <c r="H7" s="482">
        <f>24000*0.68</f>
        <v>16320.000000000002</v>
      </c>
      <c r="I7" s="485">
        <f t="shared" si="3"/>
        <v>3264.0000000000005</v>
      </c>
      <c r="L7" s="265"/>
    </row>
    <row r="8" spans="1:16" x14ac:dyDescent="0.25">
      <c r="D8" s="482">
        <v>4</v>
      </c>
      <c r="E8" s="483">
        <f t="shared" si="0"/>
        <v>14</v>
      </c>
      <c r="F8" s="483">
        <f t="shared" si="1"/>
        <v>10</v>
      </c>
      <c r="G8" s="484">
        <f t="shared" si="2"/>
        <v>0.13333333333333333</v>
      </c>
      <c r="H8" s="482">
        <f>12000*0.68</f>
        <v>8160.0000000000009</v>
      </c>
      <c r="I8" s="485">
        <f t="shared" si="3"/>
        <v>2040.0000000000002</v>
      </c>
    </row>
    <row r="9" spans="1:16" x14ac:dyDescent="0.25">
      <c r="D9" s="482">
        <v>3</v>
      </c>
      <c r="E9" s="483">
        <f t="shared" si="0"/>
        <v>10.5</v>
      </c>
      <c r="F9" s="483">
        <f t="shared" si="1"/>
        <v>7.5</v>
      </c>
      <c r="G9" s="484">
        <f t="shared" si="2"/>
        <v>0.1</v>
      </c>
      <c r="H9" s="482">
        <f>6000*0.68</f>
        <v>4080.0000000000005</v>
      </c>
      <c r="I9" s="485">
        <f t="shared" si="3"/>
        <v>1360.0000000000002</v>
      </c>
    </row>
    <row r="10" spans="1:16" x14ac:dyDescent="0.25">
      <c r="D10" s="482">
        <v>2</v>
      </c>
      <c r="E10" s="483">
        <f t="shared" si="0"/>
        <v>7</v>
      </c>
      <c r="F10" s="483">
        <f t="shared" si="1"/>
        <v>5</v>
      </c>
      <c r="G10" s="484">
        <f t="shared" si="2"/>
        <v>6.6666666666666666E-2</v>
      </c>
      <c r="H10" s="482">
        <f>3000*0.68</f>
        <v>2040.0000000000002</v>
      </c>
      <c r="I10" s="485">
        <f t="shared" si="3"/>
        <v>1020.0000000000001</v>
      </c>
    </row>
    <row r="11" spans="1:16" x14ac:dyDescent="0.25">
      <c r="D11" s="482">
        <v>1</v>
      </c>
      <c r="E11" s="483">
        <f t="shared" si="0"/>
        <v>3.5</v>
      </c>
      <c r="F11" s="483">
        <f t="shared" si="1"/>
        <v>2.5</v>
      </c>
      <c r="G11" s="484">
        <f t="shared" si="2"/>
        <v>3.3333333333333333E-2</v>
      </c>
      <c r="H11" s="482">
        <f>1500*0.68</f>
        <v>1020.0000000000001</v>
      </c>
      <c r="I11" s="485">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18.100000000000001</v>
      </c>
      <c r="E3" s="354">
        <f>D3</f>
        <v>18.100000000000001</v>
      </c>
      <c r="F3" s="354">
        <f>E3+0.1</f>
        <v>18.200000000000003</v>
      </c>
      <c r="G3" s="354">
        <f>C3</f>
        <v>6</v>
      </c>
      <c r="H3" s="354">
        <f t="shared" ref="H3" si="0">G3+0.99</f>
        <v>6.99</v>
      </c>
      <c r="I3" s="358">
        <f t="shared" ref="I3:J3" si="1">G3*G3*E3</f>
        <v>651.6</v>
      </c>
      <c r="J3" s="358">
        <f t="shared" si="1"/>
        <v>889.25382000000013</v>
      </c>
      <c r="K3" s="355"/>
      <c r="N3" s="4" t="s">
        <v>519</v>
      </c>
      <c r="O3" t="str">
        <f>A3</f>
        <v>D. Gehmacher</v>
      </c>
      <c r="P3" s="356">
        <f>E3</f>
        <v>18.100000000000001</v>
      </c>
      <c r="Q3" s="356">
        <f t="shared" ref="Q3:S3" si="2">F3</f>
        <v>18.200000000000003</v>
      </c>
      <c r="R3" s="356">
        <f t="shared" si="2"/>
        <v>6</v>
      </c>
      <c r="S3" s="356">
        <f t="shared" si="2"/>
        <v>6.99</v>
      </c>
      <c r="U3" s="4" t="s">
        <v>519</v>
      </c>
      <c r="V3" s="179" t="str">
        <f>O3</f>
        <v>D. Gehmacher</v>
      </c>
      <c r="W3" s="356">
        <f>P3</f>
        <v>18.100000000000001</v>
      </c>
      <c r="X3" s="356">
        <f t="shared" ref="X3:Z3" si="3">Q3</f>
        <v>18.200000000000003</v>
      </c>
      <c r="Y3" s="356">
        <f t="shared" si="3"/>
        <v>6</v>
      </c>
      <c r="Z3" s="356">
        <f t="shared" si="3"/>
        <v>6.99</v>
      </c>
    </row>
    <row r="4" spans="1:26" x14ac:dyDescent="0.25">
      <c r="A4" s="359" t="str">
        <f>PLANTILLA!D6</f>
        <v>T. Hammond</v>
      </c>
      <c r="B4" s="165">
        <f>PLANTILLA!E6</f>
        <v>34</v>
      </c>
      <c r="C4" s="165">
        <f>PLANTILLA!H6</f>
        <v>3</v>
      </c>
      <c r="D4" s="361">
        <f>PLANTILLA!I6</f>
        <v>7.8</v>
      </c>
      <c r="E4" s="354">
        <f t="shared" ref="E4:E22" si="4">D4</f>
        <v>7.8</v>
      </c>
      <c r="F4" s="354">
        <f t="shared" ref="F4:F22" si="5">E4+0.1</f>
        <v>7.8999999999999995</v>
      </c>
      <c r="G4" s="354">
        <f t="shared" ref="G4:G22" si="6">C4</f>
        <v>3</v>
      </c>
      <c r="H4" s="354">
        <f t="shared" ref="H4:H22" si="7">G4+0.99</f>
        <v>3.99</v>
      </c>
      <c r="I4" s="358">
        <f t="shared" ref="I4:I22" si="8">G4*G4*E4</f>
        <v>70.2</v>
      </c>
      <c r="J4" s="358">
        <f t="shared" ref="J4:J22" si="9">H4*H4*F4</f>
        <v>125.76879000000001</v>
      </c>
      <c r="K4" s="355"/>
      <c r="O4" t="str">
        <f>A7</f>
        <v>E. Toney</v>
      </c>
      <c r="P4" s="356">
        <f>E7</f>
        <v>12.2</v>
      </c>
      <c r="Q4" s="356">
        <f t="shared" ref="Q4:S4" si="10">F7</f>
        <v>12.299999999999999</v>
      </c>
      <c r="R4" s="356">
        <f t="shared" si="10"/>
        <v>4</v>
      </c>
      <c r="S4" s="356">
        <f t="shared" si="10"/>
        <v>4.99</v>
      </c>
      <c r="V4" s="179" t="str">
        <f t="shared" ref="V4:V13" si="11">O4</f>
        <v>E. Toney</v>
      </c>
      <c r="W4" s="356">
        <f t="shared" ref="W4:W13" si="12">P4</f>
        <v>12.2</v>
      </c>
      <c r="X4" s="356">
        <f t="shared" ref="X4:X13" si="13">Q4</f>
        <v>12.299999999999999</v>
      </c>
      <c r="Y4" s="356">
        <f t="shared" ref="Y4:Y13" si="14">R4</f>
        <v>4</v>
      </c>
      <c r="Z4" s="356">
        <f t="shared" ref="Z4:Z13" si="15">S4</f>
        <v>4.99</v>
      </c>
    </row>
    <row r="5" spans="1:26" x14ac:dyDescent="0.25">
      <c r="A5" s="359" t="str">
        <f>PLANTILLA!D7</f>
        <v>B. Pinczehelyi</v>
      </c>
      <c r="B5" s="165">
        <f>PLANTILLA!E7</f>
        <v>30</v>
      </c>
      <c r="C5" s="165">
        <f>PLANTILLA!H7</f>
        <v>2</v>
      </c>
      <c r="D5" s="361">
        <f>PLANTILLA!I7</f>
        <v>14.1</v>
      </c>
      <c r="E5" s="354">
        <f t="shared" si="4"/>
        <v>14.1</v>
      </c>
      <c r="F5" s="354">
        <f t="shared" si="5"/>
        <v>14.2</v>
      </c>
      <c r="G5" s="354">
        <f t="shared" si="6"/>
        <v>2</v>
      </c>
      <c r="H5" s="354">
        <f t="shared" si="7"/>
        <v>2.99</v>
      </c>
      <c r="I5" s="358">
        <f t="shared" si="8"/>
        <v>56.4</v>
      </c>
      <c r="J5" s="358">
        <f t="shared" si="9"/>
        <v>126.94942</v>
      </c>
      <c r="K5" s="355"/>
      <c r="L5" s="178"/>
      <c r="O5" t="str">
        <f>A15</f>
        <v>E. Gross</v>
      </c>
      <c r="P5" s="356">
        <f>E15</f>
        <v>9.1</v>
      </c>
      <c r="Q5" s="356">
        <f t="shared" ref="Q5:S5" si="16">F15</f>
        <v>9.1999999999999993</v>
      </c>
      <c r="R5" s="356">
        <f t="shared" si="16"/>
        <v>3</v>
      </c>
      <c r="S5" s="356">
        <f t="shared" si="16"/>
        <v>3.99</v>
      </c>
      <c r="V5" s="179" t="str">
        <f t="shared" si="11"/>
        <v>E. Gross</v>
      </c>
      <c r="W5" s="356">
        <f t="shared" si="12"/>
        <v>9.1</v>
      </c>
      <c r="X5" s="356">
        <f t="shared" si="13"/>
        <v>9.1999999999999993</v>
      </c>
      <c r="Y5" s="356">
        <f t="shared" si="14"/>
        <v>3</v>
      </c>
      <c r="Z5" s="356">
        <f t="shared" si="15"/>
        <v>3.99</v>
      </c>
    </row>
    <row r="6" spans="1:26" x14ac:dyDescent="0.25">
      <c r="A6" s="359" t="str">
        <f>PLANTILLA!D8</f>
        <v>D. Toh</v>
      </c>
      <c r="B6" s="165">
        <f>PLANTILLA!E8</f>
        <v>31</v>
      </c>
      <c r="C6" s="165">
        <f>PLANTILLA!H8</f>
        <v>4</v>
      </c>
      <c r="D6" s="361">
        <f>PLANTILLA!I8</f>
        <v>7.5</v>
      </c>
      <c r="E6" s="354">
        <f t="shared" si="4"/>
        <v>7.5</v>
      </c>
      <c r="F6" s="354">
        <f t="shared" si="5"/>
        <v>7.6</v>
      </c>
      <c r="G6" s="354">
        <f t="shared" si="6"/>
        <v>4</v>
      </c>
      <c r="H6" s="354">
        <f t="shared" si="7"/>
        <v>4.99</v>
      </c>
      <c r="I6" s="358">
        <f t="shared" si="8"/>
        <v>120</v>
      </c>
      <c r="J6" s="358">
        <f t="shared" si="9"/>
        <v>189.24075999999999</v>
      </c>
      <c r="K6" s="355"/>
      <c r="O6" t="str">
        <f>A5</f>
        <v>B. Pinczehelyi</v>
      </c>
      <c r="P6" s="356">
        <f>E5</f>
        <v>14.1</v>
      </c>
      <c r="Q6" s="356">
        <f t="shared" ref="Q6:S6" si="17">F5</f>
        <v>14.2</v>
      </c>
      <c r="R6" s="356">
        <f t="shared" si="17"/>
        <v>2</v>
      </c>
      <c r="S6" s="356">
        <f t="shared" si="17"/>
        <v>2.99</v>
      </c>
      <c r="V6" s="179" t="str">
        <f t="shared" si="11"/>
        <v>B. Pinczehelyi</v>
      </c>
      <c r="W6" s="356">
        <f t="shared" si="12"/>
        <v>14.1</v>
      </c>
      <c r="X6" s="356">
        <f t="shared" si="13"/>
        <v>14.2</v>
      </c>
      <c r="Y6" s="356">
        <f t="shared" si="14"/>
        <v>2</v>
      </c>
      <c r="Z6" s="356">
        <f t="shared" si="15"/>
        <v>2.99</v>
      </c>
    </row>
    <row r="7" spans="1:26" x14ac:dyDescent="0.25">
      <c r="A7" s="359" t="str">
        <f>PLANTILLA!D9</f>
        <v>E. Toney</v>
      </c>
      <c r="B7" s="165">
        <f>PLANTILLA!E9</f>
        <v>31</v>
      </c>
      <c r="C7" s="165">
        <f>PLANTILLA!H9</f>
        <v>4</v>
      </c>
      <c r="D7" s="361">
        <f>PLANTILLA!I9</f>
        <v>12.2</v>
      </c>
      <c r="E7" s="354">
        <f t="shared" si="4"/>
        <v>12.2</v>
      </c>
      <c r="F7" s="354">
        <f t="shared" si="5"/>
        <v>12.299999999999999</v>
      </c>
      <c r="G7" s="354">
        <f t="shared" si="6"/>
        <v>4</v>
      </c>
      <c r="H7" s="354">
        <f t="shared" si="7"/>
        <v>4.99</v>
      </c>
      <c r="I7" s="358">
        <f t="shared" si="8"/>
        <v>195.2</v>
      </c>
      <c r="J7" s="358">
        <f t="shared" si="9"/>
        <v>306.27123</v>
      </c>
      <c r="K7" s="355"/>
      <c r="O7" t="str">
        <f>A10</f>
        <v>E. Romweber</v>
      </c>
      <c r="P7" s="356">
        <f>E10</f>
        <v>12.3</v>
      </c>
      <c r="Q7" s="356">
        <f t="shared" ref="Q7:S7" si="18">F10</f>
        <v>12.4</v>
      </c>
      <c r="R7" s="356">
        <f t="shared" si="18"/>
        <v>0</v>
      </c>
      <c r="S7" s="356">
        <f t="shared" si="18"/>
        <v>0.99</v>
      </c>
      <c r="V7" s="179" t="str">
        <f t="shared" si="11"/>
        <v>E. Romweber</v>
      </c>
      <c r="W7" s="356">
        <f t="shared" si="12"/>
        <v>12.3</v>
      </c>
      <c r="X7" s="356">
        <f t="shared" si="13"/>
        <v>12.4</v>
      </c>
      <c r="Y7" s="356">
        <f t="shared" si="14"/>
        <v>0</v>
      </c>
      <c r="Z7" s="356">
        <f t="shared" si="15"/>
        <v>0.99</v>
      </c>
    </row>
    <row r="8" spans="1:26" x14ac:dyDescent="0.25">
      <c r="A8" s="359" t="str">
        <f>PLANTILLA!D10</f>
        <v>B. Bartolache</v>
      </c>
      <c r="B8" s="165">
        <f>PLANTILLA!E10</f>
        <v>31</v>
      </c>
      <c r="C8" s="165">
        <f>PLANTILLA!H10</f>
        <v>3</v>
      </c>
      <c r="D8" s="361">
        <f>PLANTILLA!I10</f>
        <v>9.3000000000000007</v>
      </c>
      <c r="E8" s="354">
        <f t="shared" si="4"/>
        <v>9.3000000000000007</v>
      </c>
      <c r="F8" s="354">
        <f t="shared" si="5"/>
        <v>9.4</v>
      </c>
      <c r="G8" s="354">
        <f t="shared" si="6"/>
        <v>3</v>
      </c>
      <c r="H8" s="354">
        <f t="shared" si="7"/>
        <v>3.99</v>
      </c>
      <c r="I8" s="358">
        <f t="shared" si="8"/>
        <v>83.7</v>
      </c>
      <c r="J8" s="358">
        <f t="shared" si="9"/>
        <v>149.64894000000001</v>
      </c>
      <c r="K8" s="355"/>
      <c r="O8" t="str">
        <f>A13</f>
        <v>S. Buschelman</v>
      </c>
      <c r="P8" s="356">
        <f>E13</f>
        <v>10.4</v>
      </c>
      <c r="Q8" s="356">
        <f t="shared" ref="Q8:S8" si="19">F13</f>
        <v>10.5</v>
      </c>
      <c r="R8" s="356">
        <f t="shared" si="19"/>
        <v>3</v>
      </c>
      <c r="S8" s="356">
        <f t="shared" si="19"/>
        <v>3.99</v>
      </c>
      <c r="V8" s="179" t="str">
        <f t="shared" si="11"/>
        <v>S. Buschelman</v>
      </c>
      <c r="W8" s="356">
        <f t="shared" si="12"/>
        <v>10.4</v>
      </c>
      <c r="X8" s="356">
        <f t="shared" si="13"/>
        <v>10.5</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v>
      </c>
      <c r="Q9" s="356">
        <f t="shared" ref="Q9:S9" si="20">F16</f>
        <v>8.1999999999999993</v>
      </c>
      <c r="R9" s="356">
        <f t="shared" si="20"/>
        <v>0</v>
      </c>
      <c r="S9" s="356">
        <f t="shared" si="20"/>
        <v>0.99</v>
      </c>
      <c r="V9" s="179" t="str">
        <f t="shared" si="11"/>
        <v>L. Bauman</v>
      </c>
      <c r="W9" s="356">
        <f t="shared" si="12"/>
        <v>8.1</v>
      </c>
      <c r="X9" s="356">
        <f t="shared" si="13"/>
        <v>8.1999999999999993</v>
      </c>
      <c r="Y9" s="356">
        <f t="shared" si="14"/>
        <v>0</v>
      </c>
      <c r="Z9" s="356">
        <f t="shared" si="15"/>
        <v>0.99</v>
      </c>
    </row>
    <row r="10" spans="1:26" x14ac:dyDescent="0.25">
      <c r="A10" s="359" t="str">
        <f>PLANTILLA!D12</f>
        <v>E. Romweber</v>
      </c>
      <c r="B10" s="165">
        <f>PLANTILLA!E12</f>
        <v>30</v>
      </c>
      <c r="C10" s="165">
        <f>PLANTILLA!H12</f>
        <v>0</v>
      </c>
      <c r="D10" s="361">
        <f>PLANTILLA!I12</f>
        <v>12.3</v>
      </c>
      <c r="E10" s="354">
        <f t="shared" si="4"/>
        <v>12.3</v>
      </c>
      <c r="F10" s="354">
        <f t="shared" si="5"/>
        <v>12.4</v>
      </c>
      <c r="G10" s="354">
        <f t="shared" si="6"/>
        <v>0</v>
      </c>
      <c r="H10" s="354">
        <f t="shared" si="7"/>
        <v>0.99</v>
      </c>
      <c r="I10" s="358">
        <f t="shared" si="8"/>
        <v>0</v>
      </c>
      <c r="J10" s="358">
        <f t="shared" si="9"/>
        <v>12.15324</v>
      </c>
      <c r="K10" s="355"/>
      <c r="O10" t="str">
        <f>A14</f>
        <v>C. Rojas</v>
      </c>
      <c r="P10" s="356">
        <f>E14</f>
        <v>11</v>
      </c>
      <c r="Q10" s="356">
        <f t="shared" ref="Q10:S10" si="21">F14</f>
        <v>11.1</v>
      </c>
      <c r="R10" s="356">
        <f t="shared" si="21"/>
        <v>4</v>
      </c>
      <c r="S10" s="356">
        <f t="shared" si="21"/>
        <v>4.99</v>
      </c>
      <c r="V10" s="179" t="str">
        <f t="shared" si="11"/>
        <v>C. Rojas</v>
      </c>
      <c r="W10" s="356">
        <f t="shared" si="12"/>
        <v>11</v>
      </c>
      <c r="X10" s="356">
        <f t="shared" si="13"/>
        <v>11.1</v>
      </c>
      <c r="Y10" s="356">
        <f t="shared" si="14"/>
        <v>4</v>
      </c>
      <c r="Z10" s="356">
        <f t="shared" si="15"/>
        <v>4.99</v>
      </c>
    </row>
    <row r="11" spans="1:26" x14ac:dyDescent="0.25">
      <c r="A11" s="359" t="str">
        <f>PLANTILLA!D13</f>
        <v>K. Helms</v>
      </c>
      <c r="B11" s="165">
        <f>PLANTILLA!E13</f>
        <v>30</v>
      </c>
      <c r="C11" s="165">
        <f>PLANTILLA!H13</f>
        <v>2</v>
      </c>
      <c r="D11" s="361">
        <f>PLANTILLA!I13</f>
        <v>10.3</v>
      </c>
      <c r="E11" s="354">
        <f t="shared" si="4"/>
        <v>10.3</v>
      </c>
      <c r="F11" s="354">
        <f t="shared" si="5"/>
        <v>10.4</v>
      </c>
      <c r="G11" s="354">
        <f t="shared" si="6"/>
        <v>2</v>
      </c>
      <c r="H11" s="354">
        <f t="shared" si="7"/>
        <v>2.99</v>
      </c>
      <c r="I11" s="358">
        <f t="shared" si="8"/>
        <v>41.2</v>
      </c>
      <c r="J11" s="358">
        <f t="shared" si="9"/>
        <v>92.977040000000017</v>
      </c>
      <c r="K11" s="355"/>
      <c r="O11" t="str">
        <f>A11</f>
        <v>K. Helms</v>
      </c>
      <c r="P11" s="356">
        <f>E11</f>
        <v>10.3</v>
      </c>
      <c r="Q11" s="356">
        <f t="shared" ref="Q11:S11" si="22">F11</f>
        <v>10.4</v>
      </c>
      <c r="R11" s="356">
        <f t="shared" si="22"/>
        <v>2</v>
      </c>
      <c r="S11" s="356">
        <f t="shared" si="22"/>
        <v>2.99</v>
      </c>
      <c r="V11" s="179" t="str">
        <f t="shared" si="11"/>
        <v>K. Helms</v>
      </c>
      <c r="W11" s="356">
        <f t="shared" si="12"/>
        <v>10.3</v>
      </c>
      <c r="X11" s="356">
        <f t="shared" si="13"/>
        <v>10.4</v>
      </c>
      <c r="Y11" s="356">
        <f t="shared" si="14"/>
        <v>2</v>
      </c>
      <c r="Z11" s="356">
        <f t="shared" si="15"/>
        <v>2.99</v>
      </c>
    </row>
    <row r="12" spans="1:26" x14ac:dyDescent="0.25">
      <c r="A12" s="359" t="str">
        <f>PLANTILLA!D14</f>
        <v>S. Zobbe</v>
      </c>
      <c r="B12" s="165">
        <f>PLANTILLA!E14</f>
        <v>27</v>
      </c>
      <c r="C12" s="165">
        <f>PLANTILLA!H14</f>
        <v>2</v>
      </c>
      <c r="D12" s="361">
        <f>PLANTILLA!I14</f>
        <v>8.6999999999999993</v>
      </c>
      <c r="E12" s="354">
        <f t="shared" si="4"/>
        <v>8.6999999999999993</v>
      </c>
      <c r="F12" s="354">
        <f t="shared" si="5"/>
        <v>8.7999999999999989</v>
      </c>
      <c r="G12" s="354">
        <f t="shared" si="6"/>
        <v>2</v>
      </c>
      <c r="H12" s="354">
        <f t="shared" si="7"/>
        <v>2.99</v>
      </c>
      <c r="I12" s="358">
        <f t="shared" si="8"/>
        <v>34.799999999999997</v>
      </c>
      <c r="J12" s="358">
        <f t="shared" si="9"/>
        <v>78.672880000000006</v>
      </c>
      <c r="K12" s="355"/>
      <c r="O12" t="str">
        <f>A21</f>
        <v>L. Calosso</v>
      </c>
      <c r="P12" s="356">
        <f>E21</f>
        <v>10.199999999999999</v>
      </c>
      <c r="Q12" s="356">
        <f t="shared" ref="Q12:S12" si="23">F21</f>
        <v>10.299999999999999</v>
      </c>
      <c r="R12" s="356">
        <f t="shared" si="23"/>
        <v>3</v>
      </c>
      <c r="S12" s="356">
        <f t="shared" si="23"/>
        <v>3.99</v>
      </c>
      <c r="V12" s="179" t="str">
        <f t="shared" si="11"/>
        <v>L. Calosso</v>
      </c>
      <c r="W12" s="356">
        <f t="shared" si="12"/>
        <v>10.199999999999999</v>
      </c>
      <c r="X12" s="356">
        <f t="shared" si="13"/>
        <v>10.299999999999999</v>
      </c>
      <c r="Y12" s="356">
        <f t="shared" si="14"/>
        <v>3</v>
      </c>
      <c r="Z12" s="356">
        <f t="shared" si="15"/>
        <v>3.99</v>
      </c>
    </row>
    <row r="13" spans="1:26" x14ac:dyDescent="0.25">
      <c r="A13" s="359" t="str">
        <f>PLANTILLA!D15</f>
        <v>S. Buschelman</v>
      </c>
      <c r="B13" s="165">
        <f>PLANTILLA!E15</f>
        <v>29</v>
      </c>
      <c r="C13" s="165">
        <f>PLANTILLA!H15</f>
        <v>3</v>
      </c>
      <c r="D13" s="361">
        <f>PLANTILLA!I15</f>
        <v>10.4</v>
      </c>
      <c r="E13" s="354">
        <f t="shared" si="4"/>
        <v>10.4</v>
      </c>
      <c r="F13" s="354">
        <f t="shared" si="5"/>
        <v>10.5</v>
      </c>
      <c r="G13" s="354">
        <f t="shared" si="6"/>
        <v>3</v>
      </c>
      <c r="H13" s="354">
        <f t="shared" si="7"/>
        <v>3.99</v>
      </c>
      <c r="I13" s="358">
        <f t="shared" si="8"/>
        <v>93.600000000000009</v>
      </c>
      <c r="J13" s="358">
        <f t="shared" si="9"/>
        <v>167.16105000000002</v>
      </c>
      <c r="K13" s="355"/>
      <c r="O13" t="str">
        <f>A20</f>
        <v>J. Limon</v>
      </c>
      <c r="P13" s="356">
        <f>E20</f>
        <v>10</v>
      </c>
      <c r="Q13" s="356">
        <f t="shared" ref="Q13:S13" si="24">F20</f>
        <v>10.1</v>
      </c>
      <c r="R13" s="356">
        <f t="shared" si="24"/>
        <v>3</v>
      </c>
      <c r="S13" s="356">
        <f t="shared" si="24"/>
        <v>3.99</v>
      </c>
      <c r="V13" s="179" t="str">
        <f t="shared" si="11"/>
        <v>J. Limon</v>
      </c>
      <c r="W13" s="356">
        <f t="shared" si="12"/>
        <v>10</v>
      </c>
      <c r="X13" s="356">
        <f t="shared" si="13"/>
        <v>10.1</v>
      </c>
      <c r="Y13" s="356">
        <f t="shared" si="14"/>
        <v>3</v>
      </c>
      <c r="Z13" s="356">
        <f t="shared" si="15"/>
        <v>3.99</v>
      </c>
    </row>
    <row r="14" spans="1:26" x14ac:dyDescent="0.25">
      <c r="A14" s="359" t="str">
        <f>PLANTILLA!D16</f>
        <v>C. Rojas</v>
      </c>
      <c r="B14" s="165">
        <f>PLANTILLA!E16</f>
        <v>31</v>
      </c>
      <c r="C14" s="165">
        <f>PLANTILLA!H16</f>
        <v>4</v>
      </c>
      <c r="D14" s="361">
        <f>PLANTILLA!I16</f>
        <v>11</v>
      </c>
      <c r="E14" s="354">
        <f t="shared" si="4"/>
        <v>11</v>
      </c>
      <c r="F14" s="354">
        <f t="shared" si="5"/>
        <v>11.1</v>
      </c>
      <c r="G14" s="354">
        <f t="shared" si="6"/>
        <v>4</v>
      </c>
      <c r="H14" s="354">
        <f t="shared" si="7"/>
        <v>4.99</v>
      </c>
      <c r="I14" s="358">
        <f t="shared" si="8"/>
        <v>176</v>
      </c>
      <c r="J14" s="358">
        <f t="shared" si="9"/>
        <v>276.39111000000003</v>
      </c>
      <c r="K14" s="355"/>
      <c r="P14" s="159">
        <f>SUM(P4:P13)/10</f>
        <v>10.77</v>
      </c>
      <c r="Q14" s="159">
        <f>SUM(Q4:Q13)/10</f>
        <v>10.87</v>
      </c>
      <c r="R14" s="159"/>
      <c r="S14" s="159"/>
      <c r="W14" s="159">
        <f>SUM(W4:W13)/10</f>
        <v>10.77</v>
      </c>
      <c r="X14" s="159">
        <f>SUM(X4:X13)/10</f>
        <v>10.87</v>
      </c>
      <c r="Y14" s="159"/>
      <c r="Z14" s="159"/>
    </row>
    <row r="15" spans="1:26" x14ac:dyDescent="0.25">
      <c r="A15" s="359" t="str">
        <f>PLANTILLA!D17</f>
        <v>E. Gross</v>
      </c>
      <c r="B15" s="165">
        <f>PLANTILLA!E17</f>
        <v>30</v>
      </c>
      <c r="C15" s="165">
        <f>PLANTILLA!H17</f>
        <v>3</v>
      </c>
      <c r="D15" s="361">
        <f>PLANTILLA!I17</f>
        <v>9.1</v>
      </c>
      <c r="E15" s="354">
        <f t="shared" si="4"/>
        <v>9.1</v>
      </c>
      <c r="F15" s="354">
        <f t="shared" si="5"/>
        <v>9.1999999999999993</v>
      </c>
      <c r="G15" s="354">
        <f t="shared" si="6"/>
        <v>3</v>
      </c>
      <c r="H15" s="354">
        <f t="shared" si="7"/>
        <v>3.99</v>
      </c>
      <c r="I15" s="358">
        <f t="shared" si="8"/>
        <v>81.899999999999991</v>
      </c>
      <c r="J15" s="358">
        <f t="shared" si="9"/>
        <v>146.46492000000001</v>
      </c>
      <c r="K15" s="355"/>
    </row>
    <row r="16" spans="1:26" x14ac:dyDescent="0.25">
      <c r="A16" s="359" t="str">
        <f>PLANTILLA!D18</f>
        <v>L. Bauman</v>
      </c>
      <c r="B16" s="165">
        <f>PLANTILLA!E18</f>
        <v>30</v>
      </c>
      <c r="C16" s="165">
        <f>PLANTILLA!H18</f>
        <v>0</v>
      </c>
      <c r="D16" s="361">
        <f>PLANTILLA!I18</f>
        <v>8.1</v>
      </c>
      <c r="E16" s="354">
        <f t="shared" si="4"/>
        <v>8.1</v>
      </c>
      <c r="F16" s="354">
        <f t="shared" si="5"/>
        <v>8.1999999999999993</v>
      </c>
      <c r="G16" s="354">
        <f t="shared" si="6"/>
        <v>0</v>
      </c>
      <c r="H16" s="354">
        <f t="shared" si="7"/>
        <v>0.99</v>
      </c>
      <c r="I16" s="358">
        <f t="shared" si="8"/>
        <v>0</v>
      </c>
      <c r="J16" s="358">
        <f t="shared" si="9"/>
        <v>8.0368199999999987</v>
      </c>
      <c r="K16" s="355"/>
      <c r="L16" s="184" t="s">
        <v>520</v>
      </c>
      <c r="O16" t="s">
        <v>521</v>
      </c>
      <c r="P16" s="265">
        <f>SUM(P3:P13)</f>
        <v>125.8</v>
      </c>
      <c r="Q16" s="265">
        <f>SUM(Q3:Q13)</f>
        <v>126.9</v>
      </c>
      <c r="R16" s="265"/>
      <c r="V16" s="179" t="s">
        <v>521</v>
      </c>
      <c r="W16" s="265">
        <f>SUM(W3:W13)</f>
        <v>125.8</v>
      </c>
      <c r="X16" s="265">
        <f>SUM(X3:X13)</f>
        <v>126.9</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875</v>
      </c>
      <c r="P17" s="159">
        <f>P16/16.5</f>
        <v>7.624242424242424</v>
      </c>
      <c r="Q17" s="159">
        <f>Q16/16.5</f>
        <v>7.6909090909090914</v>
      </c>
      <c r="R17" s="159"/>
      <c r="V17" s="179" t="s">
        <v>522</v>
      </c>
      <c r="W17" s="159">
        <f>W16/17</f>
        <v>7.3999999999999995</v>
      </c>
      <c r="X17" s="159">
        <f>X16/17</f>
        <v>7.4647058823529413</v>
      </c>
      <c r="Y17" s="159"/>
    </row>
    <row r="18" spans="1:25" x14ac:dyDescent="0.25">
      <c r="A18" s="359" t="str">
        <f>PLANTILLA!D20</f>
        <v>M. Amico</v>
      </c>
      <c r="B18" s="165">
        <f>PLANTILLA!E20</f>
        <v>29</v>
      </c>
      <c r="C18" s="165">
        <f>PLANTILLA!H20</f>
        <v>4</v>
      </c>
      <c r="D18" s="361">
        <f>PLANTILLA!I20</f>
        <v>1.2</v>
      </c>
      <c r="E18" s="354">
        <f t="shared" ref="E18" si="25">D18</f>
        <v>1.2</v>
      </c>
      <c r="F18" s="354">
        <f t="shared" ref="F18" si="26">E18+0.1</f>
        <v>1.3</v>
      </c>
      <c r="G18" s="354">
        <f t="shared" ref="G18" si="27">C18</f>
        <v>4</v>
      </c>
      <c r="H18" s="354">
        <f t="shared" ref="H18" si="28">G18+0.99</f>
        <v>4.99</v>
      </c>
      <c r="I18" s="358">
        <f t="shared" ref="I18" si="29">G18*G18*E18</f>
        <v>19.2</v>
      </c>
      <c r="J18" s="358">
        <f t="shared" ref="J18" si="30">H18*H18*F18</f>
        <v>32.370130000000003</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PLANTILLA!D21</f>
        <v>G. Kerschl</v>
      </c>
      <c r="B19" s="165">
        <f>PLANTILLA!E21</f>
        <v>28</v>
      </c>
      <c r="C19" s="165">
        <f>PLANTILLA!H21</f>
        <v>1</v>
      </c>
      <c r="D19" s="361">
        <f>PLANTILLA!I21</f>
        <v>8.6</v>
      </c>
      <c r="E19" s="354">
        <f t="shared" ref="E19" si="31">D19</f>
        <v>8.6</v>
      </c>
      <c r="F19" s="354">
        <f t="shared" ref="F19" si="32">E19+0.1</f>
        <v>8.6999999999999993</v>
      </c>
      <c r="G19" s="354">
        <f t="shared" ref="G19" si="33">C19</f>
        <v>1</v>
      </c>
      <c r="H19" s="354">
        <f t="shared" ref="H19" si="34">G19+0.99</f>
        <v>1.99</v>
      </c>
      <c r="I19" s="358">
        <f t="shared" ref="I19" si="35">G19*G19*E19</f>
        <v>8.6</v>
      </c>
      <c r="J19" s="358">
        <f t="shared" ref="J19" si="36">H19*H19*F19</f>
        <v>34.452869999999997</v>
      </c>
      <c r="K19" s="355"/>
      <c r="L19" s="184" t="s">
        <v>525</v>
      </c>
      <c r="O19" s="246" t="s">
        <v>526</v>
      </c>
      <c r="P19" s="265">
        <f>P18*P3</f>
        <v>651.6</v>
      </c>
      <c r="Q19" s="265">
        <f>Q18*Q3</f>
        <v>889.25382000000013</v>
      </c>
      <c r="R19" s="265"/>
      <c r="V19" s="179" t="s">
        <v>526</v>
      </c>
      <c r="W19" s="265">
        <f>W18*W3</f>
        <v>651.6</v>
      </c>
      <c r="X19" s="265">
        <f>X18*X3</f>
        <v>889.25382000000013</v>
      </c>
      <c r="Y19" s="265"/>
    </row>
    <row r="20" spans="1:25" x14ac:dyDescent="0.25">
      <c r="A20" s="359" t="str">
        <f>PLANTILLA!D22</f>
        <v>J. Limon</v>
      </c>
      <c r="B20" s="165">
        <f>PLANTILLA!E22</f>
        <v>29</v>
      </c>
      <c r="C20" s="165">
        <f>PLANTILLA!H22</f>
        <v>3</v>
      </c>
      <c r="D20" s="361">
        <f>PLANTILLA!I22</f>
        <v>10</v>
      </c>
      <c r="E20" s="354">
        <f t="shared" si="4"/>
        <v>10</v>
      </c>
      <c r="F20" s="354">
        <f t="shared" si="5"/>
        <v>10.1</v>
      </c>
      <c r="G20" s="354">
        <f t="shared" si="6"/>
        <v>3</v>
      </c>
      <c r="H20" s="354">
        <f t="shared" si="7"/>
        <v>3.99</v>
      </c>
      <c r="I20" s="358">
        <f t="shared" si="8"/>
        <v>90</v>
      </c>
      <c r="J20" s="358">
        <f t="shared" si="9"/>
        <v>160.79301000000001</v>
      </c>
      <c r="K20" s="355"/>
      <c r="L20" s="184" t="s">
        <v>527</v>
      </c>
      <c r="O20" s="318" t="s">
        <v>876</v>
      </c>
      <c r="P20" s="159">
        <f>(P19^(2/3))/27</f>
        <v>2.7837076285616571</v>
      </c>
      <c r="Q20" s="159">
        <f>(Q19^(2/3))/27</f>
        <v>3.4249433737932482</v>
      </c>
      <c r="R20" s="159"/>
      <c r="V20" s="179" t="s">
        <v>528</v>
      </c>
      <c r="W20" s="159">
        <f>(W19^(2/3))/30</f>
        <v>2.5053368657054915</v>
      </c>
      <c r="X20" s="159">
        <f>(X19^(2/3))/30</f>
        <v>3.0824490364139234</v>
      </c>
      <c r="Y20" s="159"/>
    </row>
    <row r="21" spans="1:25" x14ac:dyDescent="0.25">
      <c r="A21" s="359" t="str">
        <f>PLANTILLA!D23</f>
        <v>L. Calosso</v>
      </c>
      <c r="B21" s="165">
        <f>PLANTILLA!E23</f>
        <v>30</v>
      </c>
      <c r="C21" s="165">
        <f>PLANTILLA!H23</f>
        <v>3</v>
      </c>
      <c r="D21" s="361">
        <f>PLANTILLA!I23</f>
        <v>10.199999999999999</v>
      </c>
      <c r="E21" s="354">
        <f t="shared" si="4"/>
        <v>10.199999999999999</v>
      </c>
      <c r="F21" s="354">
        <f t="shared" si="5"/>
        <v>10.299999999999999</v>
      </c>
      <c r="G21" s="354">
        <f t="shared" si="6"/>
        <v>3</v>
      </c>
      <c r="H21" s="354">
        <f t="shared" si="7"/>
        <v>3.99</v>
      </c>
      <c r="I21" s="358">
        <f t="shared" si="8"/>
        <v>91.8</v>
      </c>
      <c r="J21" s="358">
        <f t="shared" si="9"/>
        <v>163.97702999999998</v>
      </c>
      <c r="K21" s="355"/>
      <c r="L21" s="184" t="s">
        <v>529</v>
      </c>
      <c r="O21" s="179" t="s">
        <v>530</v>
      </c>
      <c r="P21" s="672">
        <f>P17+P20</f>
        <v>10.407950052804081</v>
      </c>
      <c r="Q21" s="672">
        <f>Q17+Q20</f>
        <v>11.115852464702339</v>
      </c>
      <c r="V21" s="179" t="s">
        <v>530</v>
      </c>
      <c r="W21" s="672">
        <f>W17+W20</f>
        <v>9.9053368657054914</v>
      </c>
      <c r="X21" s="672">
        <f>X17+X20</f>
        <v>10.547154918766864</v>
      </c>
    </row>
    <row r="22" spans="1:25" x14ac:dyDescent="0.25">
      <c r="A22" s="359" t="str">
        <f>PLANTILLA!D24</f>
        <v>P .Trivadi</v>
      </c>
      <c r="B22" s="165">
        <f>PLANTILLA!E24</f>
        <v>27</v>
      </c>
      <c r="C22" s="165">
        <f>PLANTILLA!H24</f>
        <v>5</v>
      </c>
      <c r="D22" s="361">
        <f>PLANTILLA!I24</f>
        <v>5.3</v>
      </c>
      <c r="E22" s="354">
        <f t="shared" si="4"/>
        <v>5.3</v>
      </c>
      <c r="F22" s="354">
        <f t="shared" si="5"/>
        <v>5.3999999999999995</v>
      </c>
      <c r="G22" s="354">
        <f t="shared" si="6"/>
        <v>5</v>
      </c>
      <c r="H22" s="354">
        <f t="shared" si="7"/>
        <v>5.99</v>
      </c>
      <c r="I22" s="358">
        <f t="shared" si="8"/>
        <v>132.5</v>
      </c>
      <c r="J22" s="358">
        <f t="shared" si="9"/>
        <v>193.75254000000001</v>
      </c>
      <c r="K22" s="355"/>
      <c r="L22" t="s">
        <v>531</v>
      </c>
    </row>
    <row r="23" spans="1:25" x14ac:dyDescent="0.25">
      <c r="A23" s="359"/>
      <c r="B23" s="165"/>
      <c r="C23" s="165"/>
      <c r="D23" s="361"/>
      <c r="E23" s="354"/>
      <c r="F23" s="354"/>
      <c r="G23" s="354"/>
      <c r="H23" s="354"/>
      <c r="I23" s="358"/>
      <c r="J23" s="358"/>
      <c r="K23" s="355"/>
      <c r="O23" s="290">
        <v>42576</v>
      </c>
      <c r="P23">
        <v>6.76</v>
      </c>
      <c r="Q23">
        <v>6.99</v>
      </c>
      <c r="R23" t="s">
        <v>831</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8" bestFit="1" customWidth="1"/>
    <col min="14" max="14" width="21.5703125" style="418" bestFit="1" customWidth="1"/>
    <col min="15" max="15" width="14" style="467" bestFit="1" customWidth="1"/>
    <col min="16" max="16" width="13" style="418" bestFit="1" customWidth="1"/>
    <col min="17" max="17" width="10.42578125" style="418" bestFit="1" customWidth="1"/>
    <col min="18" max="18" width="10.28515625" style="418" bestFit="1" customWidth="1"/>
    <col min="19" max="19" width="21" style="418" bestFit="1" customWidth="1"/>
    <col min="20" max="20" width="12" style="418" bestFit="1" customWidth="1"/>
    <col min="21" max="21" width="16.85546875" style="418"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9" t="s">
        <v>594</v>
      </c>
      <c r="N1" s="419" t="s">
        <v>595</v>
      </c>
      <c r="O1" s="419" t="s">
        <v>662</v>
      </c>
      <c r="P1" s="419" t="s">
        <v>592</v>
      </c>
      <c r="Q1" s="419" t="s">
        <v>598</v>
      </c>
      <c r="R1" s="419" t="s">
        <v>599</v>
      </c>
      <c r="S1" s="419" t="s">
        <v>593</v>
      </c>
      <c r="T1" s="419" t="s">
        <v>537</v>
      </c>
      <c r="U1" s="419" t="s">
        <v>596</v>
      </c>
      <c r="V1" s="419"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20">
        <v>41576</v>
      </c>
      <c r="N2" s="420">
        <v>41731</v>
      </c>
      <c r="O2" s="420">
        <v>42305</v>
      </c>
      <c r="P2" s="228">
        <v>772000</v>
      </c>
      <c r="Q2" s="228">
        <f>((N2-M2)/7)*L2</f>
        <v>6642.8571428571431</v>
      </c>
      <c r="R2" s="228">
        <f ca="1">((TODAY()-N2)/7)*L2</f>
        <v>58285.714285714283</v>
      </c>
      <c r="S2" s="228">
        <v>2068800</v>
      </c>
      <c r="T2" s="228">
        <f ca="1">S2+Q2+P2+R2</f>
        <v>2905728.5714285714</v>
      </c>
      <c r="U2" s="233">
        <f ca="1">T2/((O2-N2)/112)</f>
        <v>566971.42857142852</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9" t="s">
        <v>594</v>
      </c>
      <c r="N3" s="419" t="s">
        <v>595</v>
      </c>
      <c r="O3" s="419" t="s">
        <v>662</v>
      </c>
      <c r="P3" s="419" t="s">
        <v>592</v>
      </c>
      <c r="Q3" s="419" t="s">
        <v>598</v>
      </c>
      <c r="R3" s="419" t="s">
        <v>599</v>
      </c>
      <c r="S3" s="419" t="s">
        <v>593</v>
      </c>
      <c r="T3" s="419" t="s">
        <v>537</v>
      </c>
      <c r="U3" s="419" t="s">
        <v>596</v>
      </c>
      <c r="V3" s="419"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20">
        <v>41976</v>
      </c>
      <c r="N4" s="420">
        <v>42305</v>
      </c>
      <c r="O4" s="420">
        <v>42908</v>
      </c>
      <c r="P4" s="228">
        <v>1052640</v>
      </c>
      <c r="Q4" s="228">
        <f>((N4-M4)/7)*L4</f>
        <v>14100</v>
      </c>
      <c r="R4" s="228">
        <f ca="1">((TODAY()-N4)/7)*L4</f>
        <v>33685.71428571429</v>
      </c>
      <c r="S4" s="228">
        <v>2059800</v>
      </c>
      <c r="T4" s="228">
        <f>S4+Q4+P4</f>
        <v>3126540</v>
      </c>
      <c r="U4" s="233">
        <f>T4/((O4-N4)/112)</f>
        <v>580717.21393034828</v>
      </c>
      <c r="V4" s="163">
        <f ca="1">(A7-N4)/112</f>
        <v>7.0178571428571432</v>
      </c>
    </row>
    <row r="5" spans="1:22" x14ac:dyDescent="0.25">
      <c r="M5" s="467"/>
      <c r="N5" s="467"/>
      <c r="O5" s="621"/>
      <c r="P5" s="467"/>
      <c r="Q5" s="467"/>
      <c r="R5" s="467"/>
      <c r="S5" s="467"/>
      <c r="T5" s="467"/>
      <c r="U5" s="467"/>
    </row>
    <row r="6" spans="1:22" x14ac:dyDescent="0.25">
      <c r="M6" s="467"/>
      <c r="N6" s="467"/>
      <c r="P6" s="467"/>
      <c r="Q6" s="467"/>
      <c r="R6" s="467"/>
      <c r="S6" s="467"/>
      <c r="T6" s="467"/>
      <c r="U6" s="467"/>
    </row>
    <row r="7" spans="1:22" x14ac:dyDescent="0.25">
      <c r="A7" s="177">
        <f ca="1">TODAY()</f>
        <v>43091</v>
      </c>
    </row>
    <row r="8" spans="1:22" x14ac:dyDescent="0.25">
      <c r="A8" s="177">
        <v>41757</v>
      </c>
    </row>
    <row r="9" spans="1:22" x14ac:dyDescent="0.25">
      <c r="A9" s="179">
        <f ca="1">A7-A8</f>
        <v>1334</v>
      </c>
    </row>
    <row r="10" spans="1:22" x14ac:dyDescent="0.25">
      <c r="A10" s="417">
        <f ca="1">A9/112</f>
        <v>11.910714285714286</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9" t="s">
        <v>594</v>
      </c>
      <c r="N12" s="419" t="s">
        <v>595</v>
      </c>
      <c r="O12" s="419" t="s">
        <v>662</v>
      </c>
      <c r="P12" s="419" t="s">
        <v>592</v>
      </c>
      <c r="Q12" s="419" t="s">
        <v>598</v>
      </c>
      <c r="R12" s="419" t="s">
        <v>599</v>
      </c>
      <c r="S12" s="419" t="s">
        <v>593</v>
      </c>
      <c r="T12" s="419" t="s">
        <v>537</v>
      </c>
      <c r="U12" s="419" t="s">
        <v>596</v>
      </c>
      <c r="V12" s="419" t="s">
        <v>597</v>
      </c>
    </row>
    <row r="13" spans="1:22" x14ac:dyDescent="0.25">
      <c r="D13" s="294" t="s">
        <v>845</v>
      </c>
      <c r="E13" s="210">
        <v>39</v>
      </c>
      <c r="F13" s="262"/>
      <c r="G13" s="371">
        <v>6</v>
      </c>
      <c r="H13" s="214">
        <v>13</v>
      </c>
      <c r="I13" s="303">
        <f t="shared" ref="I13" si="2">(G13)*(G13)*(H13)</f>
        <v>468</v>
      </c>
      <c r="J13" s="303">
        <f t="shared" ref="J13" si="3">(G13+1)*(G13+1)*H13</f>
        <v>637</v>
      </c>
      <c r="K13" s="295">
        <v>1130</v>
      </c>
      <c r="L13" s="295">
        <v>864</v>
      </c>
      <c r="M13" s="420">
        <v>42628</v>
      </c>
      <c r="N13" s="420">
        <f>O4</f>
        <v>42908</v>
      </c>
      <c r="O13" s="420">
        <f ca="1">TODAY()</f>
        <v>43091</v>
      </c>
      <c r="P13" s="623">
        <v>1800000</v>
      </c>
      <c r="Q13" s="228">
        <v>372</v>
      </c>
      <c r="R13" s="228">
        <f t="shared" ref="R13" ca="1" si="4">((TODAY()-N13)/7)*L13</f>
        <v>22587.428571428572</v>
      </c>
      <c r="S13" s="623">
        <v>2553000</v>
      </c>
      <c r="T13" s="228">
        <f t="shared" ref="T13" si="5">S13+Q13+P13</f>
        <v>4353372</v>
      </c>
      <c r="U13" s="233">
        <f t="shared" ref="U13" ca="1" si="6">T13/((O13-N13)/112)</f>
        <v>2664358.819672131</v>
      </c>
      <c r="V13" s="163">
        <v>7</v>
      </c>
    </row>
    <row r="17" spans="1:22" ht="18" x14ac:dyDescent="0.25">
      <c r="A17" s="608">
        <v>42908</v>
      </c>
      <c r="B17" s="290"/>
      <c r="C17">
        <v>112</v>
      </c>
      <c r="D17">
        <v>0</v>
      </c>
    </row>
    <row r="18" spans="1:22" x14ac:dyDescent="0.25">
      <c r="A18" s="290">
        <f ca="1">TODAY()</f>
        <v>43091</v>
      </c>
      <c r="B18" s="290"/>
      <c r="C18">
        <v>400</v>
      </c>
      <c r="D18">
        <v>1</v>
      </c>
    </row>
    <row r="19" spans="1:22" x14ac:dyDescent="0.25">
      <c r="A19">
        <f ca="1">A18-A17</f>
        <v>183</v>
      </c>
      <c r="C19">
        <f>C18-C17</f>
        <v>288</v>
      </c>
      <c r="D19" s="609">
        <f ca="1">(A19-C17)/C19</f>
        <v>0.24652777777777779</v>
      </c>
    </row>
    <row r="20" spans="1:22" x14ac:dyDescent="0.25">
      <c r="D20" t="s">
        <v>866</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9" t="s">
        <v>594</v>
      </c>
      <c r="N24" s="419" t="s">
        <v>595</v>
      </c>
      <c r="O24" s="419" t="s">
        <v>662</v>
      </c>
      <c r="P24" s="419" t="s">
        <v>592</v>
      </c>
      <c r="Q24" s="419" t="s">
        <v>598</v>
      </c>
      <c r="R24" s="419" t="s">
        <v>599</v>
      </c>
      <c r="S24" s="419" t="s">
        <v>593</v>
      </c>
      <c r="T24" s="419" t="s">
        <v>537</v>
      </c>
      <c r="U24" s="419" t="s">
        <v>596</v>
      </c>
      <c r="V24" s="419" t="s">
        <v>597</v>
      </c>
    </row>
    <row r="28" spans="1:22" ht="19.5" x14ac:dyDescent="0.25">
      <c r="A28" s="688" t="s">
        <v>326</v>
      </c>
      <c r="B28" s="688"/>
      <c r="C28" s="688"/>
      <c r="D28" s="688"/>
    </row>
    <row r="29" spans="1:22" x14ac:dyDescent="0.25">
      <c r="A29" s="689" t="s">
        <v>257</v>
      </c>
      <c r="B29" s="690" t="s">
        <v>327</v>
      </c>
      <c r="C29" s="690" t="s">
        <v>328</v>
      </c>
      <c r="D29" s="690" t="s">
        <v>329</v>
      </c>
    </row>
    <row r="30" spans="1:22" x14ac:dyDescent="0.25">
      <c r="A30" s="689"/>
      <c r="B30" s="690"/>
      <c r="C30" s="690"/>
      <c r="D30" s="690"/>
    </row>
    <row r="31" spans="1:22" x14ac:dyDescent="0.25">
      <c r="A31" s="229" t="s">
        <v>327</v>
      </c>
      <c r="B31" s="230" t="s">
        <v>330</v>
      </c>
      <c r="C31" s="230" t="s">
        <v>331</v>
      </c>
      <c r="D31" s="230" t="s">
        <v>331</v>
      </c>
    </row>
    <row r="32" spans="1:22" x14ac:dyDescent="0.25">
      <c r="A32" s="622" t="s">
        <v>328</v>
      </c>
      <c r="B32" s="232" t="s">
        <v>332</v>
      </c>
      <c r="C32" s="232" t="s">
        <v>333</v>
      </c>
      <c r="D32" s="232" t="s">
        <v>331</v>
      </c>
    </row>
    <row r="33" spans="1:4" x14ac:dyDescent="0.25">
      <c r="A33" s="229" t="s">
        <v>329</v>
      </c>
      <c r="B33" s="230" t="s">
        <v>334</v>
      </c>
      <c r="C33" s="230" t="s">
        <v>335</v>
      </c>
      <c r="D33" s="230" t="s">
        <v>336</v>
      </c>
    </row>
    <row r="34" spans="1:4" x14ac:dyDescent="0.25">
      <c r="A34" s="622" t="s">
        <v>337</v>
      </c>
      <c r="B34" s="232" t="s">
        <v>338</v>
      </c>
      <c r="C34" s="232" t="s">
        <v>339</v>
      </c>
      <c r="D34" s="232" t="s">
        <v>340</v>
      </c>
    </row>
    <row r="35" spans="1:4" x14ac:dyDescent="0.25">
      <c r="A35" s="229" t="s">
        <v>341</v>
      </c>
      <c r="B35" s="230" t="s">
        <v>342</v>
      </c>
      <c r="C35" s="230" t="s">
        <v>343</v>
      </c>
      <c r="D35" s="230" t="s">
        <v>344</v>
      </c>
    </row>
    <row r="36" spans="1:4" x14ac:dyDescent="0.25">
      <c r="A36" s="622" t="s">
        <v>345</v>
      </c>
      <c r="B36" s="232" t="s">
        <v>346</v>
      </c>
      <c r="C36" s="232" t="s">
        <v>347</v>
      </c>
      <c r="D36" s="232" t="s">
        <v>348</v>
      </c>
    </row>
    <row r="37" spans="1:4" x14ac:dyDescent="0.25">
      <c r="A37" s="229" t="s">
        <v>349</v>
      </c>
      <c r="B37" s="230" t="s">
        <v>350</v>
      </c>
      <c r="C37" s="230" t="s">
        <v>351</v>
      </c>
      <c r="D37" s="230" t="s">
        <v>352</v>
      </c>
    </row>
    <row r="38" spans="1:4" x14ac:dyDescent="0.25">
      <c r="A38" s="622" t="s">
        <v>353</v>
      </c>
      <c r="B38" s="232" t="s">
        <v>354</v>
      </c>
      <c r="C38" s="232" t="s">
        <v>355</v>
      </c>
      <c r="D38" s="232" t="s">
        <v>356</v>
      </c>
    </row>
    <row r="39" spans="1:4" x14ac:dyDescent="0.25">
      <c r="A39" s="229" t="s">
        <v>357</v>
      </c>
      <c r="B39" s="230" t="s">
        <v>358</v>
      </c>
      <c r="C39" s="230" t="s">
        <v>359</v>
      </c>
      <c r="D39" s="230" t="s">
        <v>360</v>
      </c>
    </row>
    <row r="40" spans="1:4" x14ac:dyDescent="0.25">
      <c r="A40" s="622" t="s">
        <v>361</v>
      </c>
      <c r="B40" s="232" t="s">
        <v>362</v>
      </c>
      <c r="C40" s="232" t="s">
        <v>363</v>
      </c>
      <c r="D40" s="232" t="s">
        <v>364</v>
      </c>
    </row>
    <row r="41" spans="1:4" x14ac:dyDescent="0.25">
      <c r="A41" s="229" t="s">
        <v>365</v>
      </c>
      <c r="B41" s="230" t="s">
        <v>366</v>
      </c>
      <c r="C41" s="230" t="s">
        <v>367</v>
      </c>
      <c r="D41" s="230" t="s">
        <v>368</v>
      </c>
    </row>
    <row r="42" spans="1:4" x14ac:dyDescent="0.25">
      <c r="A42" s="622" t="s">
        <v>369</v>
      </c>
      <c r="B42" s="232" t="s">
        <v>370</v>
      </c>
      <c r="C42" s="232" t="s">
        <v>371</v>
      </c>
      <c r="D42" s="232" t="s">
        <v>372</v>
      </c>
    </row>
    <row r="43" spans="1:4" x14ac:dyDescent="0.25">
      <c r="A43" s="229" t="s">
        <v>373</v>
      </c>
      <c r="B43" s="230" t="s">
        <v>374</v>
      </c>
      <c r="C43" s="230" t="s">
        <v>375</v>
      </c>
      <c r="D43" s="230" t="s">
        <v>376</v>
      </c>
    </row>
    <row r="44" spans="1:4" x14ac:dyDescent="0.25">
      <c r="A44" s="622"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8"/>
  <sheetViews>
    <sheetView zoomScaleNormal="100" workbookViewId="0">
      <pane xSplit="30" ySplit="4" topLeftCell="AE5" activePane="bottomRight" state="frozen"/>
      <selection pane="topRight" activeCell="T1" sqref="T1"/>
      <selection pane="bottomLeft" activeCell="A4" sqref="A4"/>
      <selection pane="bottomRight" activeCell="AM17" sqref="AM17"/>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5" bestFit="1" customWidth="1"/>
    <col min="15" max="15" width="10.42578125" style="674" bestFit="1" customWidth="1"/>
    <col min="16" max="16" width="4.5703125" style="674" bestFit="1" customWidth="1"/>
    <col min="17" max="17" width="4.140625" style="416" bestFit="1" customWidth="1"/>
    <col min="18" max="19" width="5.7109375" style="488" bestFit="1" customWidth="1"/>
    <col min="20" max="20" width="12" bestFit="1" customWidth="1"/>
    <col min="21" max="21" width="9.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1">
        <f ca="1">AVERAGE(C5,C8,C9,C10,C11,C12,C13,C14,C15,C16,C17,C18,C19,C22,C24)</f>
        <v>4.0767857142857142</v>
      </c>
      <c r="D1" s="345">
        <f ca="1">TODAY()</f>
        <v>43091</v>
      </c>
      <c r="E1" s="681">
        <v>41471</v>
      </c>
      <c r="F1" s="681"/>
      <c r="G1" s="681"/>
      <c r="H1" s="251"/>
      <c r="I1" s="251"/>
      <c r="J1" s="251"/>
      <c r="K1" s="252"/>
      <c r="L1" s="251"/>
      <c r="M1" s="252"/>
      <c r="N1" s="252"/>
      <c r="O1" s="252"/>
      <c r="P1" s="252"/>
      <c r="Q1" s="631">
        <f>AVERAGE(Q5,Q8,Q9,Q10,Q11,Q12,Q13,Q14,Q15,Q16,Q17,Q18,Q19,Q22,Q24)</f>
        <v>5.4666666666666668</v>
      </c>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AVERAGE(I5:I24)</f>
        <v>9.1549999999999994</v>
      </c>
      <c r="J2" s="297"/>
      <c r="K2" s="297"/>
      <c r="M2" s="347">
        <f>AVERAGE(M5:M24)</f>
        <v>7.2750000000000004</v>
      </c>
      <c r="N2" s="297"/>
      <c r="O2" s="297"/>
      <c r="P2" s="297"/>
      <c r="Q2" s="347">
        <f>AVERAGE(Q5:Q24)</f>
        <v>5.25</v>
      </c>
      <c r="R2" s="502">
        <f>AVERAGE(R5:R24)</f>
        <v>0.85312804713167267</v>
      </c>
      <c r="S2" s="502">
        <f>AVERAGE(S5:S24)</f>
        <v>0.91799698663005924</v>
      </c>
      <c r="T2" s="348">
        <f>AVERAGE(T5:T24)</f>
        <v>103102</v>
      </c>
      <c r="U2" s="348"/>
      <c r="V2" s="348">
        <f>AVERAGE(V5:V24)</f>
        <v>14622.7</v>
      </c>
      <c r="W2" s="293"/>
      <c r="X2" s="346">
        <f>(X5+X6)/2</f>
        <v>13.483333333333334</v>
      </c>
      <c r="Y2" s="346">
        <f>AVERAGE(Y5:Y11)</f>
        <v>11.649852813852814</v>
      </c>
      <c r="Z2" s="346">
        <f>AVERAGE(Z12:Z20)</f>
        <v>11.953785214579655</v>
      </c>
      <c r="AA2" s="346">
        <f>AVERAGE(AA12:AA14)</f>
        <v>12.923888888888889</v>
      </c>
      <c r="AB2" s="346">
        <f>AVERAGE(AB6:AB24)</f>
        <v>9.729766081871345</v>
      </c>
      <c r="AC2" s="346">
        <f>AVERAGE(AC22:AC24)</f>
        <v>8.9823333333333348</v>
      </c>
      <c r="AD2" s="346">
        <f>AVERAGE(AD5:AD24)</f>
        <v>14.188833333333331</v>
      </c>
      <c r="AE2" s="293"/>
      <c r="AH2" s="293"/>
      <c r="AI2" s="293"/>
      <c r="AJ2" s="293"/>
      <c r="AK2" s="293"/>
      <c r="AL2" s="293"/>
      <c r="AM2" s="293"/>
      <c r="AN2" s="293"/>
    </row>
    <row r="3" spans="1:46" s="253" customFormat="1" x14ac:dyDescent="0.25">
      <c r="A3" s="298"/>
      <c r="B3" s="298" t="s">
        <v>850</v>
      </c>
      <c r="C3" s="298"/>
      <c r="D3" s="294" t="s">
        <v>845</v>
      </c>
      <c r="E3" s="210">
        <v>41</v>
      </c>
      <c r="F3" s="211">
        <v>101</v>
      </c>
      <c r="G3" s="262"/>
      <c r="H3" s="371">
        <v>6</v>
      </c>
      <c r="I3" s="214">
        <v>13.2</v>
      </c>
      <c r="J3" s="214"/>
      <c r="K3" s="303">
        <f>(H3)*(H3)*(I3)</f>
        <v>475.2</v>
      </c>
      <c r="L3" s="303">
        <f>(H3+1)*(H3+1)*I3</f>
        <v>646.79999999999995</v>
      </c>
      <c r="M3" s="262">
        <v>2</v>
      </c>
      <c r="N3" s="262"/>
      <c r="O3" s="262"/>
      <c r="P3" s="262"/>
      <c r="Q3" s="262"/>
      <c r="R3" s="624"/>
      <c r="S3" s="624"/>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880</v>
      </c>
      <c r="P4" s="299" t="s">
        <v>695</v>
      </c>
      <c r="Q4" s="299" t="s">
        <v>590</v>
      </c>
      <c r="R4" s="491" t="s">
        <v>693</v>
      </c>
      <c r="S4" s="491"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818</v>
      </c>
      <c r="AG4" s="344" t="s">
        <v>819</v>
      </c>
      <c r="AH4" s="344" t="s">
        <v>828</v>
      </c>
      <c r="AI4" s="344" t="s">
        <v>829</v>
      </c>
      <c r="AJ4" s="344" t="s">
        <v>509</v>
      </c>
      <c r="AK4" s="344" t="s">
        <v>510</v>
      </c>
      <c r="AL4" s="344" t="s">
        <v>511</v>
      </c>
      <c r="AM4" s="344" t="s">
        <v>588</v>
      </c>
      <c r="AN4" s="344" t="s">
        <v>589</v>
      </c>
      <c r="AO4" s="299" t="s">
        <v>800</v>
      </c>
      <c r="AP4" s="299" t="s">
        <v>801</v>
      </c>
      <c r="AQ4" s="299" t="s">
        <v>802</v>
      </c>
      <c r="AR4" s="419" t="s">
        <v>853</v>
      </c>
    </row>
    <row r="5" spans="1:46" x14ac:dyDescent="0.25">
      <c r="A5" s="384" t="s">
        <v>403</v>
      </c>
      <c r="B5" s="384" t="s">
        <v>1</v>
      </c>
      <c r="C5" s="385">
        <f ca="1">((34*112)-(E5*112)-(F5))/112</f>
        <v>3.8839285714285716</v>
      </c>
      <c r="D5" s="658" t="s">
        <v>782</v>
      </c>
      <c r="E5" s="387">
        <v>30</v>
      </c>
      <c r="F5" s="395">
        <f ca="1">-42406+$D$1-112-112-112-112-112-112</f>
        <v>13</v>
      </c>
      <c r="G5" s="388"/>
      <c r="H5" s="403">
        <v>6</v>
      </c>
      <c r="I5" s="308">
        <v>18.100000000000001</v>
      </c>
      <c r="J5" s="487">
        <f>LOG(I5+1)*4/3</f>
        <v>1.7080444896636369</v>
      </c>
      <c r="K5" s="303">
        <f t="shared" ref="K5" si="0">(H5)*(H5)*(I5)</f>
        <v>651.6</v>
      </c>
      <c r="L5" s="303">
        <f t="shared" ref="L5" si="1">(H5+1)*(H5+1)*I5</f>
        <v>886.90000000000009</v>
      </c>
      <c r="M5" s="389">
        <v>7.7</v>
      </c>
      <c r="N5" s="446">
        <f>M5*10+19</f>
        <v>96</v>
      </c>
      <c r="O5" s="678">
        <v>42468</v>
      </c>
      <c r="P5" s="679">
        <f ca="1">IF((TODAY()-O5)&gt;335,1,((TODAY()-O5)^0.64)/(336^0.64))</f>
        <v>1</v>
      </c>
      <c r="Q5" s="446">
        <v>7</v>
      </c>
      <c r="R5" s="501">
        <f>(Q5/7)^0.5</f>
        <v>1</v>
      </c>
      <c r="S5" s="501">
        <f>IF(Q5=7,1,((Q5+0.99)/7)^0.5)</f>
        <v>1</v>
      </c>
      <c r="T5" s="324">
        <v>100170</v>
      </c>
      <c r="U5" s="627">
        <f t="shared" ref="U5:U24" si="2">T5-AR5</f>
        <v>0</v>
      </c>
      <c r="V5" s="324">
        <v>39696</v>
      </c>
      <c r="W5" s="316">
        <f t="shared" ref="W5:W25" si="3">T5/V5</f>
        <v>2.5234280532043529</v>
      </c>
      <c r="X5" s="486">
        <f>16+12/18</f>
        <v>16.666666666666668</v>
      </c>
      <c r="Y5" s="487">
        <f>10.53+0.11+0.11+0.11+0.11+0.11+1/11+1/11*0.16+1/11+1/11+1/11+1/11+1/11+1/11+1/11+1/11+1/11</f>
        <v>12.003636363636367</v>
      </c>
      <c r="Z5" s="486">
        <f>2+0.01+0.01+0.01+0.01+0.01</f>
        <v>2.0499999999999989</v>
      </c>
      <c r="AA5" s="487">
        <f>1.94+0.03+0.03+0.03+0.03+0.03+0.03+0.02</f>
        <v>2.1399999999999992</v>
      </c>
      <c r="AB5" s="486">
        <f>0.6+0.04+0.04+0.04+0.04+0.04+0.04+0.03+0.03+0.02+0.02+0.02+0.02+0.02+0.02+0.01+0.01</f>
        <v>1.0400000000000003</v>
      </c>
      <c r="AC5" s="487">
        <f>0+0.05+0.05*37/90+0.04+0.02+0.01</f>
        <v>0.14055555555555557</v>
      </c>
      <c r="AD5" s="486">
        <f>13.8+0.5+0.5+0.5+0.34+0.34+0.34+0.34+0.34+0.25+0.2+0.2+0.2</f>
        <v>17.849999999999998</v>
      </c>
      <c r="AE5" s="324">
        <v>1467</v>
      </c>
      <c r="AF5" s="604">
        <f ca="1">(Z5+P5+J5)*(Q5/7)^0.5</f>
        <v>4.7580444896636358</v>
      </c>
      <c r="AG5" s="604">
        <f ca="1">(Z5+P5+J5)*(IF(Q5=7, (Q5/7)^0.5, ((Q5+1)/7)^0.5))</f>
        <v>4.7580444896636358</v>
      </c>
      <c r="AH5" s="316">
        <f ca="1">(((Y5+P5+J5)+(AB5+P5+J5)*2)/8)*(Q5/7)^0.5</f>
        <v>2.7759712290784098</v>
      </c>
      <c r="AI5" s="316">
        <f ca="1">(1.66*(AC5+J5+P5)+0.55*(AD5+J5+P5)-7.6)*(Q5/7)^0.5</f>
        <v>8.4356005443788593</v>
      </c>
      <c r="AJ5" s="316">
        <f ca="1">((AD5+J5+P5)*0.7+(AC5+J5+P5)*0.3)*(Q5/7)^0.5</f>
        <v>15.245211156330301</v>
      </c>
      <c r="AK5" s="316">
        <f ca="1">(0.5*(AC5+P5+J5)+ 0.3*(AD5+P5+J5))/10</f>
        <v>0.75917133695086869</v>
      </c>
      <c r="AL5" s="316">
        <f ca="1">(0.4*(Y5+P5+J5)+0.3*(AD5+P5+J5))/10</f>
        <v>1.2052085688219092</v>
      </c>
      <c r="AM5" s="311">
        <f ca="1">(AD5+P5+(LOG(I5)*4/3))*(Q5/7)^0.5</f>
        <v>20.526904766492244</v>
      </c>
      <c r="AN5" s="311">
        <f ca="1">(AD5+P5+(LOG(I5)*4/3))*(IF(Q5=7, (Q5/7)^0.5, ((Q5+1)/7)^0.5))</f>
        <v>20.526904766492244</v>
      </c>
      <c r="AO5" s="446">
        <v>2</v>
      </c>
      <c r="AP5" s="446">
        <v>2</v>
      </c>
      <c r="AQ5" s="591">
        <f>IF(AO5=4,IF(AP5=0,0.137+0.0697,0.137+0.02),IF(AO5=3,IF(AP5=0,0.0958+0.0697,0.0958+0.02),IF(AO5=2,IF(AP5=0,0.0415+0.0697,0.0415+0.02),IF(AO5=1,IF(AP5=0,0.0294+0.0697,0.0294+0.02),IF(AO5=0,IF(AP5=0,0.0063+0.0697,0.0063+0.02))))))</f>
        <v>6.1499999999999999E-2</v>
      </c>
      <c r="AR5">
        <v>100170</v>
      </c>
      <c r="AS5">
        <f>AR5</f>
        <v>100170</v>
      </c>
      <c r="AT5" s="390">
        <f>AS5-T5</f>
        <v>0</v>
      </c>
    </row>
    <row r="6" spans="1:46" s="263" customFormat="1" x14ac:dyDescent="0.25">
      <c r="A6" s="384" t="s">
        <v>484</v>
      </c>
      <c r="B6" s="384" t="s">
        <v>1</v>
      </c>
      <c r="C6" s="385">
        <f t="shared" ref="C6:C24" ca="1" si="4">((34*112)-(E6*112)-(F6))/112</f>
        <v>-0.19642857142857142</v>
      </c>
      <c r="D6" s="658" t="s">
        <v>267</v>
      </c>
      <c r="E6" s="387">
        <v>34</v>
      </c>
      <c r="F6" s="395">
        <f ca="1">82-41471+$D$1-112-112-112-112-112-112-112-112-112-112-112-112-112-112-112</f>
        <v>22</v>
      </c>
      <c r="G6" s="388" t="s">
        <v>502</v>
      </c>
      <c r="H6" s="371">
        <v>3</v>
      </c>
      <c r="I6" s="308">
        <v>7.8</v>
      </c>
      <c r="J6" s="487">
        <f t="shared" ref="J6:J24" si="5">LOG(I6+1)*4/3</f>
        <v>1.2593102295335583</v>
      </c>
      <c r="K6" s="303">
        <f t="shared" ref="K6:K24" si="6">(H6)*(H6)*(I6)</f>
        <v>70.2</v>
      </c>
      <c r="L6" s="303">
        <f t="shared" ref="L6:L24" si="7">(H6+1)*(H6+1)*I6</f>
        <v>124.8</v>
      </c>
      <c r="M6" s="389">
        <v>5.2</v>
      </c>
      <c r="N6" s="446">
        <f t="shared" ref="N6:N24" si="8">M6*10+19</f>
        <v>71</v>
      </c>
      <c r="O6" s="446" t="s">
        <v>557</v>
      </c>
      <c r="P6" s="679">
        <v>1.5</v>
      </c>
      <c r="Q6" s="446">
        <v>5</v>
      </c>
      <c r="R6" s="501">
        <f t="shared" ref="R6:R24" si="9">(Q6/7)^0.5</f>
        <v>0.84515425472851657</v>
      </c>
      <c r="S6" s="501">
        <f t="shared" ref="S6:S24" si="10">IF(Q6=7,1,((Q6+0.99)/7)^0.5)</f>
        <v>0.92504826128926143</v>
      </c>
      <c r="T6" s="324">
        <v>1840</v>
      </c>
      <c r="U6" s="627">
        <f t="shared" si="2"/>
        <v>40</v>
      </c>
      <c r="V6" s="324">
        <v>2770</v>
      </c>
      <c r="W6" s="316">
        <f t="shared" si="3"/>
        <v>0.66425992779783394</v>
      </c>
      <c r="X6" s="486">
        <v>10.3</v>
      </c>
      <c r="Y6" s="487">
        <f>9.5+0.13+0.13/2+0.13+0.13+0.13+0.13+0.13+0.12+0.12+0.02+0.02+0.02+0.02+0.02+0.02+0.02+0.02+0.02+0.01+0.01+0.01+0.01</f>
        <v>10.804999999999998</v>
      </c>
      <c r="Z6" s="486">
        <f>4.2+0.04+0.04+0.04+0.03+0.03+0.03+0.03+0.03+0.03+0.03+0.03+0.02+0.02+0.01+0.01+0.01+0.01</f>
        <v>4.6400000000000006</v>
      </c>
      <c r="AA6" s="487">
        <v>4.95</v>
      </c>
      <c r="AB6" s="486">
        <f>4.99+0.05+0.32+0.32+0.32+0.05+0.16+0.05+0.03+0.25*31/90+0.03+0.02+0.02+0.01+0.01+0.01+0.15*29/90+0.01+0.01</f>
        <v>6.5444444444444434</v>
      </c>
      <c r="AC6" s="487">
        <v>3.99</v>
      </c>
      <c r="AD6" s="486">
        <f>11.8+0.67+0.5*1.25+0.35+0.35+0.35+0.35*8/90+0.35*80/90+0.35+0.35*75/90+0.35+0.3</f>
        <v>15.778888888888888</v>
      </c>
      <c r="AE6" s="324">
        <v>1166</v>
      </c>
      <c r="AF6" s="604">
        <f t="shared" ref="AF6:AF24" si="11">(Z6+P6+J6)*(Q6/7)^0.5</f>
        <v>6.2535585225465242</v>
      </c>
      <c r="AG6" s="604">
        <f t="shared" ref="AG6:AG24" si="12">(Z6+P6+J6)*(IF(Q6=7, (Q6/7)^0.5, ((Q6+1)/7)^0.5))</f>
        <v>6.85043013495482</v>
      </c>
      <c r="AH6" s="316">
        <f t="shared" ref="AH6:AH24" si="13">(((Y6+P6+J6)+(AB6+P6+J6)*2)/8)*(Q6/7)^0.5</f>
        <v>3.3987687747841857</v>
      </c>
      <c r="AI6" s="316">
        <f t="shared" ref="AI6:AI24" si="14">(1.66*(AC6+J6+P6)+0.55*(AD6+J6+P6)-7.6)*(Q6/7)^0.5</f>
        <v>11.663014193604974</v>
      </c>
      <c r="AJ6" s="316">
        <f t="shared" ref="AJ6:AJ24" si="15">((AD6+J6+P6)*0.7+(AC6+J6+P6)*0.3)*(Q6/7)^0.5</f>
        <v>12.678608979049312</v>
      </c>
      <c r="AK6" s="316">
        <f t="shared" ref="AK6:AK24" si="16">(0.5*(AC6+P6+J6)+ 0.3*(AD6+P6+J6))/10</f>
        <v>0.89361148502935117</v>
      </c>
      <c r="AL6" s="316">
        <f t="shared" ref="AL6:AL24" si="17">(0.4*(Y6+P6+J6)+0.3*(AD6+P6+J6))/10</f>
        <v>1.0987183827340155</v>
      </c>
      <c r="AM6" s="311">
        <f t="shared" ref="AM6:AM24" si="18">(AD6+P6+(LOG(I6)*4/3))*(Q6/7)^0.5</f>
        <v>15.608603193538004</v>
      </c>
      <c r="AN6" s="311">
        <f t="shared" ref="AN6:AN24" si="19">(AD6+P6+(LOG(I6)*4/3))*(IF(Q6=7, (Q6/7)^0.5, ((Q6+1)/7)^0.5))</f>
        <v>17.098368120495877</v>
      </c>
      <c r="AO6" s="446">
        <v>4</v>
      </c>
      <c r="AP6" s="446">
        <v>3</v>
      </c>
      <c r="AQ6" s="591">
        <f t="shared" ref="AQ6:AQ24" si="20">IF(AO6=4,IF(AP6=0,0.137+0.0697,0.137+0.02),IF(AO6=3,IF(AP6=0,0.0958+0.0697,0.0958+0.02),IF(AO6=2,IF(AP6=0,0.0415+0.0697,0.0415+0.02),IF(AO6=1,IF(AP6=0,0.0294+0.0697,0.0294+0.02),IF(AO6=0,IF(AP6=0,0.0063+0.0697,0.0063+0.02))))))</f>
        <v>0.157</v>
      </c>
      <c r="AR6" s="263">
        <v>1800</v>
      </c>
      <c r="AS6">
        <f t="shared" ref="AS6:AS24" si="21">AR6</f>
        <v>1800</v>
      </c>
      <c r="AT6" s="390">
        <f t="shared" ref="AT6:AT23" si="22">AS6-T6</f>
        <v>-40</v>
      </c>
    </row>
    <row r="7" spans="1:46" s="248" customFormat="1" x14ac:dyDescent="0.25">
      <c r="A7" s="384" t="s">
        <v>582</v>
      </c>
      <c r="B7" s="384" t="s">
        <v>2</v>
      </c>
      <c r="C7" s="385">
        <f t="shared" ca="1" si="4"/>
        <v>3.7767857142857144</v>
      </c>
      <c r="D7" s="658" t="s">
        <v>857</v>
      </c>
      <c r="E7" s="387">
        <v>30</v>
      </c>
      <c r="F7" s="395">
        <f ca="1">82-41471+$D$1-112-112-112-112-112-112-112-112-112-112-112+3-112-112-112-112</f>
        <v>25</v>
      </c>
      <c r="G7" s="388" t="s">
        <v>502</v>
      </c>
      <c r="H7" s="394">
        <v>2</v>
      </c>
      <c r="I7" s="308">
        <v>14.1</v>
      </c>
      <c r="J7" s="487">
        <f t="shared" si="5"/>
        <v>1.5719692630575592</v>
      </c>
      <c r="K7" s="303">
        <f>(H7)*(H7)*(I7)</f>
        <v>56.4</v>
      </c>
      <c r="L7" s="303">
        <f>(H7+1)*(H7+1)*I7</f>
        <v>126.89999999999999</v>
      </c>
      <c r="M7" s="389">
        <v>7.7</v>
      </c>
      <c r="N7" s="446">
        <f>M7*10+19</f>
        <v>96</v>
      </c>
      <c r="O7" s="678">
        <v>42716</v>
      </c>
      <c r="P7" s="679">
        <f ca="1">IF((TODAY()-O7)&gt;335,1,((TODAY()-O7)^0.64)/(336^0.64))</f>
        <v>1</v>
      </c>
      <c r="Q7" s="446">
        <v>5</v>
      </c>
      <c r="R7" s="501">
        <f>(Q7/7)^0.5</f>
        <v>0.84515425472851657</v>
      </c>
      <c r="S7" s="501">
        <f>IF(Q7=7,1,((Q7+0.99)/7)^0.5)</f>
        <v>0.92504826128926143</v>
      </c>
      <c r="T7" s="324">
        <v>233760</v>
      </c>
      <c r="U7" s="627">
        <f t="shared" si="2"/>
        <v>12990</v>
      </c>
      <c r="V7" s="324">
        <v>29520</v>
      </c>
      <c r="W7" s="316">
        <f>T7/V7</f>
        <v>7.9186991869918701</v>
      </c>
      <c r="X7" s="486">
        <v>0</v>
      </c>
      <c r="Y7" s="487">
        <f>14+1/20+1/20+1/20+1/20+1/20</f>
        <v>14.250000000000004</v>
      </c>
      <c r="Z7" s="486">
        <f>9+1/9*0.5+1/9*0.16+0.1*0.5+0.1*0.5+0.1*0.5+0.01+0.1*0.5+0.1*0.16+0.01+0.01</f>
        <v>9.3193333333333346</v>
      </c>
      <c r="AA7" s="487">
        <f>14+1/12*0.5+1/12*0.5+1/12*0.5+1/12*0.5+1/12*0.5+1/12*0.5+1/12*0.5</f>
        <v>14.291666666666663</v>
      </c>
      <c r="AB7" s="486">
        <f>8.45+0.15+0.15+0.02+0.12+0.12+0.11+0.01+0.08+0.07+0.07+0.07</f>
        <v>9.4199999999999982</v>
      </c>
      <c r="AC7" s="487">
        <f>1+1/7</f>
        <v>1.1428571428571428</v>
      </c>
      <c r="AD7" s="486">
        <f>9+0.4</f>
        <v>9.4</v>
      </c>
      <c r="AE7" s="324">
        <v>1902</v>
      </c>
      <c r="AF7" s="604">
        <f t="shared" ca="1" si="11"/>
        <v>10.04998498360402</v>
      </c>
      <c r="AG7" s="604">
        <f t="shared" ca="1" si="12"/>
        <v>11.009206956216216</v>
      </c>
      <c r="AH7" s="316">
        <f t="shared" ca="1" si="13"/>
        <v>4.3109108232598503</v>
      </c>
      <c r="AI7" s="316">
        <f t="shared" ca="1" si="14"/>
        <v>4.3535543107577848</v>
      </c>
      <c r="AJ7" s="316">
        <f t="shared" ca="1" si="15"/>
        <v>8.0245929348674778</v>
      </c>
      <c r="AK7" s="316">
        <f t="shared" ca="1" si="16"/>
        <v>0.54490039818746183</v>
      </c>
      <c r="AL7" s="316">
        <f t="shared" ca="1" si="17"/>
        <v>1.0320378484140293</v>
      </c>
      <c r="AM7" s="311">
        <f t="shared" ca="1" si="18"/>
        <v>10.084627479411273</v>
      </c>
      <c r="AN7" s="311">
        <f t="shared" ca="1" si="19"/>
        <v>11.047155909020038</v>
      </c>
      <c r="AO7" s="446">
        <v>1</v>
      </c>
      <c r="AP7" s="446">
        <v>2</v>
      </c>
      <c r="AQ7" s="591">
        <f>IF(AO7=4,IF(AP7=0,0.137+0.0697,0.137+0.02),IF(AO7=3,IF(AP7=0,0.0958+0.0697,0.0958+0.02),IF(AO7=2,IF(AP7=0,0.0415+0.0697,0.0415+0.02),IF(AO7=1,IF(AP7=0,0.0294+0.0697,0.0294+0.02),IF(AO7=0,IF(AP7=0,0.0063+0.0697,0.0063+0.02))))))</f>
        <v>4.9399999999999999E-2</v>
      </c>
      <c r="AR7" s="248">
        <v>220770</v>
      </c>
      <c r="AS7">
        <f t="shared" si="21"/>
        <v>220770</v>
      </c>
      <c r="AT7" s="390">
        <f t="shared" si="22"/>
        <v>-12990</v>
      </c>
    </row>
    <row r="8" spans="1:46" s="254" customFormat="1" x14ac:dyDescent="0.25">
      <c r="A8" s="305" t="s">
        <v>412</v>
      </c>
      <c r="B8" s="260" t="s">
        <v>2</v>
      </c>
      <c r="C8" s="385">
        <f t="shared" ca="1" si="4"/>
        <v>2.375</v>
      </c>
      <c r="D8" s="659" t="s">
        <v>275</v>
      </c>
      <c r="E8" s="210">
        <v>31</v>
      </c>
      <c r="F8" s="211">
        <f ca="1">18-41471+$D$1-112-112-112-112-112-112-112-112-112-112-112-112-112-112</f>
        <v>70</v>
      </c>
      <c r="G8" s="262" t="s">
        <v>502</v>
      </c>
      <c r="H8" s="394">
        <v>4</v>
      </c>
      <c r="I8" s="214">
        <v>7.5</v>
      </c>
      <c r="J8" s="487">
        <f t="shared" si="5"/>
        <v>1.2392252342857237</v>
      </c>
      <c r="K8" s="303">
        <f t="shared" si="6"/>
        <v>120</v>
      </c>
      <c r="L8" s="303">
        <f t="shared" si="7"/>
        <v>187.5</v>
      </c>
      <c r="M8" s="296">
        <v>6.7</v>
      </c>
      <c r="N8" s="446">
        <f t="shared" si="8"/>
        <v>86</v>
      </c>
      <c r="O8" s="446" t="s">
        <v>557</v>
      </c>
      <c r="P8" s="679">
        <v>1.5</v>
      </c>
      <c r="Q8" s="447">
        <v>3</v>
      </c>
      <c r="R8" s="501">
        <f t="shared" si="9"/>
        <v>0.65465367070797709</v>
      </c>
      <c r="S8" s="501">
        <f t="shared" si="10"/>
        <v>0.75498344352707503</v>
      </c>
      <c r="T8" s="628">
        <v>14890</v>
      </c>
      <c r="U8" s="627">
        <f t="shared" si="2"/>
        <v>-590</v>
      </c>
      <c r="V8" s="628">
        <v>3510</v>
      </c>
      <c r="W8" s="316">
        <f t="shared" si="3"/>
        <v>4.2421652421652425</v>
      </c>
      <c r="X8" s="486">
        <v>0</v>
      </c>
      <c r="Y8" s="487">
        <f>11+1/15*0.16</f>
        <v>11.010666666666667</v>
      </c>
      <c r="Z8" s="486">
        <f>4.61+0.04+0.04+0.04+0.04+0.25+0.14+0.13+0.13+0.12+0.12+0.12+0.04*55/90+0.025+0.13+0.02+0.02+0.02+0.02+0.02+0.01+0.01+0.01+0.12*0.5+0.01+0.02+0.01+0.01</f>
        <v>6.199444444444441</v>
      </c>
      <c r="AA8" s="487">
        <f>5.98+0.12*0.5</f>
        <v>6.04</v>
      </c>
      <c r="AB8" s="486">
        <f>3.88+0.33+(0.33/3)+(0.33/3)+0.31+0.31+0.04+0.3+0.28+0.28+0.28+0.25+0.25+0.2+0.15+0.15+0.02+0.12+0.12+0.11+0.11*35/90+0.08</f>
        <v>7.7227777777777789</v>
      </c>
      <c r="AC8" s="487">
        <f>3.82+0.06+0.06+0.06+0.06*80/90+0.06+0.05+0.05+0.05+0.02+0.2*0.5</f>
        <v>4.383333333333332</v>
      </c>
      <c r="AD8" s="486">
        <f>8.7+0.75+0.75+0.75+0.6+0.5+0.5+0.45*10/90+0.35+0.35+0.35+0.35+0.35+0.3+0.25+0.25+0.2</f>
        <v>15.349999999999998</v>
      </c>
      <c r="AE8" s="324">
        <v>1155</v>
      </c>
      <c r="AF8" s="604">
        <f t="shared" si="11"/>
        <v>5.8517329164267968</v>
      </c>
      <c r="AG8" s="604">
        <f t="shared" si="12"/>
        <v>6.7569991490496095</v>
      </c>
      <c r="AH8" s="316">
        <f t="shared" si="13"/>
        <v>2.8374243193008675</v>
      </c>
      <c r="AI8" s="316">
        <f t="shared" si="14"/>
        <v>9.2780929620245054</v>
      </c>
      <c r="AJ8" s="316">
        <f t="shared" si="15"/>
        <v>9.688367123259269</v>
      </c>
      <c r="AK8" s="316">
        <f t="shared" si="16"/>
        <v>0.89880468540952452</v>
      </c>
      <c r="AL8" s="316">
        <f t="shared" si="17"/>
        <v>1.0926724330666673</v>
      </c>
      <c r="AM8" s="311">
        <f t="shared" si="18"/>
        <v>11.794730442327728</v>
      </c>
      <c r="AN8" s="311">
        <f t="shared" si="19"/>
        <v>13.619381591793974</v>
      </c>
      <c r="AO8" s="447">
        <v>2</v>
      </c>
      <c r="AP8" s="447">
        <v>3</v>
      </c>
      <c r="AQ8" s="591">
        <f t="shared" si="20"/>
        <v>6.1499999999999999E-2</v>
      </c>
      <c r="AR8" s="254">
        <v>15480</v>
      </c>
      <c r="AS8">
        <f t="shared" si="21"/>
        <v>15480</v>
      </c>
      <c r="AT8" s="390">
        <f t="shared" si="22"/>
        <v>590</v>
      </c>
    </row>
    <row r="9" spans="1:46" s="246" customFormat="1" x14ac:dyDescent="0.25">
      <c r="A9" s="384" t="s">
        <v>504</v>
      </c>
      <c r="B9" s="384" t="s">
        <v>2</v>
      </c>
      <c r="C9" s="385">
        <f t="shared" ca="1" si="4"/>
        <v>2.7857142857142856</v>
      </c>
      <c r="D9" s="658" t="s">
        <v>269</v>
      </c>
      <c r="E9" s="387">
        <v>31</v>
      </c>
      <c r="F9" s="395">
        <f ca="1">84-41471+$D$1-112-112-112-112-112-112-112-112-112-112-112-112-112-112-112</f>
        <v>24</v>
      </c>
      <c r="G9" s="388"/>
      <c r="H9" s="394">
        <v>4</v>
      </c>
      <c r="I9" s="308">
        <v>12.2</v>
      </c>
      <c r="J9" s="487">
        <f t="shared" si="5"/>
        <v>1.4940985749411331</v>
      </c>
      <c r="K9" s="303">
        <f t="shared" si="6"/>
        <v>195.2</v>
      </c>
      <c r="L9" s="303">
        <f t="shared" si="7"/>
        <v>305</v>
      </c>
      <c r="M9" s="389">
        <v>7.3</v>
      </c>
      <c r="N9" s="446">
        <f t="shared" si="8"/>
        <v>92</v>
      </c>
      <c r="O9" s="446" t="s">
        <v>557</v>
      </c>
      <c r="P9" s="679">
        <v>1.5</v>
      </c>
      <c r="Q9" s="446">
        <v>5</v>
      </c>
      <c r="R9" s="501">
        <f t="shared" si="9"/>
        <v>0.84515425472851657</v>
      </c>
      <c r="S9" s="501">
        <f t="shared" si="10"/>
        <v>0.92504826128926143</v>
      </c>
      <c r="T9" s="324">
        <v>116890</v>
      </c>
      <c r="U9" s="627">
        <f t="shared" si="2"/>
        <v>-5080</v>
      </c>
      <c r="V9" s="324">
        <v>14670</v>
      </c>
      <c r="W9" s="316">
        <f t="shared" si="3"/>
        <v>7.9679618268575325</v>
      </c>
      <c r="X9" s="486">
        <v>0</v>
      </c>
      <c r="Y9" s="487">
        <f>9.9+0.14+0.14+0.14+0.14+0.13+0.13+0.13+0.12+0.12+0.09+0.09+0.09+0.09+0.08+0.08+0.08+0.08+0.08+0.07+0.07+0.07+0.07</f>
        <v>12.130000000000004</v>
      </c>
      <c r="Z9" s="486">
        <f>10.72+0.15+0.15+0.15+0.14+0.14+0.11+0.11+0.11+0.11+0.11+0.11+0.11+0.11*0.5+0.11*0.5+0.11*0.5+0.1+0.1*0.5+0.1*0.5+0.1*0.5+0.1*0.16+0.09+0.08+0.08+0.08*0.5+0.08+1/18+0.08*0.5+0.08*0.5</f>
        <v>13.156555555555553</v>
      </c>
      <c r="AA9" s="487">
        <f>8.8+0.14+0.14+0.14+0.13+0.12*0.5+0.12*0.5+0.12*0.5+0.12*0.5+0.12*0.5+0.12*0.5+0.11</f>
        <v>9.8200000000000056</v>
      </c>
      <c r="AB9" s="486">
        <f>4.57+0.36+0.36+0.36+0.36+0.25+0.25+0.25+0.25+0.25+0.25+0.25+0.25+0.2+0.2+0.15+0.15+0.14+0.12+0.12+0.11+0.11+0.08+0.07+0.07+0.07</f>
        <v>9.6</v>
      </c>
      <c r="AC9" s="487">
        <f>3+0.07+0.07+0.07+0.07+0.07+0.05+0.05+0.05+0.2*48/90+0.15*0.5</f>
        <v>3.6816666666666658</v>
      </c>
      <c r="AD9" s="486">
        <f>10.7+0.5+0.5*77/90+0.5+0.45+0.45+0.45+0.35+0.35+0.3+0.35+0.3+0.3+0.3+0.25+0.25+0.2+0.2</f>
        <v>16.627777777777773</v>
      </c>
      <c r="AE9" s="324">
        <v>1858</v>
      </c>
      <c r="AF9" s="604">
        <f t="shared" si="11"/>
        <v>13.649794055037965</v>
      </c>
      <c r="AG9" s="604">
        <f t="shared" si="12"/>
        <v>14.952600218488412</v>
      </c>
      <c r="AH9" s="316">
        <f t="shared" si="13"/>
        <v>4.2587635312135861</v>
      </c>
      <c r="AI9" s="316">
        <f t="shared" si="14"/>
        <v>12.063564740827296</v>
      </c>
      <c r="AJ9" s="316">
        <f t="shared" si="15"/>
        <v>13.301074018934147</v>
      </c>
      <c r="AK9" s="316">
        <f t="shared" si="16"/>
        <v>0.92244455266195724</v>
      </c>
      <c r="AL9" s="316">
        <f t="shared" si="17"/>
        <v>1.1936202335792128</v>
      </c>
      <c r="AM9" s="311">
        <f t="shared" si="18"/>
        <v>16.544957361743155</v>
      </c>
      <c r="AN9" s="311">
        <f t="shared" si="19"/>
        <v>18.124092719975774</v>
      </c>
      <c r="AO9" s="446">
        <v>2</v>
      </c>
      <c r="AP9" s="446">
        <v>3</v>
      </c>
      <c r="AQ9" s="591">
        <f t="shared" si="20"/>
        <v>6.1499999999999999E-2</v>
      </c>
      <c r="AR9" s="246">
        <v>121970</v>
      </c>
      <c r="AS9">
        <f t="shared" si="21"/>
        <v>121970</v>
      </c>
      <c r="AT9" s="390">
        <f t="shared" si="22"/>
        <v>5080</v>
      </c>
    </row>
    <row r="10" spans="1:46" s="247" customFormat="1" x14ac:dyDescent="0.25">
      <c r="A10" s="384" t="s">
        <v>405</v>
      </c>
      <c r="B10" s="260" t="s">
        <v>2</v>
      </c>
      <c r="C10" s="385">
        <f t="shared" ca="1" si="4"/>
        <v>2.9196428571428572</v>
      </c>
      <c r="D10" s="659" t="s">
        <v>273</v>
      </c>
      <c r="E10" s="210">
        <v>31</v>
      </c>
      <c r="F10" s="211">
        <f ca="1">69-41471+$D$1-112-112-112-112-112-112-112-112-112-112-112-112-112-112-112</f>
        <v>9</v>
      </c>
      <c r="G10" s="262"/>
      <c r="H10" s="371">
        <v>3</v>
      </c>
      <c r="I10" s="214">
        <v>9.3000000000000007</v>
      </c>
      <c r="J10" s="487">
        <f t="shared" si="5"/>
        <v>1.3504496329402296</v>
      </c>
      <c r="K10" s="303">
        <f t="shared" si="6"/>
        <v>83.7</v>
      </c>
      <c r="L10" s="303">
        <f t="shared" si="7"/>
        <v>148.80000000000001</v>
      </c>
      <c r="M10" s="296">
        <v>7.1</v>
      </c>
      <c r="N10" s="446">
        <f t="shared" si="8"/>
        <v>90</v>
      </c>
      <c r="O10" s="446" t="s">
        <v>557</v>
      </c>
      <c r="P10" s="679">
        <v>1.5</v>
      </c>
      <c r="Q10" s="447">
        <v>7</v>
      </c>
      <c r="R10" s="501">
        <f t="shared" si="9"/>
        <v>1</v>
      </c>
      <c r="S10" s="501">
        <f t="shared" si="10"/>
        <v>1</v>
      </c>
      <c r="T10" s="324">
        <v>39540</v>
      </c>
      <c r="U10" s="627">
        <f t="shared" si="2"/>
        <v>500</v>
      </c>
      <c r="V10" s="628">
        <v>5350</v>
      </c>
      <c r="W10" s="316">
        <f t="shared" si="3"/>
        <v>7.3906542056074764</v>
      </c>
      <c r="X10" s="486">
        <v>0</v>
      </c>
      <c r="Y10" s="487">
        <f>9+0.15+0.15+0.15+0.15+0.15+0.15+0.15+0.15+0.15+0.12+0.12+0.12+0.12+0.12+0.1+0.1+0.1+0.1+0.1+0.1+0.1+0.1</f>
        <v>11.749999999999996</v>
      </c>
      <c r="Z10" s="486">
        <f>5.99+0.04+0.04+(0.04/90*75)+(0.25*15/90)+0.03+0.03+(0.03*20/90)+0.03+0.03+(0.22*0.5*30/90)+(0.22/16*60/90)+0.03+0.03+0.22*0.5+0.2*0.5+0.03+0.22*0.5+0.03+0.03+0.03+0.01+0.01+0.01+0.01+0.01+1/8*0.5+0.01+1/8*0.5</f>
        <v>7.0025000000000022</v>
      </c>
      <c r="AA10" s="487">
        <f>6.18+0.2+0.2+0.2+0.15*0.5+0.15*0.5+0.15*0.5+0.15*0.5+0.14*0.5+0.14*0.5+0.14+0.14*0.5</f>
        <v>7.4300000000000015</v>
      </c>
      <c r="AB10" s="486">
        <f>4.3+0.35+0.35+0.35+0.33+0.32+0.3+0.27+0.27+0.26+0.2+0.2+0.2+0.2+0.15+0.15+0.14+0.12+0.12+0.11+0.11+0.08+0.07+0.07</f>
        <v>9.0199999999999978</v>
      </c>
      <c r="AC10" s="487">
        <f>4.06+0.06+0.06+0.06+0.06+0.06*75/90+0.05+0.05+0.05+0.02+0.2*0.5</f>
        <v>4.6199999999999966</v>
      </c>
      <c r="AD10" s="486">
        <f>8.4+0.67+0.67+0.67+0.67+0.67+0.5+0.45+0.35+0.35+0.35+0.3+0.3+0.3+0.25+0.25+0.25+0.2</f>
        <v>15.6</v>
      </c>
      <c r="AE10" s="324">
        <v>1308</v>
      </c>
      <c r="AF10" s="604">
        <f t="shared" si="11"/>
        <v>9.8529496329402306</v>
      </c>
      <c r="AG10" s="604">
        <f t="shared" si="12"/>
        <v>9.8529496329402306</v>
      </c>
      <c r="AH10" s="316">
        <f t="shared" si="13"/>
        <v>4.7926686123525855</v>
      </c>
      <c r="AI10" s="316">
        <f t="shared" si="14"/>
        <v>14.948693688797904</v>
      </c>
      <c r="AJ10" s="316">
        <f t="shared" si="15"/>
        <v>15.156449632940229</v>
      </c>
      <c r="AK10" s="316">
        <f t="shared" si="16"/>
        <v>0.92703597063521814</v>
      </c>
      <c r="AL10" s="316">
        <f t="shared" si="17"/>
        <v>1.1375314743058158</v>
      </c>
      <c r="AM10" s="311">
        <f t="shared" si="18"/>
        <v>18.391310598071914</v>
      </c>
      <c r="AN10" s="311">
        <f t="shared" si="19"/>
        <v>18.391310598071914</v>
      </c>
      <c r="AO10" s="447">
        <v>3</v>
      </c>
      <c r="AP10" s="447">
        <v>2</v>
      </c>
      <c r="AQ10" s="591">
        <f t="shared" si="20"/>
        <v>0.1158</v>
      </c>
      <c r="AR10" s="247">
        <v>39040</v>
      </c>
      <c r="AS10">
        <f t="shared" si="21"/>
        <v>39040</v>
      </c>
      <c r="AT10" s="390">
        <f t="shared" si="22"/>
        <v>-500</v>
      </c>
    </row>
    <row r="11" spans="1:46" s="264" customFormat="1" x14ac:dyDescent="0.25">
      <c r="A11" s="304" t="s">
        <v>495</v>
      </c>
      <c r="B11" s="260" t="s">
        <v>2</v>
      </c>
      <c r="C11" s="385">
        <f t="shared" ca="1" si="4"/>
        <v>6.7142857142857144</v>
      </c>
      <c r="D11" s="659" t="s">
        <v>567</v>
      </c>
      <c r="E11" s="210">
        <v>27</v>
      </c>
      <c r="F11" s="211">
        <f ca="1">75-41471+$D$1-24-112-10-112-112+6-112-112-112+45-112-112-112-112-112-112-112-112-112</f>
        <v>32</v>
      </c>
      <c r="G11" s="262"/>
      <c r="H11" s="394">
        <v>4</v>
      </c>
      <c r="I11" s="214">
        <v>4.9000000000000004</v>
      </c>
      <c r="J11" s="487">
        <f t="shared" si="5"/>
        <v>1.0278026821895256</v>
      </c>
      <c r="K11" s="303">
        <f t="shared" si="6"/>
        <v>78.400000000000006</v>
      </c>
      <c r="L11" s="303">
        <f t="shared" si="7"/>
        <v>122.50000000000001</v>
      </c>
      <c r="M11" s="296">
        <v>7.3</v>
      </c>
      <c r="N11" s="446">
        <f t="shared" si="8"/>
        <v>92</v>
      </c>
      <c r="O11" s="446" t="s">
        <v>557</v>
      </c>
      <c r="P11" s="679">
        <v>1.5</v>
      </c>
      <c r="Q11" s="447">
        <v>7</v>
      </c>
      <c r="R11" s="501">
        <f t="shared" si="9"/>
        <v>1</v>
      </c>
      <c r="S11" s="501">
        <f t="shared" si="10"/>
        <v>1</v>
      </c>
      <c r="T11" s="628">
        <v>39230</v>
      </c>
      <c r="U11" s="627">
        <f t="shared" si="2"/>
        <v>920</v>
      </c>
      <c r="V11" s="628">
        <v>2510</v>
      </c>
      <c r="W11" s="316">
        <f t="shared" si="3"/>
        <v>15.629482071713147</v>
      </c>
      <c r="X11" s="486">
        <v>0</v>
      </c>
      <c r="Y11" s="487">
        <f>6.51+0.25+0.25+0.25+0.2+0.2+0.2+0.2+0.19+0.19+0.17+0.16+0.16+0.03+0.16+0.15*33/90+0.14+0.13+0.13*36/90+0.02+0.12*32/90+0.02+0.02</f>
        <v>9.5996666666666659</v>
      </c>
      <c r="Z11" s="486">
        <f>6.92+0.04+0.04+0.04+0.13+0.04+0.03+0.03+(0.25*30/90*0.5)+(0.25*60/90*0.16)+0.03+0.03+0.25*0.5*1/90+0.026+0.03+0.03+0.03+0.03+0.25*0.5+0.02+0.02+0.02+0.01+0.01</f>
        <v>7.7507222222222225</v>
      </c>
      <c r="AA11" s="487">
        <f>5.8+0.05+0.05+0.05+0.05+0.04+0.04+0.03+0.02+0.02</f>
        <v>6.1499999999999986</v>
      </c>
      <c r="AB11" s="486">
        <f>4.28+(0.4/3)+0.4+0.4+0.35+0.35+0.35+0.35+0.3+0.3+0.25+0.25+0.25+0.2+0.04+0.17+0.16+0.03+0.15+0.13+0.02</f>
        <v>8.8633333333333315</v>
      </c>
      <c r="AC11" s="487">
        <f>2.7+0.08+0.08+0.08+0.08+0.08+0.06+0.06+0.06*10/90+0.03</f>
        <v>3.2566666666666673</v>
      </c>
      <c r="AD11" s="486">
        <f>9+1*5/90+0.85+0.85*30/90+0.65+0.55+0.5+0.4+0.35+0.35+0.25</f>
        <v>13.238888888888889</v>
      </c>
      <c r="AE11" s="324">
        <v>1011</v>
      </c>
      <c r="AF11" s="604">
        <f t="shared" si="11"/>
        <v>10.278524904411748</v>
      </c>
      <c r="AG11" s="604">
        <f t="shared" si="12"/>
        <v>10.278524904411748</v>
      </c>
      <c r="AH11" s="316">
        <f t="shared" si="13"/>
        <v>4.3637176724877378</v>
      </c>
      <c r="AI11" s="316">
        <f t="shared" si="14"/>
        <v>10.673899483194409</v>
      </c>
      <c r="AJ11" s="316">
        <f t="shared" si="15"/>
        <v>12.772024904411747</v>
      </c>
      <c r="AK11" s="316">
        <f t="shared" si="16"/>
        <v>0.7622242145751621</v>
      </c>
      <c r="AL11" s="316">
        <f t="shared" si="17"/>
        <v>0.95809952108660001</v>
      </c>
      <c r="AM11" s="311">
        <f t="shared" si="18"/>
        <v>15.659150328926907</v>
      </c>
      <c r="AN11" s="311">
        <f t="shared" si="19"/>
        <v>15.659150328926907</v>
      </c>
      <c r="AO11" s="447">
        <v>3</v>
      </c>
      <c r="AP11" s="447">
        <v>2</v>
      </c>
      <c r="AQ11" s="591">
        <f t="shared" si="20"/>
        <v>0.1158</v>
      </c>
      <c r="AR11" s="264">
        <v>38310</v>
      </c>
      <c r="AS11">
        <f t="shared" si="21"/>
        <v>38310</v>
      </c>
      <c r="AT11" s="390">
        <f t="shared" si="22"/>
        <v>-920</v>
      </c>
    </row>
    <row r="12" spans="1:46" s="264" customFormat="1" x14ac:dyDescent="0.25">
      <c r="A12" s="384" t="s">
        <v>408</v>
      </c>
      <c r="B12" s="384" t="s">
        <v>65</v>
      </c>
      <c r="C12" s="385">
        <f t="shared" ca="1" si="4"/>
        <v>3.125</v>
      </c>
      <c r="D12" s="658" t="s">
        <v>817</v>
      </c>
      <c r="E12" s="387">
        <v>30</v>
      </c>
      <c r="F12" s="211">
        <f ca="1">46-41471+$D$1-112-112-112-112-112-112-112-112-112-112-112-112-112-112</f>
        <v>98</v>
      </c>
      <c r="G12" s="388" t="s">
        <v>271</v>
      </c>
      <c r="H12" s="371">
        <v>0</v>
      </c>
      <c r="I12" s="308">
        <v>12.3</v>
      </c>
      <c r="J12" s="487">
        <f t="shared" si="5"/>
        <v>1.4984688546227811</v>
      </c>
      <c r="K12" s="303">
        <f t="shared" si="6"/>
        <v>0</v>
      </c>
      <c r="L12" s="303">
        <f t="shared" si="7"/>
        <v>12.3</v>
      </c>
      <c r="M12" s="389">
        <v>7.4</v>
      </c>
      <c r="N12" s="446">
        <f t="shared" si="8"/>
        <v>93</v>
      </c>
      <c r="O12" s="446" t="s">
        <v>557</v>
      </c>
      <c r="P12" s="679">
        <v>1.5</v>
      </c>
      <c r="Q12" s="446">
        <v>3</v>
      </c>
      <c r="R12" s="501">
        <f t="shared" si="9"/>
        <v>0.65465367070797709</v>
      </c>
      <c r="S12" s="501">
        <f t="shared" si="10"/>
        <v>0.75498344352707503</v>
      </c>
      <c r="T12" s="324">
        <v>183780</v>
      </c>
      <c r="U12" s="627">
        <f t="shared" si="2"/>
        <v>-2540</v>
      </c>
      <c r="V12" s="324">
        <v>15530</v>
      </c>
      <c r="W12" s="316">
        <f t="shared" si="3"/>
        <v>11.833869929169349</v>
      </c>
      <c r="X12" s="486">
        <v>0</v>
      </c>
      <c r="Y12" s="487">
        <f>11.95+1/18</f>
        <v>12.005555555555555</v>
      </c>
      <c r="Z12" s="486">
        <f>9.9+0.17+(0.17/90*26)+0.17+0.15+0.15+0.15+0.13+0.13+(1/8)+0.13+0.13+0.13*0.5+0.11+0.11+0.11*0.5+0.11*0.5+0.1*0.5+0.1*0.5+0.1+0.1+0.1*0.5+0.09+0.09*0.5+0.09*0.5+0.09*0.5+0.09*0.5+0.09*0.5+0.09*0.5+0.09*0.5</f>
        <v>12.534111111111114</v>
      </c>
      <c r="AA12" s="487">
        <f>13.05+1/12</f>
        <v>13.133333333333335</v>
      </c>
      <c r="AB12" s="486">
        <f>10.7+0.07+0.07+0.07</f>
        <v>10.91</v>
      </c>
      <c r="AC12" s="487">
        <f>5.71+0.29+0.29+0.29+0.25+0.25+0.2+0.2+0.2+0.015+0.15*0.5</f>
        <v>7.7700000000000005</v>
      </c>
      <c r="AD12" s="486">
        <f>10.8+0.67+0.55+0.55+0.45+0.45+0.4+0.4+0.35+0.35+0.33+0.33+0.3+0.3+0.25+0.25+0.2+0.2</f>
        <v>17.13</v>
      </c>
      <c r="AE12" s="324">
        <v>2204</v>
      </c>
      <c r="AF12" s="604">
        <f t="shared" si="11"/>
        <v>10.16846049013288</v>
      </c>
      <c r="AG12" s="604">
        <f t="shared" si="12"/>
        <v>11.741526802444584</v>
      </c>
      <c r="AH12" s="316">
        <f t="shared" si="13"/>
        <v>3.5041125043410113</v>
      </c>
      <c r="AI12" s="316">
        <f t="shared" si="14"/>
        <v>13.974444235943199</v>
      </c>
      <c r="AJ12" s="316">
        <f t="shared" si="15"/>
        <v>11.338908514061995</v>
      </c>
      <c r="AK12" s="316">
        <f t="shared" si="16"/>
        <v>1.1422775083698222</v>
      </c>
      <c r="AL12" s="316">
        <f t="shared" si="17"/>
        <v>1.2040150420458169</v>
      </c>
      <c r="AM12" s="311">
        <f t="shared" si="18"/>
        <v>13.147545061192531</v>
      </c>
      <c r="AN12" s="311">
        <f t="shared" si="19"/>
        <v>15.181477360524486</v>
      </c>
      <c r="AO12" s="446">
        <v>1</v>
      </c>
      <c r="AP12" s="446">
        <v>2</v>
      </c>
      <c r="AQ12" s="591">
        <f t="shared" si="20"/>
        <v>4.9399999999999999E-2</v>
      </c>
      <c r="AR12" s="264">
        <v>186320</v>
      </c>
      <c r="AS12">
        <f t="shared" si="21"/>
        <v>186320</v>
      </c>
      <c r="AT12" s="390">
        <f t="shared" si="22"/>
        <v>2540</v>
      </c>
    </row>
    <row r="13" spans="1:46" s="254" customFormat="1" x14ac:dyDescent="0.25">
      <c r="A13" s="384" t="s">
        <v>410</v>
      </c>
      <c r="B13" s="384" t="s">
        <v>65</v>
      </c>
      <c r="C13" s="385">
        <f t="shared" ca="1" si="4"/>
        <v>3.5982142857142856</v>
      </c>
      <c r="D13" s="658" t="s">
        <v>298</v>
      </c>
      <c r="E13" s="387">
        <v>30</v>
      </c>
      <c r="F13" s="395">
        <f ca="1">75-41471+$D$1-24-112-10-112-40-8-112-112-112-112-112-112-112-112-112-112-112-112</f>
        <v>45</v>
      </c>
      <c r="G13" s="388" t="s">
        <v>268</v>
      </c>
      <c r="H13" s="371">
        <v>2</v>
      </c>
      <c r="I13" s="308">
        <v>10.3</v>
      </c>
      <c r="J13" s="487">
        <f t="shared" si="5"/>
        <v>1.4041045913112262</v>
      </c>
      <c r="K13" s="303">
        <f t="shared" si="6"/>
        <v>41.2</v>
      </c>
      <c r="L13" s="303">
        <f t="shared" si="7"/>
        <v>92.7</v>
      </c>
      <c r="M13" s="389">
        <v>7.6</v>
      </c>
      <c r="N13" s="446">
        <f t="shared" si="8"/>
        <v>95</v>
      </c>
      <c r="O13" s="446" t="s">
        <v>557</v>
      </c>
      <c r="P13" s="679">
        <v>1.5</v>
      </c>
      <c r="Q13" s="446">
        <v>5</v>
      </c>
      <c r="R13" s="501">
        <f t="shared" si="9"/>
        <v>0.84515425472851657</v>
      </c>
      <c r="S13" s="501">
        <f t="shared" si="10"/>
        <v>0.92504826128926143</v>
      </c>
      <c r="T13" s="324">
        <v>97500</v>
      </c>
      <c r="U13" s="627">
        <f t="shared" si="2"/>
        <v>-570</v>
      </c>
      <c r="V13" s="324">
        <v>10060</v>
      </c>
      <c r="W13" s="316">
        <f t="shared" si="3"/>
        <v>9.6918489065606366</v>
      </c>
      <c r="X13" s="486">
        <v>0</v>
      </c>
      <c r="Y13" s="487">
        <f>7+0.11+0.11</f>
        <v>7.2200000000000006</v>
      </c>
      <c r="Z13" s="486">
        <f>10+0.1*0.5+0.1*0.5+0.1*0.5+0.1*0.5+0.1*0.5+0.1+0.1+0.1*0.5</f>
        <v>10.500000000000004</v>
      </c>
      <c r="AA13" s="487">
        <f>12+0.165+0.15+0.15+0.15+0.13+0.13+0.12+0.11+0.1+0.1+1/12</f>
        <v>13.388333333333334</v>
      </c>
      <c r="AB13" s="486">
        <f>6.1+0.33+0.3+0.3+0.25+0.25+0.25+0.25+0.25+0.2+0.2+0.2+0.2+0.15+0.13+0.13+0.13+0.12+0.12+0.11+0.1+0.08+0.07+0.07+0.07</f>
        <v>10.359999999999998</v>
      </c>
      <c r="AC13" s="487">
        <f>2.7+0.06+0.33+0.33+0.33+0.33+0.33+0.33+0.33+0.25+0.17*0.5</f>
        <v>5.4050000000000002</v>
      </c>
      <c r="AD13" s="486">
        <f>11.48+0.6+0.6*1.25+0.5+0.5+0.39+0.39+0.39+0.3+0.3+0.3+0.25+0.25+0.25+0.25+0.2+0.2</f>
        <v>17.300000000000004</v>
      </c>
      <c r="AE13" s="324">
        <v>1615</v>
      </c>
      <c r="AF13" s="604">
        <f t="shared" si="11"/>
        <v>11.328536026172729</v>
      </c>
      <c r="AG13" s="604">
        <f t="shared" si="12"/>
        <v>12.409789450089477</v>
      </c>
      <c r="AH13" s="316">
        <f t="shared" si="13"/>
        <v>3.8721073664605816</v>
      </c>
      <c r="AI13" s="316">
        <f t="shared" si="14"/>
        <v>14.625708054372277</v>
      </c>
      <c r="AJ13" s="316">
        <f t="shared" si="15"/>
        <v>14.059652000327929</v>
      </c>
      <c r="AK13" s="316">
        <f t="shared" si="16"/>
        <v>1.0215783673048981</v>
      </c>
      <c r="AL13" s="316">
        <f t="shared" si="17"/>
        <v>1.0110873213917859</v>
      </c>
      <c r="AM13" s="311">
        <f t="shared" si="18"/>
        <v>17.030238241972114</v>
      </c>
      <c r="AN13" s="311">
        <f t="shared" si="19"/>
        <v>18.6556912896305</v>
      </c>
      <c r="AO13" s="446">
        <v>4</v>
      </c>
      <c r="AP13" s="446">
        <v>4</v>
      </c>
      <c r="AQ13" s="591">
        <f t="shared" si="20"/>
        <v>0.157</v>
      </c>
      <c r="AR13" s="254">
        <v>98070</v>
      </c>
      <c r="AS13">
        <f t="shared" si="21"/>
        <v>98070</v>
      </c>
      <c r="AT13" s="390">
        <f t="shared" si="22"/>
        <v>570</v>
      </c>
    </row>
    <row r="14" spans="1:46" s="263" customFormat="1" x14ac:dyDescent="0.25">
      <c r="A14" s="384" t="s">
        <v>409</v>
      </c>
      <c r="B14" s="384" t="s">
        <v>65</v>
      </c>
      <c r="C14" s="385">
        <f t="shared" ca="1" si="4"/>
        <v>6.4642857142857144</v>
      </c>
      <c r="D14" s="658" t="s">
        <v>507</v>
      </c>
      <c r="E14" s="387">
        <v>27</v>
      </c>
      <c r="F14" s="211">
        <f ca="1">7-41471+$D$1-112-111-112+4-112-116-112-112-112-112-112-112-112-112-112</f>
        <v>60</v>
      </c>
      <c r="G14" s="388" t="s">
        <v>502</v>
      </c>
      <c r="H14" s="371">
        <v>2</v>
      </c>
      <c r="I14" s="308">
        <v>8.6999999999999993</v>
      </c>
      <c r="J14" s="487">
        <f t="shared" si="5"/>
        <v>1.3156956456883264</v>
      </c>
      <c r="K14" s="303">
        <f t="shared" si="6"/>
        <v>34.799999999999997</v>
      </c>
      <c r="L14" s="303">
        <f t="shared" si="7"/>
        <v>78.3</v>
      </c>
      <c r="M14" s="389">
        <v>7.9</v>
      </c>
      <c r="N14" s="446">
        <f t="shared" si="8"/>
        <v>98</v>
      </c>
      <c r="O14" s="446" t="s">
        <v>557</v>
      </c>
      <c r="P14" s="679">
        <v>1.5</v>
      </c>
      <c r="Q14" s="446">
        <v>4</v>
      </c>
      <c r="R14" s="501">
        <f t="shared" si="9"/>
        <v>0.7559289460184544</v>
      </c>
      <c r="S14" s="501">
        <f t="shared" si="10"/>
        <v>0.84430867747355465</v>
      </c>
      <c r="T14" s="324">
        <v>190050</v>
      </c>
      <c r="U14" s="627">
        <f t="shared" si="2"/>
        <v>-4420</v>
      </c>
      <c r="V14" s="324">
        <v>12550</v>
      </c>
      <c r="W14" s="316">
        <f t="shared" si="3"/>
        <v>15.143426294820717</v>
      </c>
      <c r="X14" s="486">
        <v>0</v>
      </c>
      <c r="Y14" s="487">
        <f>8+0.12+0.12</f>
        <v>8.2399999999999984</v>
      </c>
      <c r="Z14" s="486">
        <f>8.4+0.22+0.22+(0.22*75/90)+(0.05*15/90)+0.17+0.17+0.17+0.17+0.17+1/7+0.16+0.16+0.16+0.125+0.16+0.16+0.14+0.14+0.05*61/90+0.11+0.11*0.5+0.11+0.11+0.11+0.1+0.1+0.1*0.5+0.1*0.5+0.1</f>
        <v>12.158412698412699</v>
      </c>
      <c r="AA14" s="487">
        <f>10.6+0.21+0.2+0.18+0.17+0.17+0.03+0.15+0.15+0.14+0.13+0.12</f>
        <v>12.25</v>
      </c>
      <c r="AB14" s="486">
        <f>6+0.33+0.33+0.33+0.3+0.25+0.25+0.24+0.24+0.23+0.2+0.2+0.18+0.15+0.15+0.15+0.15+0.13+0.13+0.12+0.1+0.08</f>
        <v>10.24</v>
      </c>
      <c r="AC14" s="487">
        <f>4.7+0.33+0.33+(0.33*85/90)+0.33+0.32+0.3+0.3+0.27+0.21+0.15*0.5</f>
        <v>7.4766666666666666</v>
      </c>
      <c r="AD14" s="486">
        <f>9+0.67+0.67+0.67+0.55+0.55+0.45+0.45*70/90+0.4+0.35+0.35+0.3+0.25+0.25+0.25+0.21</f>
        <v>15.270000000000001</v>
      </c>
      <c r="AE14" s="324">
        <v>1775</v>
      </c>
      <c r="AF14" s="604">
        <f t="shared" si="11"/>
        <v>11.31936193812243</v>
      </c>
      <c r="AG14" s="604">
        <f t="shared" si="12"/>
        <v>12.655431377782763</v>
      </c>
      <c r="AH14" s="316">
        <f t="shared" si="13"/>
        <v>3.5119596068639742</v>
      </c>
      <c r="AI14" s="316">
        <f t="shared" si="14"/>
        <v>14.689554503759226</v>
      </c>
      <c r="AJ14" s="316">
        <f t="shared" si="15"/>
        <v>11.904138971664581</v>
      </c>
      <c r="AK14" s="316">
        <f t="shared" si="16"/>
        <v>1.0571889849883995</v>
      </c>
      <c r="AL14" s="316">
        <f t="shared" si="17"/>
        <v>0.98479869519818275</v>
      </c>
      <c r="AM14" s="311">
        <f t="shared" si="18"/>
        <v>13.623874822590867</v>
      </c>
      <c r="AN14" s="311">
        <f t="shared" si="19"/>
        <v>15.231955110130535</v>
      </c>
      <c r="AO14" s="446">
        <v>3</v>
      </c>
      <c r="AP14" s="446">
        <v>2</v>
      </c>
      <c r="AQ14" s="591">
        <f t="shared" si="20"/>
        <v>0.1158</v>
      </c>
      <c r="AR14" s="263">
        <v>194470</v>
      </c>
      <c r="AS14">
        <f t="shared" si="21"/>
        <v>194470</v>
      </c>
      <c r="AT14" s="390">
        <f t="shared" si="22"/>
        <v>4420</v>
      </c>
    </row>
    <row r="15" spans="1:46" s="264" customFormat="1" x14ac:dyDescent="0.25">
      <c r="A15" s="384" t="s">
        <v>406</v>
      </c>
      <c r="B15" s="260" t="s">
        <v>64</v>
      </c>
      <c r="C15" s="385">
        <f t="shared" ca="1" si="4"/>
        <v>4.4910714285714288</v>
      </c>
      <c r="D15" s="659" t="s">
        <v>618</v>
      </c>
      <c r="E15" s="210">
        <v>29</v>
      </c>
      <c r="F15" s="211">
        <f ca="1">7-41471+$D$1-112-111-3-112-112-112-112-112-112-112-112-112-112-112-112</f>
        <v>57</v>
      </c>
      <c r="G15" s="388" t="s">
        <v>268</v>
      </c>
      <c r="H15" s="371">
        <v>3</v>
      </c>
      <c r="I15" s="214">
        <v>10.4</v>
      </c>
      <c r="J15" s="487">
        <f t="shared" si="5"/>
        <v>1.4092064684486303</v>
      </c>
      <c r="K15" s="303">
        <f t="shared" si="6"/>
        <v>93.600000000000009</v>
      </c>
      <c r="L15" s="303">
        <f t="shared" si="7"/>
        <v>166.4</v>
      </c>
      <c r="M15" s="296">
        <v>7.8</v>
      </c>
      <c r="N15" s="446">
        <f t="shared" si="8"/>
        <v>97</v>
      </c>
      <c r="O15" s="446" t="s">
        <v>557</v>
      </c>
      <c r="P15" s="679">
        <v>1.5</v>
      </c>
      <c r="Q15" s="447">
        <v>5</v>
      </c>
      <c r="R15" s="501">
        <f t="shared" si="9"/>
        <v>0.84515425472851657</v>
      </c>
      <c r="S15" s="501">
        <f t="shared" si="10"/>
        <v>0.92504826128926143</v>
      </c>
      <c r="T15" s="324">
        <v>206690</v>
      </c>
      <c r="U15" s="627">
        <f t="shared" si="2"/>
        <v>-6140</v>
      </c>
      <c r="V15" s="628">
        <v>21080</v>
      </c>
      <c r="W15" s="316">
        <f t="shared" si="3"/>
        <v>9.8050284629981022</v>
      </c>
      <c r="X15" s="486">
        <v>0</v>
      </c>
      <c r="Y15" s="487">
        <f>5.6+0.26+0.26+0.26+(0.26*23/90)+(0.05*(90-23)/90)+0.26+0.26+0.23+0.23+0.22+0.15+0.15+0.14+0.13+0.13+0.13+0.12+0.12+0.12+0.02+0.1+0.1+0.1+0.01</f>
        <v>9.2036666666666651</v>
      </c>
      <c r="Z15" s="486">
        <f>13+0.1+0.1+0.1+0.1+0.1+0.1+0.08+0.08</f>
        <v>13.759999999999998</v>
      </c>
      <c r="AA15" s="487">
        <f>11.58+0.17+(0.17/2)+0.17+0.15+0.03+0.15+0.14+0.13+0.12+0.11</f>
        <v>12.835000000000001</v>
      </c>
      <c r="AB15" s="486">
        <f>5.21+0.4+0.4+0.33+0.33+0.33+0.33+0.3+0.3+0.23+0.23+0.22*30/90+0.15+0.15+0.15+0.13+0.12+0.11+0.11+0.08+0.07+0.07+0.07</f>
        <v>9.6733333333333356</v>
      </c>
      <c r="AC15" s="487">
        <f>2.9+0.33+(0.33*46/90)+0.03+0.07+0.07+(0.33*33/90)+0.33+0.33+0.33+0.25+0.2*0.5</f>
        <v>5.0296666666666656</v>
      </c>
      <c r="AD15" s="486">
        <f>15+0.2</f>
        <v>15.2</v>
      </c>
      <c r="AE15" s="324">
        <v>1791</v>
      </c>
      <c r="AF15" s="604">
        <f t="shared" si="11"/>
        <v>14.088050769757468</v>
      </c>
      <c r="AG15" s="604">
        <f t="shared" si="12"/>
        <v>15.432686395748368</v>
      </c>
      <c r="AH15" s="316">
        <f t="shared" si="13"/>
        <v>3.9382025455829131</v>
      </c>
      <c r="AI15" s="316">
        <f t="shared" si="14"/>
        <v>13.132507954276599</v>
      </c>
      <c r="AJ15" s="316">
        <f t="shared" si="15"/>
        <v>12.726422749964355</v>
      </c>
      <c r="AK15" s="316">
        <f t="shared" si="16"/>
        <v>0.94021985080922366</v>
      </c>
      <c r="AL15" s="316">
        <f t="shared" si="17"/>
        <v>1.0277911194580707</v>
      </c>
      <c r="AM15" s="311">
        <f t="shared" si="18"/>
        <v>15.260142792511715</v>
      </c>
      <c r="AN15" s="311">
        <f t="shared" si="19"/>
        <v>16.716648876417086</v>
      </c>
      <c r="AO15" s="447">
        <v>3</v>
      </c>
      <c r="AP15" s="447">
        <v>3</v>
      </c>
      <c r="AQ15" s="591">
        <f t="shared" si="20"/>
        <v>0.1158</v>
      </c>
      <c r="AR15" s="264">
        <v>212830</v>
      </c>
      <c r="AS15">
        <f t="shared" si="21"/>
        <v>212830</v>
      </c>
      <c r="AT15" s="390">
        <f t="shared" si="22"/>
        <v>6140</v>
      </c>
    </row>
    <row r="16" spans="1:46" x14ac:dyDescent="0.25">
      <c r="A16" s="305" t="s">
        <v>407</v>
      </c>
      <c r="B16" s="384" t="s">
        <v>64</v>
      </c>
      <c r="C16" s="385">
        <f t="shared" ca="1" si="4"/>
        <v>2.1875</v>
      </c>
      <c r="D16" s="658" t="s">
        <v>285</v>
      </c>
      <c r="E16" s="387">
        <v>31</v>
      </c>
      <c r="F16" s="395">
        <f ca="1">33-41471+$D$1-112+6-112-112-112-112-112-112-112-112-112-112-112-112-112</f>
        <v>91</v>
      </c>
      <c r="G16" s="388" t="s">
        <v>268</v>
      </c>
      <c r="H16" s="394">
        <v>4</v>
      </c>
      <c r="I16" s="308">
        <v>11</v>
      </c>
      <c r="J16" s="487">
        <f t="shared" si="5"/>
        <v>1.4389083280634998</v>
      </c>
      <c r="K16" s="303">
        <f t="shared" si="6"/>
        <v>176</v>
      </c>
      <c r="L16" s="303">
        <f t="shared" si="7"/>
        <v>275</v>
      </c>
      <c r="M16" s="389">
        <v>7.1</v>
      </c>
      <c r="N16" s="446">
        <f t="shared" si="8"/>
        <v>90</v>
      </c>
      <c r="O16" s="446" t="s">
        <v>557</v>
      </c>
      <c r="P16" s="679">
        <v>1.5</v>
      </c>
      <c r="Q16" s="446">
        <v>5</v>
      </c>
      <c r="R16" s="501">
        <f t="shared" si="9"/>
        <v>0.84515425472851657</v>
      </c>
      <c r="S16" s="501">
        <f t="shared" si="10"/>
        <v>0.92504826128926143</v>
      </c>
      <c r="T16" s="324">
        <v>98450</v>
      </c>
      <c r="U16" s="627">
        <f t="shared" si="2"/>
        <v>500</v>
      </c>
      <c r="V16" s="324">
        <v>16970</v>
      </c>
      <c r="W16" s="316">
        <f t="shared" si="3"/>
        <v>5.8014142604596346</v>
      </c>
      <c r="X16" s="486">
        <v>0</v>
      </c>
      <c r="Y16" s="487">
        <f>5.25+0.25+0.25+0.25+0.24+0.24+0.24+0.24+0.23+0.22+0.17+(0.17*25/90)+0.16+0.16+0.03+0.15+0.14+0.14+0.13+0.02+0.11*33/90+0.01+0.01</f>
        <v>8.6175555555555583</v>
      </c>
      <c r="Z16" s="486">
        <f>11.65+0.13+0.13+0.13+0.11+0.11+0.11+0.1+0.1+0.1+0.1+0.1+0.1+0.1+0.1+0.1+0.1+0.091*83/90+0.091+0.091+0.091+0.091+0.091+0.091+1/21+1/21+1/21+1/21+1/21</f>
        <v>14.238017460317453</v>
      </c>
      <c r="AA16" s="487">
        <v>9.99</v>
      </c>
      <c r="AB16" s="486">
        <f>6.01+0.25+0.25+0.25+0.25+0.25+0.25+0.25+0.25+0.24+0.21+0.2+0.2+0.15+0.13+0.13+0.12+0.11+0.11+0.11+0.1+0.08+0.07+0.06+0.06</f>
        <v>10.09</v>
      </c>
      <c r="AC16" s="487">
        <f>3.79+0.04+0.04+0.03+0.03+0.21+0.03+0.03+0.2*45/90+0.2*0.5</f>
        <v>4.3999999999999995</v>
      </c>
      <c r="AD16" s="486">
        <f>10.7+0.5+0.5*80/90+0.5+0.45+0.45+0.45+0.45+0.35+0.3+0.3+0.25+0.25+0.25+0.25+0.25+0.2+0.2</f>
        <v>16.544444444444441</v>
      </c>
      <c r="AE16" s="324">
        <v>1778</v>
      </c>
      <c r="AF16" s="604">
        <f t="shared" si="11"/>
        <v>14.51715191320614</v>
      </c>
      <c r="AG16" s="604">
        <f t="shared" si="12"/>
        <v>15.902743147184564</v>
      </c>
      <c r="AH16" s="316">
        <f t="shared" si="13"/>
        <v>3.9737336545898025</v>
      </c>
      <c r="AI16" s="316">
        <f t="shared" si="14"/>
        <v>12.929534768249406</v>
      </c>
      <c r="AJ16" s="316">
        <f t="shared" si="15"/>
        <v>13.38725982400083</v>
      </c>
      <c r="AK16" s="316">
        <f t="shared" si="16"/>
        <v>0.95144599957841314</v>
      </c>
      <c r="AL16" s="316">
        <f t="shared" si="17"/>
        <v>1.0467591385200006</v>
      </c>
      <c r="AM16" s="311">
        <f t="shared" si="18"/>
        <v>16.423855608040736</v>
      </c>
      <c r="AN16" s="311">
        <f t="shared" si="19"/>
        <v>17.991432395463271</v>
      </c>
      <c r="AO16" s="446">
        <v>2</v>
      </c>
      <c r="AP16" s="446">
        <v>2</v>
      </c>
      <c r="AQ16" s="591">
        <f t="shared" si="20"/>
        <v>6.1499999999999999E-2</v>
      </c>
      <c r="AR16">
        <v>97950</v>
      </c>
      <c r="AS16">
        <f t="shared" si="21"/>
        <v>97950</v>
      </c>
      <c r="AT16" s="390">
        <f t="shared" si="22"/>
        <v>-500</v>
      </c>
    </row>
    <row r="17" spans="1:46" s="4" customFormat="1" x14ac:dyDescent="0.25">
      <c r="A17" s="384" t="s">
        <v>404</v>
      </c>
      <c r="B17" s="384" t="s">
        <v>64</v>
      </c>
      <c r="C17" s="385">
        <f t="shared" ca="1" si="4"/>
        <v>3.2410714285714284</v>
      </c>
      <c r="D17" s="658" t="s">
        <v>272</v>
      </c>
      <c r="E17" s="387">
        <v>30</v>
      </c>
      <c r="F17" s="395">
        <f ca="1">33-41471+$D$1-112-112-112-112-112-112-112-112-112-112-112-112-112-112</f>
        <v>85</v>
      </c>
      <c r="G17" s="388"/>
      <c r="H17" s="371">
        <v>3</v>
      </c>
      <c r="I17" s="308">
        <v>9.1</v>
      </c>
      <c r="J17" s="487">
        <f t="shared" si="5"/>
        <v>1.3390951650435234</v>
      </c>
      <c r="K17" s="303">
        <f t="shared" si="6"/>
        <v>81.899999999999991</v>
      </c>
      <c r="L17" s="303">
        <f t="shared" si="7"/>
        <v>145.6</v>
      </c>
      <c r="M17" s="389">
        <v>7.4</v>
      </c>
      <c r="N17" s="446">
        <f t="shared" si="8"/>
        <v>93</v>
      </c>
      <c r="O17" s="446" t="s">
        <v>557</v>
      </c>
      <c r="P17" s="679">
        <v>1.5</v>
      </c>
      <c r="Q17" s="446">
        <v>7</v>
      </c>
      <c r="R17" s="501">
        <f t="shared" si="9"/>
        <v>1</v>
      </c>
      <c r="S17" s="501">
        <f t="shared" si="10"/>
        <v>1</v>
      </c>
      <c r="T17" s="324">
        <v>87210</v>
      </c>
      <c r="U17" s="627">
        <f t="shared" si="2"/>
        <v>910</v>
      </c>
      <c r="V17" s="324">
        <v>11270</v>
      </c>
      <c r="W17" s="316">
        <f t="shared" si="3"/>
        <v>7.7382431233362912</v>
      </c>
      <c r="X17" s="486">
        <v>0</v>
      </c>
      <c r="Y17" s="487">
        <f>7.5+0.2+0.2+0.2+0.2+0.2+0.16+0.16+0.14+0.14+0.13+0.13+0.12+0.12+0.12+0.12+0.11+0.1+0.1+0.1+0.1+0.1</f>
        <v>10.449999999999996</v>
      </c>
      <c r="Z17" s="486">
        <f>10.8+0.08+(0.16*77/90)+0.08+0.07+((0.07*37/90)+0.14*53/90)+(0.07*23/90)+0.06+0.06+0.06+0.06+0.06+0.12+0.1+0.1+0.1*0.5*32/90+0.1*0.5+0.1+0.1+0.1+0.1*0.16+0.1*0.5+0.1+0.1+0.1+0.1+0.1+0.01+0.01</f>
        <v>12.869777777777777</v>
      </c>
      <c r="AA17" s="487">
        <f>4.85+0.05+0.05+0.05+0.03+0.03+0.02+0.02+0.02+0.01</f>
        <v>5.1299999999999981</v>
      </c>
      <c r="AB17" s="486">
        <f>8.95+0.08+0.07+0.07+0.07</f>
        <v>9.24</v>
      </c>
      <c r="AC17" s="487">
        <v>2.98</v>
      </c>
      <c r="AD17" s="486">
        <f>11+0.5+0.5+0.5+0.45+0.45+0.45+0.4+0.35+0.33+0.33+0.3+0.3+0.3+0.2+0.2+0.2+0.2</f>
        <v>16.959999999999997</v>
      </c>
      <c r="AE17" s="324">
        <v>1451</v>
      </c>
      <c r="AF17" s="604">
        <f t="shared" si="11"/>
        <v>15.708872942821301</v>
      </c>
      <c r="AG17" s="604">
        <f t="shared" si="12"/>
        <v>15.708872942821301</v>
      </c>
      <c r="AH17" s="316">
        <f t="shared" si="13"/>
        <v>4.6809106868913215</v>
      </c>
      <c r="AI17" s="316">
        <f t="shared" si="14"/>
        <v>12.949200314746188</v>
      </c>
      <c r="AJ17" s="316">
        <f t="shared" si="15"/>
        <v>15.605095165043521</v>
      </c>
      <c r="AK17" s="316">
        <f t="shared" si="16"/>
        <v>0.88492761320348179</v>
      </c>
      <c r="AL17" s="316">
        <f t="shared" si="17"/>
        <v>1.1255366615530464</v>
      </c>
      <c r="AM17" s="311">
        <f t="shared" si="18"/>
        <v>19.738721856428121</v>
      </c>
      <c r="AN17" s="311">
        <f t="shared" si="19"/>
        <v>19.738721856428121</v>
      </c>
      <c r="AO17" s="446">
        <v>4</v>
      </c>
      <c r="AP17" s="446">
        <v>1</v>
      </c>
      <c r="AQ17" s="591">
        <f t="shared" si="20"/>
        <v>0.157</v>
      </c>
      <c r="AR17" s="4">
        <v>86300</v>
      </c>
      <c r="AS17">
        <f t="shared" si="21"/>
        <v>86300</v>
      </c>
      <c r="AT17" s="390">
        <f t="shared" si="22"/>
        <v>-910</v>
      </c>
    </row>
    <row r="18" spans="1:46" s="263" customFormat="1" x14ac:dyDescent="0.25">
      <c r="A18" s="305" t="s">
        <v>411</v>
      </c>
      <c r="B18" s="260" t="s">
        <v>64</v>
      </c>
      <c r="C18" s="385">
        <f t="shared" ca="1" si="4"/>
        <v>3.4642857142857144</v>
      </c>
      <c r="D18" s="659" t="s">
        <v>400</v>
      </c>
      <c r="E18" s="210">
        <v>30</v>
      </c>
      <c r="F18" s="211">
        <f ca="1">7-41471+$D$1-112-111-112-112-112-112-112-112-112-112-112-112-112-112</f>
        <v>60</v>
      </c>
      <c r="G18" s="262"/>
      <c r="H18" s="371">
        <v>0</v>
      </c>
      <c r="I18" s="214">
        <v>8.1</v>
      </c>
      <c r="J18" s="487">
        <f t="shared" si="5"/>
        <v>1.2787218564281246</v>
      </c>
      <c r="K18" s="303">
        <f t="shared" si="6"/>
        <v>0</v>
      </c>
      <c r="L18" s="303">
        <f t="shared" si="7"/>
        <v>8.1</v>
      </c>
      <c r="M18" s="296">
        <v>7.5</v>
      </c>
      <c r="N18" s="446">
        <f t="shared" si="8"/>
        <v>94</v>
      </c>
      <c r="O18" s="446" t="s">
        <v>557</v>
      </c>
      <c r="P18" s="679">
        <v>1.5</v>
      </c>
      <c r="Q18" s="447">
        <v>6</v>
      </c>
      <c r="R18" s="501">
        <f t="shared" si="9"/>
        <v>0.92582009977255142</v>
      </c>
      <c r="S18" s="501">
        <f t="shared" si="10"/>
        <v>0.99928545900129484</v>
      </c>
      <c r="T18" s="324">
        <v>85540</v>
      </c>
      <c r="U18" s="627">
        <f t="shared" si="2"/>
        <v>-3940</v>
      </c>
      <c r="V18" s="628">
        <v>20790</v>
      </c>
      <c r="W18" s="316">
        <f t="shared" si="3"/>
        <v>4.1144781144781142</v>
      </c>
      <c r="X18" s="486">
        <v>0</v>
      </c>
      <c r="Y18" s="487">
        <f>3.4+0.06+0.06+0.06+0.06+0.06+0.06+0.06+0.06+(0.06*40/90)+(0.25*35/90)+0.06+(0.25*35/90)+0.05+0.25+0.05+0.05+0.22+0.2+0.15+0.15+0.15</f>
        <v>5.4311111111111119</v>
      </c>
      <c r="Z18" s="486">
        <f>11.7+0.13+0.13+0.13+0.12+0.12+0.12+0.1+0.1+0.1+0.1+0.1+0.1+0.091+0.091*33/90+0.1+0.091+0.091+0.091+0.091+0.091+0.091+0.091+0.092+1/21+1/21+1/21+1/21+1/21*80/90+1/21+1/21</f>
        <v>14.331408994708985</v>
      </c>
      <c r="AA18" s="487">
        <f>3.0625+0.06+0.06+0.06+0.05+0.05+0.05+0.04+0.03+0.03+0.02</f>
        <v>3.5124999999999993</v>
      </c>
      <c r="AB18" s="486">
        <f>4.21+0.4+0.4+0.4+0.33+0.33+0.33+0.15+0.33+0.3+0.25+0.2+0.22+0.15+0.15+0.15+0.02+0.15+0.14+0.13+0.11+0.08+0.07+0.07+0.07</f>
        <v>9.1400000000000041</v>
      </c>
      <c r="AC18" s="487">
        <f>5.75+0.28+(0.28*44/90)+0.28+0.28+0.28+0.04+0.04+0.25+0.02+0.15*0.5</f>
        <v>7.4318888888888894</v>
      </c>
      <c r="AD18" s="486">
        <f>11+0.67+0.5+0.5+0.5+0.45+0.35+0.3+0.3+0.3+0.3+0.25+0.25+0.2+0.2</f>
        <v>16.07</v>
      </c>
      <c r="AE18" s="324">
        <v>1497</v>
      </c>
      <c r="AF18" s="604">
        <f t="shared" si="11"/>
        <v>15.84090305172117</v>
      </c>
      <c r="AG18" s="604">
        <f t="shared" si="12"/>
        <v>17.110130851137111</v>
      </c>
      <c r="AH18" s="316">
        <f t="shared" si="13"/>
        <v>3.7087516117102894</v>
      </c>
      <c r="AI18" s="316">
        <f t="shared" si="14"/>
        <v>18.253849467952474</v>
      </c>
      <c r="AJ18" s="316">
        <f t="shared" si="15"/>
        <v>15.051324482482773</v>
      </c>
      <c r="AK18" s="316">
        <f t="shared" si="16"/>
        <v>1.0759921929586944</v>
      </c>
      <c r="AL18" s="316">
        <f t="shared" si="17"/>
        <v>0.8938549743944133</v>
      </c>
      <c r="AM18" s="311">
        <f t="shared" si="18"/>
        <v>17.388117407430528</v>
      </c>
      <c r="AN18" s="311">
        <f t="shared" si="19"/>
        <v>18.781313358504867</v>
      </c>
      <c r="AO18" s="447">
        <v>2</v>
      </c>
      <c r="AP18" s="447">
        <v>1</v>
      </c>
      <c r="AQ18" s="591">
        <f t="shared" si="20"/>
        <v>6.1499999999999999E-2</v>
      </c>
      <c r="AR18" s="263">
        <v>89480</v>
      </c>
      <c r="AS18">
        <f t="shared" si="21"/>
        <v>89480</v>
      </c>
      <c r="AT18" s="390">
        <f t="shared" si="22"/>
        <v>3940</v>
      </c>
    </row>
    <row r="19" spans="1:46" s="264" customFormat="1" ht="14.25" customHeight="1" x14ac:dyDescent="0.25">
      <c r="A19" s="305" t="s">
        <v>505</v>
      </c>
      <c r="B19" s="260" t="s">
        <v>64</v>
      </c>
      <c r="C19" s="385">
        <f t="shared" ca="1" si="4"/>
        <v>4.9107142857142856</v>
      </c>
      <c r="D19" s="659" t="s">
        <v>414</v>
      </c>
      <c r="E19" s="210">
        <v>29</v>
      </c>
      <c r="F19" s="211">
        <f ca="1">59-41471+$D$1-325-112-112-112-112-112-112-112-112-112-112-112-112</f>
        <v>10</v>
      </c>
      <c r="G19" s="262"/>
      <c r="H19" s="371">
        <v>2</v>
      </c>
      <c r="I19" s="214">
        <v>4</v>
      </c>
      <c r="J19" s="487">
        <f t="shared" si="5"/>
        <v>0.93196000578135851</v>
      </c>
      <c r="K19" s="303">
        <f t="shared" si="6"/>
        <v>16</v>
      </c>
      <c r="L19" s="303">
        <f t="shared" si="7"/>
        <v>36</v>
      </c>
      <c r="M19" s="296">
        <v>6.8</v>
      </c>
      <c r="N19" s="446">
        <f t="shared" si="8"/>
        <v>87</v>
      </c>
      <c r="O19" s="446" t="s">
        <v>557</v>
      </c>
      <c r="P19" s="679">
        <v>1.5</v>
      </c>
      <c r="Q19" s="447">
        <v>5</v>
      </c>
      <c r="R19" s="501">
        <f t="shared" si="9"/>
        <v>0.84515425472851657</v>
      </c>
      <c r="S19" s="501">
        <f t="shared" si="10"/>
        <v>0.92504826128926143</v>
      </c>
      <c r="T19" s="324">
        <v>27600</v>
      </c>
      <c r="U19" s="627">
        <f t="shared" si="2"/>
        <v>-2320</v>
      </c>
      <c r="V19" s="628">
        <v>3310</v>
      </c>
      <c r="W19" s="316">
        <f t="shared" si="3"/>
        <v>8.3383685800604237</v>
      </c>
      <c r="X19" s="486">
        <v>0</v>
      </c>
      <c r="Y19" s="487">
        <f>4.45+0.06+0.2+0.06+0.06+(0.06*68/90)+0.06+0.06+0.06+0.04+(0.22*35/90)+0.04+0.04+0.04+0.04+0.04+0.04*0.5+0.2*66/90+0.02+0.12*33/90+0.02+0.02</f>
        <v>5.6515555555555519</v>
      </c>
      <c r="Z19" s="486">
        <f>8.7+0.13+0.13+0.13+0.08+(0.08*53/90)+0.02+0.01+0.02+(0.13*30/90)+(0.13*60/90*0.16)+0.02+0.02+0.143*0.5+0.143*57/90+0.143*61/90*0.5+0.02+0.143*0.5+0.14+0.01+0.01+0.12*12/90+0.01+0.01</f>
        <v>9.8623388888888872</v>
      </c>
      <c r="AA19" s="487">
        <f>6.8+0.04+0.04+0.04+0.03+0.03+0.03*17/90+0.18*33/90+0.03*3/90+0.02</f>
        <v>7.0726666666666667</v>
      </c>
      <c r="AB19" s="486">
        <f>5.2+0.38+0.38+0.33+0.3+0.3+0.3+0.3+0.28+0.25+0.2+0.2+0.15+0.15*40/90+0.14+0.13+0.12+0.12+0.11+0.01</f>
        <v>9.2666666666666639</v>
      </c>
      <c r="AC19" s="487">
        <f>3.07+0.07+0.07+0.07+0.07+0.07+(0.07*28/90)+0.07+0.03</f>
        <v>3.5417777777777766</v>
      </c>
      <c r="AD19" s="486">
        <f>10+0.65+0.65+0.5+0.4+0.25</f>
        <v>12.450000000000001</v>
      </c>
      <c r="AE19" s="324">
        <v>962</v>
      </c>
      <c r="AF19" s="604">
        <f t="shared" si="11"/>
        <v>10.390579019734655</v>
      </c>
      <c r="AG19" s="604">
        <f t="shared" si="12"/>
        <v>11.382309029297176</v>
      </c>
      <c r="AH19" s="316">
        <f t="shared" si="13"/>
        <v>3.3257632229034964</v>
      </c>
      <c r="AI19" s="316">
        <f t="shared" si="14"/>
        <v>8.8753728050518816</v>
      </c>
      <c r="AJ19" s="316">
        <f t="shared" si="15"/>
        <v>10.318905243632264</v>
      </c>
      <c r="AK19" s="316">
        <f t="shared" si="16"/>
        <v>0.74514568935139747</v>
      </c>
      <c r="AL19" s="316">
        <f t="shared" si="17"/>
        <v>0.76979942262691714</v>
      </c>
      <c r="AM19" s="311">
        <f t="shared" si="18"/>
        <v>12.468346604492996</v>
      </c>
      <c r="AN19" s="311">
        <f t="shared" si="19"/>
        <v>13.658389380147515</v>
      </c>
      <c r="AO19" s="447">
        <v>1</v>
      </c>
      <c r="AP19" s="447">
        <v>2</v>
      </c>
      <c r="AQ19" s="591">
        <f t="shared" si="20"/>
        <v>4.9399999999999999E-2</v>
      </c>
      <c r="AR19" s="264">
        <v>29920</v>
      </c>
      <c r="AS19">
        <f t="shared" si="21"/>
        <v>29920</v>
      </c>
      <c r="AT19" s="390">
        <f t="shared" si="22"/>
        <v>2320</v>
      </c>
    </row>
    <row r="20" spans="1:46" s="263" customFormat="1" x14ac:dyDescent="0.25">
      <c r="A20" s="304" t="s">
        <v>584</v>
      </c>
      <c r="B20" s="260" t="s">
        <v>64</v>
      </c>
      <c r="C20" s="385">
        <f t="shared" ca="1" si="4"/>
        <v>4.8482142857142856</v>
      </c>
      <c r="D20" s="659" t="s">
        <v>401</v>
      </c>
      <c r="E20" s="210">
        <v>29</v>
      </c>
      <c r="F20" s="211">
        <f ca="1">7-41471+$D$1-112-111-43-112-112-112-112-112-112-112-112-112-112-112-112</f>
        <v>17</v>
      </c>
      <c r="G20" s="262" t="s">
        <v>271</v>
      </c>
      <c r="H20" s="394">
        <v>4</v>
      </c>
      <c r="I20" s="214">
        <v>1.2</v>
      </c>
      <c r="J20" s="487">
        <f t="shared" si="5"/>
        <v>0.45656357442960838</v>
      </c>
      <c r="K20" s="303">
        <f t="shared" si="6"/>
        <v>19.2</v>
      </c>
      <c r="L20" s="303">
        <f t="shared" si="7"/>
        <v>30</v>
      </c>
      <c r="M20" s="296">
        <v>6.9</v>
      </c>
      <c r="N20" s="446">
        <f t="shared" si="8"/>
        <v>88</v>
      </c>
      <c r="O20" s="446" t="s">
        <v>557</v>
      </c>
      <c r="P20" s="679">
        <v>1.5</v>
      </c>
      <c r="Q20" s="447">
        <v>6</v>
      </c>
      <c r="R20" s="501">
        <f t="shared" si="9"/>
        <v>0.92582009977255142</v>
      </c>
      <c r="S20" s="501">
        <f t="shared" si="10"/>
        <v>0.99928545900129484</v>
      </c>
      <c r="T20" s="628">
        <v>5320</v>
      </c>
      <c r="U20" s="627">
        <f t="shared" si="2"/>
        <v>170</v>
      </c>
      <c r="V20" s="628">
        <v>690</v>
      </c>
      <c r="W20" s="316">
        <f t="shared" si="3"/>
        <v>7.7101449275362315</v>
      </c>
      <c r="X20" s="486">
        <v>0</v>
      </c>
      <c r="Y20" s="487">
        <f>2+0.05+0.05+0.05+0.05+0.05+(0.25*31/90)+0.05+0.04+0.03+0.02+0.02</f>
        <v>2.4961111111111101</v>
      </c>
      <c r="Z20" s="486">
        <f>7.1+0.01+0.02+0.04+0.04+0.04+0.02+0.02+0.02+0.01+0.01</f>
        <v>7.3299999999999974</v>
      </c>
      <c r="AA20" s="487">
        <f>4.16+0.01</f>
        <v>4.17</v>
      </c>
      <c r="AB20" s="486">
        <f>6+(0.35/3)+(0.35/3)+0.32+(0.3*60/90)+0.3*61/90+0.04+0.04+0.06+0.15*29/90+0.12</f>
        <v>7.2649999999999988</v>
      </c>
      <c r="AC20" s="487">
        <f>4+0.06+0.06+0.06+0.06+0.06+0.03</f>
        <v>4.3299999999999983</v>
      </c>
      <c r="AD20" s="486">
        <f>9+0.5</f>
        <v>9.5</v>
      </c>
      <c r="AE20" s="324">
        <v>634</v>
      </c>
      <c r="AF20" s="604">
        <f t="shared" si="11"/>
        <v>8.5976872150225603</v>
      </c>
      <c r="AG20" s="604">
        <f t="shared" si="12"/>
        <v>9.2865635744296071</v>
      </c>
      <c r="AH20" s="316">
        <f t="shared" si="13"/>
        <v>2.649674192337089</v>
      </c>
      <c r="AI20" s="316">
        <f t="shared" si="14"/>
        <v>8.4590381791397018</v>
      </c>
      <c r="AJ20" s="316">
        <f t="shared" si="15"/>
        <v>9.170769856781769</v>
      </c>
      <c r="AK20" s="316">
        <f t="shared" si="16"/>
        <v>0.65802508595436859</v>
      </c>
      <c r="AL20" s="316">
        <f t="shared" si="17"/>
        <v>0.52180389465451693</v>
      </c>
      <c r="AM20" s="311">
        <f t="shared" si="18"/>
        <v>10.281764549652634</v>
      </c>
      <c r="AN20" s="311">
        <f t="shared" si="19"/>
        <v>11.105574994730166</v>
      </c>
      <c r="AO20" s="447">
        <v>0</v>
      </c>
      <c r="AP20" s="447">
        <v>2</v>
      </c>
      <c r="AQ20" s="591">
        <f t="shared" si="20"/>
        <v>2.63E-2</v>
      </c>
      <c r="AR20" s="263">
        <v>5150</v>
      </c>
      <c r="AS20">
        <f t="shared" si="21"/>
        <v>5150</v>
      </c>
      <c r="AT20" s="390">
        <f t="shared" si="22"/>
        <v>-170</v>
      </c>
    </row>
    <row r="21" spans="1:46" s="263" customFormat="1" x14ac:dyDescent="0.25">
      <c r="A21" s="304" t="s">
        <v>623</v>
      </c>
      <c r="B21" s="384" t="s">
        <v>66</v>
      </c>
      <c r="C21" s="385">
        <f t="shared" ca="1" si="4"/>
        <v>5.2232142857142856</v>
      </c>
      <c r="D21" s="659" t="s">
        <v>873</v>
      </c>
      <c r="E21" s="210">
        <v>28</v>
      </c>
      <c r="F21" s="211">
        <f ca="1">64-41471+$D$1-112-112-29-112-112-112-112-112-112-112-112-112-112-112-112</f>
        <v>87</v>
      </c>
      <c r="G21" s="262" t="s">
        <v>502</v>
      </c>
      <c r="H21" s="394">
        <v>1</v>
      </c>
      <c r="I21" s="214">
        <v>8.6</v>
      </c>
      <c r="J21" s="487">
        <f t="shared" si="5"/>
        <v>1.3096949773860913</v>
      </c>
      <c r="K21" s="303">
        <f t="shared" si="6"/>
        <v>8.6</v>
      </c>
      <c r="L21" s="303">
        <f t="shared" si="7"/>
        <v>34.4</v>
      </c>
      <c r="M21" s="296">
        <v>7</v>
      </c>
      <c r="N21" s="446">
        <f t="shared" si="8"/>
        <v>89</v>
      </c>
      <c r="O21" s="678">
        <v>43060</v>
      </c>
      <c r="P21" s="679">
        <f ca="1">IF((TODAY()-O21)&gt;335,1,((TODAY()-O21)^0.64)/(336^0.64))</f>
        <v>0.2175776824553268</v>
      </c>
      <c r="Q21" s="447">
        <v>1</v>
      </c>
      <c r="R21" s="501">
        <f t="shared" si="9"/>
        <v>0.3779644730092272</v>
      </c>
      <c r="S21" s="501">
        <f t="shared" si="10"/>
        <v>0.53318450304347209</v>
      </c>
      <c r="T21" s="628">
        <v>163800</v>
      </c>
      <c r="U21" s="627">
        <f t="shared" si="2"/>
        <v>-30870</v>
      </c>
      <c r="V21" s="628">
        <f>42600</f>
        <v>42600</v>
      </c>
      <c r="W21" s="316">
        <f t="shared" si="3"/>
        <v>3.8450704225352115</v>
      </c>
      <c r="X21" s="486">
        <v>0</v>
      </c>
      <c r="Y21" s="487">
        <f>2+1/5</f>
        <v>2.2000000000000002</v>
      </c>
      <c r="Z21" s="486">
        <f>14.5+1/20+1/20</f>
        <v>14.600000000000001</v>
      </c>
      <c r="AA21" s="487">
        <f>12+0.01</f>
        <v>12.01</v>
      </c>
      <c r="AB21" s="486">
        <v>12</v>
      </c>
      <c r="AC21" s="487">
        <v>8</v>
      </c>
      <c r="AD21" s="486">
        <v>2</v>
      </c>
      <c r="AE21" s="324">
        <v>1782</v>
      </c>
      <c r="AF21" s="604">
        <f t="shared" ca="1" si="11"/>
        <v>6.0955361119530798</v>
      </c>
      <c r="AG21" s="604">
        <f t="shared" ca="1" si="12"/>
        <v>8.6203898394590119</v>
      </c>
      <c r="AH21" s="316">
        <f t="shared" ca="1" si="13"/>
        <v>1.4543042013621048</v>
      </c>
      <c r="AI21" s="316">
        <f t="shared" ca="1" si="14"/>
        <v>3.8383322483031401</v>
      </c>
      <c r="AJ21" s="316">
        <f t="shared" ca="1" si="15"/>
        <v>2.0135198034534256</v>
      </c>
      <c r="AK21" s="316">
        <f t="shared" ca="1" si="16"/>
        <v>0.5821818127873134</v>
      </c>
      <c r="AL21" s="316">
        <f t="shared" ca="1" si="17"/>
        <v>0.25490908618889929</v>
      </c>
      <c r="AM21" s="311">
        <f t="shared" ca="1" si="18"/>
        <v>1.3091085329758696</v>
      </c>
      <c r="AN21" s="311">
        <f t="shared" ca="1" si="19"/>
        <v>1.8513590419528212</v>
      </c>
      <c r="AO21" s="447">
        <v>3</v>
      </c>
      <c r="AP21" s="447">
        <v>3</v>
      </c>
      <c r="AQ21" s="591">
        <f t="shared" si="20"/>
        <v>0.1158</v>
      </c>
      <c r="AR21" s="263">
        <v>194670</v>
      </c>
      <c r="AS21">
        <f t="shared" si="21"/>
        <v>194670</v>
      </c>
      <c r="AT21" s="390">
        <f t="shared" si="22"/>
        <v>30870</v>
      </c>
    </row>
    <row r="22" spans="1:46" s="254" customFormat="1" x14ac:dyDescent="0.25">
      <c r="A22" s="384" t="s">
        <v>506</v>
      </c>
      <c r="B22" s="384" t="s">
        <v>66</v>
      </c>
      <c r="C22" s="385">
        <f t="shared" ca="1" si="4"/>
        <v>4.1339285714285712</v>
      </c>
      <c r="D22" s="658" t="s">
        <v>287</v>
      </c>
      <c r="E22" s="387">
        <v>29</v>
      </c>
      <c r="F22" s="395">
        <f ca="1">74-41471+$D$1-112-112-29-112-112-112-112-112-112-112-112-112-112-112-112</f>
        <v>97</v>
      </c>
      <c r="G22" s="388" t="s">
        <v>296</v>
      </c>
      <c r="H22" s="371">
        <v>3</v>
      </c>
      <c r="I22" s="308">
        <v>10</v>
      </c>
      <c r="J22" s="487">
        <f t="shared" si="5"/>
        <v>1.3885235802109668</v>
      </c>
      <c r="K22" s="303">
        <f t="shared" si="6"/>
        <v>90</v>
      </c>
      <c r="L22" s="303">
        <f t="shared" si="7"/>
        <v>160</v>
      </c>
      <c r="M22" s="389">
        <v>7.6</v>
      </c>
      <c r="N22" s="446">
        <f t="shared" si="8"/>
        <v>95</v>
      </c>
      <c r="O22" s="446" t="s">
        <v>557</v>
      </c>
      <c r="P22" s="679">
        <v>1.5</v>
      </c>
      <c r="Q22" s="446">
        <v>7</v>
      </c>
      <c r="R22" s="501">
        <f t="shared" si="9"/>
        <v>1</v>
      </c>
      <c r="S22" s="501">
        <f t="shared" si="10"/>
        <v>1</v>
      </c>
      <c r="T22" s="324">
        <v>53530</v>
      </c>
      <c r="U22" s="627">
        <f t="shared" si="2"/>
        <v>100</v>
      </c>
      <c r="V22" s="324">
        <v>2360</v>
      </c>
      <c r="W22" s="316">
        <f t="shared" si="3"/>
        <v>22.682203389830509</v>
      </c>
      <c r="X22" s="486">
        <v>0</v>
      </c>
      <c r="Y22" s="487">
        <f>5+(5/7)+0.07+0.21+0.07+0.07+0.07+0.07+0.07+0.07+0.06+0.03+0.03+0.03+0.03+0.03+0.2*33/90+0.03+0.03+0.02+0.02+0.01+0.01+0.01</f>
        <v>6.8276190476190495</v>
      </c>
      <c r="Z22" s="486">
        <f>8+1/8*0.5+1/8*0.5+1/8+1/8*0.5+1/8*0.5+1/8+1/8</f>
        <v>8.625</v>
      </c>
      <c r="AA22" s="487">
        <f>7.9+0.165+0.165+0.21+0.13+0.03+0.03+0.03+0.02+0.02+0.02+0.01</f>
        <v>8.7299999999999969</v>
      </c>
      <c r="AB22" s="486">
        <f>5.1+0.33+0.33+0.33+0.3+0.29+0.04+0.28+0.28+0.27+0.27+0.27+0.22+0.22+0.15+0.15+0.15+0.14+0.13+0.12+0.11+0.1+0.08+0.01+0.01+0.01</f>
        <v>9.6900000000000013</v>
      </c>
      <c r="AC22" s="487">
        <f>6.48+0.25+0.25+0.23+0.21+0.21+0.2+0.19+0.17+0.16+0.15+1/16</f>
        <v>8.5625000000000018</v>
      </c>
      <c r="AD22" s="486">
        <f>17.99+0.2+0.15+0.15+0.15</f>
        <v>18.639999999999993</v>
      </c>
      <c r="AE22" s="324">
        <v>1314</v>
      </c>
      <c r="AF22" s="604">
        <f t="shared" si="11"/>
        <v>11.513523580210967</v>
      </c>
      <c r="AG22" s="604">
        <f t="shared" si="12"/>
        <v>11.513523580210967</v>
      </c>
      <c r="AH22" s="316">
        <f t="shared" si="13"/>
        <v>4.3591487235314936</v>
      </c>
      <c r="AI22" s="316">
        <f t="shared" si="14"/>
        <v>23.249387112266234</v>
      </c>
      <c r="AJ22" s="316">
        <f t="shared" si="15"/>
        <v>18.505273580210961</v>
      </c>
      <c r="AK22" s="316">
        <f t="shared" si="16"/>
        <v>1.2184068864168771</v>
      </c>
      <c r="AL22" s="316">
        <f t="shared" si="17"/>
        <v>1.0345014125195295</v>
      </c>
      <c r="AM22" s="311">
        <f t="shared" si="18"/>
        <v>21.473333333333326</v>
      </c>
      <c r="AN22" s="311">
        <f t="shared" si="19"/>
        <v>21.473333333333326</v>
      </c>
      <c r="AO22" s="446">
        <v>4</v>
      </c>
      <c r="AP22" s="446">
        <v>2</v>
      </c>
      <c r="AQ22" s="591">
        <f t="shared" si="20"/>
        <v>0.157</v>
      </c>
      <c r="AR22" s="254">
        <v>53430</v>
      </c>
      <c r="AS22">
        <f t="shared" si="21"/>
        <v>53430</v>
      </c>
      <c r="AT22" s="390">
        <f t="shared" si="22"/>
        <v>-100</v>
      </c>
    </row>
    <row r="23" spans="1:46" s="259" customFormat="1" x14ac:dyDescent="0.25">
      <c r="A23" s="384" t="s">
        <v>568</v>
      </c>
      <c r="B23" s="384" t="s">
        <v>66</v>
      </c>
      <c r="C23" s="385">
        <f t="shared" ca="1" si="4"/>
        <v>3.5178571428571428</v>
      </c>
      <c r="D23" s="658" t="s">
        <v>862</v>
      </c>
      <c r="E23" s="387">
        <v>30</v>
      </c>
      <c r="F23" s="211">
        <f ca="1">-41471+$D$1-748-112-112-12-112-112-112-22-112-112</f>
        <v>54</v>
      </c>
      <c r="G23" s="388" t="s">
        <v>268</v>
      </c>
      <c r="H23" s="371">
        <v>3</v>
      </c>
      <c r="I23" s="308">
        <v>10.199999999999999</v>
      </c>
      <c r="J23" s="487">
        <f t="shared" si="5"/>
        <v>1.3989573635602419</v>
      </c>
      <c r="K23" s="303">
        <f t="shared" si="6"/>
        <v>91.8</v>
      </c>
      <c r="L23" s="303">
        <f t="shared" si="7"/>
        <v>163.19999999999999</v>
      </c>
      <c r="M23" s="389">
        <v>7.5</v>
      </c>
      <c r="N23" s="446">
        <f t="shared" si="8"/>
        <v>94</v>
      </c>
      <c r="O23" s="678">
        <v>42869</v>
      </c>
      <c r="P23" s="679">
        <f ca="1">IF((TODAY()-O23)&gt;335,1,((TODAY()-O23)^0.64)/(336^0.64))</f>
        <v>0.76702366970655766</v>
      </c>
      <c r="Q23" s="446">
        <v>6</v>
      </c>
      <c r="R23" s="501">
        <f t="shared" si="9"/>
        <v>0.92582009977255142</v>
      </c>
      <c r="S23" s="501">
        <f t="shared" si="10"/>
        <v>0.99928545900129484</v>
      </c>
      <c r="T23" s="324">
        <v>278730</v>
      </c>
      <c r="U23" s="627">
        <f t="shared" si="2"/>
        <v>-6750</v>
      </c>
      <c r="V23" s="324">
        <v>34128</v>
      </c>
      <c r="W23" s="316">
        <f t="shared" si="3"/>
        <v>8.167194092827005</v>
      </c>
      <c r="X23" s="486">
        <v>0</v>
      </c>
      <c r="Y23" s="487">
        <f>2.98+0.02</f>
        <v>3</v>
      </c>
      <c r="Z23" s="486">
        <f>14+0.09*0.16+0.09*0.5+0.09*0.16+0.01+0.01+0.01+1/21*0.5+0.01</f>
        <v>14.137609523809523</v>
      </c>
      <c r="AA23" s="487">
        <f>3+0.02</f>
        <v>3.02</v>
      </c>
      <c r="AB23" s="486">
        <f>15+0.01+0.01</f>
        <v>15.02</v>
      </c>
      <c r="AC23" s="487">
        <v>10</v>
      </c>
      <c r="AD23" s="486">
        <f>9+0.3</f>
        <v>9.3000000000000007</v>
      </c>
      <c r="AE23" s="324">
        <v>1941</v>
      </c>
      <c r="AF23" s="604">
        <f t="shared" ca="1" si="11"/>
        <v>15.094191836203228</v>
      </c>
      <c r="AG23" s="604">
        <f t="shared" ca="1" si="12"/>
        <v>16.303590557076323</v>
      </c>
      <c r="AH23" s="316">
        <f t="shared" ca="1" si="13"/>
        <v>4.5756278031823339</v>
      </c>
      <c r="AI23" s="316">
        <f t="shared" ca="1" si="14"/>
        <v>17.49968310396676</v>
      </c>
      <c r="AJ23" s="316">
        <f t="shared" ca="1" si="15"/>
        <v>10.809857925161486</v>
      </c>
      <c r="AK23" s="316">
        <f t="shared" ca="1" si="16"/>
        <v>0.95227848266134385</v>
      </c>
      <c r="AL23" s="316">
        <f t="shared" ca="1" si="17"/>
        <v>0.55061867232867601</v>
      </c>
      <c r="AM23" s="311">
        <f t="shared" ca="1" si="18"/>
        <v>10.565295940502002</v>
      </c>
      <c r="AN23" s="311">
        <f t="shared" ca="1" si="19"/>
        <v>11.411823898722448</v>
      </c>
      <c r="AO23" s="446">
        <v>1</v>
      </c>
      <c r="AP23" s="446">
        <v>3</v>
      </c>
      <c r="AQ23" s="591">
        <f t="shared" si="20"/>
        <v>4.9399999999999999E-2</v>
      </c>
      <c r="AR23" s="259">
        <v>285480</v>
      </c>
      <c r="AS23">
        <f t="shared" si="21"/>
        <v>285480</v>
      </c>
      <c r="AT23" s="390">
        <f t="shared" si="22"/>
        <v>6750</v>
      </c>
    </row>
    <row r="24" spans="1:46" s="264" customFormat="1" x14ac:dyDescent="0.25">
      <c r="A24" s="384" t="s">
        <v>540</v>
      </c>
      <c r="B24" s="384" t="s">
        <v>66</v>
      </c>
      <c r="C24" s="385">
        <f t="shared" ca="1" si="4"/>
        <v>6.8571428571428568</v>
      </c>
      <c r="D24" s="659" t="s">
        <v>541</v>
      </c>
      <c r="E24" s="210">
        <v>27</v>
      </c>
      <c r="F24" s="211">
        <f ca="1">7-41471+$D$1-112-111-43-112-112-1-112-112-112-112-112-112-112-112-112-112</f>
        <v>16</v>
      </c>
      <c r="G24" s="262"/>
      <c r="H24" s="396">
        <v>5</v>
      </c>
      <c r="I24" s="214">
        <v>5.3</v>
      </c>
      <c r="J24" s="487">
        <f t="shared" si="5"/>
        <v>1.0657873992714422</v>
      </c>
      <c r="K24" s="303">
        <f t="shared" si="6"/>
        <v>132.5</v>
      </c>
      <c r="L24" s="303">
        <f t="shared" si="7"/>
        <v>190.79999999999998</v>
      </c>
      <c r="M24" s="296">
        <v>8</v>
      </c>
      <c r="N24" s="446">
        <f t="shared" si="8"/>
        <v>99</v>
      </c>
      <c r="O24" s="446" t="s">
        <v>557</v>
      </c>
      <c r="P24" s="679">
        <v>1.5</v>
      </c>
      <c r="Q24" s="447">
        <v>6</v>
      </c>
      <c r="R24" s="501">
        <f t="shared" si="9"/>
        <v>0.92582009977255142</v>
      </c>
      <c r="S24" s="501">
        <f t="shared" si="10"/>
        <v>0.99928545900129484</v>
      </c>
      <c r="T24" s="628">
        <v>37520</v>
      </c>
      <c r="U24" s="627">
        <f t="shared" si="2"/>
        <v>640</v>
      </c>
      <c r="V24" s="628">
        <v>3090</v>
      </c>
      <c r="W24" s="316">
        <f t="shared" si="3"/>
        <v>12.142394822006473</v>
      </c>
      <c r="X24" s="486">
        <v>0</v>
      </c>
      <c r="Y24" s="487">
        <f>4+0.01</f>
        <v>4.01</v>
      </c>
      <c r="Z24" s="486">
        <f>4.6+0.05+0.05+0.05+0.04+0.04+0.16+(0.16*30/90)+(0.16*60/90*0.16)+0.04+0.04+0.04+0.25/8+0.04+0.04+0.04+0.04+0.04+0.04+0.02+0.02*10/90+0.02+0.02+0.02+0.01+0.01</f>
        <v>5.5538722222222203</v>
      </c>
      <c r="AA24" s="487">
        <f>4.9+0.25+0.05+0.05+0.05+0.04+0.03+0.03+0.03+0.02+0.02+0.02</f>
        <v>5.4899999999999993</v>
      </c>
      <c r="AB24" s="486">
        <f>7.1+0.31+0.31+0.31+0.25+0.25+0.25+0.23+0.2+0.2+0.2+0.17+0.15+0.15+0.13+0.13+0.13+0.11+0.1+0.1+0.01+0.01</f>
        <v>10.799999999999999</v>
      </c>
      <c r="AC24" s="487">
        <f>6.5+0.25+0.25+0.25+0.24+0.24+0.22+0.21+0.18*1/90+0.16+1/16</f>
        <v>8.384500000000001</v>
      </c>
      <c r="AD24" s="486">
        <f>9+1*5/90+0.65+0.65*61/90+0.65*52/90+0.55+0.55*27/90+0.55+0.5+0.5+0.3+0.25*0.6+0.25+(0.2*36/90)</f>
        <v>13.566666666666668</v>
      </c>
      <c r="AE24" s="324">
        <v>962</v>
      </c>
      <c r="AF24" s="604">
        <f t="shared" si="11"/>
        <v>7.5173440808904193</v>
      </c>
      <c r="AG24" s="604">
        <f t="shared" si="12"/>
        <v>8.1196596214936623</v>
      </c>
      <c r="AH24" s="316">
        <f t="shared" si="13"/>
        <v>3.8545781741426213</v>
      </c>
      <c r="AI24" s="316">
        <f t="shared" si="14"/>
        <v>18.007503516227672</v>
      </c>
      <c r="AJ24" s="316">
        <f t="shared" si="15"/>
        <v>13.496424014791529</v>
      </c>
      <c r="AK24" s="316">
        <f t="shared" si="16"/>
        <v>1.0314879919417155</v>
      </c>
      <c r="AL24" s="316">
        <f t="shared" si="17"/>
        <v>0.74700511794900093</v>
      </c>
      <c r="AM24" s="311">
        <f t="shared" si="18"/>
        <v>14.843088380381982</v>
      </c>
      <c r="AN24" s="311">
        <f t="shared" si="19"/>
        <v>16.032367826134386</v>
      </c>
      <c r="AO24" s="447">
        <v>2</v>
      </c>
      <c r="AP24" s="447">
        <v>1</v>
      </c>
      <c r="AQ24" s="591">
        <f t="shared" si="20"/>
        <v>6.1499999999999999E-2</v>
      </c>
      <c r="AR24" s="264">
        <v>36880</v>
      </c>
      <c r="AS24">
        <f t="shared" si="21"/>
        <v>36880</v>
      </c>
      <c r="AT24" s="390">
        <f>AS24-T24</f>
        <v>-640</v>
      </c>
    </row>
    <row r="25" spans="1:46" x14ac:dyDescent="0.25">
      <c r="G25" s="4"/>
      <c r="H25"/>
      <c r="I25" s="284"/>
      <c r="J25" s="488"/>
      <c r="K25"/>
      <c r="T25" s="244">
        <f>SUM(T5:T24)+T3</f>
        <v>2062150</v>
      </c>
      <c r="U25" s="244">
        <f>SUM(U5:U24)</f>
        <v>-46450</v>
      </c>
      <c r="V25" s="244">
        <f>SUM(V5:V24)+V3</f>
        <v>292778</v>
      </c>
      <c r="W25" s="315">
        <f t="shared" si="3"/>
        <v>7.0433912384127222</v>
      </c>
      <c r="X25"/>
      <c r="AD25" s="312"/>
      <c r="AE25" s="244">
        <f>AVERAGE(AE5:AE24)</f>
        <v>1478.65</v>
      </c>
      <c r="AH25" s="244"/>
      <c r="AI25" s="244"/>
      <c r="AJ25" s="244"/>
      <c r="AK25" s="244"/>
      <c r="AL25" s="244"/>
      <c r="AM25" s="244"/>
      <c r="AN25" s="244"/>
    </row>
    <row r="26" spans="1:46" x14ac:dyDescent="0.25">
      <c r="G26" s="456"/>
      <c r="K26" s="456"/>
      <c r="M26" s="456"/>
      <c r="N26" s="456"/>
      <c r="Q26" s="456"/>
      <c r="T26" s="313"/>
      <c r="U26" s="313"/>
      <c r="V26" s="313">
        <f>V25-V3</f>
        <v>292454</v>
      </c>
      <c r="W26" s="293"/>
      <c r="AE26" s="293"/>
      <c r="AH26" s="293"/>
      <c r="AI26" s="293"/>
      <c r="AJ26" s="293"/>
      <c r="AK26" s="293"/>
      <c r="AL26" s="293"/>
      <c r="AM26" s="293"/>
      <c r="AN26" s="293"/>
    </row>
    <row r="27" spans="1:46" x14ac:dyDescent="0.25">
      <c r="I27" s="265"/>
      <c r="Y27" s="159"/>
    </row>
    <row r="28" spans="1:46" x14ac:dyDescent="0.25">
      <c r="D28" s="606"/>
      <c r="I28" s="265"/>
      <c r="Y28" s="159"/>
      <c r="AE28" s="661"/>
    </row>
    <row r="29" spans="1:46" x14ac:dyDescent="0.25">
      <c r="D29" s="606"/>
      <c r="I29" s="265"/>
      <c r="V29" s="675"/>
      <c r="Y29" s="159"/>
    </row>
    <row r="30" spans="1:46" x14ac:dyDescent="0.25">
      <c r="D30" s="607"/>
      <c r="I30" s="265"/>
      <c r="V30" s="675"/>
      <c r="Y30" s="159"/>
    </row>
    <row r="31" spans="1:46" x14ac:dyDescent="0.25">
      <c r="I31" s="265"/>
      <c r="Y31" s="159"/>
    </row>
    <row r="32" spans="1:46" x14ac:dyDescent="0.25">
      <c r="I32" s="265"/>
      <c r="V32" s="675"/>
      <c r="Y32" s="159"/>
    </row>
    <row r="33" spans="3:40" x14ac:dyDescent="0.25">
      <c r="I33" s="265"/>
      <c r="Y33" s="159"/>
    </row>
    <row r="34" spans="3:40" x14ac:dyDescent="0.25">
      <c r="I34" s="265"/>
      <c r="Y34" s="159"/>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row r="38" spans="3:40" x14ac:dyDescent="0.25">
      <c r="C38"/>
      <c r="D38"/>
      <c r="G38"/>
      <c r="H38"/>
      <c r="I38" s="265"/>
      <c r="K38"/>
      <c r="M38"/>
      <c r="N38"/>
      <c r="O38"/>
      <c r="P38"/>
      <c r="Q38"/>
      <c r="R38"/>
      <c r="S38"/>
      <c r="V38"/>
      <c r="W38"/>
      <c r="X38"/>
      <c r="AE38"/>
      <c r="AH38"/>
      <c r="AI38"/>
      <c r="AK38"/>
      <c r="AL38"/>
      <c r="AM38"/>
      <c r="AN38"/>
    </row>
  </sheetData>
  <sortState ref="A6:AR28">
    <sortCondition descending="1" ref="B6:B28"/>
  </sortState>
  <mergeCells count="1">
    <mergeCell ref="E1:G1"/>
  </mergeCells>
  <conditionalFormatting sqref="N6:N24">
    <cfRule type="cellIs" dxfId="361" priority="451" operator="greaterThan">
      <formula>82</formula>
    </cfRule>
    <cfRule type="cellIs" dxfId="360" priority="452" operator="lessThan">
      <formula>79</formula>
    </cfRule>
  </conditionalFormatting>
  <conditionalFormatting sqref="Q6:Q24">
    <cfRule type="cellIs" dxfId="359" priority="425" operator="greaterThan">
      <formula>6</formula>
    </cfRule>
    <cfRule type="cellIs" dxfId="358" priority="426" operator="lessThan">
      <formula>5</formula>
    </cfRule>
  </conditionalFormatting>
  <conditionalFormatting sqref="R6:S24">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4">
    <cfRule type="cellIs" dxfId="349" priority="30" operator="lessThan">
      <formula>3.6</formula>
    </cfRule>
    <cfRule type="cellIs" dxfId="348" priority="31" operator="greaterThan">
      <formula>3.6</formula>
    </cfRule>
  </conditionalFormatting>
  <conditionalFormatting sqref="AI5:AI24">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4">
    <cfRule type="cellIs" dxfId="344" priority="25" operator="lessThan">
      <formula>7.5</formula>
    </cfRule>
    <cfRule type="cellIs" dxfId="343" priority="26" operator="greaterThan">
      <formula>10</formula>
    </cfRule>
  </conditionalFormatting>
  <conditionalFormatting sqref="AK5:AL24">
    <cfRule type="cellIs" dxfId="342" priority="23" operator="lessThan">
      <formula>0.7</formula>
    </cfRule>
    <cfRule type="cellIs" dxfId="341" priority="24" operator="greaterThan">
      <formula>0.8</formula>
    </cfRule>
  </conditionalFormatting>
  <conditionalFormatting sqref="AM5:AN24">
    <cfRule type="cellIs" dxfId="340" priority="21" operator="lessThan">
      <formula>10</formula>
    </cfRule>
    <cfRule type="cellIs" dxfId="339" priority="22" operator="greaterThan">
      <formula>14</formula>
    </cfRule>
  </conditionalFormatting>
  <conditionalFormatting sqref="AQ5:AQ24">
    <cfRule type="cellIs" dxfId="338" priority="14" operator="lessThan">
      <formula>0.07</formula>
    </cfRule>
    <cfRule type="cellIs" dxfId="337" priority="15" operator="greaterThan">
      <formula>0.1</formula>
    </cfRule>
  </conditionalFormatting>
  <conditionalFormatting sqref="AF5:AG24">
    <cfRule type="cellIs" dxfId="336" priority="13" operator="greaterThan">
      <formula>12</formula>
    </cfRule>
  </conditionalFormatting>
  <conditionalFormatting sqref="I5:I24">
    <cfRule type="cellIs" dxfId="335" priority="8" operator="lessThan">
      <formula>3</formula>
    </cfRule>
    <cfRule type="cellIs" dxfId="334" priority="9" operator="greaterThan">
      <formula>7</formula>
    </cfRule>
  </conditionalFormatting>
  <conditionalFormatting sqref="V5:V24">
    <cfRule type="dataBar" priority="1664">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4">
    <cfRule type="dataBar" priority="1666">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4">
    <cfRule type="colorScale" priority="1673">
      <colorScale>
        <cfvo type="min"/>
        <cfvo type="max"/>
        <color rgb="FFFFEF9C"/>
        <color rgb="FF63BE7B"/>
      </colorScale>
    </cfRule>
  </conditionalFormatting>
  <conditionalFormatting sqref="T5:T24">
    <cfRule type="dataBar" priority="1676">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4">
    <cfRule type="dataBar" priority="1678">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80">
      <colorScale>
        <cfvo type="min"/>
        <cfvo type="max"/>
        <color rgb="FFFFEF9C"/>
        <color rgb="FF63BE7B"/>
      </colorScale>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AE5:AE24">
    <cfRule type="dataBar" priority="1849">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4">
    <cfRule type="colorScale" priority="1">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AE5:AE24</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J15" sqref="J15"/>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8"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8"/>
      <c r="X1" t="s">
        <v>682</v>
      </c>
      <c r="AA1" t="s">
        <v>683</v>
      </c>
      <c r="AE1" t="s">
        <v>684</v>
      </c>
      <c r="AI1" t="s">
        <v>685</v>
      </c>
      <c r="AM1" t="s">
        <v>686</v>
      </c>
      <c r="AQ1" t="s">
        <v>681</v>
      </c>
      <c r="AX1" t="s">
        <v>687</v>
      </c>
      <c r="BE1" t="s">
        <v>503</v>
      </c>
      <c r="BJ1" t="s">
        <v>688</v>
      </c>
      <c r="BO1" t="s">
        <v>631</v>
      </c>
      <c r="BT1" t="s">
        <v>807</v>
      </c>
      <c r="BY1" t="s">
        <v>625</v>
      </c>
      <c r="CD1" t="s">
        <v>602</v>
      </c>
      <c r="CH1" t="s">
        <v>66</v>
      </c>
    </row>
    <row r="2" spans="1:89" x14ac:dyDescent="0.25">
      <c r="A2" s="489" t="s">
        <v>179</v>
      </c>
      <c r="B2" s="489" t="s">
        <v>689</v>
      </c>
      <c r="C2" s="489" t="s">
        <v>62</v>
      </c>
      <c r="D2" s="490" t="s">
        <v>690</v>
      </c>
      <c r="E2" s="489" t="s">
        <v>691</v>
      </c>
      <c r="F2" s="491" t="s">
        <v>692</v>
      </c>
      <c r="G2" s="491" t="s">
        <v>693</v>
      </c>
      <c r="H2" s="491" t="s">
        <v>694</v>
      </c>
      <c r="I2" s="492" t="s">
        <v>695</v>
      </c>
      <c r="J2" s="493" t="s">
        <v>696</v>
      </c>
      <c r="K2" s="493" t="s">
        <v>1</v>
      </c>
      <c r="L2" s="493" t="s">
        <v>2</v>
      </c>
      <c r="M2" s="493" t="s">
        <v>697</v>
      </c>
      <c r="N2" s="493" t="s">
        <v>65</v>
      </c>
      <c r="O2" s="493" t="s">
        <v>578</v>
      </c>
      <c r="P2" s="493" t="s">
        <v>698</v>
      </c>
      <c r="Q2" s="493" t="s">
        <v>0</v>
      </c>
      <c r="R2" s="494" t="s">
        <v>565</v>
      </c>
      <c r="S2" s="494" t="s">
        <v>829</v>
      </c>
      <c r="T2" s="494" t="s">
        <v>699</v>
      </c>
      <c r="U2" s="494" t="s">
        <v>700</v>
      </c>
      <c r="V2" s="494" t="s">
        <v>588</v>
      </c>
      <c r="W2" s="494" t="s">
        <v>589</v>
      </c>
      <c r="X2" s="495" t="s">
        <v>701</v>
      </c>
      <c r="Y2" s="495" t="s">
        <v>702</v>
      </c>
      <c r="Z2" s="495" t="s">
        <v>701</v>
      </c>
      <c r="AA2" s="496" t="s">
        <v>701</v>
      </c>
      <c r="AB2" s="496" t="s">
        <v>702</v>
      </c>
      <c r="AC2" s="496" t="s">
        <v>701</v>
      </c>
      <c r="AD2" s="496" t="s">
        <v>64</v>
      </c>
      <c r="AE2" s="496" t="s">
        <v>701</v>
      </c>
      <c r="AF2" s="496" t="s">
        <v>702</v>
      </c>
      <c r="AG2" s="496" t="s">
        <v>701</v>
      </c>
      <c r="AH2" s="496" t="s">
        <v>64</v>
      </c>
      <c r="AI2" s="495" t="s">
        <v>701</v>
      </c>
      <c r="AJ2" s="495" t="s">
        <v>702</v>
      </c>
      <c r="AK2" s="495" t="s">
        <v>64</v>
      </c>
      <c r="AL2" s="495" t="s">
        <v>703</v>
      </c>
      <c r="AM2" s="495" t="s">
        <v>701</v>
      </c>
      <c r="AN2" s="495" t="s">
        <v>702</v>
      </c>
      <c r="AO2" s="495" t="s">
        <v>64</v>
      </c>
      <c r="AP2" s="495" t="s">
        <v>703</v>
      </c>
      <c r="AQ2" s="495" t="s">
        <v>701</v>
      </c>
      <c r="AR2" s="495" t="s">
        <v>702</v>
      </c>
      <c r="AS2" s="495" t="s">
        <v>701</v>
      </c>
      <c r="AT2" s="495" t="s">
        <v>64</v>
      </c>
      <c r="AU2" s="495" t="s">
        <v>703</v>
      </c>
      <c r="AV2" s="495" t="s">
        <v>704</v>
      </c>
      <c r="AW2" s="495" t="s">
        <v>703</v>
      </c>
      <c r="AX2" s="495" t="s">
        <v>701</v>
      </c>
      <c r="AY2" s="495" t="s">
        <v>702</v>
      </c>
      <c r="AZ2" s="495" t="s">
        <v>701</v>
      </c>
      <c r="BA2" s="495" t="s">
        <v>64</v>
      </c>
      <c r="BB2" s="495" t="s">
        <v>703</v>
      </c>
      <c r="BC2" s="495" t="s">
        <v>704</v>
      </c>
      <c r="BD2" s="495" t="s">
        <v>703</v>
      </c>
      <c r="BE2" s="496" t="s">
        <v>701</v>
      </c>
      <c r="BF2" s="496" t="s">
        <v>702</v>
      </c>
      <c r="BG2" s="496" t="s">
        <v>64</v>
      </c>
      <c r="BH2" s="496" t="s">
        <v>703</v>
      </c>
      <c r="BI2" s="496" t="s">
        <v>704</v>
      </c>
      <c r="BJ2" s="496" t="s">
        <v>701</v>
      </c>
      <c r="BK2" s="496" t="s">
        <v>702</v>
      </c>
      <c r="BL2" s="496" t="s">
        <v>64</v>
      </c>
      <c r="BM2" s="496" t="s">
        <v>703</v>
      </c>
      <c r="BN2" s="496" t="s">
        <v>704</v>
      </c>
      <c r="BO2" s="495" t="s">
        <v>701</v>
      </c>
      <c r="BP2" s="495" t="s">
        <v>702</v>
      </c>
      <c r="BQ2" s="495" t="s">
        <v>64</v>
      </c>
      <c r="BR2" s="495" t="s">
        <v>703</v>
      </c>
      <c r="BS2" s="495" t="s">
        <v>704</v>
      </c>
      <c r="BT2" s="495" t="s">
        <v>701</v>
      </c>
      <c r="BU2" s="495" t="s">
        <v>702</v>
      </c>
      <c r="BV2" s="495" t="s">
        <v>64</v>
      </c>
      <c r="BW2" s="495" t="s">
        <v>703</v>
      </c>
      <c r="BX2" s="495" t="s">
        <v>704</v>
      </c>
      <c r="BY2" s="495" t="s">
        <v>701</v>
      </c>
      <c r="BZ2" s="495" t="s">
        <v>702</v>
      </c>
      <c r="CA2" s="495" t="s">
        <v>64</v>
      </c>
      <c r="CB2" s="495" t="s">
        <v>703</v>
      </c>
      <c r="CC2" s="495" t="s">
        <v>704</v>
      </c>
      <c r="CD2" s="496" t="s">
        <v>64</v>
      </c>
      <c r="CE2" s="496" t="s">
        <v>703</v>
      </c>
      <c r="CF2" s="496" t="s">
        <v>704</v>
      </c>
      <c r="CG2" s="496" t="s">
        <v>703</v>
      </c>
      <c r="CH2" s="495" t="s">
        <v>703</v>
      </c>
      <c r="CI2" s="495" t="s">
        <v>704</v>
      </c>
      <c r="CJ2" s="495" t="s">
        <v>703</v>
      </c>
      <c r="CK2" s="495" t="s">
        <v>64</v>
      </c>
    </row>
    <row r="3" spans="1:89" x14ac:dyDescent="0.25">
      <c r="A3" t="str">
        <f>PLANTILLA!D5</f>
        <v>D. Gehmacher</v>
      </c>
      <c r="B3" s="488">
        <f>PLANTILLA!E5</f>
        <v>30</v>
      </c>
      <c r="C3" s="341">
        <f ca="1">PLANTILLA!F5</f>
        <v>13</v>
      </c>
      <c r="D3" s="488"/>
      <c r="E3" s="290">
        <v>42468</v>
      </c>
      <c r="F3" s="341">
        <f>PLANTILLA!Q5</f>
        <v>7</v>
      </c>
      <c r="G3" s="407">
        <f>(F3/7)^0.5</f>
        <v>1</v>
      </c>
      <c r="H3" s="407">
        <f>IF(F3=7,1,((F3+0.99)/7)^0.5)</f>
        <v>1</v>
      </c>
      <c r="I3" s="497">
        <v>1</v>
      </c>
      <c r="J3" s="498">
        <f>PLANTILLA!I5</f>
        <v>18.100000000000001</v>
      </c>
      <c r="K3" s="163">
        <f>PLANTILLA!X5</f>
        <v>16.666666666666668</v>
      </c>
      <c r="L3" s="163">
        <f>PLANTILLA!Y5</f>
        <v>12.003636363636367</v>
      </c>
      <c r="M3" s="163">
        <f>PLANTILLA!Z5</f>
        <v>2.0499999999999989</v>
      </c>
      <c r="N3" s="163">
        <f>PLANTILLA!AA5</f>
        <v>2.1399999999999992</v>
      </c>
      <c r="O3" s="163">
        <f>PLANTILLA!AB5</f>
        <v>1.0400000000000003</v>
      </c>
      <c r="P3" s="163">
        <f>PLANTILLA!AC5</f>
        <v>0.14055555555555557</v>
      </c>
      <c r="Q3" s="163">
        <f>PLANTILLA!AD5</f>
        <v>17.849999999999998</v>
      </c>
      <c r="R3" s="163">
        <f>((2*(O3+1))+(L3+1))/8</f>
        <v>2.1354545454545457</v>
      </c>
      <c r="S3" s="163">
        <f>1.66*(P3+(LOG(J3)*4/3)+I3)+0.55*(Q3+(LOG(J3)*4/3)+I3)-7.6</f>
        <v>8.3667817561700861</v>
      </c>
      <c r="T3" s="163">
        <f>(0.5*P3+ 0.3*Q3)/10</f>
        <v>0.54252777777777772</v>
      </c>
      <c r="U3" s="163">
        <f>(0.4*L3+0.3*Q3)/10</f>
        <v>1.0156454545454547</v>
      </c>
      <c r="V3" s="163">
        <f ca="1">IF(TODAY()-E3&gt;335,(Q3+1+(LOG(J3)*4/3))*(F3/7)^0.5,(Q3+((TODAY()-E3)^0.5)/(336^0.5)+(LOG(J3)*4/3))*(F3/7)^0.5)</f>
        <v>20.526904766492244</v>
      </c>
      <c r="W3" s="163">
        <f ca="1">IF(F3=7,V3,IF(TODAY()-E3&gt;335,(Q3+1+(LOG(J3)*4/3))*((F3+0.99)/7)^0.5,(Q3+((TODAY()-E3)^0.5)/(336^0.5)+(LOG(J3)*4/3))*((F3+0.99)/7)^0.5))</f>
        <v>20.526904766492244</v>
      </c>
      <c r="X3" s="159">
        <f>((K3+I3+(LOG(J3)*4/3))*0.597)+((L3+I3+(LOG(J3)*4/3))*0.276)</f>
        <v>15.599941497511368</v>
      </c>
      <c r="Y3" s="159">
        <f>((K3+I3+(LOG(J3)*4/3))*0.866)+((L3+I3+(LOG(J3)*4/3))*0.425)</f>
        <v>22.990762841420281</v>
      </c>
      <c r="Z3" s="159">
        <f>X3</f>
        <v>15.599941497511368</v>
      </c>
      <c r="AA3" s="159">
        <f>((L3+I3+(LOG(J3)*4/3))*0.516)</f>
        <v>7.5751592231463647</v>
      </c>
      <c r="AB3" s="159">
        <f>(L3+I3+(LOG(J3)*4/3))*1</f>
        <v>14.680541130128614</v>
      </c>
      <c r="AC3" s="159">
        <f>AA3/2</f>
        <v>3.7875796115731823</v>
      </c>
      <c r="AD3" s="159">
        <f>(M3+I3+(LOG(J3)*4/3))*0.238</f>
        <v>1.1250033344251542</v>
      </c>
      <c r="AE3" s="159">
        <f>((L3+I3+(LOG(J3)*4/3))*0.378)</f>
        <v>5.549244547188616</v>
      </c>
      <c r="AF3" s="159">
        <f>(L3+I3+(LOG(J3)*4/3))*0.723</f>
        <v>10.614031237082987</v>
      </c>
      <c r="AG3" s="159">
        <f>AE3/2</f>
        <v>2.774622273594308</v>
      </c>
      <c r="AH3" s="159">
        <f>(M3+I3+(LOG(J3)*4/3))*0.385</f>
        <v>1.8198583350995143</v>
      </c>
      <c r="AI3" s="159">
        <f>((L3+I3+(LOG(J3)*4/3))*0.92)</f>
        <v>13.506097839718326</v>
      </c>
      <c r="AJ3" s="159">
        <f>(L3+I3+(LOG(J3)*4/3))*0.414</f>
        <v>6.077744027873246</v>
      </c>
      <c r="AK3" s="159">
        <f>((M3+I3+(LOG(J3)*4/3))*0.167)</f>
        <v>0.78939309600420493</v>
      </c>
      <c r="AL3" s="159">
        <f>(N3+I3+(LOG(J3)*4/3))*0.588</f>
        <v>2.8323400026974399</v>
      </c>
      <c r="AM3" s="159">
        <f>((L3+I3+(LOG(J3)*4/3))*0.754)</f>
        <v>11.069128012116975</v>
      </c>
      <c r="AN3" s="159">
        <f>((L3+I3+(LOG(J3)*4/3))*0.708)</f>
        <v>10.393823120131058</v>
      </c>
      <c r="AO3" s="159">
        <f>((Q3+I3+(LOG(J3)*4/3))*0.167)</f>
        <v>3.4279930960042049</v>
      </c>
      <c r="AP3" s="159">
        <f>((R3+I3+(LOG(J3)*4/3))*0.288)</f>
        <v>1.385959481840676</v>
      </c>
      <c r="AQ3" s="159">
        <f>((L3+I3+(LOG(J3)*4/3))*0.27)</f>
        <v>3.9637461051347258</v>
      </c>
      <c r="AR3" s="159">
        <f>((L3+I3+(LOG(J3)*4/3))*0.594)</f>
        <v>8.7202414312963956</v>
      </c>
      <c r="AS3" s="159">
        <f>AQ3/2</f>
        <v>1.9818730525673629</v>
      </c>
      <c r="AT3" s="159">
        <f>((M3+I3+(LOG(J3)*4/3))*0.944)</f>
        <v>4.4621980995686794</v>
      </c>
      <c r="AU3" s="159">
        <f>((O3+I3+(LOG(J3)*4/3))*0.13)</f>
        <v>0.48319761964399199</v>
      </c>
      <c r="AV3" s="159">
        <f>((P3+I3+(LOG(J3)*4/3))*0.173)+((O3+I3+(LOG(J3)*4/3))*0.12)</f>
        <v>0.93344920769333917</v>
      </c>
      <c r="AW3" s="159">
        <f>AU3/2</f>
        <v>0.241598809821996</v>
      </c>
      <c r="AX3" s="159">
        <f>((L3+I3+(LOG(J3)*4/3))*0.189)</f>
        <v>2.774622273594308</v>
      </c>
      <c r="AY3" s="159">
        <f>((L3+I3+(LOG(J3)*4/3))*0.4)</f>
        <v>5.8722164520514459</v>
      </c>
      <c r="AZ3" s="159">
        <f>AX3/2</f>
        <v>1.387311136797154</v>
      </c>
      <c r="BA3" s="159">
        <f>((M3+I3+(LOG(J3)*4/3))*1)</f>
        <v>4.726904766492245</v>
      </c>
      <c r="BB3" s="159">
        <f>((O3+I3+(LOG(J3)*4/3))*0.253)</f>
        <v>0.94037690592253831</v>
      </c>
      <c r="BC3" s="159">
        <f>((P3+I3+(LOG(J3)*4/3))*0.21)+((O3+I3+(LOG(J3)*4/3))*0.341)</f>
        <v>1.8591311930038943</v>
      </c>
      <c r="BD3" s="159">
        <f>BB3/2</f>
        <v>0.47018845296126915</v>
      </c>
      <c r="BE3" s="159">
        <f>((L3+I3+(LOG(J3)*4/3))*0.291)</f>
        <v>4.2720374688674259</v>
      </c>
      <c r="BF3" s="159">
        <f>((L3+I3+(LOG(J3)*4/3))*0.348)</f>
        <v>5.1088283132847572</v>
      </c>
      <c r="BG3" s="159">
        <f>((M3+I3+(LOG(J3)*4/3))*0.881)</f>
        <v>4.1644030992796681</v>
      </c>
      <c r="BH3" s="159">
        <f>((N3+I3+(LOG(J3)*4/3))*0.574)+((O3+I3+(LOG(J3)*4/3))*0.315)</f>
        <v>3.9357283374116059</v>
      </c>
      <c r="BI3" s="159">
        <f>((O3+I3+(LOG(J3)*4/3))*0.241)</f>
        <v>0.89577404872463129</v>
      </c>
      <c r="BJ3" s="159">
        <f>((L3+I3+(LOG(J3)*4/3))*0.485)</f>
        <v>7.1200624481123773</v>
      </c>
      <c r="BK3" s="159">
        <f>((L3+I3+(LOG(J3)*4/3))*0.264)</f>
        <v>3.8756628583539543</v>
      </c>
      <c r="BL3" s="159">
        <f>((M3+I3+(LOG(J3)*4/3))*0.381)</f>
        <v>1.8009507160335454</v>
      </c>
      <c r="BM3" s="159">
        <f>((N3+I3+(LOG(J3)*4/3))*0.673)+((O3+I3+(LOG(J3)*4/3))*0.201)</f>
        <v>3.9888747659142223</v>
      </c>
      <c r="BN3" s="159">
        <f>((O3+I3+(LOG(J3)*4/3))*0.052)</f>
        <v>0.19327904785759678</v>
      </c>
      <c r="BO3" s="159">
        <f>((L3+I3+(LOG(J3)*4/3))*0.18)</f>
        <v>2.6424974034231505</v>
      </c>
      <c r="BP3" s="159">
        <f>(L3+I3+(LOG(J3)*4/3))*0.068</f>
        <v>0.99827679684874582</v>
      </c>
      <c r="BQ3" s="159">
        <f>((M3+I3+(LOG(J3)*4/3))*0.305)</f>
        <v>1.4417059537801347</v>
      </c>
      <c r="BR3" s="159">
        <f>((N3+I3+(LOG(J3)*4/3))*1)+((O3+I3+(LOG(J3)*4/3))*0.286)</f>
        <v>5.8799395297090271</v>
      </c>
      <c r="BS3" s="159">
        <f>((O3+I3+(LOG(J3)*4/3))*0.135)</f>
        <v>0.50178214347645322</v>
      </c>
      <c r="BT3" s="159">
        <f>((L3+I3+(LOG(J3)*4/3))*0.284)</f>
        <v>4.1692736809565263</v>
      </c>
      <c r="BU3" s="159">
        <f>(L3+I3+(LOG(J3)*4/3))*0.244</f>
        <v>3.5820520357513814</v>
      </c>
      <c r="BV3" s="159">
        <f>((M3+I3+(LOG(J3)*4/3))*0.455)</f>
        <v>2.1507416687539718</v>
      </c>
      <c r="BW3" s="159">
        <f>((N3+I3+(LOG(J3)*4/3))*0.864)+((O3+I3+(LOG(J3)*4/3))*0.244)</f>
        <v>5.0687304812734073</v>
      </c>
      <c r="BX3" s="159">
        <f>((O3+I3+(LOG(J3)*4/3))*0.121)</f>
        <v>0.44974547674556176</v>
      </c>
      <c r="BY3" s="159">
        <f>((L3+I3+(LOG(J3)*4/3))*0.284)</f>
        <v>4.1692736809565263</v>
      </c>
      <c r="BZ3" s="159">
        <f>((L3+I3+(LOG(J3)*4/3))*0.244)</f>
        <v>3.5820520357513814</v>
      </c>
      <c r="CA3" s="159">
        <f>((M3+I3+(LOG(J3)*4/3))*0.631)</f>
        <v>2.9826769076566064</v>
      </c>
      <c r="CB3" s="159">
        <f>((N3+I3+(LOG(J3)*4/3))*0.702)+((O3+I3+(LOG(J3)*4/3))*0.193)</f>
        <v>4.0988297660105593</v>
      </c>
      <c r="CC3" s="159">
        <f>((O3+I3+(LOG(J3)*4/3))*0.148)</f>
        <v>0.55010190544085236</v>
      </c>
      <c r="CD3" s="159">
        <f>((M3+I3+(LOG(J3)*4/3))*0.406)</f>
        <v>1.9191233351958517</v>
      </c>
      <c r="CE3" s="159">
        <f>IF(D3="TEC",((N3+I3+(LOG(J3)*4/3))*0.15)+((O3+I3+(LOG(J3)*4/3))*0.324)+((P3+I3+(LOG(J3)*4/3))*0.127),(((N3+I3+(LOG(J3)*4/3))*0.144)+((O3+I3+(LOG(J3)*4/3))*0.25)+((P3+I3+(LOG(J3)*4/3))*0.127)))</f>
        <v>1.9806779388980156</v>
      </c>
      <c r="CF3" s="159">
        <f>((O3+I3+(LOG(J3)*4/3))*0.543)+((P3+I3+(LOG(J3)*4/3))*0.583)</f>
        <v>3.6608586559591574</v>
      </c>
      <c r="CG3" s="159">
        <f>CE3</f>
        <v>1.9806779388980156</v>
      </c>
      <c r="CH3" s="159">
        <f>((P3+1+(LOG(J3)*4/3))*0.26)+((N3+I3+(LOG(J3)*4/3))*0.221)+((O3+I3+(LOG(J3)*4/3))*0.142)</f>
        <v>2.3248761139691134</v>
      </c>
      <c r="CI3" s="159">
        <f>((P3+I3+(LOG(J3)*4/3))*1)+((O3+I3+(LOG(J3)*4/3))*0.369)</f>
        <v>4.1889981808834404</v>
      </c>
      <c r="CJ3" s="159">
        <f>CH3</f>
        <v>2.3248761139691134</v>
      </c>
      <c r="CK3" s="159">
        <f>((M3+I3+(LOG(J3)*4/3))*0.25)</f>
        <v>1.1817261916230613</v>
      </c>
    </row>
    <row r="4" spans="1:89" x14ac:dyDescent="0.25">
      <c r="A4" t="str">
        <f>PLANTILLA!D6</f>
        <v>T. Hammond</v>
      </c>
      <c r="B4" s="488">
        <f>PLANTILLA!E6</f>
        <v>34</v>
      </c>
      <c r="C4" s="488">
        <f ca="1">PLANTILLA!F6</f>
        <v>22</v>
      </c>
      <c r="D4" s="488" t="str">
        <f>PLANTILLA!G6</f>
        <v>CAB</v>
      </c>
      <c r="E4" s="290">
        <v>41400</v>
      </c>
      <c r="F4" s="341">
        <f>PLANTILLA!Q6</f>
        <v>5</v>
      </c>
      <c r="G4" s="407">
        <f t="shared" ref="G4:G5" si="0">(F4/7)^0.5</f>
        <v>0.84515425472851657</v>
      </c>
      <c r="H4" s="407">
        <f t="shared" ref="H4:H5" si="1">IF(F4=7,1,((F4+0.99)/7)^0.5)</f>
        <v>0.92504826128926143</v>
      </c>
      <c r="I4" s="497">
        <v>1.5</v>
      </c>
      <c r="J4" s="498">
        <f>PLANTILLA!I6</f>
        <v>7.8</v>
      </c>
      <c r="K4" s="163">
        <f>PLANTILLA!X6</f>
        <v>10.3</v>
      </c>
      <c r="L4" s="163">
        <f>PLANTILLA!Y6</f>
        <v>10.804999999999998</v>
      </c>
      <c r="M4" s="163">
        <f>PLANTILLA!Z6</f>
        <v>4.6400000000000006</v>
      </c>
      <c r="N4" s="163">
        <f>PLANTILLA!AA6</f>
        <v>4.95</v>
      </c>
      <c r="O4" s="163">
        <f>PLANTILLA!AB6</f>
        <v>6.5444444444444434</v>
      </c>
      <c r="P4" s="163">
        <f>PLANTILLA!AC6</f>
        <v>3.99</v>
      </c>
      <c r="Q4" s="163">
        <f>PLANTILLA!AD6</f>
        <v>15.778888888888888</v>
      </c>
      <c r="R4" s="163">
        <f t="shared" ref="R4:R21" si="2">((2*(O4+1))+(L4+1))/8</f>
        <v>3.3617361111111106</v>
      </c>
      <c r="S4" s="163">
        <f t="shared" ref="S4:S21" si="3">1.66*(P4+(LOG(J4)*4/3)+I4)+0.55*(Q4+(LOG(J4)*4/3)+I4)-7.6</f>
        <v>13.645494318150172</v>
      </c>
      <c r="T4" s="163">
        <f t="shared" ref="T4:T21" si="4">(0.5*P4+ 0.3*Q4)/10</f>
        <v>0.67286666666666661</v>
      </c>
      <c r="U4" s="163">
        <f t="shared" ref="U4:U21" si="5">(0.4*L4+0.3*Q4)/10</f>
        <v>0.90556666666666652</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11.479178117531719</v>
      </c>
      <c r="Y4" s="159">
        <f t="shared" ref="Y4:Y21" si="9">((K4+I4+(LOG(J4)*4/3))*0.866)+((L4+I4+(LOG(J4)*4/3))*0.425)</f>
        <v>16.984017176097879</v>
      </c>
      <c r="Z4" s="159">
        <f t="shared" ref="Z4:Z21" si="10">X4</f>
        <v>11.479178117531719</v>
      </c>
      <c r="AA4" s="159">
        <f t="shared" ref="AA4:AA21" si="11">((L4+I4+(LOG(J4)*4/3))*0.516)</f>
        <v>6.9631410866510492</v>
      </c>
      <c r="AB4" s="159">
        <f t="shared" ref="AB4:AB21" si="12">(L4+I4+(LOG(J4)*4/3))*1</f>
        <v>13.494459470253972</v>
      </c>
      <c r="AC4" s="159">
        <f t="shared" ref="AC4:AC21" si="13">AA4/2</f>
        <v>3.4815705433255246</v>
      </c>
      <c r="AD4" s="159">
        <f t="shared" ref="AD4:AD21" si="14">(M4+I4+(LOG(J4)*4/3))*0.238</f>
        <v>1.7444113539204458</v>
      </c>
      <c r="AE4" s="159">
        <f t="shared" ref="AE4:AE21" si="15">((L4+I4+(LOG(J4)*4/3))*0.378)</f>
        <v>5.1009056797560017</v>
      </c>
      <c r="AF4" s="159">
        <f t="shared" ref="AF4:AF21" si="16">(L4+I4+(LOG(J4)*4/3))*0.723</f>
        <v>9.7564941969936214</v>
      </c>
      <c r="AG4" s="159">
        <f t="shared" ref="AG4:AG21" si="17">AE4/2</f>
        <v>2.5504528398780009</v>
      </c>
      <c r="AH4" s="159">
        <f t="shared" ref="AH4:AH21" si="18">(M4+I4+(LOG(J4)*4/3))*0.385</f>
        <v>2.82184189604778</v>
      </c>
      <c r="AI4" s="159">
        <f t="shared" ref="AI4:AI21" si="19">((L4+I4+(LOG(J4)*4/3))*0.92)</f>
        <v>12.414902712633655</v>
      </c>
      <c r="AJ4" s="159">
        <f t="shared" ref="AJ4:AJ21" si="20">(L4+I4+(LOG(J4)*4/3))*0.414</f>
        <v>5.5867062206851443</v>
      </c>
      <c r="AK4" s="159">
        <f t="shared" ref="AK4:AK21" si="21">((M4+I4+(LOG(J4)*4/3))*0.167)</f>
        <v>1.2240197315324137</v>
      </c>
      <c r="AL4" s="159">
        <f t="shared" ref="AL4:AL21" si="22">(N4+I4+(LOG(J4)*4/3))*0.588</f>
        <v>4.4920021685093365</v>
      </c>
      <c r="AM4" s="159">
        <f t="shared" ref="AM4:AM21" si="23">((L4+I4+(LOG(J4)*4/3))*0.754)</f>
        <v>10.174822440571495</v>
      </c>
      <c r="AN4" s="159">
        <f t="shared" ref="AN4:AN21" si="24">((L4+I4+(LOG(J4)*4/3))*0.708)</f>
        <v>9.5540773049398116</v>
      </c>
      <c r="AO4" s="159">
        <f t="shared" ref="AO4:AO21" si="25">((Q4+I4+(LOG(J4)*4/3))*0.167)</f>
        <v>3.0842141759768573</v>
      </c>
      <c r="AP4" s="159">
        <f t="shared" ref="AP4:AP21" si="26">((R4+I4+(LOG(J4)*4/3))*0.288)</f>
        <v>1.742744327433144</v>
      </c>
      <c r="AQ4" s="159">
        <f t="shared" ref="AQ4:AQ21" si="27">((L4+I4+(LOG(J4)*4/3))*0.27)</f>
        <v>3.6435040569685726</v>
      </c>
      <c r="AR4" s="159">
        <f t="shared" ref="AR4:AR21" si="28">((L4+I4+(LOG(J4)*4/3))*0.594)</f>
        <v>8.0157089253308591</v>
      </c>
      <c r="AS4" s="159">
        <f t="shared" ref="AS4:AS21" si="29">AQ4/2</f>
        <v>1.8217520284842863</v>
      </c>
      <c r="AT4" s="159">
        <f t="shared" ref="AT4:AT21" si="30">((M4+I4+(LOG(J4)*4/3))*0.944)</f>
        <v>6.9190097399197512</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2.5504528398780009</v>
      </c>
      <c r="AY4" s="159">
        <f t="shared" ref="AY4:AY21" si="35">((L4+I4+(LOG(J4)*4/3))*0.4)</f>
        <v>5.3977837881015889</v>
      </c>
      <c r="AZ4" s="159">
        <f t="shared" ref="AZ4:AZ21" si="36">AX4/2</f>
        <v>1.2752264199390004</v>
      </c>
      <c r="BA4" s="159">
        <f t="shared" ref="BA4:BA21" si="37">((M4+I4+(LOG(J4)*4/3))*1)</f>
        <v>7.3294594702539744</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3.9268877058439053</v>
      </c>
      <c r="BF4" s="159">
        <f t="shared" ref="BF4:BF21" si="42">((L4+I4+(LOG(J4)*4/3))*0.348)</f>
        <v>4.696071895648382</v>
      </c>
      <c r="BG4" s="159">
        <f t="shared" ref="BG4:BG21" si="43">((M4+I4+(LOG(J4)*4/3))*0.881)</f>
        <v>6.4572537932937513</v>
      </c>
      <c r="BH4" s="159">
        <f t="shared" ref="BH4:BH21" si="44">((N4+I4+(LOG(J4)*4/3))*0.574)+((O4+I4+(LOG(J4)*4/3))*0.315)</f>
        <v>7.2937294690557817</v>
      </c>
      <c r="BI4" s="159">
        <f t="shared" ref="BI4:BI21" si="45">((O4+I4+(LOG(J4)*4/3))*0.241)</f>
        <v>2.2253708434423185</v>
      </c>
      <c r="BJ4" s="159">
        <f t="shared" ref="BJ4:BJ21" si="46">((L4+I4+(LOG(J4)*4/3))*0.485)</f>
        <v>6.544812843073176</v>
      </c>
      <c r="BK4" s="159">
        <f t="shared" ref="BK4:BK21" si="47">((L4+I4+(LOG(J4)*4/3))*0.264)</f>
        <v>3.5625373001470488</v>
      </c>
      <c r="BL4" s="159">
        <f t="shared" ref="BL4:BL21" si="48">((M4+I4+(LOG(J4)*4/3))*0.381)</f>
        <v>2.7925240581667641</v>
      </c>
      <c r="BM4" s="159">
        <f t="shared" ref="BM4:BM21" si="49">((N4+I4+(LOG(J4)*4/3))*0.673)+((O4+I4+(LOG(J4)*4/3))*0.201)</f>
        <v>6.9973709103353068</v>
      </c>
      <c r="BN4" s="159">
        <f t="shared" ref="BN4:BN21" si="50">((O4+I4+(LOG(J4)*4/3))*0.052)</f>
        <v>0.48016300356431774</v>
      </c>
      <c r="BO4" s="159">
        <f t="shared" ref="BO4:BO21" si="51">((L4+I4+(LOG(J4)*4/3))*0.18)</f>
        <v>2.4290027046457148</v>
      </c>
      <c r="BP4" s="159">
        <f t="shared" ref="BP4:BP21" si="52">(L4+I4+(LOG(J4)*4/3))*0.068</f>
        <v>0.91762324397727013</v>
      </c>
      <c r="BQ4" s="159">
        <f t="shared" ref="BQ4:BQ21" si="53">((M4+I4+(LOG(J4)*4/3))*0.305)</f>
        <v>2.2354851384274621</v>
      </c>
      <c r="BR4" s="159">
        <f t="shared" ref="BR4:BR21" si="54">((N4+I4+(LOG(J4)*4/3))*1)+((O4+I4+(LOG(J4)*4/3))*0.286)</f>
        <v>10.280355989857721</v>
      </c>
      <c r="BS4" s="159">
        <f t="shared" ref="BS4:BS21" si="55">((O4+I4+(LOG(J4)*4/3))*0.135)</f>
        <v>1.2465770284842865</v>
      </c>
      <c r="BT4" s="159">
        <f t="shared" ref="BT4:BT21" si="56">((L4+I4+(LOG(J4)*4/3))*0.284)</f>
        <v>3.8324264895521276</v>
      </c>
      <c r="BU4" s="159">
        <f t="shared" ref="BU4:BU21" si="57">(L4+I4+(LOG(J4)*4/3))*0.244</f>
        <v>3.2926481107419692</v>
      </c>
      <c r="BV4" s="159">
        <f t="shared" ref="BV4:BV21" si="58">((M4+I4+(LOG(J4)*4/3))*0.455)</f>
        <v>3.3349040589655585</v>
      </c>
      <c r="BW4" s="159">
        <f t="shared" ref="BW4:BW21" si="59">((N4+I4+(LOG(J4)*4/3))*0.864)+((O4+I4+(LOG(J4)*4/3))*0.244)</f>
        <v>8.8535655374858475</v>
      </c>
      <c r="BX4" s="159">
        <f t="shared" ref="BX4:BX21" si="60">((O4+I4+(LOG(J4)*4/3))*0.121)</f>
        <v>1.1173023736785086</v>
      </c>
      <c r="BY4" s="159">
        <f t="shared" ref="BY4:BY21" si="61">((L4+I4+(LOG(J4)*4/3))*0.284)</f>
        <v>3.8324264895521276</v>
      </c>
      <c r="BZ4" s="159">
        <f t="shared" ref="BZ4:BZ21" si="62">((L4+I4+(LOG(J4)*4/3))*0.244)</f>
        <v>3.2926481107419692</v>
      </c>
      <c r="CA4" s="159">
        <f t="shared" ref="CA4:CA21" si="63">((M4+I4+(LOG(J4)*4/3))*0.631)</f>
        <v>4.6248889257302581</v>
      </c>
      <c r="CB4" s="159">
        <f t="shared" ref="CB4:CB21" si="64">((N4+I4+(LOG(J4)*4/3))*0.702)+((O4+I4+(LOG(J4)*4/3))*0.193)</f>
        <v>7.1450440036550837</v>
      </c>
      <c r="CC4" s="159">
        <f t="shared" ref="CC4:CC21" si="65">((O4+I4+(LOG(J4)*4/3))*0.148)</f>
        <v>1.3666177793753658</v>
      </c>
      <c r="CD4" s="159">
        <f t="shared" ref="CD4:CD21" si="66">((M4+I4+(LOG(J4)*4/3))*0.406)</f>
        <v>2.9757605449231139</v>
      </c>
      <c r="CE4" s="159">
        <f t="shared" ref="CE4:CE21" si="67">IF(D4="TEC",((N4+I4+(LOG(J4)*4/3))*0.15)+((O4+I4+(LOG(J4)*4/3))*0.324)+((P4+I4+(LOG(J4)*4/3))*0.127),(((N4+I4+(LOG(J4)*4/3))*0.144)+((O4+I4+(LOG(J4)*4/3))*0.25)+((P4+I4+(LOG(J4)*4/3))*0.127)))</f>
        <v>4.256849495113431</v>
      </c>
      <c r="CF4" s="159">
        <f t="shared" ref="CF4:CF21" si="68">((O4+I4+(LOG(J4)*4/3))*0.543)+((P4+I4+(LOG(J4)*4/3))*0.583)</f>
        <v>8.9081346968393085</v>
      </c>
      <c r="CG4" s="159">
        <f t="shared" ref="CG4:CG21" si="69">CE4</f>
        <v>4.256849495113431</v>
      </c>
      <c r="CH4" s="159">
        <f t="shared" ref="CH4:CH21" si="70">((P4+1+(LOG(J4)*4/3))*0.26)+((N4+I4+(LOG(J4)*4/3))*0.221)+((O4+I4+(LOG(J4)*4/3))*0.142)</f>
        <v>4.6061943610793366</v>
      </c>
      <c r="CI4" s="159">
        <f t="shared" ref="CI4:CI21" si="71">((P4+I4+(LOG(J4)*4/3))*1)+((O4+I4+(LOG(J4)*4/3))*0.369)</f>
        <v>10.08677001477769</v>
      </c>
      <c r="CJ4" s="159">
        <f t="shared" ref="CJ4:CJ21" si="72">CH4</f>
        <v>4.6061943610793366</v>
      </c>
      <c r="CK4" s="159">
        <f t="shared" ref="CK4:CK21" si="73">((M4+I4+(LOG(J4)*4/3))*0.25)</f>
        <v>1.8323648675634936</v>
      </c>
    </row>
    <row r="5" spans="1:89" x14ac:dyDescent="0.25">
      <c r="A5" t="str">
        <f>PLANTILLA!D8</f>
        <v>D. Toh</v>
      </c>
      <c r="B5" s="488">
        <f>PLANTILLA!E8</f>
        <v>31</v>
      </c>
      <c r="C5" s="488">
        <f ca="1">PLANTILLA!F8</f>
        <v>70</v>
      </c>
      <c r="D5" s="488" t="str">
        <f>PLANTILLA!G8</f>
        <v>CAB</v>
      </c>
      <c r="E5" s="290">
        <v>41519</v>
      </c>
      <c r="F5" s="341">
        <f>PLANTILLA!Q8</f>
        <v>3</v>
      </c>
      <c r="G5" s="407">
        <f t="shared" si="0"/>
        <v>0.65465367070797709</v>
      </c>
      <c r="H5" s="407">
        <f t="shared" si="1"/>
        <v>0.75498344352707503</v>
      </c>
      <c r="I5" s="497">
        <v>1.5</v>
      </c>
      <c r="J5" s="498">
        <f>PLANTILLA!I8</f>
        <v>7.5</v>
      </c>
      <c r="K5" s="163">
        <f>PLANTILLA!X8</f>
        <v>0</v>
      </c>
      <c r="L5" s="163">
        <f>PLANTILLA!Y8</f>
        <v>11.010666666666667</v>
      </c>
      <c r="M5" s="163">
        <f>PLANTILLA!Z8</f>
        <v>6.199444444444441</v>
      </c>
      <c r="N5" s="163">
        <f>PLANTILLA!AA8</f>
        <v>6.04</v>
      </c>
      <c r="O5" s="163">
        <f>PLANTILLA!AB8</f>
        <v>7.7227777777777789</v>
      </c>
      <c r="P5" s="163">
        <f>PLANTILLA!AC8</f>
        <v>4.383333333333332</v>
      </c>
      <c r="Q5" s="163">
        <f>PLANTILLA!AD8</f>
        <v>15.349999999999998</v>
      </c>
      <c r="R5" s="163">
        <f t="shared" si="2"/>
        <v>3.6820277777777779</v>
      </c>
      <c r="S5" s="163">
        <f t="shared" si="3"/>
        <v>14.01234718946087</v>
      </c>
      <c r="T5" s="163">
        <f t="shared" si="4"/>
        <v>0.67966666666666653</v>
      </c>
      <c r="U5" s="163">
        <f t="shared" si="5"/>
        <v>0.90092666666666665</v>
      </c>
      <c r="V5" s="163">
        <f t="shared" ca="1" si="6"/>
        <v>11.467403606973738</v>
      </c>
      <c r="W5" s="163">
        <f t="shared" ca="1" si="7"/>
        <v>13.224854989577832</v>
      </c>
      <c r="X5" s="159">
        <f t="shared" si="8"/>
        <v>5.3670153105879397</v>
      </c>
      <c r="Y5" s="159">
        <f t="shared" si="9"/>
        <v>8.1223054547182461</v>
      </c>
      <c r="Z5" s="159">
        <f t="shared" si="10"/>
        <v>5.3670153105879397</v>
      </c>
      <c r="AA5" s="159">
        <f t="shared" si="11"/>
        <v>7.0575461492134908</v>
      </c>
      <c r="AB5" s="159">
        <f t="shared" si="12"/>
        <v>13.677415017855601</v>
      </c>
      <c r="AC5" s="159">
        <f t="shared" si="13"/>
        <v>3.5287730746067454</v>
      </c>
      <c r="AD5" s="159">
        <f t="shared" si="14"/>
        <v>2.1101538853607429</v>
      </c>
      <c r="AE5" s="159">
        <f t="shared" si="15"/>
        <v>5.1700628767494177</v>
      </c>
      <c r="AF5" s="159">
        <f t="shared" si="16"/>
        <v>9.8887710579095991</v>
      </c>
      <c r="AG5" s="159">
        <f t="shared" si="17"/>
        <v>2.5850314383747088</v>
      </c>
      <c r="AH5" s="159">
        <f t="shared" si="18"/>
        <v>3.413484226318849</v>
      </c>
      <c r="AI5" s="159">
        <f t="shared" si="19"/>
        <v>12.583221816427153</v>
      </c>
      <c r="AJ5" s="159">
        <f t="shared" si="20"/>
        <v>5.6624498173922184</v>
      </c>
      <c r="AK5" s="159">
        <f t="shared" si="21"/>
        <v>1.4806541968707736</v>
      </c>
      <c r="AL5" s="159">
        <f t="shared" si="22"/>
        <v>5.1195680304990923</v>
      </c>
      <c r="AM5" s="159">
        <f t="shared" si="23"/>
        <v>10.312770923463123</v>
      </c>
      <c r="AN5" s="159">
        <f t="shared" si="24"/>
        <v>9.6836098326417659</v>
      </c>
      <c r="AO5" s="159">
        <f t="shared" si="25"/>
        <v>3.0087969746485514</v>
      </c>
      <c r="AP5" s="159">
        <f t="shared" si="26"/>
        <v>1.8284475251424126</v>
      </c>
      <c r="AQ5" s="159">
        <f t="shared" si="27"/>
        <v>3.6929020548210127</v>
      </c>
      <c r="AR5" s="159">
        <f t="shared" si="28"/>
        <v>8.1243845206062275</v>
      </c>
      <c r="AS5" s="159">
        <f t="shared" si="29"/>
        <v>1.8464510274105064</v>
      </c>
      <c r="AT5" s="159">
        <f t="shared" si="30"/>
        <v>8.3696859990779053</v>
      </c>
      <c r="AU5" s="159">
        <f t="shared" si="31"/>
        <v>1.3506383967656728</v>
      </c>
      <c r="AV5" s="159">
        <f t="shared" si="32"/>
        <v>2.466407266898357</v>
      </c>
      <c r="AW5" s="159">
        <f t="shared" si="33"/>
        <v>0.67531919838283638</v>
      </c>
      <c r="AX5" s="159">
        <f t="shared" si="34"/>
        <v>2.5850314383747088</v>
      </c>
      <c r="AY5" s="159">
        <f t="shared" si="35"/>
        <v>5.4709660071422412</v>
      </c>
      <c r="AZ5" s="159">
        <f t="shared" si="36"/>
        <v>1.2925157191873544</v>
      </c>
      <c r="BA5" s="159">
        <f t="shared" si="37"/>
        <v>8.8661927956333741</v>
      </c>
      <c r="BB5" s="159">
        <f t="shared" si="38"/>
        <v>2.6285501106285785</v>
      </c>
      <c r="BC5" s="159">
        <f t="shared" si="39"/>
        <v>5.0233455637273252</v>
      </c>
      <c r="BD5" s="159">
        <f t="shared" si="40"/>
        <v>1.3142750553142892</v>
      </c>
      <c r="BE5" s="159">
        <f t="shared" si="41"/>
        <v>3.9801277701959799</v>
      </c>
      <c r="BF5" s="159">
        <f t="shared" si="42"/>
        <v>4.7597404262137486</v>
      </c>
      <c r="BG5" s="159">
        <f t="shared" si="43"/>
        <v>7.8111158529530025</v>
      </c>
      <c r="BH5" s="159">
        <f t="shared" si="44"/>
        <v>8.2703742842069623</v>
      </c>
      <c r="BI5" s="159">
        <f t="shared" si="45"/>
        <v>2.5038757970809775</v>
      </c>
      <c r="BJ5" s="159">
        <f t="shared" si="46"/>
        <v>6.6335462836599666</v>
      </c>
      <c r="BK5" s="159">
        <f t="shared" si="47"/>
        <v>3.6108375647138788</v>
      </c>
      <c r="BL5" s="159">
        <f t="shared" si="48"/>
        <v>3.3780194551363154</v>
      </c>
      <c r="BM5" s="159">
        <f t="shared" si="49"/>
        <v>7.947936392272462</v>
      </c>
      <c r="BN5" s="159">
        <f t="shared" si="50"/>
        <v>0.54025535870626906</v>
      </c>
      <c r="BO5" s="159">
        <f t="shared" si="51"/>
        <v>2.4619347032140082</v>
      </c>
      <c r="BP5" s="159">
        <f t="shared" si="52"/>
        <v>0.93006422121418098</v>
      </c>
      <c r="BQ5" s="159">
        <f t="shared" si="53"/>
        <v>2.7041888026681788</v>
      </c>
      <c r="BR5" s="159">
        <f t="shared" si="54"/>
        <v>11.678152824073413</v>
      </c>
      <c r="BS5" s="159">
        <f t="shared" si="55"/>
        <v>1.4025860274105064</v>
      </c>
      <c r="BT5" s="159">
        <f t="shared" si="56"/>
        <v>3.8843858650709904</v>
      </c>
      <c r="BU5" s="159">
        <f t="shared" si="57"/>
        <v>3.3372892643567669</v>
      </c>
      <c r="BV5" s="159">
        <f t="shared" si="58"/>
        <v>4.0341177220131854</v>
      </c>
      <c r="BW5" s="159">
        <f t="shared" si="59"/>
        <v>10.057674950895116</v>
      </c>
      <c r="BX5" s="159">
        <f t="shared" si="60"/>
        <v>1.2571326616049723</v>
      </c>
      <c r="BY5" s="159">
        <f t="shared" si="61"/>
        <v>3.8843858650709904</v>
      </c>
      <c r="BZ5" s="159">
        <f t="shared" si="62"/>
        <v>3.3372892643567669</v>
      </c>
      <c r="CA5" s="159">
        <f t="shared" si="63"/>
        <v>5.5945676540446589</v>
      </c>
      <c r="CB5" s="159">
        <f t="shared" si="64"/>
        <v>8.1173158854252065</v>
      </c>
      <c r="CC5" s="159">
        <f t="shared" si="65"/>
        <v>1.5376498670870735</v>
      </c>
      <c r="CD5" s="159">
        <f t="shared" si="66"/>
        <v>3.5996742750271502</v>
      </c>
      <c r="CE5" s="159">
        <f t="shared" si="67"/>
        <v>4.7465136687472125</v>
      </c>
      <c r="CF5" s="159">
        <f t="shared" si="68"/>
        <v>9.7517103101054055</v>
      </c>
      <c r="CG5" s="159">
        <f t="shared" si="69"/>
        <v>4.7465136687472125</v>
      </c>
      <c r="CH5" s="159">
        <f t="shared" si="70"/>
        <v>5.1025253339018164</v>
      </c>
      <c r="CI5" s="159">
        <f t="shared" si="71"/>
        <v>10.883816826110982</v>
      </c>
      <c r="CJ5" s="159">
        <f t="shared" si="72"/>
        <v>5.1025253339018164</v>
      </c>
      <c r="CK5" s="159">
        <f t="shared" si="73"/>
        <v>2.2165481989083435</v>
      </c>
    </row>
    <row r="6" spans="1:89" x14ac:dyDescent="0.25">
      <c r="A6" t="str">
        <f>PLANTILLA!D9</f>
        <v>E. Toney</v>
      </c>
      <c r="B6" s="488">
        <f>PLANTILLA!E9</f>
        <v>31</v>
      </c>
      <c r="C6" s="488">
        <f ca="1">PLANTILLA!F9</f>
        <v>24</v>
      </c>
      <c r="D6" s="488"/>
      <c r="E6" s="290">
        <v>41539</v>
      </c>
      <c r="F6" s="341">
        <f>PLANTILLA!Q9</f>
        <v>5</v>
      </c>
      <c r="G6" s="407">
        <f t="shared" ref="G6:G10" si="74">(F6/7)^0.5</f>
        <v>0.84515425472851657</v>
      </c>
      <c r="H6" s="407">
        <f>IF(F6=7,1,((F6+0.99)/7)^0.5)</f>
        <v>0.92504826128926143</v>
      </c>
      <c r="I6" s="497">
        <v>1.5</v>
      </c>
      <c r="J6" s="498">
        <f>PLANTILLA!I9</f>
        <v>12.2</v>
      </c>
      <c r="K6" s="163">
        <f>PLANTILLA!X9</f>
        <v>0</v>
      </c>
      <c r="L6" s="163">
        <f>PLANTILLA!Y9</f>
        <v>12.130000000000004</v>
      </c>
      <c r="M6" s="163">
        <f>PLANTILLA!Z9</f>
        <v>13.156555555555553</v>
      </c>
      <c r="N6" s="163">
        <f>PLANTILLA!AA9</f>
        <v>9.8200000000000056</v>
      </c>
      <c r="O6" s="163">
        <f>PLANTILLA!AB9</f>
        <v>9.6</v>
      </c>
      <c r="P6" s="163">
        <f>PLANTILLA!AC9</f>
        <v>3.6816666666666658</v>
      </c>
      <c r="Q6" s="163">
        <f>PLANTILLA!AD9</f>
        <v>16.627777777777773</v>
      </c>
      <c r="R6" s="163">
        <f t="shared" si="2"/>
        <v>4.2912500000000007</v>
      </c>
      <c r="S6" s="163">
        <f t="shared" si="3"/>
        <v>14.172984745499365</v>
      </c>
      <c r="T6" s="163">
        <f t="shared" si="4"/>
        <v>0.68291666666666639</v>
      </c>
      <c r="U6" s="163">
        <f t="shared" si="5"/>
        <v>0.98403333333333332</v>
      </c>
      <c r="V6" s="163">
        <f t="shared" ca="1" si="6"/>
        <v>16.122380234378898</v>
      </c>
      <c r="W6" s="163">
        <f t="shared" ca="1" si="7"/>
        <v>17.646458880393705</v>
      </c>
      <c r="X6" s="159">
        <f t="shared" si="8"/>
        <v>5.9219028429054088</v>
      </c>
      <c r="Y6" s="159">
        <f t="shared" si="9"/>
        <v>8.961737388534802</v>
      </c>
      <c r="Z6" s="159">
        <f t="shared" si="10"/>
        <v>5.9219028429054088</v>
      </c>
      <c r="AA6" s="159">
        <f t="shared" si="11"/>
        <v>7.7804955635042292</v>
      </c>
      <c r="AB6" s="159">
        <f t="shared" si="12"/>
        <v>15.078479774233003</v>
      </c>
      <c r="AC6" s="159">
        <f t="shared" si="13"/>
        <v>3.8902477817521146</v>
      </c>
      <c r="AD6" s="159">
        <f t="shared" si="14"/>
        <v>3.8329984084896744</v>
      </c>
      <c r="AE6" s="159">
        <f t="shared" si="15"/>
        <v>5.6996653546600751</v>
      </c>
      <c r="AF6" s="159">
        <f t="shared" si="16"/>
        <v>10.901740876770461</v>
      </c>
      <c r="AG6" s="159">
        <f t="shared" si="17"/>
        <v>2.8498326773300375</v>
      </c>
      <c r="AH6" s="159">
        <f t="shared" si="18"/>
        <v>6.2004386019685915</v>
      </c>
      <c r="AI6" s="159">
        <f t="shared" si="19"/>
        <v>13.872201392294363</v>
      </c>
      <c r="AJ6" s="159">
        <f t="shared" si="20"/>
        <v>6.2424906265324624</v>
      </c>
      <c r="AK6" s="159">
        <f t="shared" si="21"/>
        <v>2.6895409000746877</v>
      </c>
      <c r="AL6" s="159">
        <f t="shared" si="22"/>
        <v>7.507866107249006</v>
      </c>
      <c r="AM6" s="159">
        <f t="shared" si="23"/>
        <v>11.369173749771685</v>
      </c>
      <c r="AN6" s="159">
        <f t="shared" si="24"/>
        <v>10.675563680156966</v>
      </c>
      <c r="AO6" s="159">
        <f t="shared" si="25"/>
        <v>3.2692350111857986</v>
      </c>
      <c r="AP6" s="159">
        <f t="shared" si="26"/>
        <v>2.0850421749791033</v>
      </c>
      <c r="AQ6" s="159">
        <f t="shared" si="27"/>
        <v>4.0711895390429111</v>
      </c>
      <c r="AR6" s="159">
        <f t="shared" si="28"/>
        <v>8.9566169858944029</v>
      </c>
      <c r="AS6" s="159">
        <f t="shared" si="29"/>
        <v>2.0355947695214556</v>
      </c>
      <c r="AT6" s="159">
        <f t="shared" si="30"/>
        <v>15.20315335132039</v>
      </c>
      <c r="AU6" s="159">
        <f t="shared" si="31"/>
        <v>1.6313023706502898</v>
      </c>
      <c r="AV6" s="159">
        <f t="shared" si="32"/>
        <v>2.6528329071836012</v>
      </c>
      <c r="AW6" s="159">
        <f t="shared" si="33"/>
        <v>0.81565118532514491</v>
      </c>
      <c r="AX6" s="159">
        <f t="shared" si="34"/>
        <v>2.8498326773300375</v>
      </c>
      <c r="AY6" s="159">
        <f t="shared" si="35"/>
        <v>6.0313919096932018</v>
      </c>
      <c r="AZ6" s="159">
        <f t="shared" si="36"/>
        <v>1.4249163386650188</v>
      </c>
      <c r="BA6" s="159">
        <f t="shared" si="37"/>
        <v>16.105035329788549</v>
      </c>
      <c r="BB6" s="159">
        <f t="shared" si="38"/>
        <v>3.1747653828809486</v>
      </c>
      <c r="BC6" s="159">
        <f t="shared" si="39"/>
        <v>5.6713623556023816</v>
      </c>
      <c r="BD6" s="159">
        <f t="shared" si="40"/>
        <v>1.5873826914404743</v>
      </c>
      <c r="BE6" s="159">
        <f t="shared" si="41"/>
        <v>4.3878376143018034</v>
      </c>
      <c r="BF6" s="159">
        <f t="shared" si="42"/>
        <v>5.2473109614330848</v>
      </c>
      <c r="BG6" s="159">
        <f t="shared" si="43"/>
        <v>14.188536125543711</v>
      </c>
      <c r="BH6" s="159">
        <f t="shared" si="44"/>
        <v>11.281878519293139</v>
      </c>
      <c r="BI6" s="159">
        <f t="shared" si="45"/>
        <v>3.0241836255901524</v>
      </c>
      <c r="BJ6" s="159">
        <f t="shared" si="46"/>
        <v>7.3130626905030063</v>
      </c>
      <c r="BK6" s="159">
        <f t="shared" si="47"/>
        <v>3.9807186603975131</v>
      </c>
      <c r="BL6" s="159">
        <f t="shared" si="48"/>
        <v>6.1360184606494377</v>
      </c>
      <c r="BM6" s="159">
        <f t="shared" si="49"/>
        <v>11.115431322679644</v>
      </c>
      <c r="BN6" s="159">
        <f t="shared" si="50"/>
        <v>0.65252094826011586</v>
      </c>
      <c r="BO6" s="159">
        <f t="shared" si="51"/>
        <v>2.7141263593619405</v>
      </c>
      <c r="BP6" s="159">
        <f t="shared" si="52"/>
        <v>1.0253366246478444</v>
      </c>
      <c r="BQ6" s="159">
        <f t="shared" si="53"/>
        <v>4.9120357755855073</v>
      </c>
      <c r="BR6" s="159">
        <f t="shared" si="54"/>
        <v>16.357344989663641</v>
      </c>
      <c r="BS6" s="159">
        <f t="shared" si="55"/>
        <v>1.6940447695214549</v>
      </c>
      <c r="BT6" s="159">
        <f t="shared" si="56"/>
        <v>4.2822882558821727</v>
      </c>
      <c r="BU6" s="159">
        <f t="shared" si="57"/>
        <v>3.6791490649128527</v>
      </c>
      <c r="BV6" s="159">
        <f t="shared" si="58"/>
        <v>7.3277910750537902</v>
      </c>
      <c r="BW6" s="159">
        <f t="shared" si="59"/>
        <v>14.093795589850167</v>
      </c>
      <c r="BX6" s="159">
        <f t="shared" si="60"/>
        <v>1.5183660526821927</v>
      </c>
      <c r="BY6" s="159">
        <f t="shared" si="61"/>
        <v>4.2822882558821727</v>
      </c>
      <c r="BZ6" s="159">
        <f t="shared" si="62"/>
        <v>3.6791490649128527</v>
      </c>
      <c r="CA6" s="159">
        <f t="shared" si="63"/>
        <v>10.162277293096574</v>
      </c>
      <c r="CB6" s="159">
        <f t="shared" si="64"/>
        <v>11.385329397938536</v>
      </c>
      <c r="CC6" s="159">
        <f t="shared" si="65"/>
        <v>1.8571750065864836</v>
      </c>
      <c r="CD6" s="159">
        <f t="shared" si="66"/>
        <v>6.5386443438941511</v>
      </c>
      <c r="CE6" s="159">
        <f t="shared" si="67"/>
        <v>5.8178096290420598</v>
      </c>
      <c r="CF6" s="159">
        <f t="shared" si="68"/>
        <v>10.679199892453022</v>
      </c>
      <c r="CG6" s="159">
        <f t="shared" si="69"/>
        <v>5.8178096290420598</v>
      </c>
      <c r="CH6" s="159">
        <f t="shared" si="70"/>
        <v>6.1975562326804923</v>
      </c>
      <c r="CI6" s="159">
        <f t="shared" si="71"/>
        <v>11.26053547759164</v>
      </c>
      <c r="CJ6" s="159">
        <f t="shared" si="72"/>
        <v>6.1975562326804923</v>
      </c>
      <c r="CK6" s="159">
        <f t="shared" si="73"/>
        <v>4.0262588324471373</v>
      </c>
    </row>
    <row r="7" spans="1:89" x14ac:dyDescent="0.25">
      <c r="A7" t="str">
        <f>PLANTILLA!D10</f>
        <v>B. Bartolache</v>
      </c>
      <c r="B7" s="488">
        <f>PLANTILLA!E10</f>
        <v>31</v>
      </c>
      <c r="C7" s="488">
        <f ca="1">PLANTILLA!F10</f>
        <v>9</v>
      </c>
      <c r="D7" s="488"/>
      <c r="E7" s="290">
        <v>41527</v>
      </c>
      <c r="F7" s="341">
        <f>PLANTILLA!Q10</f>
        <v>7</v>
      </c>
      <c r="G7" s="407">
        <f t="shared" si="74"/>
        <v>1</v>
      </c>
      <c r="H7" s="407">
        <f t="shared" ref="H7:H21" si="75">IF(F7=7,1,((F7+0.99)/7)^0.5)</f>
        <v>1</v>
      </c>
      <c r="I7" s="497">
        <v>1.5</v>
      </c>
      <c r="J7" s="498">
        <f>PLANTILLA!I10</f>
        <v>9.3000000000000007</v>
      </c>
      <c r="K7" s="163">
        <f>PLANTILLA!X10</f>
        <v>0</v>
      </c>
      <c r="L7" s="163">
        <f>PLANTILLA!Y10</f>
        <v>11.749999999999996</v>
      </c>
      <c r="M7" s="163">
        <f>PLANTILLA!Z10</f>
        <v>7.0025000000000022</v>
      </c>
      <c r="N7" s="163">
        <f>PLANTILLA!AA10</f>
        <v>7.4300000000000015</v>
      </c>
      <c r="O7" s="163">
        <f>PLANTILLA!AB10</f>
        <v>9.0199999999999978</v>
      </c>
      <c r="P7" s="163">
        <f>PLANTILLA!AC10</f>
        <v>4.6199999999999966</v>
      </c>
      <c r="Q7" s="163">
        <f>PLANTILLA!AD10</f>
        <v>15.6</v>
      </c>
      <c r="R7" s="163">
        <f t="shared" si="2"/>
        <v>4.098749999999999</v>
      </c>
      <c r="S7" s="163">
        <f t="shared" si="3"/>
        <v>14.817996421738927</v>
      </c>
      <c r="T7" s="163">
        <f t="shared" si="4"/>
        <v>0.69899999999999984</v>
      </c>
      <c r="U7" s="163">
        <f t="shared" si="5"/>
        <v>0.93799999999999994</v>
      </c>
      <c r="V7" s="163">
        <f t="shared" ca="1" si="6"/>
        <v>17.891310598071914</v>
      </c>
      <c r="W7" s="163">
        <f t="shared" ca="1" si="7"/>
        <v>17.891310598071914</v>
      </c>
      <c r="X7" s="159">
        <f t="shared" si="8"/>
        <v>5.67981415211678</v>
      </c>
      <c r="Y7" s="159">
        <f t="shared" si="9"/>
        <v>8.5973319821108376</v>
      </c>
      <c r="Z7" s="159">
        <f t="shared" si="10"/>
        <v>5.67981415211678</v>
      </c>
      <c r="AA7" s="159">
        <f t="shared" si="11"/>
        <v>7.5033162686051051</v>
      </c>
      <c r="AB7" s="159">
        <f t="shared" si="12"/>
        <v>14.54131059807191</v>
      </c>
      <c r="AC7" s="159">
        <f t="shared" si="13"/>
        <v>3.7516581343025526</v>
      </c>
      <c r="AD7" s="159">
        <f t="shared" si="14"/>
        <v>2.3309269223411153</v>
      </c>
      <c r="AE7" s="159">
        <f t="shared" si="15"/>
        <v>5.4966154060711823</v>
      </c>
      <c r="AF7" s="159">
        <f t="shared" si="16"/>
        <v>10.513367562405991</v>
      </c>
      <c r="AG7" s="159">
        <f t="shared" si="17"/>
        <v>2.7483077030355911</v>
      </c>
      <c r="AH7" s="159">
        <f t="shared" si="18"/>
        <v>3.7706170802576873</v>
      </c>
      <c r="AI7" s="159">
        <f t="shared" si="19"/>
        <v>13.378005750226157</v>
      </c>
      <c r="AJ7" s="159">
        <f t="shared" si="20"/>
        <v>6.0201025876017704</v>
      </c>
      <c r="AK7" s="159">
        <f t="shared" si="21"/>
        <v>1.6355663698780099</v>
      </c>
      <c r="AL7" s="159">
        <f t="shared" si="22"/>
        <v>6.0101306316662857</v>
      </c>
      <c r="AM7" s="159">
        <f t="shared" si="23"/>
        <v>10.96414819094622</v>
      </c>
      <c r="AN7" s="159">
        <f t="shared" si="24"/>
        <v>10.295247903434911</v>
      </c>
      <c r="AO7" s="159">
        <f t="shared" si="25"/>
        <v>3.07134886987801</v>
      </c>
      <c r="AP7" s="159">
        <f t="shared" si="26"/>
        <v>1.9843374522447106</v>
      </c>
      <c r="AQ7" s="159">
        <f t="shared" si="27"/>
        <v>3.926153861479416</v>
      </c>
      <c r="AR7" s="159">
        <f t="shared" si="28"/>
        <v>8.6375384952547147</v>
      </c>
      <c r="AS7" s="159">
        <f t="shared" si="29"/>
        <v>1.963076930739708</v>
      </c>
      <c r="AT7" s="159">
        <f t="shared" si="30"/>
        <v>9.2453572045798875</v>
      </c>
      <c r="AU7" s="159">
        <f t="shared" si="31"/>
        <v>1.5354703777493484</v>
      </c>
      <c r="AV7" s="159">
        <f t="shared" si="32"/>
        <v>2.6995140052350699</v>
      </c>
      <c r="AW7" s="159">
        <f t="shared" si="33"/>
        <v>0.76773518887467418</v>
      </c>
      <c r="AX7" s="159">
        <f t="shared" si="34"/>
        <v>2.7483077030355911</v>
      </c>
      <c r="AY7" s="159">
        <f t="shared" si="35"/>
        <v>5.8165242392287642</v>
      </c>
      <c r="AZ7" s="159">
        <f t="shared" si="36"/>
        <v>1.3741538515177956</v>
      </c>
      <c r="BA7" s="159">
        <f t="shared" si="37"/>
        <v>9.7938105980719143</v>
      </c>
      <c r="BB7" s="159">
        <f t="shared" si="38"/>
        <v>2.9882615813121935</v>
      </c>
      <c r="BC7" s="159">
        <f t="shared" si="39"/>
        <v>5.5840321395376229</v>
      </c>
      <c r="BD7" s="159">
        <f t="shared" si="40"/>
        <v>1.4941307906560968</v>
      </c>
      <c r="BE7" s="159">
        <f t="shared" si="41"/>
        <v>4.231521384038925</v>
      </c>
      <c r="BF7" s="159">
        <f t="shared" si="42"/>
        <v>5.0603760881290238</v>
      </c>
      <c r="BG7" s="159">
        <f t="shared" si="43"/>
        <v>8.6283471369013558</v>
      </c>
      <c r="BH7" s="159">
        <f t="shared" si="44"/>
        <v>9.587595121685931</v>
      </c>
      <c r="BI7" s="159">
        <f t="shared" si="45"/>
        <v>2.8465258541353302</v>
      </c>
      <c r="BJ7" s="159">
        <f t="shared" si="46"/>
        <v>7.0525356400648755</v>
      </c>
      <c r="BK7" s="159">
        <f t="shared" si="47"/>
        <v>3.8389059978909841</v>
      </c>
      <c r="BL7" s="159">
        <f t="shared" si="48"/>
        <v>3.7314418378653995</v>
      </c>
      <c r="BM7" s="159">
        <f t="shared" si="49"/>
        <v>9.2530154627148526</v>
      </c>
      <c r="BN7" s="159">
        <f t="shared" si="50"/>
        <v>0.61418815109973934</v>
      </c>
      <c r="BO7" s="159">
        <f t="shared" si="51"/>
        <v>2.6174359076529434</v>
      </c>
      <c r="BP7" s="159">
        <f t="shared" si="52"/>
        <v>0.98880912066888993</v>
      </c>
      <c r="BQ7" s="159">
        <f t="shared" si="53"/>
        <v>2.9871122324119339</v>
      </c>
      <c r="BR7" s="159">
        <f t="shared" si="54"/>
        <v>13.599345429120481</v>
      </c>
      <c r="BS7" s="159">
        <f t="shared" si="55"/>
        <v>1.5945269307397081</v>
      </c>
      <c r="BT7" s="159">
        <f t="shared" si="56"/>
        <v>4.1297322098524223</v>
      </c>
      <c r="BU7" s="159">
        <f t="shared" si="57"/>
        <v>3.5480797859295459</v>
      </c>
      <c r="BV7" s="159">
        <f t="shared" si="58"/>
        <v>4.4561838221227212</v>
      </c>
      <c r="BW7" s="159">
        <f t="shared" si="59"/>
        <v>11.71317214266368</v>
      </c>
      <c r="BX7" s="159">
        <f t="shared" si="60"/>
        <v>1.4291685823667011</v>
      </c>
      <c r="BY7" s="159">
        <f t="shared" si="61"/>
        <v>4.1297322098524223</v>
      </c>
      <c r="BZ7" s="159">
        <f t="shared" si="62"/>
        <v>3.5480797859295459</v>
      </c>
      <c r="CA7" s="159">
        <f t="shared" si="63"/>
        <v>6.1798944873833781</v>
      </c>
      <c r="CB7" s="159">
        <f t="shared" si="64"/>
        <v>9.4549429852743625</v>
      </c>
      <c r="CC7" s="159">
        <f t="shared" si="65"/>
        <v>1.7480739685146427</v>
      </c>
      <c r="CD7" s="159">
        <f t="shared" si="66"/>
        <v>3.9762871028171975</v>
      </c>
      <c r="CE7" s="159">
        <f t="shared" si="67"/>
        <v>5.3659328215954654</v>
      </c>
      <c r="CF7" s="159">
        <f t="shared" si="68"/>
        <v>10.734335733428971</v>
      </c>
      <c r="CG7" s="159">
        <f t="shared" si="69"/>
        <v>5.3659328215954654</v>
      </c>
      <c r="CH7" s="159">
        <f t="shared" si="70"/>
        <v>5.7330565025988012</v>
      </c>
      <c r="CI7" s="159">
        <f t="shared" si="71"/>
        <v>11.769684208760445</v>
      </c>
      <c r="CJ7" s="159">
        <f t="shared" si="72"/>
        <v>5.7330565025988012</v>
      </c>
      <c r="CK7" s="159">
        <f t="shared" si="73"/>
        <v>2.4484526495179786</v>
      </c>
    </row>
    <row r="8" spans="1:89" x14ac:dyDescent="0.25">
      <c r="A8" t="str">
        <f>PLANTILLA!D11</f>
        <v>F. Lasprilla</v>
      </c>
      <c r="B8" s="488">
        <f>PLANTILLA!E11</f>
        <v>27</v>
      </c>
      <c r="C8" s="488">
        <f ca="1">PLANTILLA!F11</f>
        <v>32</v>
      </c>
      <c r="D8" s="488"/>
      <c r="E8" s="290">
        <v>42106</v>
      </c>
      <c r="F8" s="341">
        <f>PLANTILLA!Q11</f>
        <v>7</v>
      </c>
      <c r="G8" s="407">
        <f t="shared" si="74"/>
        <v>1</v>
      </c>
      <c r="H8" s="407">
        <f t="shared" si="75"/>
        <v>1</v>
      </c>
      <c r="I8" s="497">
        <v>1.5</v>
      </c>
      <c r="J8" s="498">
        <f>PLANTILLA!I11</f>
        <v>4.9000000000000004</v>
      </c>
      <c r="K8" s="163">
        <f>PLANTILLA!X11</f>
        <v>0</v>
      </c>
      <c r="L8" s="163">
        <f>PLANTILLA!Y11</f>
        <v>9.5996666666666659</v>
      </c>
      <c r="M8" s="163">
        <f>PLANTILLA!Z11</f>
        <v>7.7507222222222225</v>
      </c>
      <c r="N8" s="163">
        <f>PLANTILLA!AA11</f>
        <v>6.1499999999999986</v>
      </c>
      <c r="O8" s="163">
        <f>PLANTILLA!AB11</f>
        <v>8.8633333333333315</v>
      </c>
      <c r="P8" s="163">
        <f>PLANTILLA!AC11</f>
        <v>3.2566666666666673</v>
      </c>
      <c r="Q8" s="163">
        <f>PLANTILLA!AD11</f>
        <v>13.238888888888889</v>
      </c>
      <c r="R8" s="163">
        <f t="shared" si="2"/>
        <v>3.7907916666666663</v>
      </c>
      <c r="S8" s="163">
        <f t="shared" si="3"/>
        <v>10.436233338039576</v>
      </c>
      <c r="T8" s="163">
        <f t="shared" si="4"/>
        <v>0.56000000000000005</v>
      </c>
      <c r="U8" s="163">
        <f t="shared" si="5"/>
        <v>0.78115333333333337</v>
      </c>
      <c r="V8" s="163">
        <f t="shared" ca="1" si="6"/>
        <v>15.159150328926907</v>
      </c>
      <c r="W8" s="163">
        <f t="shared" ca="1" si="7"/>
        <v>15.159150328926907</v>
      </c>
      <c r="X8" s="159">
        <f t="shared" si="8"/>
        <v>4.7623962371531903</v>
      </c>
      <c r="Y8" s="159">
        <f t="shared" si="9"/>
        <v>7.2044158524224144</v>
      </c>
      <c r="Z8" s="159">
        <f t="shared" si="10"/>
        <v>4.7623962371531903</v>
      </c>
      <c r="AA8" s="159">
        <f t="shared" si="11"/>
        <v>6.2022829030596176</v>
      </c>
      <c r="AB8" s="159">
        <f t="shared" si="12"/>
        <v>12.019928106704684</v>
      </c>
      <c r="AC8" s="159">
        <f t="shared" si="13"/>
        <v>3.1011414515298088</v>
      </c>
      <c r="AD8" s="159">
        <f t="shared" si="14"/>
        <v>2.4206941116179372</v>
      </c>
      <c r="AE8" s="159">
        <f t="shared" si="15"/>
        <v>4.5435328243343704</v>
      </c>
      <c r="AF8" s="159">
        <f t="shared" si="16"/>
        <v>8.690408021147487</v>
      </c>
      <c r="AG8" s="159">
        <f t="shared" si="17"/>
        <v>2.2717664121671852</v>
      </c>
      <c r="AH8" s="159">
        <f t="shared" si="18"/>
        <v>3.9158287099701927</v>
      </c>
      <c r="AI8" s="159">
        <f t="shared" si="19"/>
        <v>11.058333858168311</v>
      </c>
      <c r="AJ8" s="159">
        <f t="shared" si="20"/>
        <v>4.9762502361757388</v>
      </c>
      <c r="AK8" s="159">
        <f t="shared" si="21"/>
        <v>1.6985542715974604</v>
      </c>
      <c r="AL8" s="159">
        <f t="shared" si="22"/>
        <v>5.0393137267423533</v>
      </c>
      <c r="AM8" s="159">
        <f t="shared" si="23"/>
        <v>9.0630257924553312</v>
      </c>
      <c r="AN8" s="159">
        <f t="shared" si="24"/>
        <v>8.5101090995469164</v>
      </c>
      <c r="AO8" s="159">
        <f t="shared" si="25"/>
        <v>2.6150781049307938</v>
      </c>
      <c r="AP8" s="159">
        <f t="shared" si="26"/>
        <v>1.788783294730949</v>
      </c>
      <c r="AQ8" s="159">
        <f t="shared" si="27"/>
        <v>3.2453805888102649</v>
      </c>
      <c r="AR8" s="159">
        <f t="shared" si="28"/>
        <v>7.1398372953825824</v>
      </c>
      <c r="AS8" s="159">
        <f t="shared" si="29"/>
        <v>1.6226902944051325</v>
      </c>
      <c r="AT8" s="159">
        <f t="shared" si="30"/>
        <v>9.6014085771736664</v>
      </c>
      <c r="AU8" s="159">
        <f t="shared" si="31"/>
        <v>1.4668673205382756</v>
      </c>
      <c r="AV8" s="159">
        <f t="shared" si="32"/>
        <v>2.3361399352644723</v>
      </c>
      <c r="AW8" s="159">
        <f t="shared" si="33"/>
        <v>0.73343366026913781</v>
      </c>
      <c r="AX8" s="159">
        <f t="shared" si="34"/>
        <v>2.2717664121671852</v>
      </c>
      <c r="AY8" s="159">
        <f t="shared" si="35"/>
        <v>4.8079712426818739</v>
      </c>
      <c r="AZ8" s="159">
        <f t="shared" si="36"/>
        <v>1.1358832060835926</v>
      </c>
      <c r="BA8" s="159">
        <f t="shared" si="37"/>
        <v>10.170983662260241</v>
      </c>
      <c r="BB8" s="159">
        <f t="shared" si="38"/>
        <v>2.8547494776629514</v>
      </c>
      <c r="BC8" s="159">
        <f t="shared" si="39"/>
        <v>5.0398607201276144</v>
      </c>
      <c r="BD8" s="159">
        <f t="shared" si="40"/>
        <v>1.4273747388314757</v>
      </c>
      <c r="BE8" s="159">
        <f t="shared" si="41"/>
        <v>3.4977990790510631</v>
      </c>
      <c r="BF8" s="159">
        <f t="shared" si="42"/>
        <v>4.1829349811332301</v>
      </c>
      <c r="BG8" s="159">
        <f t="shared" si="43"/>
        <v>8.9606366064512724</v>
      </c>
      <c r="BH8" s="159">
        <f t="shared" si="44"/>
        <v>8.4736624201937971</v>
      </c>
      <c r="BI8" s="159">
        <f t="shared" si="45"/>
        <v>2.7193463403824953</v>
      </c>
      <c r="BJ8" s="159">
        <f t="shared" si="46"/>
        <v>5.8296651317517716</v>
      </c>
      <c r="BK8" s="159">
        <f t="shared" si="47"/>
        <v>3.1732610201700369</v>
      </c>
      <c r="BL8" s="159">
        <f t="shared" si="48"/>
        <v>3.8751447753211519</v>
      </c>
      <c r="BM8" s="159">
        <f t="shared" si="49"/>
        <v>8.0357884985932273</v>
      </c>
      <c r="BN8" s="159">
        <f t="shared" si="50"/>
        <v>0.58674692821531016</v>
      </c>
      <c r="BO8" s="159">
        <f t="shared" si="51"/>
        <v>2.1635870592068431</v>
      </c>
      <c r="BP8" s="159">
        <f t="shared" si="52"/>
        <v>0.81735511125591864</v>
      </c>
      <c r="BQ8" s="159">
        <f t="shared" si="53"/>
        <v>3.1021500169893734</v>
      </c>
      <c r="BR8" s="159">
        <f t="shared" si="54"/>
        <v>11.797369545222223</v>
      </c>
      <c r="BS8" s="159">
        <f t="shared" si="55"/>
        <v>1.5232852944051323</v>
      </c>
      <c r="BT8" s="159">
        <f t="shared" si="56"/>
        <v>3.4136595823041302</v>
      </c>
      <c r="BU8" s="159">
        <f t="shared" si="57"/>
        <v>2.932862458035943</v>
      </c>
      <c r="BV8" s="159">
        <f t="shared" si="58"/>
        <v>4.6277975663284101</v>
      </c>
      <c r="BW8" s="159">
        <f t="shared" si="59"/>
        <v>10.157903008895456</v>
      </c>
      <c r="BX8" s="159">
        <f t="shared" si="60"/>
        <v>1.3653149675779332</v>
      </c>
      <c r="BY8" s="159">
        <f t="shared" si="61"/>
        <v>3.4136595823041302</v>
      </c>
      <c r="BZ8" s="159">
        <f t="shared" si="62"/>
        <v>2.932862458035943</v>
      </c>
      <c r="CA8" s="159">
        <f t="shared" si="63"/>
        <v>6.4178906908862121</v>
      </c>
      <c r="CB8" s="159">
        <f t="shared" si="64"/>
        <v>8.1940573221673585</v>
      </c>
      <c r="CC8" s="159">
        <f t="shared" si="65"/>
        <v>1.6699720264589597</v>
      </c>
      <c r="CD8" s="159">
        <f t="shared" si="66"/>
        <v>4.1294193668776584</v>
      </c>
      <c r="CE8" s="159">
        <f t="shared" si="67"/>
        <v>4.7759862102598065</v>
      </c>
      <c r="CF8" s="159">
        <f t="shared" si="68"/>
        <v>9.4366410481494754</v>
      </c>
      <c r="CG8" s="159">
        <f t="shared" si="69"/>
        <v>4.7759862102598065</v>
      </c>
      <c r="CH8" s="159">
        <f t="shared" si="70"/>
        <v>4.842299543810352</v>
      </c>
      <c r="CI8" s="159">
        <f t="shared" si="71"/>
        <v>9.8405745780787139</v>
      </c>
      <c r="CJ8" s="159">
        <f t="shared" si="72"/>
        <v>4.842299543810352</v>
      </c>
      <c r="CK8" s="159">
        <f t="shared" si="73"/>
        <v>2.5427459155650602</v>
      </c>
    </row>
    <row r="9" spans="1:89" x14ac:dyDescent="0.25">
      <c r="A9" t="str">
        <f>PLANTILLA!D7</f>
        <v>B. Pinczehelyi</v>
      </c>
      <c r="B9" s="488">
        <f>PLANTILLA!E7</f>
        <v>30</v>
      </c>
      <c r="C9" s="488">
        <f ca="1">PLANTILLA!F7</f>
        <v>25</v>
      </c>
      <c r="D9" s="488" t="str">
        <f>PLANTILLA!G7</f>
        <v>CAB</v>
      </c>
      <c r="E9" s="290">
        <v>42716</v>
      </c>
      <c r="F9" s="341">
        <f>PLANTILLA!Q7</f>
        <v>5</v>
      </c>
      <c r="G9" s="407">
        <f>(F9/7)^0.5</f>
        <v>0.84515425472851657</v>
      </c>
      <c r="H9" s="407">
        <f>IF(F9=7,1,((F9+0.99)/7)^0.5)</f>
        <v>0.92504826128926143</v>
      </c>
      <c r="I9" s="497">
        <v>1</v>
      </c>
      <c r="J9" s="498">
        <f>PLANTILLA!I7</f>
        <v>14.1</v>
      </c>
      <c r="K9" s="163">
        <f>PLANTILLA!X7</f>
        <v>0</v>
      </c>
      <c r="L9" s="163">
        <f>PLANTILLA!Y7</f>
        <v>14.250000000000004</v>
      </c>
      <c r="M9" s="163">
        <f>PLANTILLA!Z7</f>
        <v>9.3193333333333346</v>
      </c>
      <c r="N9" s="163">
        <f>PLANTILLA!AA7</f>
        <v>14.291666666666663</v>
      </c>
      <c r="O9" s="163">
        <f>PLANTILLA!AB7</f>
        <v>9.4199999999999982</v>
      </c>
      <c r="P9" s="163">
        <f>PLANTILLA!AC7</f>
        <v>1.1428571428571428</v>
      </c>
      <c r="Q9" s="163">
        <f>PLANTILLA!AD7</f>
        <v>9.4</v>
      </c>
      <c r="R9" s="163">
        <f>((2*(O9+1))+(L9+1))/8</f>
        <v>4.5112500000000004</v>
      </c>
      <c r="S9" s="163">
        <f t="shared" si="3"/>
        <v>5.0635085091007106</v>
      </c>
      <c r="T9" s="163">
        <f>(0.5*P9+ 0.3*Q9)/10</f>
        <v>0.33914285714285713</v>
      </c>
      <c r="U9" s="163">
        <f>(0.4*L9+0.3*Q9)/10</f>
        <v>0.85200000000000009</v>
      </c>
      <c r="V9" s="163">
        <f t="shared" ref="V9" ca="1" si="76">IF(TODAY()-E9&gt;335,(Q9+1+(LOG(J9)*4/3))*(F9/7)^0.5,(Q9+((TODAY()-E9)^0.5)/(336^0.5)+(LOG(J9)*4/3))*(F9/7)^0.5)</f>
        <v>10.084627479411273</v>
      </c>
      <c r="W9" s="163">
        <f t="shared" ref="W9" ca="1" si="77">IF(F9=7,V9,IF(TODAY()-E9&gt;335,(Q9+1+(LOG(J9)*4/3))*((F9+0.99)/7)^0.5,(Q9+((TODAY()-E9)^0.5)/(336^0.5)+(LOG(J9)*4/3))*((F9+0.99)/7)^0.5))</f>
        <v>11.037946106744648</v>
      </c>
      <c r="X9" s="159">
        <f>((K9+I9+(LOG(J9)*4/3))*0.597)+((L9+I9+(LOG(J9)*4/3))*0.276)</f>
        <v>6.1436910471308632</v>
      </c>
      <c r="Y9" s="159">
        <f>((K9+I9+(LOG(J9)*4/3))*0.866)+((L9+I9+(LOG(J9)*4/3))*0.425)</f>
        <v>9.3254391659174622</v>
      </c>
      <c r="Z9" s="159">
        <f>X9</f>
        <v>6.1436910471308632</v>
      </c>
      <c r="AA9" s="159">
        <f>((L9+I9+(LOG(J9)*4/3))*0.516)</f>
        <v>8.6596627495069036</v>
      </c>
      <c r="AB9" s="159">
        <f>(L9+I9+(LOG(J9)*4/3))*1</f>
        <v>16.782292150207176</v>
      </c>
      <c r="AC9" s="159">
        <f>AA9/2</f>
        <v>4.3298313747534518</v>
      </c>
      <c r="AD9" s="159">
        <f>(M9+I9+(LOG(J9)*4/3))*0.238</f>
        <v>2.8206868650826404</v>
      </c>
      <c r="AE9" s="159">
        <f>((L9+I9+(LOG(J9)*4/3))*0.378)</f>
        <v>6.3437064327783128</v>
      </c>
      <c r="AF9" s="159">
        <f>(L9+I9+(LOG(J9)*4/3))*0.723</f>
        <v>12.133597224599788</v>
      </c>
      <c r="AG9" s="159">
        <f>AE9/2</f>
        <v>3.1718532163891564</v>
      </c>
      <c r="AH9" s="159">
        <f>(M9+I9+(LOG(J9)*4/3))*0.385</f>
        <v>4.5628758111630958</v>
      </c>
      <c r="AI9" s="159">
        <f>((L9+I9+(LOG(J9)*4/3))*0.92)</f>
        <v>15.439708778190603</v>
      </c>
      <c r="AJ9" s="159">
        <f>(L9+I9+(LOG(J9)*4/3))*0.414</f>
        <v>6.9478689501857707</v>
      </c>
      <c r="AK9" s="159">
        <f>((M9+I9+(LOG(J9)*4/3))*0.167)</f>
        <v>1.9792214557512648</v>
      </c>
      <c r="AL9" s="159">
        <f>(N9+I9+(LOG(J9)*4/3))*0.588</f>
        <v>9.8924877843218155</v>
      </c>
      <c r="AM9" s="159">
        <f>((L9+I9+(LOG(J9)*4/3))*0.754)</f>
        <v>12.653848281256211</v>
      </c>
      <c r="AN9" s="159">
        <f>((L9+I9+(LOG(J9)*4/3))*0.708)</f>
        <v>11.881862842346679</v>
      </c>
      <c r="AO9" s="159">
        <f>((Q9+I9+(LOG(J9)*4/3))*0.167)</f>
        <v>1.992692789084598</v>
      </c>
      <c r="AP9" s="159">
        <f>((R9+I9+(LOG(J9)*4/3))*0.288)</f>
        <v>2.0285401392596656</v>
      </c>
      <c r="AQ9" s="159">
        <f>((L9+I9+(LOG(J9)*4/3))*0.27)</f>
        <v>4.5312188805559384</v>
      </c>
      <c r="AR9" s="159">
        <f>((L9+I9+(LOG(J9)*4/3))*0.594)</f>
        <v>9.9686815372230626</v>
      </c>
      <c r="AS9" s="159">
        <f>AQ9/2</f>
        <v>2.2656094402779692</v>
      </c>
      <c r="AT9" s="159">
        <f>((M9+I9+(LOG(J9)*4/3))*0.944)</f>
        <v>11.187934456462239</v>
      </c>
      <c r="AU9" s="159">
        <f>((O9+I9+(LOG(J9)*4/3))*0.13)</f>
        <v>1.5537979795269323</v>
      </c>
      <c r="AV9" s="159">
        <f>((P9+I9+(LOG(J9)*4/3))*0.173)+((O9+I9+(LOG(J9)*4/3))*0.12)</f>
        <v>2.0700758857249872</v>
      </c>
      <c r="AW9" s="159">
        <f>AU9/2</f>
        <v>0.77689898976346616</v>
      </c>
      <c r="AX9" s="159">
        <f>((L9+I9+(LOG(J9)*4/3))*0.189)</f>
        <v>3.1718532163891564</v>
      </c>
      <c r="AY9" s="159">
        <f>((L9+I9+(LOG(J9)*4/3))*0.4)</f>
        <v>6.7129168600828706</v>
      </c>
      <c r="AZ9" s="159">
        <f>AX9/2</f>
        <v>1.5859266081945782</v>
      </c>
      <c r="BA9" s="159">
        <f>((M9+I9+(LOG(J9)*4/3))*1)</f>
        <v>11.851625483540507</v>
      </c>
      <c r="BB9" s="159">
        <f>((O9+I9+(LOG(J9)*4/3))*0.253)</f>
        <v>3.0239299140024145</v>
      </c>
      <c r="BC9" s="159">
        <f>((P9+I9+(LOG(J9)*4/3))*0.21)+((O9+I9+(LOG(J9)*4/3))*0.341)</f>
        <v>4.8475129747641521</v>
      </c>
      <c r="BD9" s="159">
        <f>BB9/2</f>
        <v>1.5119649570012073</v>
      </c>
      <c r="BE9" s="159">
        <f>((L9+I9+(LOG(J9)*4/3))*0.291)</f>
        <v>4.883647015710288</v>
      </c>
      <c r="BF9" s="159">
        <f>((L9+I9+(LOG(J9)*4/3))*0.348)</f>
        <v>5.8402376682720973</v>
      </c>
      <c r="BG9" s="159">
        <f>((M9+I9+(LOG(J9)*4/3))*0.881)</f>
        <v>10.441282050999186</v>
      </c>
      <c r="BH9" s="159">
        <f>((N9+I9+(LOG(J9)*4/3))*0.574)+((O9+I9+(LOG(J9)*4/3))*0.315)</f>
        <v>13.421924388200839</v>
      </c>
      <c r="BI9" s="159">
        <f>((O9+I9+(LOG(J9)*4/3))*0.241)</f>
        <v>2.880502408199928</v>
      </c>
      <c r="BJ9" s="159">
        <f>((L9+I9+(LOG(J9)*4/3))*0.485)</f>
        <v>8.1394116928504801</v>
      </c>
      <c r="BK9" s="159">
        <f>((L9+I9+(LOG(J9)*4/3))*0.264)</f>
        <v>4.4305251276546951</v>
      </c>
      <c r="BL9" s="159">
        <f>((M9+I9+(LOG(J9)*4/3))*0.381)</f>
        <v>4.5154693092289335</v>
      </c>
      <c r="BM9" s="159">
        <f>((N9+I9+(LOG(J9)*4/3))*0.673)+((O9+I9+(LOG(J9)*4/3))*0.201)</f>
        <v>13.724935005947735</v>
      </c>
      <c r="BN9" s="159">
        <f>((O9+I9+(LOG(J9)*4/3))*0.052)</f>
        <v>0.62151919181077286</v>
      </c>
      <c r="BO9" s="159">
        <f>((L9+I9+(LOG(J9)*4/3))*0.18)</f>
        <v>3.0208125870372915</v>
      </c>
      <c r="BP9" s="159">
        <f>(L9+I9+(LOG(J9)*4/3))*0.068</f>
        <v>1.141195866214088</v>
      </c>
      <c r="BQ9" s="159">
        <f>((M9+I9+(LOG(J9)*4/3))*0.305)</f>
        <v>3.6147457724798548</v>
      </c>
      <c r="BR9" s="159">
        <f>((N9+I9+(LOG(J9)*4/3))*1)+((O9+I9+(LOG(J9)*4/3))*0.286)</f>
        <v>20.242314371833089</v>
      </c>
      <c r="BS9" s="159">
        <f>((O9+I9+(LOG(J9)*4/3))*0.135)</f>
        <v>1.6135594402779683</v>
      </c>
      <c r="BT9" s="159">
        <f t="shared" si="56"/>
        <v>4.7661709706588375</v>
      </c>
      <c r="BU9" s="159">
        <f t="shared" si="57"/>
        <v>4.0948792846505508</v>
      </c>
      <c r="BV9" s="159">
        <f t="shared" si="58"/>
        <v>5.3924895950109315</v>
      </c>
      <c r="BW9" s="159">
        <f t="shared" si="59"/>
        <v>17.452259702429544</v>
      </c>
      <c r="BX9" s="159">
        <f t="shared" si="60"/>
        <v>1.4462273501750678</v>
      </c>
      <c r="BY9" s="159">
        <f>((L9+I9+(LOG(J9)*4/3))*0.284)</f>
        <v>4.7661709706588375</v>
      </c>
      <c r="BZ9" s="159">
        <f>((L9+I9+(LOG(J9)*4/3))*0.244)</f>
        <v>4.0948792846505508</v>
      </c>
      <c r="CA9" s="159">
        <f>((M9+I9+(LOG(J9)*4/3))*0.631)</f>
        <v>7.47837568011406</v>
      </c>
      <c r="CB9" s="159">
        <f>((N9+I9+(LOG(J9)*4/3))*0.702)+((O9+I9+(LOG(J9)*4/3))*0.193)</f>
        <v>14.117211474435418</v>
      </c>
      <c r="CC9" s="159">
        <f>((O9+I9+(LOG(J9)*4/3))*0.148)</f>
        <v>1.7689392382306612</v>
      </c>
      <c r="CD9" s="159">
        <f>((M9+I9+(LOG(J9)*4/3))*0.406)</f>
        <v>4.8117599463174461</v>
      </c>
      <c r="CE9" s="159">
        <f>IF(D9="TEC",((N9+I9+(LOG(J9)*4/3))*0.15)+((O9+I9+(LOG(J9)*4/3))*0.324)+((P9+I9+(LOG(J9)*4/3))*0.127),(((N9+I9+(LOG(J9)*4/3))*0.144)+((O9+I9+(LOG(J9)*4/3))*0.25)+((P9+I9+(LOG(J9)*4/3))*0.127)))</f>
        <v>5.8774670674007936</v>
      </c>
      <c r="CF9" s="159">
        <f>((O9+I9+(LOG(J9)*4/3))*0.543)+((P9+I9+(LOG(J9)*4/3))*0.583)</f>
        <v>8.6327066754189907</v>
      </c>
      <c r="CG9" s="159">
        <f>CE9</f>
        <v>5.8774670674007936</v>
      </c>
      <c r="CH9" s="159">
        <f>((P9+1+(LOG(J9)*4/3))*0.26)+((N9+I9+(LOG(J9)*4/3))*0.221)+((O9+I9+(LOG(J9)*4/3))*0.142)</f>
        <v>6.370859200055258</v>
      </c>
      <c r="CI9" s="159">
        <f>((P9+I9+(LOG(J9)*4/3))*1)+((O9+I9+(LOG(J9)*4/3))*0.369)</f>
        <v>8.0855450964907618</v>
      </c>
      <c r="CJ9" s="159">
        <f>CH9</f>
        <v>6.370859200055258</v>
      </c>
      <c r="CK9" s="159">
        <f>((M9+I9+(LOG(J9)*4/3))*0.25)</f>
        <v>2.9629063708851269</v>
      </c>
    </row>
    <row r="10" spans="1:89" x14ac:dyDescent="0.25">
      <c r="A10" t="str">
        <f>PLANTILLA!D12</f>
        <v>E. Romweber</v>
      </c>
      <c r="B10" s="488">
        <f>PLANTILLA!E12</f>
        <v>30</v>
      </c>
      <c r="C10" s="488">
        <f ca="1">PLANTILLA!F12</f>
        <v>98</v>
      </c>
      <c r="D10" s="488" t="str">
        <f>PLANTILLA!G12</f>
        <v>IMP</v>
      </c>
      <c r="E10" s="290">
        <v>41583</v>
      </c>
      <c r="F10" s="341">
        <f>PLANTILLA!Q12</f>
        <v>3</v>
      </c>
      <c r="G10" s="407">
        <f t="shared" si="74"/>
        <v>0.65465367070797709</v>
      </c>
      <c r="H10" s="407">
        <f t="shared" si="75"/>
        <v>0.75498344352707503</v>
      </c>
      <c r="I10" s="497">
        <v>1.5</v>
      </c>
      <c r="J10" s="498">
        <f>PLANTILLA!I12</f>
        <v>12.3</v>
      </c>
      <c r="K10" s="163">
        <f>PLANTILLA!X12</f>
        <v>0</v>
      </c>
      <c r="L10" s="163">
        <f>PLANTILLA!Y12</f>
        <v>12.005555555555555</v>
      </c>
      <c r="M10" s="163">
        <f>PLANTILLA!Z12</f>
        <v>12.534111111111114</v>
      </c>
      <c r="N10" s="163">
        <f>PLANTILLA!AA12</f>
        <v>13.133333333333335</v>
      </c>
      <c r="O10" s="163">
        <f>PLANTILLA!AB12</f>
        <v>10.91</v>
      </c>
      <c r="P10" s="163">
        <f>PLANTILLA!AC12</f>
        <v>7.7700000000000005</v>
      </c>
      <c r="Q10" s="163">
        <f>PLANTILLA!AD12</f>
        <v>17.13</v>
      </c>
      <c r="R10" s="163">
        <f t="shared" si="2"/>
        <v>4.6031944444444441</v>
      </c>
      <c r="S10" s="163">
        <f t="shared" si="3"/>
        <v>21.246287061708095</v>
      </c>
      <c r="T10" s="163">
        <f t="shared" si="4"/>
        <v>0.90239999999999987</v>
      </c>
      <c r="U10" s="163">
        <f t="shared" si="5"/>
        <v>0.99412222222222224</v>
      </c>
      <c r="V10" s="163">
        <f t="shared" ca="1" si="6"/>
        <v>12.820218225838543</v>
      </c>
      <c r="W10" s="163">
        <f t="shared" ca="1" si="7"/>
        <v>14.784996916682241</v>
      </c>
      <c r="X10" s="159">
        <f t="shared" si="8"/>
        <v>5.8916828830487926</v>
      </c>
      <c r="Y10" s="159">
        <f t="shared" si="9"/>
        <v>8.9149511096021286</v>
      </c>
      <c r="Z10" s="159">
        <f t="shared" si="10"/>
        <v>5.8916828830487926</v>
      </c>
      <c r="AA10" s="159">
        <f t="shared" si="11"/>
        <v>7.7187213833369723</v>
      </c>
      <c r="AB10" s="159">
        <f t="shared" si="12"/>
        <v>14.958762370808085</v>
      </c>
      <c r="AC10" s="159">
        <f t="shared" si="13"/>
        <v>3.8593606916684862</v>
      </c>
      <c r="AD10" s="159">
        <f t="shared" si="14"/>
        <v>3.6859816664745471</v>
      </c>
      <c r="AE10" s="159">
        <f t="shared" si="15"/>
        <v>5.6544121761654562</v>
      </c>
      <c r="AF10" s="159">
        <f t="shared" si="16"/>
        <v>10.815185194094244</v>
      </c>
      <c r="AG10" s="159">
        <f t="shared" si="17"/>
        <v>2.8272060880827281</v>
      </c>
      <c r="AH10" s="159">
        <f t="shared" si="18"/>
        <v>5.9626174016500029</v>
      </c>
      <c r="AI10" s="159">
        <f t="shared" si="19"/>
        <v>13.762061381143438</v>
      </c>
      <c r="AJ10" s="159">
        <f t="shared" si="20"/>
        <v>6.1929276215145466</v>
      </c>
      <c r="AK10" s="159">
        <f t="shared" si="21"/>
        <v>2.5863820937027286</v>
      </c>
      <c r="AL10" s="159">
        <f t="shared" si="22"/>
        <v>9.4588856073684884</v>
      </c>
      <c r="AM10" s="159">
        <f t="shared" si="23"/>
        <v>11.278906827589296</v>
      </c>
      <c r="AN10" s="159">
        <f t="shared" si="24"/>
        <v>10.590803758532124</v>
      </c>
      <c r="AO10" s="159">
        <f t="shared" si="25"/>
        <v>3.3538955381471727</v>
      </c>
      <c r="AP10" s="159">
        <f t="shared" si="26"/>
        <v>2.1762435627927288</v>
      </c>
      <c r="AQ10" s="159">
        <f t="shared" si="27"/>
        <v>4.0388658401181834</v>
      </c>
      <c r="AR10" s="159">
        <f t="shared" si="28"/>
        <v>8.8855048482600019</v>
      </c>
      <c r="AS10" s="159">
        <f t="shared" si="29"/>
        <v>2.0194329200590917</v>
      </c>
      <c r="AT10" s="159">
        <f t="shared" si="30"/>
        <v>14.62002812248728</v>
      </c>
      <c r="AU10" s="159">
        <f t="shared" si="31"/>
        <v>1.8022168859828289</v>
      </c>
      <c r="AV10" s="159">
        <f t="shared" si="32"/>
        <v>3.5186995968689914</v>
      </c>
      <c r="AW10" s="159">
        <f t="shared" si="33"/>
        <v>0.90110844299141446</v>
      </c>
      <c r="AX10" s="159">
        <f t="shared" si="34"/>
        <v>2.8272060880827281</v>
      </c>
      <c r="AY10" s="159">
        <f t="shared" si="35"/>
        <v>5.9835049483232341</v>
      </c>
      <c r="AZ10" s="159">
        <f t="shared" si="36"/>
        <v>1.4136030440413641</v>
      </c>
      <c r="BA10" s="159">
        <f t="shared" si="37"/>
        <v>15.487317926363644</v>
      </c>
      <c r="BB10" s="159">
        <f t="shared" si="38"/>
        <v>3.5073913242588901</v>
      </c>
      <c r="BC10" s="159">
        <f t="shared" si="39"/>
        <v>6.9792269552041448</v>
      </c>
      <c r="BD10" s="159">
        <f t="shared" si="40"/>
        <v>1.7536956621294451</v>
      </c>
      <c r="BE10" s="159">
        <f t="shared" si="41"/>
        <v>4.3529998499051521</v>
      </c>
      <c r="BF10" s="159">
        <f t="shared" si="42"/>
        <v>5.2056493050412129</v>
      </c>
      <c r="BG10" s="159">
        <f t="shared" si="43"/>
        <v>13.644327093126371</v>
      </c>
      <c r="BH10" s="159">
        <f t="shared" si="44"/>
        <v>13.600584192092832</v>
      </c>
      <c r="BI10" s="159">
        <f t="shared" si="45"/>
        <v>3.3410328424758595</v>
      </c>
      <c r="BJ10" s="159">
        <f t="shared" si="46"/>
        <v>7.2549997498419208</v>
      </c>
      <c r="BK10" s="159">
        <f t="shared" si="47"/>
        <v>3.9491132658933346</v>
      </c>
      <c r="BL10" s="159">
        <f t="shared" si="48"/>
        <v>5.9006681299445489</v>
      </c>
      <c r="BM10" s="159">
        <f t="shared" si="49"/>
        <v>13.612746089864046</v>
      </c>
      <c r="BN10" s="159">
        <f t="shared" si="50"/>
        <v>0.72088675439313155</v>
      </c>
      <c r="BO10" s="159">
        <f t="shared" si="51"/>
        <v>2.6925772267454553</v>
      </c>
      <c r="BP10" s="159">
        <f t="shared" si="52"/>
        <v>1.0171958412149498</v>
      </c>
      <c r="BQ10" s="159">
        <f t="shared" si="53"/>
        <v>4.7236319675409115</v>
      </c>
      <c r="BR10" s="159">
        <f t="shared" si="54"/>
        <v>20.051417297748088</v>
      </c>
      <c r="BS10" s="159">
        <f t="shared" si="55"/>
        <v>1.8715329200590918</v>
      </c>
      <c r="BT10" s="159">
        <f t="shared" si="56"/>
        <v>4.2482885133094959</v>
      </c>
      <c r="BU10" s="159">
        <f t="shared" si="57"/>
        <v>3.6499380184771728</v>
      </c>
      <c r="BV10" s="159">
        <f t="shared" si="58"/>
        <v>7.0467296564954589</v>
      </c>
      <c r="BW10" s="159">
        <f t="shared" si="59"/>
        <v>17.281393151299806</v>
      </c>
      <c r="BX10" s="159">
        <f t="shared" si="60"/>
        <v>1.6774480246455561</v>
      </c>
      <c r="BY10" s="159">
        <f t="shared" si="61"/>
        <v>4.2482885133094959</v>
      </c>
      <c r="BZ10" s="159">
        <f t="shared" si="62"/>
        <v>3.6499380184771728</v>
      </c>
      <c r="CA10" s="159">
        <f t="shared" si="63"/>
        <v>9.77249761153546</v>
      </c>
      <c r="CB10" s="159">
        <f t="shared" si="64"/>
        <v>13.968350099651015</v>
      </c>
      <c r="CC10" s="159">
        <f t="shared" si="65"/>
        <v>2.0517546086573746</v>
      </c>
      <c r="CD10" s="159">
        <f t="shared" si="66"/>
        <v>6.2878510781036399</v>
      </c>
      <c r="CE10" s="159">
        <f t="shared" si="67"/>
        <v>7.1441107507465684</v>
      </c>
      <c r="CF10" s="159">
        <f t="shared" si="68"/>
        <v>13.779350873974348</v>
      </c>
      <c r="CG10" s="159">
        <f t="shared" si="69"/>
        <v>7.1441107507465684</v>
      </c>
      <c r="CH10" s="159">
        <f t="shared" si="70"/>
        <v>8.181734512568994</v>
      </c>
      <c r="CI10" s="159">
        <f t="shared" si="71"/>
        <v>15.838730130080712</v>
      </c>
      <c r="CJ10" s="159">
        <f t="shared" si="72"/>
        <v>8.181734512568994</v>
      </c>
      <c r="CK10" s="159">
        <f t="shared" si="73"/>
        <v>3.8718294815909111</v>
      </c>
    </row>
    <row r="11" spans="1:89" x14ac:dyDescent="0.25">
      <c r="A11" t="str">
        <f>PLANTILLA!D13</f>
        <v>K. Helms</v>
      </c>
      <c r="B11" s="488">
        <f>PLANTILLA!E13</f>
        <v>30</v>
      </c>
      <c r="C11" s="488">
        <f ca="1">PLANTILLA!F13</f>
        <v>45</v>
      </c>
      <c r="D11" s="488" t="str">
        <f>PLANTILLA!G13</f>
        <v>TEC</v>
      </c>
      <c r="E11" s="290">
        <v>41722</v>
      </c>
      <c r="F11" s="341">
        <f>PLANTILLA!Q13</f>
        <v>5</v>
      </c>
      <c r="G11" s="407">
        <f t="shared" ref="G11:G21" si="78">(F11/7)^0.5</f>
        <v>0.84515425472851657</v>
      </c>
      <c r="H11" s="407">
        <f t="shared" si="75"/>
        <v>0.92504826128926143</v>
      </c>
      <c r="I11" s="497">
        <v>1.5</v>
      </c>
      <c r="J11" s="498">
        <f>PLANTILLA!I13</f>
        <v>10.3</v>
      </c>
      <c r="K11" s="163">
        <f>PLANTILLA!X13</f>
        <v>0</v>
      </c>
      <c r="L11" s="163">
        <f>PLANTILLA!Y13</f>
        <v>7.2200000000000006</v>
      </c>
      <c r="M11" s="163">
        <f>PLANTILLA!Z13</f>
        <v>10.500000000000004</v>
      </c>
      <c r="N11" s="163">
        <f>PLANTILLA!AA13</f>
        <v>13.388333333333334</v>
      </c>
      <c r="O11" s="163">
        <f>PLANTILLA!AB13</f>
        <v>10.359999999999998</v>
      </c>
      <c r="P11" s="163">
        <f>PLANTILLA!AC13</f>
        <v>5.4050000000000002</v>
      </c>
      <c r="Q11" s="163">
        <f>PLANTILLA!AD13</f>
        <v>17.300000000000004</v>
      </c>
      <c r="R11" s="163">
        <f t="shared" si="2"/>
        <v>3.8674999999999997</v>
      </c>
      <c r="S11" s="163">
        <f t="shared" si="3"/>
        <v>17.186793688797913</v>
      </c>
      <c r="T11" s="163">
        <f t="shared" si="4"/>
        <v>0.78925000000000023</v>
      </c>
      <c r="U11" s="163">
        <f t="shared" si="5"/>
        <v>0.80780000000000007</v>
      </c>
      <c r="V11" s="163">
        <f t="shared" ca="1" si="6"/>
        <v>16.607661114607854</v>
      </c>
      <c r="W11" s="163">
        <f t="shared" ca="1" si="7"/>
        <v>18.177614266503568</v>
      </c>
      <c r="X11" s="159">
        <f t="shared" si="8"/>
        <v>4.4811625295568209</v>
      </c>
      <c r="Y11" s="159">
        <f t="shared" si="9"/>
        <v>6.7484304761258365</v>
      </c>
      <c r="Z11" s="159">
        <f t="shared" si="10"/>
        <v>4.4811625295568209</v>
      </c>
      <c r="AA11" s="159">
        <f t="shared" si="11"/>
        <v>5.1963520105971588</v>
      </c>
      <c r="AB11" s="159">
        <f t="shared" si="12"/>
        <v>10.07044963294023</v>
      </c>
      <c r="AC11" s="159">
        <f t="shared" si="13"/>
        <v>2.5981760052985794</v>
      </c>
      <c r="AD11" s="159">
        <f t="shared" si="14"/>
        <v>3.1774070126397751</v>
      </c>
      <c r="AE11" s="159">
        <f t="shared" si="15"/>
        <v>3.806629961251407</v>
      </c>
      <c r="AF11" s="159">
        <f t="shared" si="16"/>
        <v>7.2809350846157859</v>
      </c>
      <c r="AG11" s="159">
        <f t="shared" si="17"/>
        <v>1.9033149806257035</v>
      </c>
      <c r="AH11" s="159">
        <f t="shared" si="18"/>
        <v>5.1399231086819901</v>
      </c>
      <c r="AI11" s="159">
        <f t="shared" si="19"/>
        <v>9.2648136623050128</v>
      </c>
      <c r="AJ11" s="159">
        <f t="shared" si="20"/>
        <v>4.169166148037255</v>
      </c>
      <c r="AK11" s="159">
        <f t="shared" si="21"/>
        <v>2.2295250887010192</v>
      </c>
      <c r="AL11" s="159">
        <f t="shared" si="22"/>
        <v>9.5484043841688564</v>
      </c>
      <c r="AM11" s="159">
        <f t="shared" si="23"/>
        <v>7.5931190232369339</v>
      </c>
      <c r="AN11" s="159">
        <f t="shared" si="24"/>
        <v>7.1298783401216825</v>
      </c>
      <c r="AO11" s="159">
        <f t="shared" si="25"/>
        <v>3.3651250887010193</v>
      </c>
      <c r="AP11" s="159">
        <f t="shared" si="26"/>
        <v>1.9347694942867859</v>
      </c>
      <c r="AQ11" s="159">
        <f t="shared" si="27"/>
        <v>2.7190214008938622</v>
      </c>
      <c r="AR11" s="159">
        <f t="shared" si="28"/>
        <v>5.9818470819664959</v>
      </c>
      <c r="AS11" s="159">
        <f t="shared" si="29"/>
        <v>1.3595107004469311</v>
      </c>
      <c r="AT11" s="159">
        <f t="shared" si="30"/>
        <v>12.602824453495579</v>
      </c>
      <c r="AU11" s="159">
        <f t="shared" si="31"/>
        <v>1.7173584522822296</v>
      </c>
      <c r="AV11" s="159">
        <f t="shared" si="32"/>
        <v>3.013446742451487</v>
      </c>
      <c r="AW11" s="159">
        <f t="shared" si="33"/>
        <v>0.8586792261411148</v>
      </c>
      <c r="AX11" s="159">
        <f t="shared" si="34"/>
        <v>1.9033149806257035</v>
      </c>
      <c r="AY11" s="159">
        <f t="shared" si="35"/>
        <v>4.0281798531760922</v>
      </c>
      <c r="AZ11" s="159">
        <f t="shared" si="36"/>
        <v>0.95165749031285174</v>
      </c>
      <c r="BA11" s="159">
        <f t="shared" si="37"/>
        <v>13.350449632940233</v>
      </c>
      <c r="BB11" s="159">
        <f t="shared" si="38"/>
        <v>3.3422437571338777</v>
      </c>
      <c r="BC11" s="159">
        <f t="shared" si="39"/>
        <v>6.2384077477500659</v>
      </c>
      <c r="BD11" s="159">
        <f t="shared" si="40"/>
        <v>1.6711218785669388</v>
      </c>
      <c r="BE11" s="159">
        <f t="shared" si="41"/>
        <v>2.9305008431856066</v>
      </c>
      <c r="BF11" s="159">
        <f t="shared" si="42"/>
        <v>3.5045164722631998</v>
      </c>
      <c r="BG11" s="159">
        <f t="shared" si="43"/>
        <v>11.761746126620345</v>
      </c>
      <c r="BH11" s="159">
        <f t="shared" si="44"/>
        <v>13.482353057017196</v>
      </c>
      <c r="BI11" s="159">
        <f t="shared" si="45"/>
        <v>3.1837183615385944</v>
      </c>
      <c r="BJ11" s="159">
        <f t="shared" si="46"/>
        <v>4.8841680719760117</v>
      </c>
      <c r="BK11" s="159">
        <f t="shared" si="47"/>
        <v>2.6585987030962208</v>
      </c>
      <c r="BL11" s="159">
        <f t="shared" si="48"/>
        <v>5.0865213101502285</v>
      </c>
      <c r="BM11" s="159">
        <f t="shared" si="49"/>
        <v>13.584001312523096</v>
      </c>
      <c r="BN11" s="159">
        <f t="shared" si="50"/>
        <v>0.68694338091289175</v>
      </c>
      <c r="BO11" s="159">
        <f t="shared" si="51"/>
        <v>1.8126809339292413</v>
      </c>
      <c r="BP11" s="159">
        <f t="shared" si="52"/>
        <v>0.68479057503993568</v>
      </c>
      <c r="BQ11" s="159">
        <f t="shared" si="53"/>
        <v>4.0718871380467707</v>
      </c>
      <c r="BR11" s="159">
        <f t="shared" si="54"/>
        <v>20.016971561294469</v>
      </c>
      <c r="BS11" s="159">
        <f t="shared" si="55"/>
        <v>1.7834107004469308</v>
      </c>
      <c r="BT11" s="159">
        <f t="shared" si="56"/>
        <v>2.8600076957550251</v>
      </c>
      <c r="BU11" s="159">
        <f t="shared" si="57"/>
        <v>2.4571897104374161</v>
      </c>
      <c r="BV11" s="159">
        <f t="shared" si="58"/>
        <v>6.0744545829878058</v>
      </c>
      <c r="BW11" s="159">
        <f t="shared" si="59"/>
        <v>17.253658193297774</v>
      </c>
      <c r="BX11" s="159">
        <f t="shared" si="60"/>
        <v>1.5984644055857675</v>
      </c>
      <c r="BY11" s="159">
        <f t="shared" si="61"/>
        <v>2.8600076957550251</v>
      </c>
      <c r="BZ11" s="159">
        <f t="shared" si="62"/>
        <v>2.4571897104374161</v>
      </c>
      <c r="CA11" s="159">
        <f t="shared" si="63"/>
        <v>8.4241337183852867</v>
      </c>
      <c r="CB11" s="159">
        <f t="shared" si="64"/>
        <v>13.949242421481506</v>
      </c>
      <c r="CC11" s="159">
        <f t="shared" si="65"/>
        <v>1.9551465456751536</v>
      </c>
      <c r="CD11" s="159">
        <f t="shared" si="66"/>
        <v>5.4202825509737353</v>
      </c>
      <c r="CE11" s="159">
        <f t="shared" si="67"/>
        <v>7.7644452293970767</v>
      </c>
      <c r="CF11" s="159">
        <f t="shared" si="68"/>
        <v>11.986201286690697</v>
      </c>
      <c r="CG11" s="159">
        <f t="shared" si="69"/>
        <v>7.7644452293970767</v>
      </c>
      <c r="CH11" s="159">
        <f t="shared" si="70"/>
        <v>7.4810717879884301</v>
      </c>
      <c r="CI11" s="159">
        <f t="shared" si="71"/>
        <v>13.130105547495173</v>
      </c>
      <c r="CJ11" s="159">
        <f t="shared" si="72"/>
        <v>7.4810717879884301</v>
      </c>
      <c r="CK11" s="159">
        <f t="shared" si="73"/>
        <v>3.3376124082350582</v>
      </c>
    </row>
    <row r="12" spans="1:89" x14ac:dyDescent="0.25">
      <c r="A12" t="str">
        <f>PLANTILLA!D14</f>
        <v>S. Zobbe</v>
      </c>
      <c r="B12" s="488">
        <f>PLANTILLA!E14</f>
        <v>27</v>
      </c>
      <c r="C12" s="488">
        <f ca="1">PLANTILLA!F14</f>
        <v>60</v>
      </c>
      <c r="D12" s="488" t="str">
        <f>PLANTILLA!G14</f>
        <v>CAB</v>
      </c>
      <c r="E12" s="290">
        <v>41911</v>
      </c>
      <c r="F12" s="341">
        <f>PLANTILLA!Q14</f>
        <v>4</v>
      </c>
      <c r="G12" s="407">
        <f t="shared" si="78"/>
        <v>0.7559289460184544</v>
      </c>
      <c r="H12" s="407">
        <f t="shared" si="75"/>
        <v>0.84430867747355465</v>
      </c>
      <c r="I12" s="497">
        <v>1.5</v>
      </c>
      <c r="J12" s="498">
        <f>PLANTILLA!I14</f>
        <v>8.6999999999999993</v>
      </c>
      <c r="K12" s="163">
        <f>PLANTILLA!X14</f>
        <v>0</v>
      </c>
      <c r="L12" s="163">
        <f>PLANTILLA!Y14</f>
        <v>8.2399999999999984</v>
      </c>
      <c r="M12" s="163">
        <f>PLANTILLA!Z14</f>
        <v>12.158412698412699</v>
      </c>
      <c r="N12" s="163">
        <f>PLANTILLA!AA14</f>
        <v>12.25</v>
      </c>
      <c r="O12" s="163">
        <f>PLANTILLA!AB14</f>
        <v>10.24</v>
      </c>
      <c r="P12" s="163">
        <f>PLANTILLA!AC14</f>
        <v>7.4766666666666666</v>
      </c>
      <c r="Q12" s="163">
        <f>PLANTILLA!AD14</f>
        <v>15.270000000000001</v>
      </c>
      <c r="R12" s="163">
        <f t="shared" si="2"/>
        <v>3.9649999999999999</v>
      </c>
      <c r="S12" s="163">
        <f t="shared" si="3"/>
        <v>19.293216731049526</v>
      </c>
      <c r="T12" s="163">
        <f t="shared" si="4"/>
        <v>0.8319333333333333</v>
      </c>
      <c r="U12" s="163">
        <f t="shared" si="5"/>
        <v>0.78769999999999996</v>
      </c>
      <c r="V12" s="163">
        <f t="shared" ca="1" si="6"/>
        <v>13.24591034958164</v>
      </c>
      <c r="W12" s="163">
        <f t="shared" ca="1" si="7"/>
        <v>14.794561192680561</v>
      </c>
      <c r="X12" s="159">
        <f t="shared" si="8"/>
        <v>4.677340410048072</v>
      </c>
      <c r="Y12" s="159">
        <f t="shared" si="9"/>
        <v>7.055725806840849</v>
      </c>
      <c r="Z12" s="159">
        <f t="shared" si="10"/>
        <v>4.677340410048072</v>
      </c>
      <c r="AA12" s="159">
        <f t="shared" si="11"/>
        <v>5.672229245801609</v>
      </c>
      <c r="AB12" s="159">
        <f t="shared" si="12"/>
        <v>10.992692336824824</v>
      </c>
      <c r="AC12" s="159">
        <f t="shared" si="13"/>
        <v>2.8361146229008045</v>
      </c>
      <c r="AD12" s="159">
        <f t="shared" si="14"/>
        <v>3.5488429983865299</v>
      </c>
      <c r="AE12" s="159">
        <f t="shared" si="15"/>
        <v>4.1552377033197834</v>
      </c>
      <c r="AF12" s="159">
        <f t="shared" si="16"/>
        <v>7.9477165595243475</v>
      </c>
      <c r="AG12" s="159">
        <f t="shared" si="17"/>
        <v>2.0776188516598917</v>
      </c>
      <c r="AH12" s="159">
        <f t="shared" si="18"/>
        <v>5.7407754385664465</v>
      </c>
      <c r="AI12" s="159">
        <f t="shared" si="19"/>
        <v>10.113276949878838</v>
      </c>
      <c r="AJ12" s="159">
        <f t="shared" si="20"/>
        <v>4.550974627445477</v>
      </c>
      <c r="AK12" s="159">
        <f t="shared" si="21"/>
        <v>2.4901545408846664</v>
      </c>
      <c r="AL12" s="159">
        <f t="shared" si="22"/>
        <v>8.8215830940529969</v>
      </c>
      <c r="AM12" s="159">
        <f t="shared" si="23"/>
        <v>8.2884900219659166</v>
      </c>
      <c r="AN12" s="159">
        <f t="shared" si="24"/>
        <v>7.7828261744719747</v>
      </c>
      <c r="AO12" s="159">
        <f t="shared" si="25"/>
        <v>3.0097896202497467</v>
      </c>
      <c r="AP12" s="159">
        <f t="shared" si="26"/>
        <v>1.9346953930055493</v>
      </c>
      <c r="AQ12" s="159">
        <f t="shared" si="27"/>
        <v>2.9680269309427025</v>
      </c>
      <c r="AR12" s="159">
        <f t="shared" si="28"/>
        <v>6.529659248073945</v>
      </c>
      <c r="AS12" s="159">
        <f t="shared" si="29"/>
        <v>1.4840134654713513</v>
      </c>
      <c r="AT12" s="159">
        <f t="shared" si="30"/>
        <v>14.07608315326422</v>
      </c>
      <c r="AU12" s="159">
        <f t="shared" si="31"/>
        <v>1.6890500037872271</v>
      </c>
      <c r="AV12" s="159">
        <f t="shared" si="32"/>
        <v>3.3288021880230065</v>
      </c>
      <c r="AW12" s="159">
        <f t="shared" si="33"/>
        <v>0.84452500189361357</v>
      </c>
      <c r="AX12" s="159">
        <f t="shared" si="34"/>
        <v>2.0776188516598917</v>
      </c>
      <c r="AY12" s="159">
        <f t="shared" si="35"/>
        <v>4.3970769347299301</v>
      </c>
      <c r="AZ12" s="159">
        <f t="shared" si="36"/>
        <v>1.0388094258299458</v>
      </c>
      <c r="BA12" s="159">
        <f t="shared" si="37"/>
        <v>14.911105035237522</v>
      </c>
      <c r="BB12" s="159">
        <f t="shared" si="38"/>
        <v>3.2871511612166806</v>
      </c>
      <c r="BC12" s="159">
        <f t="shared" si="39"/>
        <v>6.5786734775904785</v>
      </c>
      <c r="BD12" s="159">
        <f t="shared" si="40"/>
        <v>1.6435755806083403</v>
      </c>
      <c r="BE12" s="159">
        <f t="shared" si="41"/>
        <v>3.1988734700160237</v>
      </c>
      <c r="BF12" s="159">
        <f t="shared" si="42"/>
        <v>3.8254569332150385</v>
      </c>
      <c r="BG12" s="159">
        <f t="shared" si="43"/>
        <v>13.136683536044258</v>
      </c>
      <c r="BH12" s="159">
        <f t="shared" si="44"/>
        <v>12.704243487437269</v>
      </c>
      <c r="BI12" s="159">
        <f t="shared" si="45"/>
        <v>3.1312388531747826</v>
      </c>
      <c r="BJ12" s="159">
        <f t="shared" si="46"/>
        <v>5.3314557833600391</v>
      </c>
      <c r="BK12" s="159">
        <f t="shared" si="47"/>
        <v>2.9020707769217537</v>
      </c>
      <c r="BL12" s="159">
        <f t="shared" si="48"/>
        <v>5.6811310184254964</v>
      </c>
      <c r="BM12" s="159">
        <f t="shared" si="49"/>
        <v>12.708343102384898</v>
      </c>
      <c r="BN12" s="159">
        <f t="shared" si="50"/>
        <v>0.67562000151489077</v>
      </c>
      <c r="BO12" s="159">
        <f t="shared" si="51"/>
        <v>1.9786846206284683</v>
      </c>
      <c r="BP12" s="159">
        <f t="shared" si="52"/>
        <v>0.74750307890408807</v>
      </c>
      <c r="BQ12" s="159">
        <f t="shared" si="53"/>
        <v>4.5478870357474444</v>
      </c>
      <c r="BR12" s="159">
        <f t="shared" si="54"/>
        <v>18.718602345156725</v>
      </c>
      <c r="BS12" s="159">
        <f t="shared" si="55"/>
        <v>1.7540134654713513</v>
      </c>
      <c r="BT12" s="159">
        <f t="shared" si="56"/>
        <v>3.1219246236582499</v>
      </c>
      <c r="BU12" s="159">
        <f t="shared" si="57"/>
        <v>2.6822169301852572</v>
      </c>
      <c r="BV12" s="159">
        <f t="shared" si="58"/>
        <v>6.7845527910330725</v>
      </c>
      <c r="BW12" s="159">
        <f t="shared" si="59"/>
        <v>16.132543109201908</v>
      </c>
      <c r="BX12" s="159">
        <f t="shared" si="60"/>
        <v>1.5721157727558037</v>
      </c>
      <c r="BY12" s="159">
        <f t="shared" si="61"/>
        <v>3.1219246236582499</v>
      </c>
      <c r="BZ12" s="159">
        <f t="shared" si="62"/>
        <v>2.6822169301852572</v>
      </c>
      <c r="CA12" s="159">
        <f t="shared" si="63"/>
        <v>9.4089072772348761</v>
      </c>
      <c r="CB12" s="159">
        <f t="shared" si="64"/>
        <v>13.039479641458218</v>
      </c>
      <c r="CC12" s="159">
        <f t="shared" si="65"/>
        <v>1.9229184658500738</v>
      </c>
      <c r="CD12" s="159">
        <f t="shared" si="66"/>
        <v>6.0539086443064347</v>
      </c>
      <c r="CE12" s="159">
        <f t="shared" si="67"/>
        <v>6.7076893741524</v>
      </c>
      <c r="CF12" s="159">
        <f t="shared" si="68"/>
        <v>13.018748237931419</v>
      </c>
      <c r="CG12" s="159">
        <f t="shared" si="69"/>
        <v>6.7076893741524</v>
      </c>
      <c r="CH12" s="159">
        <f t="shared" si="70"/>
        <v>7.6901906591751992</v>
      </c>
      <c r="CI12" s="159">
        <f t="shared" si="71"/>
        <v>15.023662475779851</v>
      </c>
      <c r="CJ12" s="159">
        <f t="shared" si="72"/>
        <v>7.6901906591751992</v>
      </c>
      <c r="CK12" s="159">
        <f t="shared" si="73"/>
        <v>3.7277762588093806</v>
      </c>
    </row>
    <row r="13" spans="1:89" x14ac:dyDescent="0.25">
      <c r="A13" t="str">
        <f>PLANTILLA!D15</f>
        <v>S. Buschelman</v>
      </c>
      <c r="B13" s="488">
        <f>PLANTILLA!E15</f>
        <v>29</v>
      </c>
      <c r="C13" s="488">
        <f ca="1">PLANTILLA!F15</f>
        <v>57</v>
      </c>
      <c r="D13" s="488" t="str">
        <f>PLANTILLA!G15</f>
        <v>TEC</v>
      </c>
      <c r="E13" s="290">
        <v>41747</v>
      </c>
      <c r="F13" s="341">
        <f>PLANTILLA!Q15</f>
        <v>5</v>
      </c>
      <c r="G13" s="407">
        <f t="shared" si="78"/>
        <v>0.84515425472851657</v>
      </c>
      <c r="H13" s="407">
        <f t="shared" si="75"/>
        <v>0.92504826128926143</v>
      </c>
      <c r="I13" s="497">
        <v>1.5</v>
      </c>
      <c r="J13" s="498">
        <f>PLANTILLA!I15</f>
        <v>10.4</v>
      </c>
      <c r="K13" s="163">
        <f>PLANTILLA!X15</f>
        <v>0</v>
      </c>
      <c r="L13" s="163">
        <f>PLANTILLA!Y15</f>
        <v>9.2036666666666651</v>
      </c>
      <c r="M13" s="163">
        <f>PLANTILLA!Z15</f>
        <v>13.759999999999998</v>
      </c>
      <c r="N13" s="163">
        <f>PLANTILLA!AA15</f>
        <v>12.835000000000001</v>
      </c>
      <c r="O13" s="163">
        <f>PLANTILLA!AB15</f>
        <v>9.6733333333333356</v>
      </c>
      <c r="P13" s="163">
        <f>PLANTILLA!AC15</f>
        <v>5.0296666666666656</v>
      </c>
      <c r="Q13" s="163">
        <f>PLANTILLA!AD15</f>
        <v>15.2</v>
      </c>
      <c r="R13" s="163">
        <f t="shared" si="2"/>
        <v>3.9437916666666668</v>
      </c>
      <c r="S13" s="163">
        <f t="shared" si="3"/>
        <v>15.421104906467074</v>
      </c>
      <c r="T13" s="163">
        <f t="shared" si="4"/>
        <v>0.70748333333333324</v>
      </c>
      <c r="U13" s="163">
        <f t="shared" si="5"/>
        <v>0.82414666666666658</v>
      </c>
      <c r="V13" s="163">
        <f t="shared" ca="1" si="6"/>
        <v>14.837565665147457</v>
      </c>
      <c r="W13" s="163">
        <f t="shared" ca="1" si="7"/>
        <v>16.240188395808101</v>
      </c>
      <c r="X13" s="159">
        <f t="shared" si="8"/>
        <v>5.0335388069437794</v>
      </c>
      <c r="Y13" s="159">
        <f t="shared" si="9"/>
        <v>7.5987117213796331</v>
      </c>
      <c r="Z13" s="159">
        <f t="shared" si="10"/>
        <v>5.0335388069437794</v>
      </c>
      <c r="AA13" s="159">
        <f t="shared" si="11"/>
        <v>6.2228109374375604</v>
      </c>
      <c r="AB13" s="159">
        <f t="shared" si="12"/>
        <v>12.059711119065039</v>
      </c>
      <c r="AC13" s="159">
        <f t="shared" si="13"/>
        <v>3.1114054687187802</v>
      </c>
      <c r="AD13" s="159">
        <f t="shared" si="14"/>
        <v>3.9546185796708118</v>
      </c>
      <c r="AE13" s="159">
        <f t="shared" si="15"/>
        <v>4.5585708030065843</v>
      </c>
      <c r="AF13" s="159">
        <f t="shared" si="16"/>
        <v>8.7191711390840236</v>
      </c>
      <c r="AG13" s="159">
        <f t="shared" si="17"/>
        <v>2.2792854015032922</v>
      </c>
      <c r="AH13" s="159">
        <f t="shared" si="18"/>
        <v>6.3971771141733722</v>
      </c>
      <c r="AI13" s="159">
        <f t="shared" si="19"/>
        <v>11.094934229539836</v>
      </c>
      <c r="AJ13" s="159">
        <f t="shared" si="20"/>
        <v>4.9927204032929255</v>
      </c>
      <c r="AK13" s="159">
        <f t="shared" si="21"/>
        <v>2.7748794235505279</v>
      </c>
      <c r="AL13" s="159">
        <f t="shared" si="22"/>
        <v>9.2263341380102428</v>
      </c>
      <c r="AM13" s="159">
        <f t="shared" si="23"/>
        <v>9.0930221837750391</v>
      </c>
      <c r="AN13" s="159">
        <f t="shared" si="24"/>
        <v>8.5382754722980465</v>
      </c>
      <c r="AO13" s="159">
        <f t="shared" si="25"/>
        <v>3.0153594235505286</v>
      </c>
      <c r="AP13" s="159">
        <f t="shared" si="26"/>
        <v>1.9583528022907315</v>
      </c>
      <c r="AQ13" s="159">
        <f t="shared" si="27"/>
        <v>3.2561220021475608</v>
      </c>
      <c r="AR13" s="159">
        <f t="shared" si="28"/>
        <v>7.1634684047246324</v>
      </c>
      <c r="AS13" s="159">
        <f t="shared" si="29"/>
        <v>1.6280610010737804</v>
      </c>
      <c r="AT13" s="159">
        <f t="shared" si="30"/>
        <v>15.68554596306406</v>
      </c>
      <c r="AU13" s="159">
        <f t="shared" si="31"/>
        <v>1.6288191121451223</v>
      </c>
      <c r="AV13" s="159">
        <f t="shared" si="32"/>
        <v>2.8677533578860568</v>
      </c>
      <c r="AW13" s="159">
        <f t="shared" si="33"/>
        <v>0.81440955607256116</v>
      </c>
      <c r="AX13" s="159">
        <f t="shared" si="34"/>
        <v>2.2792854015032922</v>
      </c>
      <c r="AY13" s="159">
        <f t="shared" si="35"/>
        <v>4.8238844476260159</v>
      </c>
      <c r="AZ13" s="159">
        <f t="shared" si="36"/>
        <v>1.1396427007516461</v>
      </c>
      <c r="BA13" s="159">
        <f t="shared" si="37"/>
        <v>16.61604445239837</v>
      </c>
      <c r="BB13" s="159">
        <f t="shared" si="38"/>
        <v>3.1699325797901223</v>
      </c>
      <c r="BC13" s="159">
        <f t="shared" si="39"/>
        <v>5.9285171599381714</v>
      </c>
      <c r="BD13" s="159">
        <f t="shared" si="40"/>
        <v>1.5849662898950612</v>
      </c>
      <c r="BE13" s="159">
        <f t="shared" si="41"/>
        <v>3.5093759356479262</v>
      </c>
      <c r="BF13" s="159">
        <f t="shared" si="42"/>
        <v>4.1967794694346336</v>
      </c>
      <c r="BG13" s="159">
        <f t="shared" si="43"/>
        <v>14.638735162562964</v>
      </c>
      <c r="BH13" s="159">
        <f t="shared" si="44"/>
        <v>12.953413518182156</v>
      </c>
      <c r="BI13" s="159">
        <f t="shared" si="45"/>
        <v>3.0195800463613418</v>
      </c>
      <c r="BJ13" s="159">
        <f t="shared" si="46"/>
        <v>5.848959892746544</v>
      </c>
      <c r="BK13" s="159">
        <f t="shared" si="47"/>
        <v>3.1837637354331703</v>
      </c>
      <c r="BL13" s="159">
        <f t="shared" si="48"/>
        <v>6.3307129363637786</v>
      </c>
      <c r="BM13" s="159">
        <f t="shared" si="49"/>
        <v>13.07847785139618</v>
      </c>
      <c r="BN13" s="159">
        <f t="shared" si="50"/>
        <v>0.65152764485804882</v>
      </c>
      <c r="BO13" s="159">
        <f t="shared" si="51"/>
        <v>2.1707480014317069</v>
      </c>
      <c r="BP13" s="159">
        <f t="shared" si="52"/>
        <v>0.82006035609642269</v>
      </c>
      <c r="BQ13" s="159">
        <f t="shared" si="53"/>
        <v>5.0678935579815025</v>
      </c>
      <c r="BR13" s="159">
        <f t="shared" si="54"/>
        <v>19.274446499117644</v>
      </c>
      <c r="BS13" s="159">
        <f t="shared" si="55"/>
        <v>1.6914660010737808</v>
      </c>
      <c r="BT13" s="159">
        <f t="shared" si="56"/>
        <v>3.4249579578144709</v>
      </c>
      <c r="BU13" s="159">
        <f t="shared" si="57"/>
        <v>2.9425695130518692</v>
      </c>
      <c r="BV13" s="159">
        <f t="shared" si="58"/>
        <v>7.5603002258412584</v>
      </c>
      <c r="BW13" s="159">
        <f t="shared" si="59"/>
        <v>16.614230586590732</v>
      </c>
      <c r="BX13" s="159">
        <f t="shared" si="60"/>
        <v>1.5160547120735368</v>
      </c>
      <c r="BY13" s="159">
        <f t="shared" si="61"/>
        <v>3.4249579578144709</v>
      </c>
      <c r="BZ13" s="159">
        <f t="shared" si="62"/>
        <v>2.9425695130518692</v>
      </c>
      <c r="CA13" s="159">
        <f t="shared" si="63"/>
        <v>10.484724049463372</v>
      </c>
      <c r="CB13" s="159">
        <f t="shared" si="64"/>
        <v>13.433283118229879</v>
      </c>
      <c r="CC13" s="159">
        <f t="shared" si="65"/>
        <v>1.8543479122882929</v>
      </c>
      <c r="CD13" s="159">
        <f t="shared" si="66"/>
        <v>6.7461140476737382</v>
      </c>
      <c r="CE13" s="159">
        <f t="shared" si="67"/>
        <v>7.4146603825580897</v>
      </c>
      <c r="CF13" s="159">
        <f t="shared" si="68"/>
        <v>11.400821720067237</v>
      </c>
      <c r="CG13" s="159">
        <f t="shared" si="69"/>
        <v>7.4146603825580897</v>
      </c>
      <c r="CH13" s="159">
        <f t="shared" si="70"/>
        <v>7.1671773605108537</v>
      </c>
      <c r="CI13" s="159">
        <f t="shared" si="71"/>
        <v>12.509051522000039</v>
      </c>
      <c r="CJ13" s="159">
        <f t="shared" si="72"/>
        <v>7.1671773605108537</v>
      </c>
      <c r="CK13" s="159">
        <f t="shared" si="73"/>
        <v>4.1540111130995925</v>
      </c>
    </row>
    <row r="14" spans="1:89" x14ac:dyDescent="0.25">
      <c r="A14" t="str">
        <f>PLANTILLA!D16</f>
        <v>C. Rojas</v>
      </c>
      <c r="B14" s="488">
        <f>PLANTILLA!E16</f>
        <v>31</v>
      </c>
      <c r="C14" s="488">
        <f ca="1">PLANTILLA!F16</f>
        <v>91</v>
      </c>
      <c r="D14" s="488" t="str">
        <f>PLANTILLA!G16</f>
        <v>TEC</v>
      </c>
      <c r="E14" s="290">
        <v>41653</v>
      </c>
      <c r="F14" s="341">
        <f>PLANTILLA!Q16</f>
        <v>5</v>
      </c>
      <c r="G14" s="407">
        <f t="shared" si="78"/>
        <v>0.84515425472851657</v>
      </c>
      <c r="H14" s="407">
        <f t="shared" si="75"/>
        <v>0.92504826128926143</v>
      </c>
      <c r="I14" s="497">
        <v>1.5</v>
      </c>
      <c r="J14" s="498">
        <f>PLANTILLA!I16</f>
        <v>11</v>
      </c>
      <c r="K14" s="163">
        <f>PLANTILLA!X16</f>
        <v>0</v>
      </c>
      <c r="L14" s="163">
        <f>PLANTILLA!Y16</f>
        <v>8.6175555555555583</v>
      </c>
      <c r="M14" s="163">
        <f>PLANTILLA!Z16</f>
        <v>14.238017460317453</v>
      </c>
      <c r="N14" s="163">
        <f>PLANTILLA!AA16</f>
        <v>9.99</v>
      </c>
      <c r="O14" s="163">
        <f>PLANTILLA!AB16</f>
        <v>10.09</v>
      </c>
      <c r="P14" s="163">
        <f>PLANTILLA!AC16</f>
        <v>4.3999999999999995</v>
      </c>
      <c r="Q14" s="163">
        <f>PLANTILLA!AD16</f>
        <v>16.544444444444441</v>
      </c>
      <c r="R14" s="163">
        <f t="shared" si="2"/>
        <v>3.9746944444444448</v>
      </c>
      <c r="S14" s="163">
        <f t="shared" si="3"/>
        <v>15.187081556710682</v>
      </c>
      <c r="T14" s="163">
        <f t="shared" si="4"/>
        <v>0.71633333333333327</v>
      </c>
      <c r="U14" s="163">
        <f t="shared" si="5"/>
        <v>0.84103555555555543</v>
      </c>
      <c r="V14" s="163">
        <f t="shared" ca="1" si="6"/>
        <v>16.001278480676476</v>
      </c>
      <c r="W14" s="163">
        <f t="shared" ca="1" si="7"/>
        <v>17.513909152252669</v>
      </c>
      <c r="X14" s="159">
        <f t="shared" si="8"/>
        <v>4.900126418857508</v>
      </c>
      <c r="Y14" s="159">
        <f t="shared" si="9"/>
        <v>7.3915450531634708</v>
      </c>
      <c r="Z14" s="159">
        <f t="shared" si="10"/>
        <v>4.900126418857508</v>
      </c>
      <c r="AA14" s="159">
        <f t="shared" si="11"/>
        <v>5.9371368340555266</v>
      </c>
      <c r="AB14" s="159">
        <f t="shared" si="12"/>
        <v>11.506079135766525</v>
      </c>
      <c r="AC14" s="159">
        <f t="shared" si="13"/>
        <v>2.9685684170277633</v>
      </c>
      <c r="AD14" s="159">
        <f t="shared" si="14"/>
        <v>4.0761167676457637</v>
      </c>
      <c r="AE14" s="159">
        <f t="shared" si="15"/>
        <v>4.349297913319746</v>
      </c>
      <c r="AF14" s="159">
        <f t="shared" si="16"/>
        <v>8.3188952151591966</v>
      </c>
      <c r="AG14" s="159">
        <f t="shared" si="17"/>
        <v>2.174648956659873</v>
      </c>
      <c r="AH14" s="159">
        <f t="shared" si="18"/>
        <v>6.5937183006034417</v>
      </c>
      <c r="AI14" s="159">
        <f t="shared" si="19"/>
        <v>10.585592804905204</v>
      </c>
      <c r="AJ14" s="159">
        <f t="shared" si="20"/>
        <v>4.7635167622073409</v>
      </c>
      <c r="AK14" s="159">
        <f t="shared" si="21"/>
        <v>2.8601323537682464</v>
      </c>
      <c r="AL14" s="159">
        <f t="shared" si="22"/>
        <v>7.5725718651640479</v>
      </c>
      <c r="AM14" s="159">
        <f t="shared" si="23"/>
        <v>8.6755836683679597</v>
      </c>
      <c r="AN14" s="159">
        <f t="shared" si="24"/>
        <v>8.1463040281226995</v>
      </c>
      <c r="AO14" s="159">
        <f t="shared" si="25"/>
        <v>3.2453056601174537</v>
      </c>
      <c r="AP14" s="159">
        <f t="shared" si="26"/>
        <v>1.9766067911007585</v>
      </c>
      <c r="AQ14" s="159">
        <f t="shared" si="27"/>
        <v>3.1066413666569619</v>
      </c>
      <c r="AR14" s="159">
        <f t="shared" si="28"/>
        <v>6.8346110066453152</v>
      </c>
      <c r="AS14" s="159">
        <f t="shared" si="29"/>
        <v>1.5533206833284809</v>
      </c>
      <c r="AT14" s="159">
        <f t="shared" si="30"/>
        <v>16.167454742258826</v>
      </c>
      <c r="AU14" s="159">
        <f t="shared" si="31"/>
        <v>1.6872080654274257</v>
      </c>
      <c r="AV14" s="159">
        <f t="shared" si="32"/>
        <v>2.818337409001813</v>
      </c>
      <c r="AW14" s="159">
        <f t="shared" si="33"/>
        <v>0.84360403271371287</v>
      </c>
      <c r="AX14" s="159">
        <f t="shared" si="34"/>
        <v>2.174648956659873</v>
      </c>
      <c r="AY14" s="159">
        <f t="shared" si="35"/>
        <v>4.6024316543066099</v>
      </c>
      <c r="AZ14" s="159">
        <f t="shared" si="36"/>
        <v>1.0873244783299365</v>
      </c>
      <c r="BA14" s="159">
        <f t="shared" si="37"/>
        <v>17.126541040528419</v>
      </c>
      <c r="BB14" s="159">
        <f t="shared" si="38"/>
        <v>3.2835664657933745</v>
      </c>
      <c r="BC14" s="159">
        <f t="shared" si="39"/>
        <v>5.9562664926962432</v>
      </c>
      <c r="BD14" s="159">
        <f t="shared" si="40"/>
        <v>1.6417832328966873</v>
      </c>
      <c r="BE14" s="159">
        <f t="shared" si="41"/>
        <v>3.3482690285080583</v>
      </c>
      <c r="BF14" s="159">
        <f t="shared" si="42"/>
        <v>4.00411553924675</v>
      </c>
      <c r="BG14" s="159">
        <f t="shared" si="43"/>
        <v>15.088482656705537</v>
      </c>
      <c r="BH14" s="159">
        <f t="shared" si="44"/>
        <v>11.480507462807548</v>
      </c>
      <c r="BI14" s="159">
        <f t="shared" si="45"/>
        <v>3.1278241828308428</v>
      </c>
      <c r="BJ14" s="159">
        <f t="shared" si="46"/>
        <v>5.5804483808467644</v>
      </c>
      <c r="BK14" s="159">
        <f t="shared" si="47"/>
        <v>3.0376048918423626</v>
      </c>
      <c r="BL14" s="159">
        <f t="shared" si="48"/>
        <v>6.5252121364413282</v>
      </c>
      <c r="BM14" s="159">
        <f t="shared" si="49"/>
        <v>11.275929609104386</v>
      </c>
      <c r="BN14" s="159">
        <f t="shared" si="50"/>
        <v>0.67488322617097019</v>
      </c>
      <c r="BO14" s="159">
        <f t="shared" si="51"/>
        <v>2.0710942444379743</v>
      </c>
      <c r="BP14" s="159">
        <f t="shared" si="52"/>
        <v>0.78241338123212378</v>
      </c>
      <c r="BQ14" s="159">
        <f t="shared" si="53"/>
        <v>5.223595017361168</v>
      </c>
      <c r="BR14" s="159">
        <f t="shared" si="54"/>
        <v>16.590381324151302</v>
      </c>
      <c r="BS14" s="159">
        <f t="shared" si="55"/>
        <v>1.7521006833284807</v>
      </c>
      <c r="BT14" s="159">
        <f t="shared" si="56"/>
        <v>3.2677264745576928</v>
      </c>
      <c r="BU14" s="159">
        <f t="shared" si="57"/>
        <v>2.8074833091270319</v>
      </c>
      <c r="BV14" s="159">
        <f t="shared" si="58"/>
        <v>7.7925761734404313</v>
      </c>
      <c r="BW14" s="159">
        <f t="shared" si="59"/>
        <v>14.293804126873752</v>
      </c>
      <c r="BX14" s="159">
        <f t="shared" si="60"/>
        <v>1.570401353205527</v>
      </c>
      <c r="BY14" s="159">
        <f t="shared" si="61"/>
        <v>3.2677264745576928</v>
      </c>
      <c r="BZ14" s="159">
        <f t="shared" si="62"/>
        <v>2.8074833091270319</v>
      </c>
      <c r="CA14" s="159">
        <f t="shared" si="63"/>
        <v>10.806847396573433</v>
      </c>
      <c r="CB14" s="159">
        <f t="shared" si="64"/>
        <v>11.545578604288814</v>
      </c>
      <c r="CC14" s="159">
        <f t="shared" si="65"/>
        <v>1.920821489871223</v>
      </c>
      <c r="CD14" s="159">
        <f t="shared" si="66"/>
        <v>6.9533756624545386</v>
      </c>
      <c r="CE14" s="159">
        <f t="shared" si="67"/>
        <v>7.0624626717067915</v>
      </c>
      <c r="CF14" s="159">
        <f t="shared" si="68"/>
        <v>11.296547551317548</v>
      </c>
      <c r="CG14" s="159">
        <f t="shared" si="69"/>
        <v>7.0624626717067915</v>
      </c>
      <c r="CH14" s="159">
        <f t="shared" si="70"/>
        <v>6.454120190471432</v>
      </c>
      <c r="CI14" s="159">
        <f t="shared" si="71"/>
        <v>12.077598781308811</v>
      </c>
      <c r="CJ14" s="159">
        <f t="shared" si="72"/>
        <v>6.454120190471432</v>
      </c>
      <c r="CK14" s="159">
        <f t="shared" si="73"/>
        <v>4.2816352601321048</v>
      </c>
    </row>
    <row r="15" spans="1:89" x14ac:dyDescent="0.25">
      <c r="A15" t="str">
        <f>PLANTILLA!D17</f>
        <v>E. Gross</v>
      </c>
      <c r="B15" s="488">
        <f>PLANTILLA!E17</f>
        <v>30</v>
      </c>
      <c r="C15" s="488">
        <f ca="1">PLANTILLA!F17</f>
        <v>85</v>
      </c>
      <c r="D15" s="488"/>
      <c r="E15" s="290">
        <v>41552</v>
      </c>
      <c r="F15" s="341">
        <f>PLANTILLA!Q17</f>
        <v>7</v>
      </c>
      <c r="G15" s="407">
        <f t="shared" si="78"/>
        <v>1</v>
      </c>
      <c r="H15" s="407">
        <f t="shared" si="75"/>
        <v>1</v>
      </c>
      <c r="I15" s="497">
        <v>1.5</v>
      </c>
      <c r="J15" s="498">
        <f>PLANTILLA!I17</f>
        <v>9.1</v>
      </c>
      <c r="K15" s="163">
        <f>PLANTILLA!X17</f>
        <v>0</v>
      </c>
      <c r="L15" s="163">
        <f>PLANTILLA!Y17</f>
        <v>10.449999999999996</v>
      </c>
      <c r="M15" s="163">
        <f>PLANTILLA!Z17</f>
        <v>12.869777777777777</v>
      </c>
      <c r="N15" s="163">
        <f>PLANTILLA!AA17</f>
        <v>5.1299999999999981</v>
      </c>
      <c r="O15" s="163">
        <f>PLANTILLA!AB17</f>
        <v>9.24</v>
      </c>
      <c r="P15" s="163">
        <f>PLANTILLA!AC17</f>
        <v>2.98</v>
      </c>
      <c r="Q15" s="163">
        <f>PLANTILLA!AD17</f>
        <v>16.959999999999997</v>
      </c>
      <c r="R15" s="163">
        <f t="shared" si="2"/>
        <v>3.9912499999999995</v>
      </c>
      <c r="S15" s="163">
        <f t="shared" si="3"/>
        <v>12.815775302706152</v>
      </c>
      <c r="T15" s="163">
        <f t="shared" si="4"/>
        <v>0.65779999999999994</v>
      </c>
      <c r="U15" s="163">
        <f t="shared" si="5"/>
        <v>0.92679999999999974</v>
      </c>
      <c r="V15" s="163">
        <f t="shared" ca="1" si="6"/>
        <v>19.238721856428121</v>
      </c>
      <c r="W15" s="163">
        <f t="shared" ca="1" si="7"/>
        <v>19.238721856428121</v>
      </c>
      <c r="X15" s="159">
        <f t="shared" si="8"/>
        <v>5.3100241806617516</v>
      </c>
      <c r="Y15" s="159">
        <f t="shared" si="9"/>
        <v>8.0285799166487077</v>
      </c>
      <c r="Z15" s="159">
        <f t="shared" si="10"/>
        <v>5.3100241806617516</v>
      </c>
      <c r="AA15" s="159">
        <f t="shared" si="11"/>
        <v>6.8260204779169102</v>
      </c>
      <c r="AB15" s="159">
        <f t="shared" si="12"/>
        <v>13.22872185642812</v>
      </c>
      <c r="AC15" s="159">
        <f t="shared" si="13"/>
        <v>3.4130102389584551</v>
      </c>
      <c r="AD15" s="159">
        <f t="shared" si="14"/>
        <v>3.7243429129410042</v>
      </c>
      <c r="AE15" s="159">
        <f t="shared" si="15"/>
        <v>5.0004568617298295</v>
      </c>
      <c r="AF15" s="159">
        <f t="shared" si="16"/>
        <v>9.5643659021975296</v>
      </c>
      <c r="AG15" s="159">
        <f t="shared" si="17"/>
        <v>2.5002284308649148</v>
      </c>
      <c r="AH15" s="159">
        <f t="shared" si="18"/>
        <v>6.0246723591692719</v>
      </c>
      <c r="AI15" s="159">
        <f t="shared" si="19"/>
        <v>12.17042410791387</v>
      </c>
      <c r="AJ15" s="159">
        <f t="shared" si="20"/>
        <v>5.4766908485612413</v>
      </c>
      <c r="AK15" s="159">
        <f t="shared" si="21"/>
        <v>2.6132994389123856</v>
      </c>
      <c r="AL15" s="159">
        <f t="shared" si="22"/>
        <v>4.6503284515797363</v>
      </c>
      <c r="AM15" s="159">
        <f t="shared" si="23"/>
        <v>9.9744562797468017</v>
      </c>
      <c r="AN15" s="159">
        <f t="shared" si="24"/>
        <v>9.3659350743511087</v>
      </c>
      <c r="AO15" s="159">
        <f t="shared" si="25"/>
        <v>3.2963665500234964</v>
      </c>
      <c r="AP15" s="159">
        <f t="shared" si="26"/>
        <v>1.9497518946512995</v>
      </c>
      <c r="AQ15" s="159">
        <f t="shared" si="27"/>
        <v>3.5717549012355927</v>
      </c>
      <c r="AR15" s="159">
        <f t="shared" si="28"/>
        <v>7.8578607827183031</v>
      </c>
      <c r="AS15" s="159">
        <f t="shared" si="29"/>
        <v>1.7858774506177963</v>
      </c>
      <c r="AT15" s="159">
        <f t="shared" si="30"/>
        <v>14.77218365469037</v>
      </c>
      <c r="AU15" s="159">
        <f t="shared" si="31"/>
        <v>1.5624338413356562</v>
      </c>
      <c r="AV15" s="159">
        <f t="shared" si="32"/>
        <v>2.4385055039334405</v>
      </c>
      <c r="AW15" s="159">
        <f t="shared" si="33"/>
        <v>0.78121692066782811</v>
      </c>
      <c r="AX15" s="159">
        <f t="shared" si="34"/>
        <v>2.5002284308649148</v>
      </c>
      <c r="AY15" s="159">
        <f t="shared" si="35"/>
        <v>5.2914887425712482</v>
      </c>
      <c r="AZ15" s="159">
        <f t="shared" si="36"/>
        <v>1.2501142154324574</v>
      </c>
      <c r="BA15" s="159">
        <f t="shared" si="37"/>
        <v>15.648499634205901</v>
      </c>
      <c r="BB15" s="159">
        <f t="shared" si="38"/>
        <v>3.0407366296763154</v>
      </c>
      <c r="BC15" s="159">
        <f t="shared" si="39"/>
        <v>5.3077157428918973</v>
      </c>
      <c r="BD15" s="159">
        <f t="shared" si="40"/>
        <v>1.5203683148381577</v>
      </c>
      <c r="BE15" s="159">
        <f t="shared" si="41"/>
        <v>3.8495580602205828</v>
      </c>
      <c r="BF15" s="159">
        <f t="shared" si="42"/>
        <v>4.6035952060369851</v>
      </c>
      <c r="BG15" s="159">
        <f t="shared" si="43"/>
        <v>13.786328177735399</v>
      </c>
      <c r="BH15" s="159">
        <f t="shared" si="44"/>
        <v>8.325503730364602</v>
      </c>
      <c r="BI15" s="159">
        <f t="shared" si="45"/>
        <v>2.8965119673991779</v>
      </c>
      <c r="BJ15" s="159">
        <f t="shared" si="46"/>
        <v>6.4159301003676381</v>
      </c>
      <c r="BK15" s="159">
        <f t="shared" si="47"/>
        <v>3.4923825700970239</v>
      </c>
      <c r="BL15" s="159">
        <f t="shared" si="48"/>
        <v>5.9620783606324483</v>
      </c>
      <c r="BM15" s="159">
        <f t="shared" si="49"/>
        <v>7.73833290251818</v>
      </c>
      <c r="BN15" s="159">
        <f t="shared" si="50"/>
        <v>0.62497353653426246</v>
      </c>
      <c r="BO15" s="159">
        <f t="shared" si="51"/>
        <v>2.3811699341570614</v>
      </c>
      <c r="BP15" s="159">
        <f t="shared" si="52"/>
        <v>0.89955308623711216</v>
      </c>
      <c r="BQ15" s="159">
        <f t="shared" si="53"/>
        <v>4.7727923884327996</v>
      </c>
      <c r="BR15" s="159">
        <f t="shared" si="54"/>
        <v>11.346076307366566</v>
      </c>
      <c r="BS15" s="159">
        <f t="shared" si="55"/>
        <v>1.6225274506177969</v>
      </c>
      <c r="BT15" s="159">
        <f t="shared" si="56"/>
        <v>3.7569570072255858</v>
      </c>
      <c r="BU15" s="159">
        <f t="shared" si="57"/>
        <v>3.2278081329684611</v>
      </c>
      <c r="BV15" s="159">
        <f t="shared" si="58"/>
        <v>7.1200673335636857</v>
      </c>
      <c r="BW15" s="159">
        <f t="shared" si="59"/>
        <v>9.7657038169223611</v>
      </c>
      <c r="BX15" s="159">
        <f t="shared" si="60"/>
        <v>1.4542653446278029</v>
      </c>
      <c r="BY15" s="159">
        <f t="shared" si="61"/>
        <v>3.7569570072255858</v>
      </c>
      <c r="BZ15" s="159">
        <f t="shared" si="62"/>
        <v>3.2278081329684611</v>
      </c>
      <c r="CA15" s="159">
        <f t="shared" si="63"/>
        <v>9.8742032691839245</v>
      </c>
      <c r="CB15" s="159">
        <f t="shared" si="64"/>
        <v>7.8715360615031704</v>
      </c>
      <c r="CC15" s="159">
        <f t="shared" si="65"/>
        <v>1.7787708347513622</v>
      </c>
      <c r="CD15" s="159">
        <f t="shared" si="66"/>
        <v>6.3532908514875963</v>
      </c>
      <c r="CE15" s="159">
        <f t="shared" si="67"/>
        <v>4.8748940871990527</v>
      </c>
      <c r="CF15" s="159">
        <f t="shared" si="68"/>
        <v>9.8835008103380684</v>
      </c>
      <c r="CG15" s="159">
        <f t="shared" si="69"/>
        <v>4.8748940871990527</v>
      </c>
      <c r="CH15" s="159">
        <f t="shared" si="70"/>
        <v>4.8217537165547206</v>
      </c>
      <c r="CI15" s="159">
        <f t="shared" si="71"/>
        <v>10.193630221450103</v>
      </c>
      <c r="CJ15" s="159">
        <f t="shared" si="72"/>
        <v>4.8217537165547206</v>
      </c>
      <c r="CK15" s="159">
        <f t="shared" si="73"/>
        <v>3.9121249085514753</v>
      </c>
    </row>
    <row r="16" spans="1:89" x14ac:dyDescent="0.25">
      <c r="A16" t="str">
        <f>PLANTILLA!D18</f>
        <v>L. Bauman</v>
      </c>
      <c r="B16" s="488">
        <f>PLANTILLA!E18</f>
        <v>30</v>
      </c>
      <c r="C16" s="488">
        <f ca="1">PLANTILLA!F18</f>
        <v>60</v>
      </c>
      <c r="D16" s="488"/>
      <c r="E16" s="290">
        <v>41686</v>
      </c>
      <c r="F16" s="341">
        <f>PLANTILLA!Q18</f>
        <v>6</v>
      </c>
      <c r="G16" s="407">
        <f t="shared" si="78"/>
        <v>0.92582009977255142</v>
      </c>
      <c r="H16" s="407">
        <f t="shared" si="75"/>
        <v>0.99928545900129484</v>
      </c>
      <c r="I16" s="497">
        <v>1.5</v>
      </c>
      <c r="J16" s="498">
        <f>PLANTILLA!I18</f>
        <v>8.1</v>
      </c>
      <c r="K16" s="163">
        <f>PLANTILLA!X18</f>
        <v>0</v>
      </c>
      <c r="L16" s="163">
        <f>PLANTILLA!Y18</f>
        <v>5.4311111111111119</v>
      </c>
      <c r="M16" s="163">
        <f>PLANTILLA!Z18</f>
        <v>14.331408994708985</v>
      </c>
      <c r="N16" s="163">
        <f>PLANTILLA!AA18</f>
        <v>3.5124999999999993</v>
      </c>
      <c r="O16" s="163">
        <f>PLANTILLA!AB18</f>
        <v>9.1400000000000041</v>
      </c>
      <c r="P16" s="163">
        <f>PLANTILLA!AC18</f>
        <v>7.4318888888888894</v>
      </c>
      <c r="Q16" s="163">
        <f>PLANTILLA!AD18</f>
        <v>16.07</v>
      </c>
      <c r="R16" s="163">
        <f t="shared" si="2"/>
        <v>3.3388888888888899</v>
      </c>
      <c r="S16" s="163">
        <f t="shared" si="3"/>
        <v>19.567438077851307</v>
      </c>
      <c r="T16" s="163">
        <f t="shared" si="4"/>
        <v>0.85369444444444442</v>
      </c>
      <c r="U16" s="163">
        <f t="shared" si="5"/>
        <v>0.69934444444444444</v>
      </c>
      <c r="V16" s="163">
        <f t="shared" ca="1" si="6"/>
        <v>16.925207357544252</v>
      </c>
      <c r="W16" s="163">
        <f t="shared" ca="1" si="7"/>
        <v>18.268250610600038</v>
      </c>
      <c r="X16" s="159">
        <f t="shared" si="8"/>
        <v>3.865963228641415</v>
      </c>
      <c r="Y16" s="159">
        <f t="shared" si="9"/>
        <v>5.8085277680520049</v>
      </c>
      <c r="Z16" s="159">
        <f t="shared" si="10"/>
        <v>3.865963228641415</v>
      </c>
      <c r="AA16" s="159">
        <f t="shared" si="11"/>
        <v>4.201491026321845</v>
      </c>
      <c r="AB16" s="159">
        <f t="shared" si="12"/>
        <v>8.1424244696159782</v>
      </c>
      <c r="AC16" s="159">
        <f t="shared" si="13"/>
        <v>2.1007455131609225</v>
      </c>
      <c r="AD16" s="159">
        <f t="shared" si="14"/>
        <v>4.0561679200648966</v>
      </c>
      <c r="AE16" s="159">
        <f t="shared" si="15"/>
        <v>3.0778364495148396</v>
      </c>
      <c r="AF16" s="159">
        <f t="shared" si="16"/>
        <v>5.886972891532352</v>
      </c>
      <c r="AG16" s="159">
        <f t="shared" si="17"/>
        <v>1.5389182247574198</v>
      </c>
      <c r="AH16" s="159">
        <f t="shared" si="18"/>
        <v>6.5614481059873322</v>
      </c>
      <c r="AI16" s="159">
        <f t="shared" si="19"/>
        <v>7.4910305120467005</v>
      </c>
      <c r="AJ16" s="159">
        <f t="shared" si="20"/>
        <v>3.3709637304210149</v>
      </c>
      <c r="AK16" s="159">
        <f t="shared" si="21"/>
        <v>2.846134632986713</v>
      </c>
      <c r="AL16" s="159">
        <f t="shared" si="22"/>
        <v>3.6596022548008609</v>
      </c>
      <c r="AM16" s="159">
        <f t="shared" si="23"/>
        <v>6.1393880500904476</v>
      </c>
      <c r="AN16" s="159">
        <f t="shared" si="24"/>
        <v>5.7648365244881123</v>
      </c>
      <c r="AO16" s="159">
        <f t="shared" si="25"/>
        <v>3.1364793308703129</v>
      </c>
      <c r="AP16" s="159">
        <f t="shared" si="26"/>
        <v>1.7424582472494017</v>
      </c>
      <c r="AQ16" s="159">
        <f t="shared" si="27"/>
        <v>2.1984546067963144</v>
      </c>
      <c r="AR16" s="159">
        <f t="shared" si="28"/>
        <v>4.8366001349518912</v>
      </c>
      <c r="AS16" s="159">
        <f t="shared" si="29"/>
        <v>1.0992273033981572</v>
      </c>
      <c r="AT16" s="159">
        <f t="shared" si="30"/>
        <v>16.088329901433873</v>
      </c>
      <c r="AU16" s="159">
        <f t="shared" si="31"/>
        <v>1.5406707366056334</v>
      </c>
      <c r="AV16" s="159">
        <f t="shared" si="32"/>
        <v>3.1769315918197041</v>
      </c>
      <c r="AW16" s="159">
        <f t="shared" si="33"/>
        <v>0.77033536830281668</v>
      </c>
      <c r="AX16" s="159">
        <f t="shared" si="34"/>
        <v>1.5389182247574198</v>
      </c>
      <c r="AY16" s="159">
        <f t="shared" si="35"/>
        <v>3.2569697878463915</v>
      </c>
      <c r="AZ16" s="159">
        <f t="shared" si="36"/>
        <v>0.7694591123787099</v>
      </c>
      <c r="BA16" s="159">
        <f t="shared" si="37"/>
        <v>17.042722353213851</v>
      </c>
      <c r="BB16" s="159">
        <f t="shared" si="38"/>
        <v>2.9983822797017323</v>
      </c>
      <c r="BC16" s="159">
        <f t="shared" si="39"/>
        <v>6.1713703272028502</v>
      </c>
      <c r="BD16" s="159">
        <f t="shared" si="40"/>
        <v>1.4991911398508662</v>
      </c>
      <c r="BE16" s="159">
        <f t="shared" si="41"/>
        <v>2.3694455206582496</v>
      </c>
      <c r="BF16" s="159">
        <f t="shared" si="42"/>
        <v>2.8335637154263602</v>
      </c>
      <c r="BG16" s="159">
        <f t="shared" si="43"/>
        <v>15.014638393181402</v>
      </c>
      <c r="BH16" s="159">
        <f t="shared" si="44"/>
        <v>7.3056325757108267</v>
      </c>
      <c r="BI16" s="159">
        <f t="shared" si="45"/>
        <v>2.8561665193996739</v>
      </c>
      <c r="BJ16" s="159">
        <f t="shared" si="46"/>
        <v>3.9490758677637494</v>
      </c>
      <c r="BK16" s="159">
        <f t="shared" si="47"/>
        <v>2.1496000599786185</v>
      </c>
      <c r="BL16" s="159">
        <f t="shared" si="48"/>
        <v>6.4932772165744774</v>
      </c>
      <c r="BM16" s="159">
        <f t="shared" si="49"/>
        <v>6.5707403753332549</v>
      </c>
      <c r="BN16" s="159">
        <f t="shared" si="50"/>
        <v>0.6162682946422533</v>
      </c>
      <c r="BO16" s="159">
        <f t="shared" si="51"/>
        <v>1.4656364045308761</v>
      </c>
      <c r="BP16" s="159">
        <f t="shared" si="52"/>
        <v>0.55368486393388661</v>
      </c>
      <c r="BQ16" s="159">
        <f t="shared" si="53"/>
        <v>5.1980303177302245</v>
      </c>
      <c r="BR16" s="159">
        <f t="shared" si="54"/>
        <v>9.6132889790372591</v>
      </c>
      <c r="BS16" s="159">
        <f t="shared" si="55"/>
        <v>1.5999273033981578</v>
      </c>
      <c r="BT16" s="159">
        <f t="shared" si="56"/>
        <v>2.3124485493709375</v>
      </c>
      <c r="BU16" s="159">
        <f t="shared" si="57"/>
        <v>1.9867515705862986</v>
      </c>
      <c r="BV16" s="159">
        <f t="shared" si="58"/>
        <v>7.7544386707123021</v>
      </c>
      <c r="BW16" s="159">
        <f t="shared" si="59"/>
        <v>8.2690952012233918</v>
      </c>
      <c r="BX16" s="159">
        <f t="shared" si="60"/>
        <v>1.4340089163790894</v>
      </c>
      <c r="BY16" s="159">
        <f t="shared" si="61"/>
        <v>2.3124485493709375</v>
      </c>
      <c r="BZ16" s="159">
        <f t="shared" si="62"/>
        <v>1.9867515705862986</v>
      </c>
      <c r="CA16" s="159">
        <f t="shared" si="63"/>
        <v>10.75395780487794</v>
      </c>
      <c r="CB16" s="159">
        <f t="shared" si="64"/>
        <v>6.6564204558618556</v>
      </c>
      <c r="CC16" s="159">
        <f t="shared" si="65"/>
        <v>1.753994377058721</v>
      </c>
      <c r="CD16" s="159">
        <f t="shared" si="66"/>
        <v>6.9193452754048241</v>
      </c>
      <c r="CE16" s="159">
        <f t="shared" si="67"/>
        <v>5.147244148669925</v>
      </c>
      <c r="CF16" s="159">
        <f t="shared" si="68"/>
        <v>12.348750063898706</v>
      </c>
      <c r="CG16" s="159">
        <f t="shared" si="69"/>
        <v>5.147244148669925</v>
      </c>
      <c r="CH16" s="159">
        <f t="shared" si="70"/>
        <v>5.5655818334596434</v>
      </c>
      <c r="CI16" s="159">
        <f t="shared" si="71"/>
        <v>14.516336876682054</v>
      </c>
      <c r="CJ16" s="159">
        <f t="shared" si="72"/>
        <v>5.5655818334596434</v>
      </c>
      <c r="CK16" s="159">
        <f t="shared" si="73"/>
        <v>4.2606805883034626</v>
      </c>
    </row>
    <row r="17" spans="1:89" x14ac:dyDescent="0.25">
      <c r="A17" t="str">
        <f>PLANTILLA!D19</f>
        <v>W. Gelifini</v>
      </c>
      <c r="B17" s="488">
        <f>PLANTILLA!E19</f>
        <v>29</v>
      </c>
      <c r="C17" s="488">
        <f ca="1">PLANTILLA!F19</f>
        <v>10</v>
      </c>
      <c r="D17" s="488"/>
      <c r="E17" s="290">
        <v>41737</v>
      </c>
      <c r="F17" s="341">
        <f>PLANTILLA!Q19</f>
        <v>5</v>
      </c>
      <c r="G17" s="407">
        <f t="shared" si="78"/>
        <v>0.84515425472851657</v>
      </c>
      <c r="H17" s="407">
        <f t="shared" si="75"/>
        <v>0.92504826128926143</v>
      </c>
      <c r="I17" s="497">
        <v>1.5</v>
      </c>
      <c r="J17" s="498">
        <f>PLANTILLA!I19</f>
        <v>4</v>
      </c>
      <c r="K17" s="163">
        <f>PLANTILLA!X19</f>
        <v>0</v>
      </c>
      <c r="L17" s="163">
        <f>PLANTILLA!Y19</f>
        <v>5.6515555555555519</v>
      </c>
      <c r="M17" s="163">
        <f>PLANTILLA!Z19</f>
        <v>9.8623388888888872</v>
      </c>
      <c r="N17" s="163">
        <f>PLANTILLA!AA19</f>
        <v>7.0726666666666667</v>
      </c>
      <c r="O17" s="163">
        <f>PLANTILLA!AB19</f>
        <v>9.2666666666666639</v>
      </c>
      <c r="P17" s="163">
        <f>PLANTILLA!AC19</f>
        <v>3.5417777777777766</v>
      </c>
      <c r="Q17" s="163">
        <f>PLANTILLA!AD19</f>
        <v>12.450000000000001</v>
      </c>
      <c r="R17" s="163">
        <f t="shared" si="2"/>
        <v>3.3981111111111098</v>
      </c>
      <c r="S17" s="163">
        <f t="shared" si="3"/>
        <v>10.215921218890843</v>
      </c>
      <c r="T17" s="163">
        <f t="shared" si="4"/>
        <v>0.55058888888888879</v>
      </c>
      <c r="U17" s="163">
        <f t="shared" si="5"/>
        <v>0.59956222222222211</v>
      </c>
      <c r="V17" s="163">
        <f t="shared" ca="1" si="6"/>
        <v>12.045769477128738</v>
      </c>
      <c r="W17" s="163">
        <f t="shared" ca="1" si="7"/>
        <v>13.184478511900247</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2.8952903594702954</v>
      </c>
      <c r="AE17" s="159">
        <f t="shared" si="15"/>
        <v>3.0067262356292916</v>
      </c>
      <c r="AF17" s="159">
        <f t="shared" si="16"/>
        <v>5.7509604983068199</v>
      </c>
      <c r="AG17" s="159">
        <f t="shared" si="17"/>
        <v>1.5033631178146458</v>
      </c>
      <c r="AH17" s="159">
        <f t="shared" si="18"/>
        <v>4.6835579344372427</v>
      </c>
      <c r="AI17" s="159">
        <f t="shared" si="19"/>
        <v>7.3179580338067414</v>
      </c>
      <c r="AJ17" s="159">
        <f t="shared" si="20"/>
        <v>3.2930811152130337</v>
      </c>
      <c r="AK17" s="159">
        <f t="shared" si="21"/>
        <v>2.0315692858468042</v>
      </c>
      <c r="AL17" s="159">
        <f t="shared" si="22"/>
        <v>5.5127430332011222</v>
      </c>
      <c r="AM17" s="159">
        <f t="shared" si="23"/>
        <v>5.9975438668372645</v>
      </c>
      <c r="AN17" s="159">
        <f t="shared" si="24"/>
        <v>5.6316459651469266</v>
      </c>
      <c r="AO17" s="159">
        <f t="shared" si="25"/>
        <v>2.4637086914023603</v>
      </c>
      <c r="AP17" s="159">
        <f t="shared" si="26"/>
        <v>1.6418470366699369</v>
      </c>
      <c r="AQ17" s="159">
        <f t="shared" si="27"/>
        <v>2.1476615968780655</v>
      </c>
      <c r="AR17" s="159">
        <f t="shared" si="28"/>
        <v>4.724855513131744</v>
      </c>
      <c r="AS17" s="159">
        <f t="shared" si="29"/>
        <v>1.0738307984390327</v>
      </c>
      <c r="AT17" s="159">
        <f t="shared" si="30"/>
        <v>11.483840753529238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12.165085543992838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10.717440364257691</v>
      </c>
      <c r="BH17" s="159">
        <f t="shared" si="44"/>
        <v>9.0258524430540774</v>
      </c>
      <c r="BI17" s="159">
        <f t="shared" si="45"/>
        <v>2.7882286105467182</v>
      </c>
      <c r="BJ17" s="159">
        <f t="shared" si="46"/>
        <v>3.857836572169858</v>
      </c>
      <c r="BK17" s="159">
        <f t="shared" si="47"/>
        <v>2.0999357836141086</v>
      </c>
      <c r="BL17" s="159">
        <f t="shared" si="48"/>
        <v>4.6348975922612716</v>
      </c>
      <c r="BM17" s="159">
        <f t="shared" si="49"/>
        <v>8.6351052432275193</v>
      </c>
      <c r="BN17" s="159">
        <f t="shared" si="50"/>
        <v>0.60160949273207198</v>
      </c>
      <c r="BO17" s="159">
        <f t="shared" si="51"/>
        <v>1.4317743979187103</v>
      </c>
      <c r="BP17" s="159">
        <f t="shared" si="52"/>
        <v>0.54089255032484618</v>
      </c>
      <c r="BQ17" s="159">
        <f t="shared" si="53"/>
        <v>3.7103510909178152</v>
      </c>
      <c r="BR17" s="159">
        <f t="shared" si="54"/>
        <v>12.684265531797013</v>
      </c>
      <c r="BS17" s="159">
        <f t="shared" si="55"/>
        <v>1.561870798439033</v>
      </c>
      <c r="BT17" s="159">
        <f t="shared" si="56"/>
        <v>2.2590218278272984</v>
      </c>
      <c r="BU17" s="159">
        <f t="shared" si="57"/>
        <v>1.9408497394009183</v>
      </c>
      <c r="BV17" s="159">
        <f t="shared" si="58"/>
        <v>5.5351139225167412</v>
      </c>
      <c r="BW17" s="159">
        <f t="shared" si="59"/>
        <v>10.923293960521843</v>
      </c>
      <c r="BX17" s="159">
        <f t="shared" si="60"/>
        <v>1.3998990119342443</v>
      </c>
      <c r="BY17" s="159">
        <f t="shared" si="61"/>
        <v>2.2590218278272984</v>
      </c>
      <c r="BZ17" s="159">
        <f t="shared" si="62"/>
        <v>1.9408497394009183</v>
      </c>
      <c r="CA17" s="159">
        <f t="shared" si="63"/>
        <v>7.6761689782594811</v>
      </c>
      <c r="CB17" s="159">
        <f t="shared" si="64"/>
        <v>8.8144369229847008</v>
      </c>
      <c r="CC17" s="159">
        <f t="shared" si="65"/>
        <v>1.7122731716220509</v>
      </c>
      <c r="CD17" s="159">
        <f t="shared" si="66"/>
        <v>4.9390247308610924</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3.0412713859982095</v>
      </c>
    </row>
    <row r="18" spans="1:89" x14ac:dyDescent="0.25">
      <c r="A18" t="str">
        <f>PLANTILLA!D20</f>
        <v>M. Amico</v>
      </c>
      <c r="B18" s="488">
        <f>PLANTILLA!E20</f>
        <v>29</v>
      </c>
      <c r="C18" s="488">
        <f ca="1">PLANTILLA!F20</f>
        <v>17</v>
      </c>
      <c r="D18" s="488" t="str">
        <f>PLANTILLA!G20</f>
        <v>IMP</v>
      </c>
      <c r="E18" s="290">
        <v>41730</v>
      </c>
      <c r="F18" s="341">
        <f>PLANTILLA!Q20</f>
        <v>6</v>
      </c>
      <c r="G18" s="407">
        <f t="shared" si="78"/>
        <v>0.92582009977255142</v>
      </c>
      <c r="H18" s="407">
        <f t="shared" si="75"/>
        <v>0.99928545900129484</v>
      </c>
      <c r="I18" s="497">
        <v>1.5</v>
      </c>
      <c r="J18" s="498">
        <f>PLANTILLA!I20</f>
        <v>1.2</v>
      </c>
      <c r="K18" s="163">
        <f>PLANTILLA!X20</f>
        <v>0</v>
      </c>
      <c r="L18" s="163">
        <f>PLANTILLA!Y20</f>
        <v>2.4961111111111101</v>
      </c>
      <c r="M18" s="163">
        <f>PLANTILLA!Z20</f>
        <v>7.3299999999999974</v>
      </c>
      <c r="N18" s="163">
        <f>PLANTILLA!AA20</f>
        <v>4.17</v>
      </c>
      <c r="O18" s="163">
        <f>PLANTILLA!AB20</f>
        <v>7.2649999999999988</v>
      </c>
      <c r="P18" s="163">
        <f>PLANTILLA!AC20</f>
        <v>4.3299999999999983</v>
      </c>
      <c r="Q18" s="163">
        <f>PLANTILLA!AD20</f>
        <v>9.5</v>
      </c>
      <c r="R18" s="163">
        <f t="shared" si="2"/>
        <v>2.5032638888888883</v>
      </c>
      <c r="S18" s="163">
        <f t="shared" si="3"/>
        <v>8.3611207383536659</v>
      </c>
      <c r="T18" s="163">
        <f t="shared" si="4"/>
        <v>0.50149999999999983</v>
      </c>
      <c r="U18" s="163">
        <f t="shared" si="5"/>
        <v>0.38484444444444443</v>
      </c>
      <c r="V18" s="163">
        <f t="shared" ca="1" si="6"/>
        <v>9.818854499766358</v>
      </c>
      <c r="W18" s="163">
        <f t="shared" ca="1" si="7"/>
        <v>10.597996876581588</v>
      </c>
      <c r="X18" s="159">
        <f t="shared" si="8"/>
        <v>2.0905936370661018</v>
      </c>
      <c r="Y18" s="159">
        <f t="shared" si="9"/>
        <v>3.1336445404188664</v>
      </c>
      <c r="Z18" s="159">
        <f t="shared" si="10"/>
        <v>2.0905936370661018</v>
      </c>
      <c r="AA18" s="159">
        <f t="shared" si="11"/>
        <v>2.1164700306140984</v>
      </c>
      <c r="AB18" s="159">
        <f t="shared" si="12"/>
        <v>4.1016861058412761</v>
      </c>
      <c r="AC18" s="159">
        <f t="shared" si="13"/>
        <v>1.0582350153070492</v>
      </c>
      <c r="AD18" s="159">
        <f t="shared" si="14"/>
        <v>2.1266668487457787</v>
      </c>
      <c r="AE18" s="159">
        <f t="shared" si="15"/>
        <v>1.5504373480080025</v>
      </c>
      <c r="AF18" s="159">
        <f t="shared" si="16"/>
        <v>2.9655190545232424</v>
      </c>
      <c r="AG18" s="159">
        <f t="shared" si="17"/>
        <v>0.77521867400400124</v>
      </c>
      <c r="AH18" s="159">
        <f t="shared" si="18"/>
        <v>3.4401963729711134</v>
      </c>
      <c r="AI18" s="159">
        <f t="shared" si="19"/>
        <v>3.7735512173739743</v>
      </c>
      <c r="AJ18" s="159">
        <f t="shared" si="20"/>
        <v>1.6980980478182883</v>
      </c>
      <c r="AK18" s="159">
        <f t="shared" si="21"/>
        <v>1.4922410241199375</v>
      </c>
      <c r="AL18" s="159">
        <f t="shared" si="22"/>
        <v>3.3960380969013375</v>
      </c>
      <c r="AM18" s="159">
        <f t="shared" si="23"/>
        <v>3.0926713238043222</v>
      </c>
      <c r="AN18" s="159">
        <f t="shared" si="24"/>
        <v>2.9039937629356234</v>
      </c>
      <c r="AO18" s="159">
        <f t="shared" si="25"/>
        <v>1.8546310241199377</v>
      </c>
      <c r="AP18" s="159">
        <f t="shared" si="26"/>
        <v>1.1833455984822876</v>
      </c>
      <c r="AQ18" s="159">
        <f t="shared" si="27"/>
        <v>1.1074552485771447</v>
      </c>
      <c r="AR18" s="159">
        <f t="shared" si="28"/>
        <v>2.436401546869718</v>
      </c>
      <c r="AS18" s="159">
        <f t="shared" si="29"/>
        <v>0.55372762428857236</v>
      </c>
      <c r="AT18" s="159">
        <f t="shared" si="30"/>
        <v>8.4351827950252751</v>
      </c>
      <c r="AU18" s="159">
        <f t="shared" si="31"/>
        <v>1.1531747493149214</v>
      </c>
      <c r="AV18" s="159">
        <f t="shared" si="32"/>
        <v>2.0913234734559385</v>
      </c>
      <c r="AW18" s="159">
        <f t="shared" si="33"/>
        <v>0.57658737465746068</v>
      </c>
      <c r="AX18" s="159">
        <f t="shared" si="34"/>
        <v>0.77521867400400124</v>
      </c>
      <c r="AY18" s="159">
        <f t="shared" si="35"/>
        <v>1.6406744423365105</v>
      </c>
      <c r="AZ18" s="159">
        <f t="shared" si="36"/>
        <v>0.38760933700200062</v>
      </c>
      <c r="BA18" s="159">
        <f t="shared" si="37"/>
        <v>8.9355749947301639</v>
      </c>
      <c r="BB18" s="159">
        <f t="shared" si="38"/>
        <v>2.2442554736667315</v>
      </c>
      <c r="BC18" s="159">
        <f t="shared" si="39"/>
        <v>4.2713368220963206</v>
      </c>
      <c r="BD18" s="159">
        <f t="shared" si="40"/>
        <v>1.1221277368333658</v>
      </c>
      <c r="BE18" s="159">
        <f t="shared" si="41"/>
        <v>1.1935906567998114</v>
      </c>
      <c r="BF18" s="159">
        <f t="shared" si="42"/>
        <v>1.4273867648327641</v>
      </c>
      <c r="BG18" s="159">
        <f t="shared" si="43"/>
        <v>7.8722415703572741</v>
      </c>
      <c r="BH18" s="159">
        <f t="shared" si="44"/>
        <v>6.1094111703151164</v>
      </c>
      <c r="BI18" s="159">
        <f t="shared" si="45"/>
        <v>2.1378085737299695</v>
      </c>
      <c r="BJ18" s="159">
        <f t="shared" si="46"/>
        <v>1.9893177613330189</v>
      </c>
      <c r="BK18" s="159">
        <f t="shared" si="47"/>
        <v>1.0828451319420969</v>
      </c>
      <c r="BL18" s="159">
        <f t="shared" si="48"/>
        <v>3.4044540729921926</v>
      </c>
      <c r="BM18" s="159">
        <f t="shared" si="49"/>
        <v>5.669947545394165</v>
      </c>
      <c r="BN18" s="159">
        <f t="shared" si="50"/>
        <v>0.46126989972596855</v>
      </c>
      <c r="BO18" s="159">
        <f t="shared" si="51"/>
        <v>0.73830349905142967</v>
      </c>
      <c r="BP18" s="159">
        <f t="shared" si="52"/>
        <v>0.27891465519720682</v>
      </c>
      <c r="BQ18" s="159">
        <f t="shared" si="53"/>
        <v>2.7253503733927</v>
      </c>
      <c r="BR18" s="159">
        <f t="shared" si="54"/>
        <v>8.3125594432229928</v>
      </c>
      <c r="BS18" s="159">
        <f t="shared" si="55"/>
        <v>1.1975276242885722</v>
      </c>
      <c r="BT18" s="159">
        <f t="shared" si="56"/>
        <v>1.1648788540589223</v>
      </c>
      <c r="BU18" s="159">
        <f t="shared" si="57"/>
        <v>1.0008114098252714</v>
      </c>
      <c r="BV18" s="159">
        <f t="shared" si="58"/>
        <v>4.0656866226022244</v>
      </c>
      <c r="BW18" s="159">
        <f t="shared" si="59"/>
        <v>7.1545170941610232</v>
      </c>
      <c r="BX18" s="159">
        <f t="shared" si="60"/>
        <v>1.0733395743623499</v>
      </c>
      <c r="BY18" s="159">
        <f t="shared" si="61"/>
        <v>1.1648788540589223</v>
      </c>
      <c r="BZ18" s="159">
        <f t="shared" si="62"/>
        <v>1.0008114098252714</v>
      </c>
      <c r="CA18" s="159">
        <f t="shared" si="63"/>
        <v>5.6383478216747331</v>
      </c>
      <c r="CB18" s="159">
        <f t="shared" si="64"/>
        <v>5.766474620283498</v>
      </c>
      <c r="CC18" s="159">
        <f t="shared" si="65"/>
        <v>1.3128450992200642</v>
      </c>
      <c r="CD18" s="159">
        <f t="shared" si="66"/>
        <v>3.6278434478604469</v>
      </c>
      <c r="CE18" s="159">
        <f t="shared" si="67"/>
        <v>3.8031445722544159</v>
      </c>
      <c r="CF18" s="159">
        <f t="shared" si="68"/>
        <v>8.2771624440661657</v>
      </c>
      <c r="CG18" s="159">
        <f t="shared" si="69"/>
        <v>3.8031445722544159</v>
      </c>
      <c r="CH18" s="159">
        <f t="shared" si="70"/>
        <v>3.9492732217168931</v>
      </c>
      <c r="CI18" s="159">
        <f t="shared" si="71"/>
        <v>9.208817167785595</v>
      </c>
      <c r="CJ18" s="159">
        <f t="shared" si="72"/>
        <v>3.9492732217168931</v>
      </c>
      <c r="CK18" s="159">
        <f t="shared" si="73"/>
        <v>2.233893748682541</v>
      </c>
    </row>
    <row r="19" spans="1:89" x14ac:dyDescent="0.25">
      <c r="A19" t="str">
        <f>PLANTILLA!D22</f>
        <v>J. Limon</v>
      </c>
      <c r="B19" s="488">
        <f>PLANTILLA!E22</f>
        <v>29</v>
      </c>
      <c r="C19" s="488">
        <f ca="1">PLANTILLA!F22</f>
        <v>97</v>
      </c>
      <c r="D19" s="488" t="str">
        <f>PLANTILLA!G22</f>
        <v>RAP</v>
      </c>
      <c r="E19" s="290">
        <v>41664</v>
      </c>
      <c r="F19" s="341">
        <f>PLANTILLA!Q22</f>
        <v>7</v>
      </c>
      <c r="G19" s="407">
        <f t="shared" si="78"/>
        <v>1</v>
      </c>
      <c r="H19" s="407">
        <f t="shared" si="75"/>
        <v>1</v>
      </c>
      <c r="I19" s="497">
        <v>1.5</v>
      </c>
      <c r="J19" s="498">
        <f>PLANTILLA!I22</f>
        <v>10</v>
      </c>
      <c r="K19" s="163">
        <f>PLANTILLA!X22</f>
        <v>0</v>
      </c>
      <c r="L19" s="163">
        <f>PLANTILLA!Y22</f>
        <v>6.8276190476190495</v>
      </c>
      <c r="M19" s="163">
        <f>PLANTILLA!Z22</f>
        <v>8.625</v>
      </c>
      <c r="N19" s="163">
        <f>PLANTILLA!AA22</f>
        <v>8.7299999999999969</v>
      </c>
      <c r="O19" s="163">
        <f>PLANTILLA!AB22</f>
        <v>9.6900000000000013</v>
      </c>
      <c r="P19" s="163">
        <f>PLANTILLA!AC22</f>
        <v>8.5625000000000018</v>
      </c>
      <c r="Q19" s="163">
        <f>PLANTILLA!AD22</f>
        <v>18.639999999999993</v>
      </c>
      <c r="R19" s="163">
        <f t="shared" si="2"/>
        <v>3.6509523809523814</v>
      </c>
      <c r="S19" s="163">
        <f t="shared" si="3"/>
        <v>23.127416666666669</v>
      </c>
      <c r="T19" s="163">
        <f t="shared" si="4"/>
        <v>0.9873249999999999</v>
      </c>
      <c r="U19" s="163">
        <f t="shared" si="5"/>
        <v>0.83230476190476177</v>
      </c>
      <c r="V19" s="163">
        <f t="shared" ca="1" si="6"/>
        <v>20.973333333333326</v>
      </c>
      <c r="W19" s="163">
        <f t="shared" ca="1" si="7"/>
        <v>20.973333333333326</v>
      </c>
      <c r="X19" s="159">
        <f t="shared" si="8"/>
        <v>4.3579228571428574</v>
      </c>
      <c r="Y19" s="159">
        <f t="shared" si="9"/>
        <v>6.5595714285714291</v>
      </c>
      <c r="Z19" s="159">
        <f t="shared" si="10"/>
        <v>4.3579228571428574</v>
      </c>
      <c r="AA19" s="159">
        <f t="shared" si="11"/>
        <v>4.9850514285714294</v>
      </c>
      <c r="AB19" s="159">
        <f t="shared" si="12"/>
        <v>9.6609523809523825</v>
      </c>
      <c r="AC19" s="159">
        <f t="shared" si="13"/>
        <v>2.4925257142857147</v>
      </c>
      <c r="AD19" s="159">
        <f t="shared" si="14"/>
        <v>2.7270833333333333</v>
      </c>
      <c r="AE19" s="159">
        <f t="shared" si="15"/>
        <v>3.6518400000000004</v>
      </c>
      <c r="AF19" s="159">
        <f t="shared" si="16"/>
        <v>6.9848685714285725</v>
      </c>
      <c r="AG19" s="159">
        <f t="shared" si="17"/>
        <v>1.8259200000000002</v>
      </c>
      <c r="AH19" s="159">
        <f t="shared" si="18"/>
        <v>4.4114583333333339</v>
      </c>
      <c r="AI19" s="159">
        <f t="shared" si="19"/>
        <v>8.8880761904761929</v>
      </c>
      <c r="AJ19" s="159">
        <f t="shared" si="20"/>
        <v>3.9996342857142864</v>
      </c>
      <c r="AK19" s="159">
        <f t="shared" si="21"/>
        <v>1.9135416666666669</v>
      </c>
      <c r="AL19" s="159">
        <f t="shared" si="22"/>
        <v>6.7992399999999984</v>
      </c>
      <c r="AM19" s="159">
        <f t="shared" si="23"/>
        <v>7.2843580952380966</v>
      </c>
      <c r="AN19" s="159">
        <f t="shared" si="24"/>
        <v>6.8399542857142865</v>
      </c>
      <c r="AO19" s="159">
        <f t="shared" si="25"/>
        <v>3.5860466666666655</v>
      </c>
      <c r="AP19" s="159">
        <f t="shared" si="26"/>
        <v>1.8674742857142854</v>
      </c>
      <c r="AQ19" s="159">
        <f t="shared" si="27"/>
        <v>2.6084571428571435</v>
      </c>
      <c r="AR19" s="159">
        <f t="shared" si="28"/>
        <v>5.7386057142857148</v>
      </c>
      <c r="AS19" s="159">
        <f t="shared" si="29"/>
        <v>1.3042285714285717</v>
      </c>
      <c r="AT19" s="159">
        <f t="shared" si="30"/>
        <v>10.816666666666666</v>
      </c>
      <c r="AU19" s="159">
        <f t="shared" si="31"/>
        <v>1.6280333333333337</v>
      </c>
      <c r="AV19" s="159">
        <f t="shared" si="32"/>
        <v>3.4742791666666673</v>
      </c>
      <c r="AW19" s="159">
        <f t="shared" si="33"/>
        <v>0.81401666666666683</v>
      </c>
      <c r="AX19" s="159">
        <f t="shared" si="34"/>
        <v>1.8259200000000002</v>
      </c>
      <c r="AY19" s="159">
        <f t="shared" si="35"/>
        <v>3.8643809523809534</v>
      </c>
      <c r="AZ19" s="159">
        <f t="shared" si="36"/>
        <v>0.9129600000000001</v>
      </c>
      <c r="BA19" s="159">
        <f t="shared" si="37"/>
        <v>11.458333333333334</v>
      </c>
      <c r="BB19" s="159">
        <f t="shared" si="38"/>
        <v>3.1684033333333339</v>
      </c>
      <c r="BC19" s="159">
        <f t="shared" si="39"/>
        <v>6.6635816666666683</v>
      </c>
      <c r="BD19" s="159">
        <f t="shared" si="40"/>
        <v>1.584201666666667</v>
      </c>
      <c r="BE19" s="159">
        <f t="shared" si="41"/>
        <v>2.811337142857143</v>
      </c>
      <c r="BF19" s="159">
        <f t="shared" si="42"/>
        <v>3.3620114285714289</v>
      </c>
      <c r="BG19" s="159">
        <f t="shared" si="43"/>
        <v>10.094791666666667</v>
      </c>
      <c r="BH19" s="159">
        <f t="shared" si="44"/>
        <v>10.582203333333332</v>
      </c>
      <c r="BI19" s="159">
        <f t="shared" si="45"/>
        <v>3.0181233333333335</v>
      </c>
      <c r="BJ19" s="159">
        <f t="shared" si="46"/>
        <v>4.6855619047619053</v>
      </c>
      <c r="BK19" s="159">
        <f t="shared" si="47"/>
        <v>2.5504914285714291</v>
      </c>
      <c r="BL19" s="159">
        <f t="shared" si="48"/>
        <v>4.3656250000000005</v>
      </c>
      <c r="BM19" s="159">
        <f t="shared" si="49"/>
        <v>10.299313333333332</v>
      </c>
      <c r="BN19" s="159">
        <f t="shared" si="50"/>
        <v>0.65121333333333342</v>
      </c>
      <c r="BO19" s="159">
        <f t="shared" si="51"/>
        <v>1.7389714285714288</v>
      </c>
      <c r="BP19" s="159">
        <f t="shared" si="52"/>
        <v>0.65694476190476203</v>
      </c>
      <c r="BQ19" s="159">
        <f t="shared" si="53"/>
        <v>3.494791666666667</v>
      </c>
      <c r="BR19" s="159">
        <f t="shared" si="54"/>
        <v>15.145006666666664</v>
      </c>
      <c r="BS19" s="159">
        <f t="shared" si="55"/>
        <v>1.6906500000000004</v>
      </c>
      <c r="BT19" s="159">
        <f t="shared" si="56"/>
        <v>2.7437104761904765</v>
      </c>
      <c r="BU19" s="159">
        <f t="shared" si="57"/>
        <v>2.3572723809523812</v>
      </c>
      <c r="BV19" s="159">
        <f t="shared" si="58"/>
        <v>5.213541666666667</v>
      </c>
      <c r="BW19" s="159">
        <f t="shared" si="59"/>
        <v>13.046413333333332</v>
      </c>
      <c r="BX19" s="159">
        <f t="shared" si="60"/>
        <v>1.5153233333333336</v>
      </c>
      <c r="BY19" s="159">
        <f t="shared" si="61"/>
        <v>2.7437104761904765</v>
      </c>
      <c r="BZ19" s="159">
        <f t="shared" si="62"/>
        <v>2.3572723809523812</v>
      </c>
      <c r="CA19" s="159">
        <f t="shared" si="63"/>
        <v>7.2302083333333336</v>
      </c>
      <c r="CB19" s="159">
        <f t="shared" si="64"/>
        <v>10.534463333333331</v>
      </c>
      <c r="CC19" s="159">
        <f t="shared" si="65"/>
        <v>1.8534533333333336</v>
      </c>
      <c r="CD19" s="159">
        <f t="shared" si="66"/>
        <v>4.6520833333333336</v>
      </c>
      <c r="CE19" s="159">
        <f t="shared" si="67"/>
        <v>6.2432241666666668</v>
      </c>
      <c r="CF19" s="159">
        <f t="shared" si="68"/>
        <v>13.443940833333336</v>
      </c>
      <c r="CG19" s="159">
        <f t="shared" si="69"/>
        <v>6.2432241666666668</v>
      </c>
      <c r="CH19" s="159">
        <f t="shared" si="70"/>
        <v>7.1667266666666665</v>
      </c>
      <c r="CI19" s="159">
        <f t="shared" si="71"/>
        <v>16.016943333333337</v>
      </c>
      <c r="CJ19" s="159">
        <f t="shared" si="72"/>
        <v>7.1667266666666665</v>
      </c>
      <c r="CK19" s="159">
        <f t="shared" si="73"/>
        <v>2.8645833333333335</v>
      </c>
    </row>
    <row r="20" spans="1:89" x14ac:dyDescent="0.25">
      <c r="A20" t="str">
        <f>PLANTILLA!D23</f>
        <v>L. Calosso</v>
      </c>
      <c r="B20" s="488">
        <f>PLANTILLA!E23</f>
        <v>30</v>
      </c>
      <c r="C20" s="488">
        <f ca="1">PLANTILLA!F23</f>
        <v>54</v>
      </c>
      <c r="D20" s="488" t="str">
        <f>PLANTILLA!G23</f>
        <v>TEC</v>
      </c>
      <c r="E20" s="290">
        <v>41890</v>
      </c>
      <c r="F20" s="341">
        <f>PLANTILLA!Q23</f>
        <v>6</v>
      </c>
      <c r="G20" s="407">
        <f t="shared" si="78"/>
        <v>0.92582009977255142</v>
      </c>
      <c r="H20" s="407">
        <f t="shared" si="75"/>
        <v>0.99928545900129484</v>
      </c>
      <c r="I20" s="497">
        <v>1.5</v>
      </c>
      <c r="J20" s="498">
        <f>PLANTILLA!I23</f>
        <v>10.199999999999999</v>
      </c>
      <c r="K20" s="163">
        <f>PLANTILLA!X23</f>
        <v>0</v>
      </c>
      <c r="L20" s="163">
        <f>PLANTILLA!Y23</f>
        <v>3</v>
      </c>
      <c r="M20" s="163">
        <f>PLANTILLA!Z23</f>
        <v>14.137609523809523</v>
      </c>
      <c r="N20" s="163">
        <f>PLANTILLA!AA23</f>
        <v>3.02</v>
      </c>
      <c r="O20" s="163">
        <f>PLANTILLA!AB23</f>
        <v>15.02</v>
      </c>
      <c r="P20" s="163">
        <f>PLANTILLA!AC23</f>
        <v>10</v>
      </c>
      <c r="Q20" s="163">
        <f>PLANTILLA!AD23</f>
        <v>9.3000000000000007</v>
      </c>
      <c r="R20" s="163">
        <f t="shared" si="2"/>
        <v>4.5049999999999999</v>
      </c>
      <c r="S20" s="163">
        <f t="shared" si="3"/>
        <v>20.402008506125121</v>
      </c>
      <c r="T20" s="163">
        <f t="shared" si="4"/>
        <v>0.77900000000000003</v>
      </c>
      <c r="U20" s="163">
        <f t="shared" si="5"/>
        <v>0.39900000000000002</v>
      </c>
      <c r="V20" s="163">
        <f t="shared" ca="1" si="6"/>
        <v>10.780990109858921</v>
      </c>
      <c r="W20" s="163">
        <f t="shared" ca="1" si="7"/>
        <v>11.636479541830528</v>
      </c>
      <c r="X20" s="159">
        <f t="shared" si="8"/>
        <v>3.3115105999308723</v>
      </c>
      <c r="Y20" s="159">
        <f t="shared" si="9"/>
        <v>4.9476370956595144</v>
      </c>
      <c r="Z20" s="159">
        <f t="shared" si="10"/>
        <v>3.3115105999308723</v>
      </c>
      <c r="AA20" s="159">
        <f t="shared" si="11"/>
        <v>3.0159169181721994</v>
      </c>
      <c r="AB20" s="159">
        <f t="shared" si="12"/>
        <v>5.84480022901589</v>
      </c>
      <c r="AC20" s="159">
        <f t="shared" si="13"/>
        <v>1.5079584590860997</v>
      </c>
      <c r="AD20" s="159">
        <f t="shared" si="14"/>
        <v>4.0418135211724477</v>
      </c>
      <c r="AE20" s="159">
        <f t="shared" si="15"/>
        <v>2.2093344865680065</v>
      </c>
      <c r="AF20" s="159">
        <f t="shared" si="16"/>
        <v>4.225790565578488</v>
      </c>
      <c r="AG20" s="159">
        <f t="shared" si="17"/>
        <v>1.1046672432840032</v>
      </c>
      <c r="AH20" s="159">
        <f t="shared" si="18"/>
        <v>6.5382277548377834</v>
      </c>
      <c r="AI20" s="159">
        <f t="shared" si="19"/>
        <v>5.3772162106946189</v>
      </c>
      <c r="AJ20" s="159">
        <f t="shared" si="20"/>
        <v>2.4197472948125784</v>
      </c>
      <c r="AK20" s="159">
        <f t="shared" si="21"/>
        <v>2.8360624287218439</v>
      </c>
      <c r="AL20" s="159">
        <f t="shared" si="22"/>
        <v>3.4485025346613427</v>
      </c>
      <c r="AM20" s="159">
        <f t="shared" si="23"/>
        <v>4.4069793726779807</v>
      </c>
      <c r="AN20" s="159">
        <f t="shared" si="24"/>
        <v>4.1381185621432497</v>
      </c>
      <c r="AO20" s="159">
        <f t="shared" si="25"/>
        <v>2.0281816382456537</v>
      </c>
      <c r="AP20" s="159">
        <f t="shared" si="26"/>
        <v>2.1167424659565763</v>
      </c>
      <c r="AQ20" s="159">
        <f t="shared" si="27"/>
        <v>1.5780960618342905</v>
      </c>
      <c r="AR20" s="159">
        <f t="shared" si="28"/>
        <v>3.4718113360354383</v>
      </c>
      <c r="AS20" s="159">
        <f t="shared" si="29"/>
        <v>0.78904803091714526</v>
      </c>
      <c r="AT20" s="159">
        <f t="shared" si="30"/>
        <v>16.031394806667187</v>
      </c>
      <c r="AU20" s="159">
        <f t="shared" si="31"/>
        <v>2.322424029772066</v>
      </c>
      <c r="AV20" s="159">
        <f t="shared" si="32"/>
        <v>4.3659264671016551</v>
      </c>
      <c r="AW20" s="159">
        <f t="shared" si="33"/>
        <v>1.161212014886033</v>
      </c>
      <c r="AX20" s="159">
        <f t="shared" si="34"/>
        <v>1.1046672432840032</v>
      </c>
      <c r="AY20" s="159">
        <f t="shared" si="35"/>
        <v>2.3379200916063563</v>
      </c>
      <c r="AZ20" s="159">
        <f t="shared" si="36"/>
        <v>0.55233362164200162</v>
      </c>
      <c r="BA20" s="159">
        <f t="shared" si="37"/>
        <v>16.982409752825411</v>
      </c>
      <c r="BB20" s="159">
        <f t="shared" si="38"/>
        <v>4.5197944579410203</v>
      </c>
      <c r="BC20" s="159">
        <f t="shared" si="39"/>
        <v>8.7893049261877572</v>
      </c>
      <c r="BD20" s="159">
        <f t="shared" si="40"/>
        <v>2.2598972289705102</v>
      </c>
      <c r="BE20" s="159">
        <f t="shared" si="41"/>
        <v>1.700836866643624</v>
      </c>
      <c r="BF20" s="159">
        <f t="shared" si="42"/>
        <v>2.0339904796975294</v>
      </c>
      <c r="BG20" s="159">
        <f t="shared" si="43"/>
        <v>14.961502992239188</v>
      </c>
      <c r="BH20" s="159">
        <f t="shared" si="44"/>
        <v>8.9938074035951256</v>
      </c>
      <c r="BI20" s="159">
        <f t="shared" si="45"/>
        <v>4.3054168551928296</v>
      </c>
      <c r="BJ20" s="159">
        <f t="shared" si="46"/>
        <v>2.8347281110727067</v>
      </c>
      <c r="BK20" s="159">
        <f t="shared" si="47"/>
        <v>1.5430272604601951</v>
      </c>
      <c r="BL20" s="159">
        <f t="shared" si="48"/>
        <v>6.4702981158264823</v>
      </c>
      <c r="BM20" s="159">
        <f t="shared" si="49"/>
        <v>7.5378354001598886</v>
      </c>
      <c r="BN20" s="159">
        <f t="shared" si="50"/>
        <v>0.92896961190882632</v>
      </c>
      <c r="BO20" s="159">
        <f t="shared" si="51"/>
        <v>1.0520640412228601</v>
      </c>
      <c r="BP20" s="159">
        <f t="shared" si="52"/>
        <v>0.39744641557308052</v>
      </c>
      <c r="BQ20" s="159">
        <f t="shared" si="53"/>
        <v>5.1796349746117505</v>
      </c>
      <c r="BR20" s="159">
        <f t="shared" si="54"/>
        <v>10.974133094514434</v>
      </c>
      <c r="BS20" s="159">
        <f t="shared" si="55"/>
        <v>2.4117480309171455</v>
      </c>
      <c r="BT20" s="159">
        <f t="shared" si="56"/>
        <v>1.6599232650405127</v>
      </c>
      <c r="BU20" s="159">
        <f t="shared" si="57"/>
        <v>1.4261312558798771</v>
      </c>
      <c r="BV20" s="159">
        <f t="shared" si="58"/>
        <v>7.7269964375355622</v>
      </c>
      <c r="BW20" s="159">
        <f t="shared" si="59"/>
        <v>9.426198653749605</v>
      </c>
      <c r="BX20" s="159">
        <f t="shared" si="60"/>
        <v>2.1616408277109227</v>
      </c>
      <c r="BY20" s="159">
        <f t="shared" si="61"/>
        <v>1.6599232650405127</v>
      </c>
      <c r="BZ20" s="159">
        <f t="shared" si="62"/>
        <v>1.4261312558798771</v>
      </c>
      <c r="CA20" s="159">
        <f t="shared" si="63"/>
        <v>10.715900554032835</v>
      </c>
      <c r="CB20" s="159">
        <f t="shared" si="64"/>
        <v>7.564996204969221</v>
      </c>
      <c r="CC20" s="159">
        <f t="shared" si="65"/>
        <v>2.6439904338943516</v>
      </c>
      <c r="CD20" s="159">
        <f t="shared" si="66"/>
        <v>6.8948583596471176</v>
      </c>
      <c r="CE20" s="159">
        <f t="shared" si="67"/>
        <v>8.2992049376385495</v>
      </c>
      <c r="CF20" s="159">
        <f t="shared" si="68"/>
        <v>17.189105057871892</v>
      </c>
      <c r="CG20" s="159">
        <f t="shared" si="69"/>
        <v>8.2992049376385495</v>
      </c>
      <c r="CH20" s="159">
        <f t="shared" si="70"/>
        <v>7.0425705426768994</v>
      </c>
      <c r="CI20" s="159">
        <f t="shared" si="71"/>
        <v>19.436911513522752</v>
      </c>
      <c r="CJ20" s="159">
        <f t="shared" si="72"/>
        <v>7.0425705426768994</v>
      </c>
      <c r="CK20" s="159">
        <f t="shared" si="73"/>
        <v>4.2456024382063529</v>
      </c>
    </row>
    <row r="21" spans="1:89" x14ac:dyDescent="0.25">
      <c r="A21" t="str">
        <f>PLANTILLA!D24</f>
        <v>P .Trivadi</v>
      </c>
      <c r="B21" s="488">
        <f>PLANTILLA!E24</f>
        <v>27</v>
      </c>
      <c r="C21" s="488">
        <f ca="1">PLANTILLA!F24</f>
        <v>16</v>
      </c>
      <c r="D21" s="488"/>
      <c r="E21" s="290">
        <v>41973</v>
      </c>
      <c r="F21" s="341">
        <f>PLANTILLA!Q24</f>
        <v>6</v>
      </c>
      <c r="G21" s="407">
        <f t="shared" si="78"/>
        <v>0.92582009977255142</v>
      </c>
      <c r="H21" s="407">
        <f t="shared" si="75"/>
        <v>0.99928545900129484</v>
      </c>
      <c r="I21" s="497">
        <v>1.5</v>
      </c>
      <c r="J21" s="498">
        <f>PLANTILLA!I24</f>
        <v>5.3</v>
      </c>
      <c r="K21" s="163">
        <f>PLANTILLA!X24</f>
        <v>0</v>
      </c>
      <c r="L21" s="163">
        <f>PLANTILLA!Y24</f>
        <v>4.01</v>
      </c>
      <c r="M21" s="163">
        <f>PLANTILLA!Z24</f>
        <v>5.5538722222222203</v>
      </c>
      <c r="N21" s="163">
        <f>PLANTILLA!AA24</f>
        <v>5.4899999999999993</v>
      </c>
      <c r="O21" s="163">
        <f>PLANTILLA!AB24</f>
        <v>10.799999999999999</v>
      </c>
      <c r="P21" s="163">
        <f>PLANTILLA!AC24</f>
        <v>8.384500000000001</v>
      </c>
      <c r="Q21" s="163">
        <f>PLANTILLA!AD24</f>
        <v>13.566666666666668</v>
      </c>
      <c r="R21" s="163">
        <f t="shared" si="2"/>
        <v>3.5762499999999999</v>
      </c>
      <c r="S21" s="163">
        <f t="shared" si="3"/>
        <v>19.229136229090329</v>
      </c>
      <c r="T21" s="163">
        <f t="shared" si="4"/>
        <v>0.82622500000000021</v>
      </c>
      <c r="U21" s="163">
        <f t="shared" si="5"/>
        <v>0.56740000000000002</v>
      </c>
      <c r="V21" s="163">
        <f t="shared" ca="1" si="6"/>
        <v>14.380178330495704</v>
      </c>
      <c r="W21" s="163">
        <f t="shared" ca="1" si="7"/>
        <v>15.521269312515644</v>
      </c>
      <c r="X21" s="159">
        <f t="shared" si="8"/>
        <v>3.2593171122153182</v>
      </c>
      <c r="Y21" s="159">
        <f t="shared" si="9"/>
        <v>4.8874701968728242</v>
      </c>
      <c r="Z21" s="159">
        <f t="shared" si="10"/>
        <v>3.2593171122153182</v>
      </c>
      <c r="AA21" s="159">
        <f t="shared" si="11"/>
        <v>3.3414617982853425</v>
      </c>
      <c r="AB21" s="159">
        <f t="shared" si="12"/>
        <v>6.4757011594677181</v>
      </c>
      <c r="AC21" s="159">
        <f t="shared" si="13"/>
        <v>1.6707308991426713</v>
      </c>
      <c r="AD21" s="159">
        <f t="shared" si="14"/>
        <v>1.9086584648422056</v>
      </c>
      <c r="AE21" s="159">
        <f t="shared" si="15"/>
        <v>2.4478150382787973</v>
      </c>
      <c r="AF21" s="159">
        <f t="shared" si="16"/>
        <v>4.6819319382951603</v>
      </c>
      <c r="AG21" s="159">
        <f t="shared" si="17"/>
        <v>1.2239075191393987</v>
      </c>
      <c r="AH21" s="159">
        <f t="shared" si="18"/>
        <v>3.0875357519506266</v>
      </c>
      <c r="AI21" s="159">
        <f t="shared" si="19"/>
        <v>5.9576450667103007</v>
      </c>
      <c r="AJ21" s="159">
        <f t="shared" si="20"/>
        <v>2.6809402800196351</v>
      </c>
      <c r="AK21" s="159">
        <f t="shared" si="21"/>
        <v>1.33926875474222</v>
      </c>
      <c r="AL21" s="159">
        <f t="shared" si="22"/>
        <v>4.6779522817670181</v>
      </c>
      <c r="AM21" s="159">
        <f t="shared" si="23"/>
        <v>4.8826786742386599</v>
      </c>
      <c r="AN21" s="159">
        <f t="shared" si="24"/>
        <v>4.5847964209031442</v>
      </c>
      <c r="AO21" s="159">
        <f t="shared" si="25"/>
        <v>2.6774054269644427</v>
      </c>
      <c r="AP21" s="159">
        <f t="shared" si="26"/>
        <v>1.7400819339267026</v>
      </c>
      <c r="AQ21" s="159">
        <f t="shared" si="27"/>
        <v>1.7484393130562841</v>
      </c>
      <c r="AR21" s="159">
        <f t="shared" si="28"/>
        <v>3.8465664887238242</v>
      </c>
      <c r="AS21" s="159">
        <f t="shared" si="29"/>
        <v>0.87421965652814204</v>
      </c>
      <c r="AT21" s="159">
        <f t="shared" si="30"/>
        <v>7.5704772723153022</v>
      </c>
      <c r="AU21" s="159">
        <f t="shared" si="31"/>
        <v>1.7245411507308033</v>
      </c>
      <c r="AV21" s="159">
        <f t="shared" si="32"/>
        <v>3.4689689397240411</v>
      </c>
      <c r="AW21" s="159">
        <f t="shared" si="33"/>
        <v>0.86227057536540164</v>
      </c>
      <c r="AX21" s="159">
        <f t="shared" si="34"/>
        <v>1.2239075191393987</v>
      </c>
      <c r="AY21" s="159">
        <f t="shared" si="35"/>
        <v>2.5902804637870873</v>
      </c>
      <c r="AZ21" s="159">
        <f t="shared" si="36"/>
        <v>0.61195375956969933</v>
      </c>
      <c r="BA21" s="159">
        <f t="shared" si="37"/>
        <v>8.0195733816899395</v>
      </c>
      <c r="BB21" s="159">
        <f t="shared" si="38"/>
        <v>3.3562223933453326</v>
      </c>
      <c r="BC21" s="159">
        <f t="shared" si="39"/>
        <v>6.8021463388667129</v>
      </c>
      <c r="BD21" s="159">
        <f t="shared" si="40"/>
        <v>1.6781111966726663</v>
      </c>
      <c r="BE21" s="159">
        <f t="shared" si="41"/>
        <v>1.8844290374051058</v>
      </c>
      <c r="BF21" s="159">
        <f t="shared" si="42"/>
        <v>2.2535440034947656</v>
      </c>
      <c r="BG21" s="159">
        <f t="shared" si="43"/>
        <v>7.0652441492688371</v>
      </c>
      <c r="BH21" s="159">
        <f t="shared" si="44"/>
        <v>8.7452683307668018</v>
      </c>
      <c r="BI21" s="159">
        <f t="shared" si="45"/>
        <v>3.19703397943172</v>
      </c>
      <c r="BJ21" s="159">
        <f t="shared" si="46"/>
        <v>3.1407150623418434</v>
      </c>
      <c r="BK21" s="159">
        <f t="shared" si="47"/>
        <v>1.7095851060994776</v>
      </c>
      <c r="BL21" s="159">
        <f t="shared" si="48"/>
        <v>3.055457458423867</v>
      </c>
      <c r="BM21" s="159">
        <f t="shared" si="49"/>
        <v>8.0205928133747868</v>
      </c>
      <c r="BN21" s="159">
        <f t="shared" si="50"/>
        <v>0.68981646029232124</v>
      </c>
      <c r="BO21" s="159">
        <f t="shared" si="51"/>
        <v>1.1656262087041893</v>
      </c>
      <c r="BP21" s="159">
        <f t="shared" si="52"/>
        <v>0.44034767884380488</v>
      </c>
      <c r="BQ21" s="159">
        <f t="shared" si="53"/>
        <v>2.4459698814154316</v>
      </c>
      <c r="BR21" s="159">
        <f t="shared" si="54"/>
        <v>11.749691691075485</v>
      </c>
      <c r="BS21" s="159">
        <f t="shared" si="55"/>
        <v>1.7908696565281419</v>
      </c>
      <c r="BT21" s="159">
        <f t="shared" si="56"/>
        <v>1.8390991292888317</v>
      </c>
      <c r="BU21" s="159">
        <f t="shared" si="57"/>
        <v>1.5800710829101232</v>
      </c>
      <c r="BV21" s="159">
        <f t="shared" si="58"/>
        <v>3.6489058886689225</v>
      </c>
      <c r="BW21" s="159">
        <f t="shared" si="59"/>
        <v>10.110556884690231</v>
      </c>
      <c r="BX21" s="159">
        <f t="shared" si="60"/>
        <v>1.6051498402955937</v>
      </c>
      <c r="BY21" s="159">
        <f t="shared" si="61"/>
        <v>1.8390991292888317</v>
      </c>
      <c r="BZ21" s="159">
        <f t="shared" si="62"/>
        <v>1.5800710829101232</v>
      </c>
      <c r="CA21" s="159">
        <f t="shared" si="63"/>
        <v>5.0603508038463518</v>
      </c>
      <c r="CB21" s="159">
        <f t="shared" si="64"/>
        <v>8.145182537723608</v>
      </c>
      <c r="CC21" s="159">
        <f t="shared" si="65"/>
        <v>1.963323771601222</v>
      </c>
      <c r="CD21" s="159">
        <f t="shared" si="66"/>
        <v>3.2559467929661157</v>
      </c>
      <c r="CE21" s="159">
        <f t="shared" si="67"/>
        <v>5.8400218040826815</v>
      </c>
      <c r="CF21" s="159">
        <f t="shared" si="68"/>
        <v>13.528943005560652</v>
      </c>
      <c r="CG21" s="159">
        <f t="shared" si="69"/>
        <v>5.8400218040826815</v>
      </c>
      <c r="CH21" s="159">
        <f t="shared" si="70"/>
        <v>6.3329918223483883</v>
      </c>
      <c r="CI21" s="159">
        <f t="shared" si="71"/>
        <v>15.745244887311307</v>
      </c>
      <c r="CJ21" s="159">
        <f t="shared" si="72"/>
        <v>6.3329918223483883</v>
      </c>
      <c r="CK21" s="159">
        <f t="shared" si="73"/>
        <v>2.0048933454224849</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8"/>
      <c r="L25">
        <f>L15*G15</f>
        <v>10.449999999999996</v>
      </c>
      <c r="M25">
        <f>L15*H15</f>
        <v>10.449999999999996</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8"/>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8"/>
      <c r="L27">
        <f>L14*G14</f>
        <v>7.2831637431371457</v>
      </c>
      <c r="M27">
        <f>L14*H14</f>
        <v>7.9716547832302842</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8"/>
    </row>
    <row r="29" spans="1:89" x14ac:dyDescent="0.25">
      <c r="D29" s="488"/>
      <c r="L29" s="47">
        <f>(M25-L27)/M25</f>
        <v>0.30304653175721064</v>
      </c>
      <c r="M29" s="47">
        <f>(L25-M27)/M27</f>
        <v>0.3108946993017469</v>
      </c>
    </row>
    <row r="30" spans="1:89" x14ac:dyDescent="0.25">
      <c r="D30" s="488"/>
    </row>
    <row r="31" spans="1:89" ht="18.75" x14ac:dyDescent="0.3">
      <c r="A31" s="439" t="s">
        <v>605</v>
      </c>
      <c r="B31" s="439" t="s">
        <v>176</v>
      </c>
      <c r="C31" s="439"/>
      <c r="D31" s="440"/>
      <c r="L31" s="47"/>
      <c r="M31" s="47"/>
    </row>
    <row r="32" spans="1:89" x14ac:dyDescent="0.25">
      <c r="A32" s="256" t="s">
        <v>610</v>
      </c>
      <c r="B32" s="441">
        <v>1</v>
      </c>
      <c r="C32" s="499">
        <v>0.624</v>
      </c>
      <c r="D32" s="500">
        <v>0.245</v>
      </c>
    </row>
    <row r="33" spans="1:4" x14ac:dyDescent="0.25">
      <c r="A33" s="256" t="s">
        <v>611</v>
      </c>
      <c r="B33" s="441">
        <v>1</v>
      </c>
      <c r="C33" s="499">
        <v>1.002</v>
      </c>
      <c r="D33" s="500">
        <v>0.34</v>
      </c>
    </row>
    <row r="34" spans="1:4" x14ac:dyDescent="0.25">
      <c r="A34" s="256" t="s">
        <v>612</v>
      </c>
      <c r="B34" s="441">
        <v>1</v>
      </c>
      <c r="C34" s="499">
        <v>0.46800000000000003</v>
      </c>
      <c r="D34" s="500">
        <v>0.125</v>
      </c>
    </row>
    <row r="35" spans="1:4" x14ac:dyDescent="0.25">
      <c r="A35" s="256" t="s">
        <v>613</v>
      </c>
      <c r="B35" s="441">
        <v>1</v>
      </c>
      <c r="C35" s="499">
        <v>0.877</v>
      </c>
      <c r="D35" s="500">
        <v>0.25</v>
      </c>
    </row>
    <row r="36" spans="1:4" x14ac:dyDescent="0.25">
      <c r="A36" s="256" t="s">
        <v>614</v>
      </c>
      <c r="B36" s="441">
        <v>1</v>
      </c>
      <c r="C36" s="499">
        <v>0.59299999999999997</v>
      </c>
      <c r="D36" s="500">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3"/>
      <c r="V1" t="s">
        <v>682</v>
      </c>
      <c r="Y1" t="s">
        <v>683</v>
      </c>
      <c r="AC1" t="s">
        <v>684</v>
      </c>
      <c r="AG1" s="4" t="s">
        <v>685</v>
      </c>
      <c r="AK1" t="s">
        <v>686</v>
      </c>
      <c r="AO1" t="s">
        <v>681</v>
      </c>
      <c r="AV1" t="s">
        <v>687</v>
      </c>
      <c r="BC1" t="s">
        <v>503</v>
      </c>
      <c r="BH1" t="s">
        <v>688</v>
      </c>
      <c r="BM1" t="s">
        <v>631</v>
      </c>
      <c r="BR1" t="s">
        <v>807</v>
      </c>
      <c r="BW1" t="s">
        <v>625</v>
      </c>
      <c r="CB1" t="s">
        <v>602</v>
      </c>
      <c r="CF1" t="s">
        <v>66</v>
      </c>
    </row>
    <row r="2" spans="1:87" x14ac:dyDescent="0.25">
      <c r="A2" s="489" t="s">
        <v>179</v>
      </c>
      <c r="B2" s="489" t="s">
        <v>854</v>
      </c>
      <c r="C2" s="489" t="s">
        <v>689</v>
      </c>
      <c r="D2" s="489" t="s">
        <v>62</v>
      </c>
      <c r="E2" s="490" t="s">
        <v>690</v>
      </c>
      <c r="F2" s="489" t="s">
        <v>691</v>
      </c>
      <c r="G2" s="492" t="s">
        <v>695</v>
      </c>
      <c r="H2" s="493" t="s">
        <v>696</v>
      </c>
      <c r="I2" s="493" t="s">
        <v>856</v>
      </c>
      <c r="J2" s="493" t="s">
        <v>1</v>
      </c>
      <c r="K2" s="493" t="s">
        <v>2</v>
      </c>
      <c r="L2" s="493" t="s">
        <v>697</v>
      </c>
      <c r="M2" s="493" t="s">
        <v>65</v>
      </c>
      <c r="N2" s="493" t="s">
        <v>578</v>
      </c>
      <c r="O2" s="493" t="s">
        <v>698</v>
      </c>
      <c r="P2" s="493" t="s">
        <v>0</v>
      </c>
      <c r="Q2" s="494" t="s">
        <v>565</v>
      </c>
      <c r="R2" s="494" t="s">
        <v>829</v>
      </c>
      <c r="S2" s="494" t="s">
        <v>699</v>
      </c>
      <c r="T2" s="494" t="s">
        <v>700</v>
      </c>
      <c r="U2" s="494" t="s">
        <v>588</v>
      </c>
      <c r="V2" s="495" t="s">
        <v>701</v>
      </c>
      <c r="W2" s="495" t="s">
        <v>702</v>
      </c>
      <c r="X2" s="495" t="s">
        <v>701</v>
      </c>
      <c r="Y2" s="496" t="s">
        <v>701</v>
      </c>
      <c r="Z2" s="496" t="s">
        <v>702</v>
      </c>
      <c r="AA2" s="496" t="s">
        <v>701</v>
      </c>
      <c r="AB2" s="496" t="s">
        <v>64</v>
      </c>
      <c r="AC2" s="496" t="s">
        <v>701</v>
      </c>
      <c r="AD2" s="496" t="s">
        <v>702</v>
      </c>
      <c r="AE2" s="496" t="s">
        <v>701</v>
      </c>
      <c r="AF2" s="496" t="s">
        <v>64</v>
      </c>
      <c r="AG2" s="495" t="s">
        <v>701</v>
      </c>
      <c r="AH2" s="495" t="s">
        <v>702</v>
      </c>
      <c r="AI2" s="495" t="s">
        <v>64</v>
      </c>
      <c r="AJ2" s="495" t="s">
        <v>703</v>
      </c>
      <c r="AK2" s="495" t="s">
        <v>701</v>
      </c>
      <c r="AL2" s="495" t="s">
        <v>702</v>
      </c>
      <c r="AM2" s="495" t="s">
        <v>64</v>
      </c>
      <c r="AN2" s="495" t="s">
        <v>703</v>
      </c>
      <c r="AO2" s="495" t="s">
        <v>701</v>
      </c>
      <c r="AP2" s="495" t="s">
        <v>702</v>
      </c>
      <c r="AQ2" s="495" t="s">
        <v>701</v>
      </c>
      <c r="AR2" s="495" t="s">
        <v>64</v>
      </c>
      <c r="AS2" s="495" t="s">
        <v>703</v>
      </c>
      <c r="AT2" s="495" t="s">
        <v>704</v>
      </c>
      <c r="AU2" s="495" t="s">
        <v>703</v>
      </c>
      <c r="AV2" s="495" t="s">
        <v>701</v>
      </c>
      <c r="AW2" s="495" t="s">
        <v>702</v>
      </c>
      <c r="AX2" s="495" t="s">
        <v>701</v>
      </c>
      <c r="AY2" s="495" t="s">
        <v>64</v>
      </c>
      <c r="AZ2" s="495" t="s">
        <v>703</v>
      </c>
      <c r="BA2" s="495" t="s">
        <v>704</v>
      </c>
      <c r="BB2" s="495" t="s">
        <v>703</v>
      </c>
      <c r="BC2" s="496" t="s">
        <v>701</v>
      </c>
      <c r="BD2" s="496" t="s">
        <v>702</v>
      </c>
      <c r="BE2" s="496" t="s">
        <v>64</v>
      </c>
      <c r="BF2" s="496" t="s">
        <v>703</v>
      </c>
      <c r="BG2" s="496" t="s">
        <v>704</v>
      </c>
      <c r="BH2" s="496" t="s">
        <v>701</v>
      </c>
      <c r="BI2" s="496" t="s">
        <v>702</v>
      </c>
      <c r="BJ2" s="496" t="s">
        <v>64</v>
      </c>
      <c r="BK2" s="496" t="s">
        <v>703</v>
      </c>
      <c r="BL2" s="496" t="s">
        <v>704</v>
      </c>
      <c r="BM2" s="495" t="s">
        <v>701</v>
      </c>
      <c r="BN2" s="495" t="s">
        <v>702</v>
      </c>
      <c r="BO2" s="495" t="s">
        <v>64</v>
      </c>
      <c r="BP2" s="495" t="s">
        <v>703</v>
      </c>
      <c r="BQ2" s="495" t="s">
        <v>704</v>
      </c>
      <c r="BR2" s="495" t="s">
        <v>701</v>
      </c>
      <c r="BS2" s="495" t="s">
        <v>702</v>
      </c>
      <c r="BT2" s="495" t="s">
        <v>64</v>
      </c>
      <c r="BU2" s="495" t="s">
        <v>703</v>
      </c>
      <c r="BV2" s="495" t="s">
        <v>704</v>
      </c>
      <c r="BW2" s="495" t="s">
        <v>701</v>
      </c>
      <c r="BX2" s="495" t="s">
        <v>702</v>
      </c>
      <c r="BY2" s="495" t="s">
        <v>64</v>
      </c>
      <c r="BZ2" s="495" t="s">
        <v>703</v>
      </c>
      <c r="CA2" s="495" t="s">
        <v>704</v>
      </c>
      <c r="CB2" s="496" t="s">
        <v>64</v>
      </c>
      <c r="CC2" s="496" t="s">
        <v>703</v>
      </c>
      <c r="CD2" s="496" t="s">
        <v>704</v>
      </c>
      <c r="CE2" s="496" t="s">
        <v>703</v>
      </c>
      <c r="CF2" s="495" t="s">
        <v>703</v>
      </c>
      <c r="CG2" s="495" t="s">
        <v>704</v>
      </c>
      <c r="CH2" s="495" t="s">
        <v>703</v>
      </c>
      <c r="CI2" s="495" t="s">
        <v>64</v>
      </c>
    </row>
    <row r="3" spans="1:87" x14ac:dyDescent="0.25">
      <c r="A3" t="str">
        <f>PLANTILLA!D5</f>
        <v>D. Gehmacher</v>
      </c>
      <c r="C3" s="633">
        <f>PLANTILLA!E5</f>
        <v>30</v>
      </c>
      <c r="D3" s="341">
        <f ca="1">PLANTILLA!F5</f>
        <v>13</v>
      </c>
      <c r="E3" s="633"/>
      <c r="F3" s="290">
        <v>42468</v>
      </c>
      <c r="G3" s="497">
        <v>1</v>
      </c>
      <c r="H3" s="498">
        <f>PLANTILLA!I5</f>
        <v>18.100000000000001</v>
      </c>
      <c r="I3" s="498"/>
      <c r="J3" s="163">
        <f>PLANTILLA!X5</f>
        <v>16.666666666666668</v>
      </c>
      <c r="K3" s="163">
        <f>PLANTILLA!Y5</f>
        <v>12.003636363636367</v>
      </c>
      <c r="L3" s="163">
        <f>PLANTILLA!Z5</f>
        <v>2.0499999999999989</v>
      </c>
      <c r="M3" s="163">
        <f>PLANTILLA!AA5</f>
        <v>2.1399999999999992</v>
      </c>
      <c r="N3" s="163">
        <f>PLANTILLA!AB5</f>
        <v>1.0400000000000003</v>
      </c>
      <c r="O3" s="163">
        <f>PLANTILLA!AC5</f>
        <v>0.14055555555555557</v>
      </c>
      <c r="P3" s="163">
        <f>PLANTILLA!AD5</f>
        <v>17.849999999999998</v>
      </c>
      <c r="Q3" s="163">
        <f>((2*(N3+1))+(K3+1))/8</f>
        <v>2.1354545454545457</v>
      </c>
      <c r="R3" s="163">
        <f>1.66*(O3+(LOG(H3)*4/3)+G3)+0.55*(P3+(LOG(H3)*4/3)+G3)-7.6</f>
        <v>8.3667817561700861</v>
      </c>
      <c r="S3" s="163">
        <f>(0.5*O3+ 0.3*P3)/10</f>
        <v>0.54252777777777772</v>
      </c>
      <c r="T3" s="163">
        <f>(0.4*K3+0.3*P3)/10</f>
        <v>1.0156454545454547</v>
      </c>
      <c r="U3" s="163">
        <f t="shared" ref="U3:U22" ca="1" si="0">IF(TODAY()-F3&gt;335,(P3+1+(LOG(H3)*4/3)),(P3+((TODAY()-F3)^0.5)/(336^0.5)+(LOG(H3)*4/3)))</f>
        <v>20.526904766492244</v>
      </c>
      <c r="V3" s="159">
        <f t="shared" ref="V3:V22" si="1">((J3+G3+(LOG(H3)*4/3))*0.597)+((K3+G3+(LOG(H3)*4/3))*0.276)</f>
        <v>15.599941497511368</v>
      </c>
      <c r="W3" s="159">
        <f t="shared" ref="W3:W22" si="2">((J3+G3+(LOG(H3)*4/3))*0.866)+((K3+G3+(LOG(H3)*4/3))*0.425)</f>
        <v>22.990762841420281</v>
      </c>
      <c r="X3" s="159">
        <f>V3</f>
        <v>15.599941497511368</v>
      </c>
      <c r="Y3" s="159">
        <f t="shared" ref="Y3:Y22" si="3">((K3+G3+(LOG(H3)*4/3))*0.516)</f>
        <v>7.5751592231463647</v>
      </c>
      <c r="Z3" s="159">
        <f t="shared" ref="Z3:Z22" si="4">(K3+G3+(LOG(H3)*4/3))*1</f>
        <v>14.680541130128614</v>
      </c>
      <c r="AA3" s="159">
        <f>Y3/2</f>
        <v>3.7875796115731823</v>
      </c>
      <c r="AB3" s="159">
        <f t="shared" ref="AB3:AB22" si="5">(L3+G3+(LOG(H3)*4/3))*0.238</f>
        <v>1.1250033344251542</v>
      </c>
      <c r="AC3" s="159">
        <f t="shared" ref="AC3:AC22" si="6">((K3+G3+(LOG(H3)*4/3))*0.378)</f>
        <v>5.549244547188616</v>
      </c>
      <c r="AD3" s="159">
        <f t="shared" ref="AD3:AD22" si="7">(K3+G3+(LOG(H3)*4/3))*0.723</f>
        <v>10.614031237082987</v>
      </c>
      <c r="AE3" s="159">
        <f>AC3/2</f>
        <v>2.774622273594308</v>
      </c>
      <c r="AF3" s="159">
        <f t="shared" ref="AF3:AF22" si="8">(L3+G3+(LOG(H3)*4/3))*0.385</f>
        <v>1.8198583350995143</v>
      </c>
      <c r="AG3" s="357">
        <f t="shared" ref="AG3:AG22" si="9">((K3+G3+(LOG(H3)*4/3))*0.92)</f>
        <v>13.506097839718326</v>
      </c>
      <c r="AH3" s="159">
        <f t="shared" ref="AH3:AH22" si="10">(K3+G3+(LOG(H3)*4/3))*0.414</f>
        <v>6.077744027873246</v>
      </c>
      <c r="AI3" s="159">
        <f t="shared" ref="AI3:AI22" si="11">((L3+G3+(LOG(H3)*4/3))*0.167)</f>
        <v>0.78939309600420493</v>
      </c>
      <c r="AJ3" s="357">
        <f t="shared" ref="AJ3:AJ22" si="12">(M3+G3+(LOG(H3)*4/3))*0.588</f>
        <v>2.8323400026974399</v>
      </c>
      <c r="AK3" s="159">
        <f t="shared" ref="AK3:AK22" si="13">((K3+G3+(LOG(H3)*4/3))*0.754)</f>
        <v>11.069128012116975</v>
      </c>
      <c r="AL3" s="159">
        <f t="shared" ref="AL3:AL22" si="14">((K3+G3+(LOG(H3)*4/3))*0.708)</f>
        <v>10.393823120131058</v>
      </c>
      <c r="AM3" s="159">
        <f t="shared" ref="AM3:AM22" si="15">((P3+G3+(LOG(H3)*4/3))*0.167)</f>
        <v>3.4279930960042049</v>
      </c>
      <c r="AN3" s="159">
        <f t="shared" ref="AN3:AN22" si="16">((Q3+G3+(LOG(H3)*4/3))*0.288)</f>
        <v>1.385959481840676</v>
      </c>
      <c r="AO3" s="159">
        <f t="shared" ref="AO3:AO22" si="17">((K3+G3+(LOG(H3)*4/3))*0.27)</f>
        <v>3.9637461051347258</v>
      </c>
      <c r="AP3" s="159">
        <f t="shared" ref="AP3:AP22" si="18">((K3+G3+(LOG(H3)*4/3))*0.594)</f>
        <v>8.7202414312963956</v>
      </c>
      <c r="AQ3" s="159">
        <f>AO3/2</f>
        <v>1.9818730525673629</v>
      </c>
      <c r="AR3" s="159">
        <f t="shared" ref="AR3:AR22" si="19">((L3+G3+(LOG(H3)*4/3))*0.944)</f>
        <v>4.4621980995686794</v>
      </c>
      <c r="AS3" s="159">
        <f t="shared" ref="AS3:AS22" si="20">((N3+G3+(LOG(H3)*4/3))*0.13)</f>
        <v>0.48319761964399199</v>
      </c>
      <c r="AT3" s="159">
        <f t="shared" ref="AT3:AT22" si="21">((O3+G3+(LOG(H3)*4/3))*0.173)+((N3+G3+(LOG(H3)*4/3))*0.12)</f>
        <v>0.93344920769333917</v>
      </c>
      <c r="AU3" s="159">
        <f>AS3/2</f>
        <v>0.241598809821996</v>
      </c>
      <c r="AV3" s="159">
        <f t="shared" ref="AV3:AV22" si="22">((K3+G3+(LOG(H3)*4/3))*0.189)</f>
        <v>2.774622273594308</v>
      </c>
      <c r="AW3" s="159">
        <f t="shared" ref="AW3:AW22" si="23">((K3+G3+(LOG(H3)*4/3))*0.4)</f>
        <v>5.8722164520514459</v>
      </c>
      <c r="AX3" s="159">
        <f>AV3/2</f>
        <v>1.387311136797154</v>
      </c>
      <c r="AY3" s="159">
        <f t="shared" ref="AY3:AY22" si="24">((L3+G3+(LOG(H3)*4/3))*1)</f>
        <v>4.726904766492245</v>
      </c>
      <c r="AZ3" s="159">
        <f t="shared" ref="AZ3:AZ22" si="25">((N3+G3+(LOG(H3)*4/3))*0.253)</f>
        <v>0.94037690592253831</v>
      </c>
      <c r="BA3" s="159">
        <f t="shared" ref="BA3:BA22" si="26">((O3+G3+(LOG(H3)*4/3))*0.21)+((N3+G3+(LOG(H3)*4/3))*0.341)</f>
        <v>1.8591311930038943</v>
      </c>
      <c r="BB3" s="159">
        <f>AZ3/2</f>
        <v>0.47018845296126915</v>
      </c>
      <c r="BC3" s="159">
        <f t="shared" ref="BC3:BC22" si="27">((K3+G3+(LOG(H3)*4/3))*0.291)</f>
        <v>4.2720374688674259</v>
      </c>
      <c r="BD3" s="159">
        <f t="shared" ref="BD3:BD22" si="28">((K3+G3+(LOG(H3)*4/3))*0.348)</f>
        <v>5.1088283132847572</v>
      </c>
      <c r="BE3" s="159">
        <f t="shared" ref="BE3:BE22" si="29">((L3+G3+(LOG(H3)*4/3))*0.881)</f>
        <v>4.1644030992796681</v>
      </c>
      <c r="BF3" s="159">
        <f t="shared" ref="BF3:BF22" si="30">((M3+G3+(LOG(H3)*4/3))*0.574)+((N3+G3+(LOG(H3)*4/3))*0.315)</f>
        <v>3.9357283374116059</v>
      </c>
      <c r="BG3" s="159">
        <f t="shared" ref="BG3:BG22" si="31">((N3+G3+(LOG(H3)*4/3))*0.241)</f>
        <v>0.89577404872463129</v>
      </c>
      <c r="BH3" s="159">
        <f t="shared" ref="BH3:BH22" si="32">((K3+G3+(LOG(H3)*4/3))*0.485)</f>
        <v>7.1200624481123773</v>
      </c>
      <c r="BI3" s="159">
        <f t="shared" ref="BI3:BI22" si="33">((K3+G3+(LOG(H3)*4/3))*0.264)</f>
        <v>3.8756628583539543</v>
      </c>
      <c r="BJ3" s="159">
        <f t="shared" ref="BJ3:BJ22" si="34">((L3+G3+(LOG(H3)*4/3))*0.381)</f>
        <v>1.8009507160335454</v>
      </c>
      <c r="BK3" s="159">
        <f t="shared" ref="BK3:BK22" si="35">((M3+G3+(LOG(H3)*4/3))*0.673)+((N3+G3+(LOG(H3)*4/3))*0.201)</f>
        <v>3.9888747659142223</v>
      </c>
      <c r="BL3" s="159">
        <f t="shared" ref="BL3:BL22" si="36">((N3+G3+(LOG(H3)*4/3))*0.052)</f>
        <v>0.19327904785759678</v>
      </c>
      <c r="BM3" s="159">
        <f t="shared" ref="BM3:BM22" si="37">((K3+G3+(LOG(H3)*4/3))*0.18)</f>
        <v>2.6424974034231505</v>
      </c>
      <c r="BN3" s="159">
        <f t="shared" ref="BN3:BN22" si="38">(K3+G3+(LOG(H3)*4/3))*0.068</f>
        <v>0.99827679684874582</v>
      </c>
      <c r="BO3" s="159">
        <f t="shared" ref="BO3:BO22" si="39">((L3+G3+(LOG(H3)*4/3))*0.305)</f>
        <v>1.4417059537801347</v>
      </c>
      <c r="BP3" s="159">
        <f t="shared" ref="BP3:BP22" si="40">((M3+G3+(LOG(H3)*4/3))*1)+((N3+G3+(LOG(H3)*4/3))*0.286)</f>
        <v>5.8799395297090271</v>
      </c>
      <c r="BQ3" s="159">
        <f t="shared" ref="BQ3:BQ22" si="41">((N3+G3+(LOG(H3)*4/3))*0.135)</f>
        <v>0.50178214347645322</v>
      </c>
      <c r="BR3" s="159">
        <f t="shared" ref="BR3:BR22" si="42">((K3+G3+(LOG(H3)*4/3))*0.284)</f>
        <v>4.1692736809565263</v>
      </c>
      <c r="BS3" s="159">
        <f t="shared" ref="BS3:BS22" si="43">(K3+G3+(LOG(H3)*4/3))*0.244</f>
        <v>3.5820520357513814</v>
      </c>
      <c r="BT3" s="159">
        <f t="shared" ref="BT3:BT22" si="44">((L3+G3+(LOG(H3)*4/3))*0.455)</f>
        <v>2.1507416687539718</v>
      </c>
      <c r="BU3" s="159">
        <f t="shared" ref="BU3:BU22" si="45">((M3+G3+(LOG(H3)*4/3))*0.864)+((N3+G3+(LOG(H3)*4/3))*0.244)</f>
        <v>5.0687304812734073</v>
      </c>
      <c r="BV3" s="159">
        <f t="shared" ref="BV3:BV22" si="46">((N3+G3+(LOG(H3)*4/3))*0.121)</f>
        <v>0.44974547674556176</v>
      </c>
      <c r="BW3" s="159">
        <f t="shared" ref="BW3:BW22" si="47">((K3+G3+(LOG(H3)*4/3))*0.284)</f>
        <v>4.1692736809565263</v>
      </c>
      <c r="BX3" s="159">
        <f t="shared" ref="BX3:BX22" si="48">((K3+G3+(LOG(H3)*4/3))*0.244)</f>
        <v>3.5820520357513814</v>
      </c>
      <c r="BY3" s="159">
        <f t="shared" ref="BY3:BY22" si="49">((L3+G3+(LOG(H3)*4/3))*0.631)</f>
        <v>2.9826769076566064</v>
      </c>
      <c r="BZ3" s="159">
        <f t="shared" ref="BZ3:BZ22" si="50">((M3+G3+(LOG(H3)*4/3))*0.702)+((N3+G3+(LOG(H3)*4/3))*0.193)</f>
        <v>4.0988297660105593</v>
      </c>
      <c r="CA3" s="159">
        <f t="shared" ref="CA3:CA22" si="51">((N3+G3+(LOG(H3)*4/3))*0.148)</f>
        <v>0.55010190544085236</v>
      </c>
      <c r="CB3" s="159">
        <f t="shared" ref="CB3:CB22" si="52">((L3+G3+(LOG(H3)*4/3))*0.406)</f>
        <v>1.9191233351958517</v>
      </c>
      <c r="CC3" s="159">
        <f t="shared" ref="CC3:CC22" si="53">IF(E3="TEC",((M3+G3+(LOG(H3)*4/3))*0.15)+((N3+G3+(LOG(H3)*4/3))*0.324)+((O3+G3+(LOG(H3)*4/3))*0.127),(((M3+G3+(LOG(H3)*4/3))*0.144)+((N3+G3+(LOG(H3)*4/3))*0.25)+((O3+G3+(LOG(H3)*4/3))*0.127)))</f>
        <v>1.9806779388980156</v>
      </c>
      <c r="CD3" s="159">
        <f t="shared" ref="CD3:CD22" si="54">((N3+G3+(LOG(H3)*4/3))*0.543)+((O3+G3+(LOG(H3)*4/3))*0.583)</f>
        <v>3.6608586559591574</v>
      </c>
      <c r="CE3" s="159">
        <f>CC3</f>
        <v>1.9806779388980156</v>
      </c>
      <c r="CF3" s="159">
        <f t="shared" ref="CF3:CF22" si="55">((O3+1+(LOG(H3)*4/3))*0.26)+((M3+G3+(LOG(H3)*4/3))*0.221)+((N3+G3+(LOG(H3)*4/3))*0.142)</f>
        <v>2.3248761139691134</v>
      </c>
      <c r="CG3" s="159">
        <f t="shared" ref="CG3:CG22" si="56">((O3+G3+(LOG(H3)*4/3))*1)+((N3+G3+(LOG(H3)*4/3))*0.369)</f>
        <v>4.1889981808834404</v>
      </c>
      <c r="CH3" s="159">
        <f>CF3</f>
        <v>2.3248761139691134</v>
      </c>
      <c r="CI3" s="159">
        <f>((L3+G3+(LOG(H3)*4/3))*0.25)</f>
        <v>1.1817261916230613</v>
      </c>
    </row>
    <row r="4" spans="1:87" x14ac:dyDescent="0.25">
      <c r="A4" t="str">
        <f>PLANTILLA!D6</f>
        <v>T. Hammond</v>
      </c>
      <c r="B4" t="s">
        <v>855</v>
      </c>
      <c r="C4" s="633">
        <f>PLANTILLA!E6</f>
        <v>34</v>
      </c>
      <c r="D4" s="633">
        <f ca="1">PLANTILLA!F6</f>
        <v>22</v>
      </c>
      <c r="E4" s="633" t="str">
        <f>PLANTILLA!G6</f>
        <v>CAB</v>
      </c>
      <c r="F4" s="290">
        <v>41400</v>
      </c>
      <c r="G4" s="497">
        <v>1.5</v>
      </c>
      <c r="H4" s="498">
        <f>PLANTILLA!I6</f>
        <v>7.8</v>
      </c>
      <c r="I4" s="498"/>
      <c r="J4" s="163">
        <f>PLANTILLA!X6</f>
        <v>10.3</v>
      </c>
      <c r="K4" s="163">
        <f>PLANTILLA!Y6</f>
        <v>10.804999999999998</v>
      </c>
      <c r="L4" s="163">
        <f>PLANTILLA!Z6</f>
        <v>4.6400000000000006</v>
      </c>
      <c r="M4" s="163">
        <f>PLANTILLA!AA6</f>
        <v>4.95</v>
      </c>
      <c r="N4" s="163">
        <f>PLANTILLA!AB6</f>
        <v>6.5444444444444434</v>
      </c>
      <c r="O4" s="163">
        <f>PLANTILLA!AC6</f>
        <v>3.99</v>
      </c>
      <c r="P4" s="163">
        <f>PLANTILLA!AD6</f>
        <v>15.778888888888888</v>
      </c>
      <c r="Q4" s="163">
        <f t="shared" ref="Q4:Q22" si="57">((2*(N4+1))+(K4+1))/8</f>
        <v>3.3617361111111106</v>
      </c>
      <c r="R4" s="163">
        <f t="shared" ref="R4:R22" si="58">1.66*(O4+(LOG(H4)*4/3)+G4)+0.55*(P4+(LOG(H4)*4/3)+G4)-7.6</f>
        <v>13.645494318150172</v>
      </c>
      <c r="S4" s="163">
        <f t="shared" ref="S4:S22" si="59">(0.5*O4+ 0.3*P4)/10</f>
        <v>0.67286666666666661</v>
      </c>
      <c r="T4" s="163">
        <f t="shared" ref="T4:T22" si="60">(0.4*K4+0.3*P4)/10</f>
        <v>0.90556666666666652</v>
      </c>
      <c r="U4" s="163">
        <f t="shared" ca="1" si="0"/>
        <v>17.968348359142858</v>
      </c>
      <c r="V4" s="159">
        <f t="shared" si="1"/>
        <v>11.479178117531719</v>
      </c>
      <c r="W4" s="159">
        <f t="shared" si="2"/>
        <v>16.984017176097879</v>
      </c>
      <c r="X4" s="159">
        <f t="shared" ref="X4:X22" si="61">V4</f>
        <v>11.479178117531719</v>
      </c>
      <c r="Y4" s="159">
        <f t="shared" si="3"/>
        <v>6.9631410866510492</v>
      </c>
      <c r="Z4" s="159">
        <f t="shared" si="4"/>
        <v>13.494459470253972</v>
      </c>
      <c r="AA4" s="159">
        <f t="shared" ref="AA4:AA22" si="62">Y4/2</f>
        <v>3.4815705433255246</v>
      </c>
      <c r="AB4" s="159">
        <f t="shared" si="5"/>
        <v>1.7444113539204458</v>
      </c>
      <c r="AC4" s="159">
        <f t="shared" si="6"/>
        <v>5.1009056797560017</v>
      </c>
      <c r="AD4" s="159">
        <f t="shared" si="7"/>
        <v>9.7564941969936214</v>
      </c>
      <c r="AE4" s="159">
        <f t="shared" ref="AE4:AE22" si="63">AC4/2</f>
        <v>2.5504528398780009</v>
      </c>
      <c r="AF4" s="159">
        <f t="shared" si="8"/>
        <v>2.82184189604778</v>
      </c>
      <c r="AG4" s="357">
        <f t="shared" si="9"/>
        <v>12.414902712633655</v>
      </c>
      <c r="AH4" s="159">
        <f t="shared" si="10"/>
        <v>5.5867062206851443</v>
      </c>
      <c r="AI4" s="159">
        <f t="shared" si="11"/>
        <v>1.2240197315324137</v>
      </c>
      <c r="AJ4" s="357">
        <f t="shared" si="12"/>
        <v>4.4920021685093365</v>
      </c>
      <c r="AK4" s="159">
        <f t="shared" si="13"/>
        <v>10.174822440571495</v>
      </c>
      <c r="AL4" s="159">
        <f t="shared" si="14"/>
        <v>9.5540773049398116</v>
      </c>
      <c r="AM4" s="159">
        <f t="shared" si="15"/>
        <v>3.0842141759768573</v>
      </c>
      <c r="AN4" s="159">
        <f t="shared" si="16"/>
        <v>1.742744327433144</v>
      </c>
      <c r="AO4" s="159">
        <f t="shared" si="17"/>
        <v>3.6435040569685726</v>
      </c>
      <c r="AP4" s="159">
        <f t="shared" si="18"/>
        <v>8.0157089253308591</v>
      </c>
      <c r="AQ4" s="159">
        <f t="shared" ref="AQ4:AQ22" si="64">AO4/2</f>
        <v>1.8217520284842863</v>
      </c>
      <c r="AR4" s="159">
        <f t="shared" si="19"/>
        <v>6.9190097399197512</v>
      </c>
      <c r="AS4" s="159">
        <f t="shared" si="20"/>
        <v>1.2004075089107944</v>
      </c>
      <c r="AT4" s="159">
        <f t="shared" si="21"/>
        <v>2.2636149581177474</v>
      </c>
      <c r="AU4" s="159">
        <f t="shared" ref="AU4:AU22" si="65">AS4/2</f>
        <v>0.6002037544553972</v>
      </c>
      <c r="AV4" s="159">
        <f t="shared" si="22"/>
        <v>2.5504528398780009</v>
      </c>
      <c r="AW4" s="159">
        <f t="shared" si="23"/>
        <v>5.3977837881015889</v>
      </c>
      <c r="AX4" s="159">
        <f t="shared" ref="AX4:AX22" si="66">AV4/2</f>
        <v>1.2752264199390004</v>
      </c>
      <c r="AY4" s="159">
        <f t="shared" si="24"/>
        <v>7.3294594702539744</v>
      </c>
      <c r="AZ4" s="159">
        <f t="shared" si="25"/>
        <v>2.3361776904186997</v>
      </c>
      <c r="BA4" s="159">
        <f t="shared" si="26"/>
        <v>4.5514477236654951</v>
      </c>
      <c r="BB4" s="159">
        <f t="shared" ref="BB4:BB22" si="67">AZ4/2</f>
        <v>1.1680888452093499</v>
      </c>
      <c r="BC4" s="159">
        <f t="shared" si="27"/>
        <v>3.9268877058439053</v>
      </c>
      <c r="BD4" s="159">
        <f t="shared" si="28"/>
        <v>4.696071895648382</v>
      </c>
      <c r="BE4" s="159">
        <f t="shared" si="29"/>
        <v>6.4572537932937513</v>
      </c>
      <c r="BF4" s="159">
        <f t="shared" si="30"/>
        <v>7.2937294690557817</v>
      </c>
      <c r="BG4" s="159">
        <f t="shared" si="31"/>
        <v>2.2253708434423185</v>
      </c>
      <c r="BH4" s="159">
        <f t="shared" si="32"/>
        <v>6.544812843073176</v>
      </c>
      <c r="BI4" s="159">
        <f t="shared" si="33"/>
        <v>3.5625373001470488</v>
      </c>
      <c r="BJ4" s="159">
        <f t="shared" si="34"/>
        <v>2.7925240581667641</v>
      </c>
      <c r="BK4" s="159">
        <f t="shared" si="35"/>
        <v>6.9973709103353068</v>
      </c>
      <c r="BL4" s="159">
        <f t="shared" si="36"/>
        <v>0.48016300356431774</v>
      </c>
      <c r="BM4" s="159">
        <f t="shared" si="37"/>
        <v>2.4290027046457148</v>
      </c>
      <c r="BN4" s="159">
        <f t="shared" si="38"/>
        <v>0.91762324397727013</v>
      </c>
      <c r="BO4" s="159">
        <f t="shared" si="39"/>
        <v>2.2354851384274621</v>
      </c>
      <c r="BP4" s="159">
        <f t="shared" si="40"/>
        <v>10.280355989857721</v>
      </c>
      <c r="BQ4" s="159">
        <f t="shared" si="41"/>
        <v>1.2465770284842865</v>
      </c>
      <c r="BR4" s="159">
        <f t="shared" si="42"/>
        <v>3.8324264895521276</v>
      </c>
      <c r="BS4" s="159">
        <f t="shared" si="43"/>
        <v>3.2926481107419692</v>
      </c>
      <c r="BT4" s="159">
        <f t="shared" si="44"/>
        <v>3.3349040589655585</v>
      </c>
      <c r="BU4" s="159">
        <f t="shared" si="45"/>
        <v>8.8535655374858475</v>
      </c>
      <c r="BV4" s="159">
        <f t="shared" si="46"/>
        <v>1.1173023736785086</v>
      </c>
      <c r="BW4" s="159">
        <f t="shared" si="47"/>
        <v>3.8324264895521276</v>
      </c>
      <c r="BX4" s="159">
        <f t="shared" si="48"/>
        <v>3.2926481107419692</v>
      </c>
      <c r="BY4" s="159">
        <f t="shared" si="49"/>
        <v>4.6248889257302581</v>
      </c>
      <c r="BZ4" s="159">
        <f t="shared" si="50"/>
        <v>7.1450440036550837</v>
      </c>
      <c r="CA4" s="159">
        <f t="shared" si="51"/>
        <v>1.3666177793753658</v>
      </c>
      <c r="CB4" s="159">
        <f t="shared" si="52"/>
        <v>2.9757605449231139</v>
      </c>
      <c r="CC4" s="159">
        <f t="shared" si="53"/>
        <v>4.256849495113431</v>
      </c>
      <c r="CD4" s="159">
        <f t="shared" si="54"/>
        <v>8.9081346968393085</v>
      </c>
      <c r="CE4" s="159">
        <f t="shared" ref="CE4:CE22" si="68">CC4</f>
        <v>4.256849495113431</v>
      </c>
      <c r="CF4" s="159">
        <f t="shared" si="55"/>
        <v>4.6061943610793366</v>
      </c>
      <c r="CG4" s="159">
        <f t="shared" si="56"/>
        <v>10.08677001477769</v>
      </c>
      <c r="CH4" s="159">
        <f t="shared" ref="CH4:CH22" si="69">CF4</f>
        <v>4.6061943610793366</v>
      </c>
      <c r="CI4" s="159">
        <f t="shared" ref="CI4:CI22" si="70">((L4+G4+(LOG(H4)*4/3))*0.25)</f>
        <v>1.8323648675634936</v>
      </c>
    </row>
    <row r="5" spans="1:87" x14ac:dyDescent="0.25">
      <c r="A5" t="str">
        <f>PLANTILLA!D8</f>
        <v>D. Toh</v>
      </c>
      <c r="B5" t="s">
        <v>855</v>
      </c>
      <c r="C5" s="633">
        <f>PLANTILLA!E8</f>
        <v>31</v>
      </c>
      <c r="D5" s="633">
        <f ca="1">PLANTILLA!F8</f>
        <v>70</v>
      </c>
      <c r="E5" s="633" t="str">
        <f>PLANTILLA!G8</f>
        <v>CAB</v>
      </c>
      <c r="F5" s="290">
        <v>41519</v>
      </c>
      <c r="G5" s="497">
        <v>1.5</v>
      </c>
      <c r="H5" s="498">
        <f>PLANTILLA!I8</f>
        <v>7.5</v>
      </c>
      <c r="I5" s="341"/>
      <c r="J5" s="163">
        <f>PLANTILLA!X8</f>
        <v>0</v>
      </c>
      <c r="K5" s="163">
        <f>PLANTILLA!Y8</f>
        <v>11.010666666666667</v>
      </c>
      <c r="L5" s="163">
        <f>PLANTILLA!Z8</f>
        <v>6.199444444444441</v>
      </c>
      <c r="M5" s="163">
        <f>PLANTILLA!AA8</f>
        <v>6.04</v>
      </c>
      <c r="N5" s="163">
        <f>PLANTILLA!AB8</f>
        <v>7.7227777777777789</v>
      </c>
      <c r="O5" s="163">
        <f>PLANTILLA!AC8</f>
        <v>4.383333333333332</v>
      </c>
      <c r="P5" s="163">
        <f>PLANTILLA!AD8</f>
        <v>15.349999999999998</v>
      </c>
      <c r="Q5" s="163">
        <f t="shared" si="57"/>
        <v>3.6820277777777779</v>
      </c>
      <c r="R5" s="163">
        <f t="shared" si="58"/>
        <v>14.01234718946087</v>
      </c>
      <c r="S5" s="163">
        <f t="shared" si="59"/>
        <v>0.67966666666666653</v>
      </c>
      <c r="T5" s="163">
        <f t="shared" si="60"/>
        <v>0.90092666666666665</v>
      </c>
      <c r="U5" s="163">
        <f t="shared" ca="1" si="0"/>
        <v>17.51674835118893</v>
      </c>
      <c r="V5" s="159">
        <f t="shared" si="1"/>
        <v>5.3670153105879397</v>
      </c>
      <c r="W5" s="159">
        <f t="shared" si="2"/>
        <v>8.1223054547182461</v>
      </c>
      <c r="X5" s="159">
        <f t="shared" si="61"/>
        <v>5.3670153105879397</v>
      </c>
      <c r="Y5" s="159">
        <f t="shared" si="3"/>
        <v>7.0575461492134908</v>
      </c>
      <c r="Z5" s="159">
        <f t="shared" si="4"/>
        <v>13.677415017855601</v>
      </c>
      <c r="AA5" s="159">
        <f t="shared" si="62"/>
        <v>3.5287730746067454</v>
      </c>
      <c r="AB5" s="159">
        <f t="shared" si="5"/>
        <v>2.1101538853607429</v>
      </c>
      <c r="AC5" s="159">
        <f t="shared" si="6"/>
        <v>5.1700628767494177</v>
      </c>
      <c r="AD5" s="159">
        <f t="shared" si="7"/>
        <v>9.8887710579095991</v>
      </c>
      <c r="AE5" s="159">
        <f t="shared" si="63"/>
        <v>2.5850314383747088</v>
      </c>
      <c r="AF5" s="159">
        <f t="shared" si="8"/>
        <v>3.413484226318849</v>
      </c>
      <c r="AG5" s="357">
        <f t="shared" si="9"/>
        <v>12.583221816427153</v>
      </c>
      <c r="AH5" s="159">
        <f t="shared" si="10"/>
        <v>5.6624498173922184</v>
      </c>
      <c r="AI5" s="159">
        <f t="shared" si="11"/>
        <v>1.4806541968707736</v>
      </c>
      <c r="AJ5" s="357">
        <f t="shared" si="12"/>
        <v>5.1195680304990923</v>
      </c>
      <c r="AK5" s="159">
        <f t="shared" si="13"/>
        <v>10.312770923463123</v>
      </c>
      <c r="AL5" s="159">
        <f t="shared" si="14"/>
        <v>9.6836098326417659</v>
      </c>
      <c r="AM5" s="159">
        <f t="shared" si="15"/>
        <v>3.0087969746485514</v>
      </c>
      <c r="AN5" s="159">
        <f t="shared" si="16"/>
        <v>1.8284475251424126</v>
      </c>
      <c r="AO5" s="159">
        <f t="shared" si="17"/>
        <v>3.6929020548210127</v>
      </c>
      <c r="AP5" s="159">
        <f t="shared" si="18"/>
        <v>8.1243845206062275</v>
      </c>
      <c r="AQ5" s="159">
        <f t="shared" si="64"/>
        <v>1.8464510274105064</v>
      </c>
      <c r="AR5" s="159">
        <f t="shared" si="19"/>
        <v>8.3696859990779053</v>
      </c>
      <c r="AS5" s="159">
        <f t="shared" si="20"/>
        <v>1.3506383967656728</v>
      </c>
      <c r="AT5" s="159">
        <f t="shared" si="21"/>
        <v>2.466407266898357</v>
      </c>
      <c r="AU5" s="159">
        <f t="shared" si="65"/>
        <v>0.67531919838283638</v>
      </c>
      <c r="AV5" s="159">
        <f t="shared" si="22"/>
        <v>2.5850314383747088</v>
      </c>
      <c r="AW5" s="159">
        <f t="shared" si="23"/>
        <v>5.4709660071422412</v>
      </c>
      <c r="AX5" s="159">
        <f t="shared" si="66"/>
        <v>1.2925157191873544</v>
      </c>
      <c r="AY5" s="159">
        <f t="shared" si="24"/>
        <v>8.8661927956333741</v>
      </c>
      <c r="AZ5" s="159">
        <f t="shared" si="25"/>
        <v>2.6285501106285785</v>
      </c>
      <c r="BA5" s="159">
        <f t="shared" si="26"/>
        <v>5.0233455637273252</v>
      </c>
      <c r="BB5" s="159">
        <f t="shared" si="67"/>
        <v>1.3142750553142892</v>
      </c>
      <c r="BC5" s="159">
        <f t="shared" si="27"/>
        <v>3.9801277701959799</v>
      </c>
      <c r="BD5" s="159">
        <f t="shared" si="28"/>
        <v>4.7597404262137486</v>
      </c>
      <c r="BE5" s="159">
        <f t="shared" si="29"/>
        <v>7.8111158529530025</v>
      </c>
      <c r="BF5" s="159">
        <f t="shared" si="30"/>
        <v>8.2703742842069623</v>
      </c>
      <c r="BG5" s="159">
        <f t="shared" si="31"/>
        <v>2.5038757970809775</v>
      </c>
      <c r="BH5" s="159">
        <f t="shared" si="32"/>
        <v>6.6335462836599666</v>
      </c>
      <c r="BI5" s="159">
        <f t="shared" si="33"/>
        <v>3.6108375647138788</v>
      </c>
      <c r="BJ5" s="159">
        <f t="shared" si="34"/>
        <v>3.3780194551363154</v>
      </c>
      <c r="BK5" s="159">
        <f t="shared" si="35"/>
        <v>7.947936392272462</v>
      </c>
      <c r="BL5" s="159">
        <f t="shared" si="36"/>
        <v>0.54025535870626906</v>
      </c>
      <c r="BM5" s="159">
        <f t="shared" si="37"/>
        <v>2.4619347032140082</v>
      </c>
      <c r="BN5" s="159">
        <f t="shared" si="38"/>
        <v>0.93006422121418098</v>
      </c>
      <c r="BO5" s="159">
        <f t="shared" si="39"/>
        <v>2.7041888026681788</v>
      </c>
      <c r="BP5" s="159">
        <f t="shared" si="40"/>
        <v>11.678152824073413</v>
      </c>
      <c r="BQ5" s="159">
        <f t="shared" si="41"/>
        <v>1.4025860274105064</v>
      </c>
      <c r="BR5" s="159">
        <f t="shared" si="42"/>
        <v>3.8843858650709904</v>
      </c>
      <c r="BS5" s="159">
        <f t="shared" si="43"/>
        <v>3.3372892643567669</v>
      </c>
      <c r="BT5" s="159">
        <f t="shared" si="44"/>
        <v>4.0341177220131854</v>
      </c>
      <c r="BU5" s="159">
        <f t="shared" si="45"/>
        <v>10.057674950895116</v>
      </c>
      <c r="BV5" s="159">
        <f t="shared" si="46"/>
        <v>1.2571326616049723</v>
      </c>
      <c r="BW5" s="159">
        <f t="shared" si="47"/>
        <v>3.8843858650709904</v>
      </c>
      <c r="BX5" s="159">
        <f t="shared" si="48"/>
        <v>3.3372892643567669</v>
      </c>
      <c r="BY5" s="159">
        <f t="shared" si="49"/>
        <v>5.5945676540446589</v>
      </c>
      <c r="BZ5" s="159">
        <f t="shared" si="50"/>
        <v>8.1173158854252065</v>
      </c>
      <c r="CA5" s="159">
        <f t="shared" si="51"/>
        <v>1.5376498670870735</v>
      </c>
      <c r="CB5" s="159">
        <f t="shared" si="52"/>
        <v>3.5996742750271502</v>
      </c>
      <c r="CC5" s="159">
        <f t="shared" si="53"/>
        <v>4.7465136687472125</v>
      </c>
      <c r="CD5" s="159">
        <f t="shared" si="54"/>
        <v>9.7517103101054055</v>
      </c>
      <c r="CE5" s="159">
        <f t="shared" si="68"/>
        <v>4.7465136687472125</v>
      </c>
      <c r="CF5" s="159">
        <f t="shared" si="55"/>
        <v>5.1025253339018164</v>
      </c>
      <c r="CG5" s="159">
        <f t="shared" si="56"/>
        <v>10.883816826110982</v>
      </c>
      <c r="CH5" s="159">
        <f t="shared" si="69"/>
        <v>5.1025253339018164</v>
      </c>
      <c r="CI5" s="159">
        <f t="shared" si="70"/>
        <v>2.2165481989083435</v>
      </c>
    </row>
    <row r="6" spans="1:87" x14ac:dyDescent="0.25">
      <c r="A6" t="str">
        <f>PLANTILLA!D9</f>
        <v>E. Toney</v>
      </c>
      <c r="B6" t="s">
        <v>855</v>
      </c>
      <c r="C6" s="633">
        <f>PLANTILLA!E9</f>
        <v>31</v>
      </c>
      <c r="D6" s="633">
        <f ca="1">PLANTILLA!F9</f>
        <v>24</v>
      </c>
      <c r="E6" s="633"/>
      <c r="F6" s="290">
        <v>41539</v>
      </c>
      <c r="G6" s="497">
        <v>1.5</v>
      </c>
      <c r="H6" s="498">
        <f>PLANTILLA!I9</f>
        <v>12.2</v>
      </c>
      <c r="I6" s="341"/>
      <c r="J6" s="163">
        <f>PLANTILLA!X9</f>
        <v>0</v>
      </c>
      <c r="K6" s="163">
        <f>PLANTILLA!Y9</f>
        <v>12.130000000000004</v>
      </c>
      <c r="L6" s="163">
        <f>PLANTILLA!Z9</f>
        <v>13.156555555555553</v>
      </c>
      <c r="M6" s="163">
        <f>PLANTILLA!AA9</f>
        <v>9.8200000000000056</v>
      </c>
      <c r="N6" s="163">
        <f>PLANTILLA!AB9</f>
        <v>9.6</v>
      </c>
      <c r="O6" s="163">
        <f>PLANTILLA!AC9</f>
        <v>3.6816666666666658</v>
      </c>
      <c r="P6" s="163">
        <f>PLANTILLA!AD9</f>
        <v>16.627777777777773</v>
      </c>
      <c r="Q6" s="163">
        <f t="shared" si="57"/>
        <v>4.2912500000000007</v>
      </c>
      <c r="R6" s="163">
        <f t="shared" si="58"/>
        <v>14.172984745499365</v>
      </c>
      <c r="S6" s="163">
        <f t="shared" si="59"/>
        <v>0.68291666666666639</v>
      </c>
      <c r="T6" s="163">
        <f t="shared" si="60"/>
        <v>0.98403333333333332</v>
      </c>
      <c r="U6" s="163">
        <f t="shared" ca="1" si="0"/>
        <v>19.07625755201077</v>
      </c>
      <c r="V6" s="159">
        <f t="shared" si="1"/>
        <v>5.9219028429054088</v>
      </c>
      <c r="W6" s="159">
        <f t="shared" si="2"/>
        <v>8.961737388534802</v>
      </c>
      <c r="X6" s="159">
        <f t="shared" si="61"/>
        <v>5.9219028429054088</v>
      </c>
      <c r="Y6" s="159">
        <f t="shared" si="3"/>
        <v>7.7804955635042292</v>
      </c>
      <c r="Z6" s="159">
        <f t="shared" si="4"/>
        <v>15.078479774233003</v>
      </c>
      <c r="AA6" s="159">
        <f t="shared" si="62"/>
        <v>3.8902477817521146</v>
      </c>
      <c r="AB6" s="159">
        <f t="shared" si="5"/>
        <v>3.8329984084896744</v>
      </c>
      <c r="AC6" s="159">
        <f t="shared" si="6"/>
        <v>5.6996653546600751</v>
      </c>
      <c r="AD6" s="159">
        <f t="shared" si="7"/>
        <v>10.901740876770461</v>
      </c>
      <c r="AE6" s="159">
        <f t="shared" si="63"/>
        <v>2.8498326773300375</v>
      </c>
      <c r="AF6" s="159">
        <f t="shared" si="8"/>
        <v>6.2004386019685915</v>
      </c>
      <c r="AG6" s="357">
        <f t="shared" si="9"/>
        <v>13.872201392294363</v>
      </c>
      <c r="AH6" s="159">
        <f t="shared" si="10"/>
        <v>6.2424906265324624</v>
      </c>
      <c r="AI6" s="159">
        <f t="shared" si="11"/>
        <v>2.6895409000746877</v>
      </c>
      <c r="AJ6" s="357">
        <f t="shared" si="12"/>
        <v>7.507866107249006</v>
      </c>
      <c r="AK6" s="159">
        <f t="shared" si="13"/>
        <v>11.369173749771685</v>
      </c>
      <c r="AL6" s="159">
        <f t="shared" si="14"/>
        <v>10.675563680156966</v>
      </c>
      <c r="AM6" s="159">
        <f t="shared" si="15"/>
        <v>3.2692350111857986</v>
      </c>
      <c r="AN6" s="159">
        <f t="shared" si="16"/>
        <v>2.0850421749791033</v>
      </c>
      <c r="AO6" s="159">
        <f t="shared" si="17"/>
        <v>4.0711895390429111</v>
      </c>
      <c r="AP6" s="159">
        <f t="shared" si="18"/>
        <v>8.9566169858944029</v>
      </c>
      <c r="AQ6" s="159">
        <f t="shared" si="64"/>
        <v>2.0355947695214556</v>
      </c>
      <c r="AR6" s="159">
        <f t="shared" si="19"/>
        <v>15.20315335132039</v>
      </c>
      <c r="AS6" s="159">
        <f t="shared" si="20"/>
        <v>1.6313023706502898</v>
      </c>
      <c r="AT6" s="159">
        <f t="shared" si="21"/>
        <v>2.6528329071836012</v>
      </c>
      <c r="AU6" s="159">
        <f t="shared" si="65"/>
        <v>0.81565118532514491</v>
      </c>
      <c r="AV6" s="159">
        <f t="shared" si="22"/>
        <v>2.8498326773300375</v>
      </c>
      <c r="AW6" s="159">
        <f t="shared" si="23"/>
        <v>6.0313919096932018</v>
      </c>
      <c r="AX6" s="159">
        <f t="shared" si="66"/>
        <v>1.4249163386650188</v>
      </c>
      <c r="AY6" s="159">
        <f t="shared" si="24"/>
        <v>16.105035329788549</v>
      </c>
      <c r="AZ6" s="159">
        <f t="shared" si="25"/>
        <v>3.1747653828809486</v>
      </c>
      <c r="BA6" s="159">
        <f t="shared" si="26"/>
        <v>5.6713623556023816</v>
      </c>
      <c r="BB6" s="159">
        <f t="shared" si="67"/>
        <v>1.5873826914404743</v>
      </c>
      <c r="BC6" s="159">
        <f t="shared" si="27"/>
        <v>4.3878376143018034</v>
      </c>
      <c r="BD6" s="159">
        <f t="shared" si="28"/>
        <v>5.2473109614330848</v>
      </c>
      <c r="BE6" s="159">
        <f t="shared" si="29"/>
        <v>14.188536125543711</v>
      </c>
      <c r="BF6" s="159">
        <f t="shared" si="30"/>
        <v>11.281878519293139</v>
      </c>
      <c r="BG6" s="159">
        <f t="shared" si="31"/>
        <v>3.0241836255901524</v>
      </c>
      <c r="BH6" s="159">
        <f t="shared" si="32"/>
        <v>7.3130626905030063</v>
      </c>
      <c r="BI6" s="159">
        <f t="shared" si="33"/>
        <v>3.9807186603975131</v>
      </c>
      <c r="BJ6" s="159">
        <f t="shared" si="34"/>
        <v>6.1360184606494377</v>
      </c>
      <c r="BK6" s="159">
        <f t="shared" si="35"/>
        <v>11.115431322679644</v>
      </c>
      <c r="BL6" s="159">
        <f t="shared" si="36"/>
        <v>0.65252094826011586</v>
      </c>
      <c r="BM6" s="159">
        <f t="shared" si="37"/>
        <v>2.7141263593619405</v>
      </c>
      <c r="BN6" s="159">
        <f t="shared" si="38"/>
        <v>1.0253366246478444</v>
      </c>
      <c r="BO6" s="159">
        <f t="shared" si="39"/>
        <v>4.9120357755855073</v>
      </c>
      <c r="BP6" s="159">
        <f t="shared" si="40"/>
        <v>16.357344989663641</v>
      </c>
      <c r="BQ6" s="159">
        <f t="shared" si="41"/>
        <v>1.6940447695214549</v>
      </c>
      <c r="BR6" s="159">
        <f t="shared" si="42"/>
        <v>4.2822882558821727</v>
      </c>
      <c r="BS6" s="159">
        <f t="shared" si="43"/>
        <v>3.6791490649128527</v>
      </c>
      <c r="BT6" s="159">
        <f t="shared" si="44"/>
        <v>7.3277910750537902</v>
      </c>
      <c r="BU6" s="159">
        <f t="shared" si="45"/>
        <v>14.093795589850167</v>
      </c>
      <c r="BV6" s="159">
        <f t="shared" si="46"/>
        <v>1.5183660526821927</v>
      </c>
      <c r="BW6" s="159">
        <f t="shared" si="47"/>
        <v>4.2822882558821727</v>
      </c>
      <c r="BX6" s="159">
        <f t="shared" si="48"/>
        <v>3.6791490649128527</v>
      </c>
      <c r="BY6" s="159">
        <f t="shared" si="49"/>
        <v>10.162277293096574</v>
      </c>
      <c r="BZ6" s="159">
        <f t="shared" si="50"/>
        <v>11.385329397938536</v>
      </c>
      <c r="CA6" s="159">
        <f t="shared" si="51"/>
        <v>1.8571750065864836</v>
      </c>
      <c r="CB6" s="159">
        <f t="shared" si="52"/>
        <v>6.5386443438941511</v>
      </c>
      <c r="CC6" s="159">
        <f t="shared" si="53"/>
        <v>5.8178096290420598</v>
      </c>
      <c r="CD6" s="159">
        <f t="shared" si="54"/>
        <v>10.679199892453022</v>
      </c>
      <c r="CE6" s="159">
        <f t="shared" si="68"/>
        <v>5.8178096290420598</v>
      </c>
      <c r="CF6" s="159">
        <f t="shared" si="55"/>
        <v>6.1975562326804923</v>
      </c>
      <c r="CG6" s="159">
        <f t="shared" si="56"/>
        <v>11.26053547759164</v>
      </c>
      <c r="CH6" s="159">
        <f t="shared" si="69"/>
        <v>6.1975562326804923</v>
      </c>
      <c r="CI6" s="159">
        <f t="shared" si="70"/>
        <v>4.0262588324471373</v>
      </c>
    </row>
    <row r="7" spans="1:87" x14ac:dyDescent="0.25">
      <c r="A7" t="str">
        <f>PLANTILLA!D10</f>
        <v>B. Bartolache</v>
      </c>
      <c r="B7" t="s">
        <v>855</v>
      </c>
      <c r="C7" s="633">
        <f>PLANTILLA!E10</f>
        <v>31</v>
      </c>
      <c r="D7" s="633">
        <f ca="1">PLANTILLA!F10</f>
        <v>9</v>
      </c>
      <c r="E7" s="633"/>
      <c r="F7" s="290">
        <v>41527</v>
      </c>
      <c r="G7" s="497">
        <v>1.5</v>
      </c>
      <c r="H7" s="498">
        <f>PLANTILLA!I10</f>
        <v>9.3000000000000007</v>
      </c>
      <c r="I7" s="341"/>
      <c r="J7" s="163">
        <f>PLANTILLA!X10</f>
        <v>0</v>
      </c>
      <c r="K7" s="163">
        <f>PLANTILLA!Y10</f>
        <v>11.749999999999996</v>
      </c>
      <c r="L7" s="163">
        <f>PLANTILLA!Z10</f>
        <v>7.0025000000000022</v>
      </c>
      <c r="M7" s="163">
        <f>PLANTILLA!AA10</f>
        <v>7.4300000000000015</v>
      </c>
      <c r="N7" s="163">
        <f>PLANTILLA!AB10</f>
        <v>9.0199999999999978</v>
      </c>
      <c r="O7" s="163">
        <f>PLANTILLA!AC10</f>
        <v>4.6199999999999966</v>
      </c>
      <c r="P7" s="163">
        <f>PLANTILLA!AD10</f>
        <v>15.6</v>
      </c>
      <c r="Q7" s="163">
        <f t="shared" si="57"/>
        <v>4.098749999999999</v>
      </c>
      <c r="R7" s="163">
        <f t="shared" si="58"/>
        <v>14.817996421738927</v>
      </c>
      <c r="S7" s="163">
        <f t="shared" si="59"/>
        <v>0.69899999999999984</v>
      </c>
      <c r="T7" s="163">
        <f t="shared" si="60"/>
        <v>0.93799999999999994</v>
      </c>
      <c r="U7" s="163">
        <f t="shared" ca="1" si="0"/>
        <v>17.891310598071914</v>
      </c>
      <c r="V7" s="159">
        <f t="shared" si="1"/>
        <v>5.67981415211678</v>
      </c>
      <c r="W7" s="159">
        <f t="shared" si="2"/>
        <v>8.5973319821108376</v>
      </c>
      <c r="X7" s="159">
        <f t="shared" si="61"/>
        <v>5.67981415211678</v>
      </c>
      <c r="Y7" s="159">
        <f t="shared" si="3"/>
        <v>7.5033162686051051</v>
      </c>
      <c r="Z7" s="159">
        <f t="shared" si="4"/>
        <v>14.54131059807191</v>
      </c>
      <c r="AA7" s="159">
        <f t="shared" si="62"/>
        <v>3.7516581343025526</v>
      </c>
      <c r="AB7" s="159">
        <f t="shared" si="5"/>
        <v>2.3309269223411153</v>
      </c>
      <c r="AC7" s="159">
        <f t="shared" si="6"/>
        <v>5.4966154060711823</v>
      </c>
      <c r="AD7" s="159">
        <f t="shared" si="7"/>
        <v>10.513367562405991</v>
      </c>
      <c r="AE7" s="159">
        <f t="shared" si="63"/>
        <v>2.7483077030355911</v>
      </c>
      <c r="AF7" s="159">
        <f t="shared" si="8"/>
        <v>3.7706170802576873</v>
      </c>
      <c r="AG7" s="357">
        <f t="shared" si="9"/>
        <v>13.378005750226157</v>
      </c>
      <c r="AH7" s="159">
        <f t="shared" si="10"/>
        <v>6.0201025876017704</v>
      </c>
      <c r="AI7" s="159">
        <f t="shared" si="11"/>
        <v>1.6355663698780099</v>
      </c>
      <c r="AJ7" s="357">
        <f t="shared" si="12"/>
        <v>6.0101306316662857</v>
      </c>
      <c r="AK7" s="159">
        <f t="shared" si="13"/>
        <v>10.96414819094622</v>
      </c>
      <c r="AL7" s="159">
        <f t="shared" si="14"/>
        <v>10.295247903434911</v>
      </c>
      <c r="AM7" s="159">
        <f t="shared" si="15"/>
        <v>3.07134886987801</v>
      </c>
      <c r="AN7" s="159">
        <f t="shared" si="16"/>
        <v>1.9843374522447106</v>
      </c>
      <c r="AO7" s="159">
        <f t="shared" si="17"/>
        <v>3.926153861479416</v>
      </c>
      <c r="AP7" s="159">
        <f t="shared" si="18"/>
        <v>8.6375384952547147</v>
      </c>
      <c r="AQ7" s="159">
        <f t="shared" si="64"/>
        <v>1.963076930739708</v>
      </c>
      <c r="AR7" s="159">
        <f t="shared" si="19"/>
        <v>9.2453572045798875</v>
      </c>
      <c r="AS7" s="159">
        <f t="shared" si="20"/>
        <v>1.5354703777493484</v>
      </c>
      <c r="AT7" s="159">
        <f t="shared" si="21"/>
        <v>2.6995140052350699</v>
      </c>
      <c r="AU7" s="159">
        <f t="shared" si="65"/>
        <v>0.76773518887467418</v>
      </c>
      <c r="AV7" s="159">
        <f t="shared" si="22"/>
        <v>2.7483077030355911</v>
      </c>
      <c r="AW7" s="159">
        <f t="shared" si="23"/>
        <v>5.8165242392287642</v>
      </c>
      <c r="AX7" s="159">
        <f t="shared" si="66"/>
        <v>1.3741538515177956</v>
      </c>
      <c r="AY7" s="159">
        <f t="shared" si="24"/>
        <v>9.7938105980719143</v>
      </c>
      <c r="AZ7" s="159">
        <f t="shared" si="25"/>
        <v>2.9882615813121935</v>
      </c>
      <c r="BA7" s="159">
        <f t="shared" si="26"/>
        <v>5.5840321395376229</v>
      </c>
      <c r="BB7" s="159">
        <f t="shared" si="67"/>
        <v>1.4941307906560968</v>
      </c>
      <c r="BC7" s="159">
        <f t="shared" si="27"/>
        <v>4.231521384038925</v>
      </c>
      <c r="BD7" s="159">
        <f t="shared" si="28"/>
        <v>5.0603760881290238</v>
      </c>
      <c r="BE7" s="159">
        <f t="shared" si="29"/>
        <v>8.6283471369013558</v>
      </c>
      <c r="BF7" s="159">
        <f t="shared" si="30"/>
        <v>9.587595121685931</v>
      </c>
      <c r="BG7" s="159">
        <f t="shared" si="31"/>
        <v>2.8465258541353302</v>
      </c>
      <c r="BH7" s="159">
        <f t="shared" si="32"/>
        <v>7.0525356400648755</v>
      </c>
      <c r="BI7" s="159">
        <f t="shared" si="33"/>
        <v>3.8389059978909841</v>
      </c>
      <c r="BJ7" s="159">
        <f t="shared" si="34"/>
        <v>3.7314418378653995</v>
      </c>
      <c r="BK7" s="159">
        <f t="shared" si="35"/>
        <v>9.2530154627148526</v>
      </c>
      <c r="BL7" s="159">
        <f t="shared" si="36"/>
        <v>0.61418815109973934</v>
      </c>
      <c r="BM7" s="159">
        <f t="shared" si="37"/>
        <v>2.6174359076529434</v>
      </c>
      <c r="BN7" s="159">
        <f t="shared" si="38"/>
        <v>0.98880912066888993</v>
      </c>
      <c r="BO7" s="159">
        <f t="shared" si="39"/>
        <v>2.9871122324119339</v>
      </c>
      <c r="BP7" s="159">
        <f t="shared" si="40"/>
        <v>13.599345429120481</v>
      </c>
      <c r="BQ7" s="159">
        <f t="shared" si="41"/>
        <v>1.5945269307397081</v>
      </c>
      <c r="BR7" s="159">
        <f t="shared" si="42"/>
        <v>4.1297322098524223</v>
      </c>
      <c r="BS7" s="159">
        <f t="shared" si="43"/>
        <v>3.5480797859295459</v>
      </c>
      <c r="BT7" s="159">
        <f t="shared" si="44"/>
        <v>4.4561838221227212</v>
      </c>
      <c r="BU7" s="159">
        <f t="shared" si="45"/>
        <v>11.71317214266368</v>
      </c>
      <c r="BV7" s="159">
        <f t="shared" si="46"/>
        <v>1.4291685823667011</v>
      </c>
      <c r="BW7" s="159">
        <f t="shared" si="47"/>
        <v>4.1297322098524223</v>
      </c>
      <c r="BX7" s="159">
        <f t="shared" si="48"/>
        <v>3.5480797859295459</v>
      </c>
      <c r="BY7" s="159">
        <f t="shared" si="49"/>
        <v>6.1798944873833781</v>
      </c>
      <c r="BZ7" s="159">
        <f t="shared" si="50"/>
        <v>9.4549429852743625</v>
      </c>
      <c r="CA7" s="159">
        <f t="shared" si="51"/>
        <v>1.7480739685146427</v>
      </c>
      <c r="CB7" s="159">
        <f t="shared" si="52"/>
        <v>3.9762871028171975</v>
      </c>
      <c r="CC7" s="159">
        <f t="shared" si="53"/>
        <v>5.3659328215954654</v>
      </c>
      <c r="CD7" s="159">
        <f t="shared" si="54"/>
        <v>10.734335733428971</v>
      </c>
      <c r="CE7" s="159">
        <f t="shared" si="68"/>
        <v>5.3659328215954654</v>
      </c>
      <c r="CF7" s="159">
        <f t="shared" si="55"/>
        <v>5.7330565025988012</v>
      </c>
      <c r="CG7" s="159">
        <f t="shared" si="56"/>
        <v>11.769684208760445</v>
      </c>
      <c r="CH7" s="159">
        <f t="shared" si="69"/>
        <v>5.7330565025988012</v>
      </c>
      <c r="CI7" s="159">
        <f t="shared" si="70"/>
        <v>2.4484526495179786</v>
      </c>
    </row>
    <row r="8" spans="1:87" x14ac:dyDescent="0.25">
      <c r="A8" t="str">
        <f>PLANTILLA!D11</f>
        <v>F. Lasprilla</v>
      </c>
      <c r="B8" t="s">
        <v>855</v>
      </c>
      <c r="C8" s="633">
        <f>PLANTILLA!E11</f>
        <v>27</v>
      </c>
      <c r="D8" s="633">
        <f ca="1">PLANTILLA!F11</f>
        <v>32</v>
      </c>
      <c r="E8" s="633"/>
      <c r="F8" s="290">
        <v>42106</v>
      </c>
      <c r="G8" s="497">
        <v>1.5</v>
      </c>
      <c r="H8" s="498">
        <f>PLANTILLA!I11</f>
        <v>4.9000000000000004</v>
      </c>
      <c r="I8" s="341"/>
      <c r="J8" s="163">
        <f>PLANTILLA!X11</f>
        <v>0</v>
      </c>
      <c r="K8" s="163">
        <f>PLANTILLA!Y11</f>
        <v>9.5996666666666659</v>
      </c>
      <c r="L8" s="163">
        <f>PLANTILLA!Z11</f>
        <v>7.7507222222222225</v>
      </c>
      <c r="M8" s="163">
        <f>PLANTILLA!AA11</f>
        <v>6.1499999999999986</v>
      </c>
      <c r="N8" s="163">
        <f>PLANTILLA!AB11</f>
        <v>8.8633333333333315</v>
      </c>
      <c r="O8" s="163">
        <f>PLANTILLA!AC11</f>
        <v>3.2566666666666673</v>
      </c>
      <c r="P8" s="163">
        <f>PLANTILLA!AD11</f>
        <v>13.238888888888889</v>
      </c>
      <c r="Q8" s="163">
        <f t="shared" si="57"/>
        <v>3.7907916666666663</v>
      </c>
      <c r="R8" s="163">
        <f t="shared" si="58"/>
        <v>10.436233338039576</v>
      </c>
      <c r="S8" s="163">
        <f t="shared" si="59"/>
        <v>0.56000000000000005</v>
      </c>
      <c r="T8" s="163">
        <f t="shared" si="60"/>
        <v>0.78115333333333337</v>
      </c>
      <c r="U8" s="163">
        <f t="shared" ca="1" si="0"/>
        <v>15.159150328926907</v>
      </c>
      <c r="V8" s="159">
        <f t="shared" si="1"/>
        <v>4.7623962371531903</v>
      </c>
      <c r="W8" s="159">
        <f t="shared" si="2"/>
        <v>7.2044158524224144</v>
      </c>
      <c r="X8" s="159">
        <f t="shared" si="61"/>
        <v>4.7623962371531903</v>
      </c>
      <c r="Y8" s="159">
        <f t="shared" si="3"/>
        <v>6.2022829030596176</v>
      </c>
      <c r="Z8" s="159">
        <f t="shared" si="4"/>
        <v>12.019928106704684</v>
      </c>
      <c r="AA8" s="159">
        <f t="shared" si="62"/>
        <v>3.1011414515298088</v>
      </c>
      <c r="AB8" s="159">
        <f t="shared" si="5"/>
        <v>2.4206941116179372</v>
      </c>
      <c r="AC8" s="159">
        <f t="shared" si="6"/>
        <v>4.5435328243343704</v>
      </c>
      <c r="AD8" s="159">
        <f t="shared" si="7"/>
        <v>8.690408021147487</v>
      </c>
      <c r="AE8" s="159">
        <f t="shared" si="63"/>
        <v>2.2717664121671852</v>
      </c>
      <c r="AF8" s="159">
        <f t="shared" si="8"/>
        <v>3.9158287099701927</v>
      </c>
      <c r="AG8" s="357">
        <f t="shared" si="9"/>
        <v>11.058333858168311</v>
      </c>
      <c r="AH8" s="159">
        <f t="shared" si="10"/>
        <v>4.9762502361757388</v>
      </c>
      <c r="AI8" s="159">
        <f t="shared" si="11"/>
        <v>1.6985542715974604</v>
      </c>
      <c r="AJ8" s="357">
        <f t="shared" si="12"/>
        <v>5.0393137267423533</v>
      </c>
      <c r="AK8" s="159">
        <f t="shared" si="13"/>
        <v>9.0630257924553312</v>
      </c>
      <c r="AL8" s="159">
        <f t="shared" si="14"/>
        <v>8.5101090995469164</v>
      </c>
      <c r="AM8" s="159">
        <f t="shared" si="15"/>
        <v>2.6150781049307938</v>
      </c>
      <c r="AN8" s="159">
        <f t="shared" si="16"/>
        <v>1.788783294730949</v>
      </c>
      <c r="AO8" s="159">
        <f t="shared" si="17"/>
        <v>3.2453805888102649</v>
      </c>
      <c r="AP8" s="159">
        <f t="shared" si="18"/>
        <v>7.1398372953825824</v>
      </c>
      <c r="AQ8" s="159">
        <f t="shared" si="64"/>
        <v>1.6226902944051325</v>
      </c>
      <c r="AR8" s="159">
        <f t="shared" si="19"/>
        <v>9.6014085771736664</v>
      </c>
      <c r="AS8" s="159">
        <f t="shared" si="20"/>
        <v>1.4668673205382756</v>
      </c>
      <c r="AT8" s="159">
        <f t="shared" si="21"/>
        <v>2.3361399352644723</v>
      </c>
      <c r="AU8" s="159">
        <f t="shared" si="65"/>
        <v>0.73343366026913781</v>
      </c>
      <c r="AV8" s="159">
        <f t="shared" si="22"/>
        <v>2.2717664121671852</v>
      </c>
      <c r="AW8" s="159">
        <f t="shared" si="23"/>
        <v>4.8079712426818739</v>
      </c>
      <c r="AX8" s="159">
        <f t="shared" si="66"/>
        <v>1.1358832060835926</v>
      </c>
      <c r="AY8" s="159">
        <f t="shared" si="24"/>
        <v>10.170983662260241</v>
      </c>
      <c r="AZ8" s="159">
        <f t="shared" si="25"/>
        <v>2.8547494776629514</v>
      </c>
      <c r="BA8" s="159">
        <f t="shared" si="26"/>
        <v>5.0398607201276144</v>
      </c>
      <c r="BB8" s="159">
        <f t="shared" si="67"/>
        <v>1.4273747388314757</v>
      </c>
      <c r="BC8" s="159">
        <f t="shared" si="27"/>
        <v>3.4977990790510631</v>
      </c>
      <c r="BD8" s="159">
        <f t="shared" si="28"/>
        <v>4.1829349811332301</v>
      </c>
      <c r="BE8" s="159">
        <f t="shared" si="29"/>
        <v>8.9606366064512724</v>
      </c>
      <c r="BF8" s="159">
        <f t="shared" si="30"/>
        <v>8.4736624201937971</v>
      </c>
      <c r="BG8" s="159">
        <f t="shared" si="31"/>
        <v>2.7193463403824953</v>
      </c>
      <c r="BH8" s="159">
        <f t="shared" si="32"/>
        <v>5.8296651317517716</v>
      </c>
      <c r="BI8" s="159">
        <f t="shared" si="33"/>
        <v>3.1732610201700369</v>
      </c>
      <c r="BJ8" s="159">
        <f t="shared" si="34"/>
        <v>3.8751447753211519</v>
      </c>
      <c r="BK8" s="159">
        <f t="shared" si="35"/>
        <v>8.0357884985932273</v>
      </c>
      <c r="BL8" s="159">
        <f t="shared" si="36"/>
        <v>0.58674692821531016</v>
      </c>
      <c r="BM8" s="159">
        <f t="shared" si="37"/>
        <v>2.1635870592068431</v>
      </c>
      <c r="BN8" s="159">
        <f t="shared" si="38"/>
        <v>0.81735511125591864</v>
      </c>
      <c r="BO8" s="159">
        <f t="shared" si="39"/>
        <v>3.1021500169893734</v>
      </c>
      <c r="BP8" s="159">
        <f t="shared" si="40"/>
        <v>11.797369545222223</v>
      </c>
      <c r="BQ8" s="159">
        <f t="shared" si="41"/>
        <v>1.5232852944051323</v>
      </c>
      <c r="BR8" s="159">
        <f t="shared" si="42"/>
        <v>3.4136595823041302</v>
      </c>
      <c r="BS8" s="159">
        <f t="shared" si="43"/>
        <v>2.932862458035943</v>
      </c>
      <c r="BT8" s="159">
        <f t="shared" si="44"/>
        <v>4.6277975663284101</v>
      </c>
      <c r="BU8" s="159">
        <f t="shared" si="45"/>
        <v>10.157903008895456</v>
      </c>
      <c r="BV8" s="159">
        <f t="shared" si="46"/>
        <v>1.3653149675779332</v>
      </c>
      <c r="BW8" s="159">
        <f t="shared" si="47"/>
        <v>3.4136595823041302</v>
      </c>
      <c r="BX8" s="159">
        <f t="shared" si="48"/>
        <v>2.932862458035943</v>
      </c>
      <c r="BY8" s="159">
        <f t="shared" si="49"/>
        <v>6.4178906908862121</v>
      </c>
      <c r="BZ8" s="159">
        <f t="shared" si="50"/>
        <v>8.1940573221673585</v>
      </c>
      <c r="CA8" s="159">
        <f t="shared" si="51"/>
        <v>1.6699720264589597</v>
      </c>
      <c r="CB8" s="159">
        <f t="shared" si="52"/>
        <v>4.1294193668776584</v>
      </c>
      <c r="CC8" s="159">
        <f t="shared" si="53"/>
        <v>4.7759862102598065</v>
      </c>
      <c r="CD8" s="159">
        <f t="shared" si="54"/>
        <v>9.4366410481494754</v>
      </c>
      <c r="CE8" s="159">
        <f t="shared" si="68"/>
        <v>4.7759862102598065</v>
      </c>
      <c r="CF8" s="159">
        <f t="shared" si="55"/>
        <v>4.842299543810352</v>
      </c>
      <c r="CG8" s="159">
        <f t="shared" si="56"/>
        <v>9.8405745780787139</v>
      </c>
      <c r="CH8" s="159">
        <f t="shared" si="69"/>
        <v>4.842299543810352</v>
      </c>
      <c r="CI8" s="159">
        <f t="shared" si="70"/>
        <v>2.5427459155650602</v>
      </c>
    </row>
    <row r="9" spans="1:87" x14ac:dyDescent="0.25">
      <c r="A9" t="str">
        <f>PLANTILLA!D7</f>
        <v>B. Pinczehelyi</v>
      </c>
      <c r="C9" s="633">
        <f>PLANTILLA!E7</f>
        <v>30</v>
      </c>
      <c r="D9" s="633">
        <f ca="1">PLANTILLA!F7</f>
        <v>25</v>
      </c>
      <c r="E9" s="633" t="str">
        <f>PLANTILLA!G7</f>
        <v>CAB</v>
      </c>
      <c r="F9" s="290">
        <v>41400</v>
      </c>
      <c r="G9" s="497">
        <v>1</v>
      </c>
      <c r="H9" s="498">
        <f>PLANTILLA!I7</f>
        <v>14.1</v>
      </c>
      <c r="I9" s="341"/>
      <c r="J9" s="163">
        <f>PLANTILLA!X7</f>
        <v>0</v>
      </c>
      <c r="K9" s="163">
        <f>PLANTILLA!Y7</f>
        <v>14.250000000000004</v>
      </c>
      <c r="L9" s="163">
        <f>PLANTILLA!Z7</f>
        <v>9.3193333333333346</v>
      </c>
      <c r="M9" s="163">
        <f>PLANTILLA!AA7</f>
        <v>14.291666666666663</v>
      </c>
      <c r="N9" s="163">
        <f>PLANTILLA!AB7</f>
        <v>9.4199999999999982</v>
      </c>
      <c r="O9" s="163">
        <f>PLANTILLA!AC7</f>
        <v>1.1428571428571428</v>
      </c>
      <c r="P9" s="163">
        <f>PLANTILLA!AD7</f>
        <v>9.4</v>
      </c>
      <c r="Q9" s="163">
        <f>((2*(N9+1))+(K9+1))/8</f>
        <v>4.5112500000000004</v>
      </c>
      <c r="R9" s="163">
        <f t="shared" si="58"/>
        <v>5.0635085091007106</v>
      </c>
      <c r="S9" s="163">
        <f>(0.5*O9+ 0.3*P9)/10</f>
        <v>0.33914285714285713</v>
      </c>
      <c r="T9" s="163">
        <f>(0.4*K9+0.3*P9)/10</f>
        <v>0.85200000000000009</v>
      </c>
      <c r="U9" s="163">
        <f t="shared" ca="1" si="0"/>
        <v>11.932292150207173</v>
      </c>
      <c r="V9" s="159">
        <f t="shared" si="1"/>
        <v>6.1436910471308632</v>
      </c>
      <c r="W9" s="159">
        <f t="shared" si="2"/>
        <v>9.3254391659174622</v>
      </c>
      <c r="X9" s="159">
        <f>V9</f>
        <v>6.1436910471308632</v>
      </c>
      <c r="Y9" s="159">
        <f t="shared" si="3"/>
        <v>8.6596627495069036</v>
      </c>
      <c r="Z9" s="159">
        <f t="shared" si="4"/>
        <v>16.782292150207176</v>
      </c>
      <c r="AA9" s="159">
        <f>Y9/2</f>
        <v>4.3298313747534518</v>
      </c>
      <c r="AB9" s="159">
        <f t="shared" si="5"/>
        <v>2.8206868650826404</v>
      </c>
      <c r="AC9" s="159">
        <f t="shared" si="6"/>
        <v>6.3437064327783128</v>
      </c>
      <c r="AD9" s="159">
        <f t="shared" si="7"/>
        <v>12.133597224599788</v>
      </c>
      <c r="AE9" s="159">
        <f>AC9/2</f>
        <v>3.1718532163891564</v>
      </c>
      <c r="AF9" s="159">
        <f t="shared" si="8"/>
        <v>4.5628758111630958</v>
      </c>
      <c r="AG9" s="357">
        <f t="shared" si="9"/>
        <v>15.439708778190603</v>
      </c>
      <c r="AH9" s="159">
        <f t="shared" si="10"/>
        <v>6.9478689501857707</v>
      </c>
      <c r="AI9" s="159">
        <f t="shared" si="11"/>
        <v>1.9792214557512648</v>
      </c>
      <c r="AJ9" s="357">
        <f t="shared" si="12"/>
        <v>9.8924877843218155</v>
      </c>
      <c r="AK9" s="159">
        <f t="shared" si="13"/>
        <v>12.653848281256211</v>
      </c>
      <c r="AL9" s="159">
        <f t="shared" si="14"/>
        <v>11.881862842346679</v>
      </c>
      <c r="AM9" s="159">
        <f t="shared" si="15"/>
        <v>1.992692789084598</v>
      </c>
      <c r="AN9" s="159">
        <f t="shared" si="16"/>
        <v>2.0285401392596656</v>
      </c>
      <c r="AO9" s="159">
        <f t="shared" si="17"/>
        <v>4.5312188805559384</v>
      </c>
      <c r="AP9" s="159">
        <f t="shared" si="18"/>
        <v>9.9686815372230626</v>
      </c>
      <c r="AQ9" s="159">
        <f>AO9/2</f>
        <v>2.2656094402779692</v>
      </c>
      <c r="AR9" s="159">
        <f t="shared" si="19"/>
        <v>11.187934456462239</v>
      </c>
      <c r="AS9" s="159">
        <f t="shared" si="20"/>
        <v>1.5537979795269323</v>
      </c>
      <c r="AT9" s="159">
        <f t="shared" si="21"/>
        <v>2.0700758857249872</v>
      </c>
      <c r="AU9" s="159">
        <f>AS9/2</f>
        <v>0.77689898976346616</v>
      </c>
      <c r="AV9" s="159">
        <f t="shared" si="22"/>
        <v>3.1718532163891564</v>
      </c>
      <c r="AW9" s="159">
        <f t="shared" si="23"/>
        <v>6.7129168600828706</v>
      </c>
      <c r="AX9" s="159">
        <f>AV9/2</f>
        <v>1.5859266081945782</v>
      </c>
      <c r="AY9" s="159">
        <f t="shared" si="24"/>
        <v>11.851625483540507</v>
      </c>
      <c r="AZ9" s="159">
        <f t="shared" si="25"/>
        <v>3.0239299140024145</v>
      </c>
      <c r="BA9" s="159">
        <f t="shared" si="26"/>
        <v>4.8475129747641521</v>
      </c>
      <c r="BB9" s="159">
        <f>AZ9/2</f>
        <v>1.5119649570012073</v>
      </c>
      <c r="BC9" s="159">
        <f t="shared" si="27"/>
        <v>4.883647015710288</v>
      </c>
      <c r="BD9" s="159">
        <f t="shared" si="28"/>
        <v>5.8402376682720973</v>
      </c>
      <c r="BE9" s="159">
        <f t="shared" si="29"/>
        <v>10.441282050999186</v>
      </c>
      <c r="BF9" s="159">
        <f t="shared" si="30"/>
        <v>13.421924388200839</v>
      </c>
      <c r="BG9" s="159">
        <f t="shared" si="31"/>
        <v>2.880502408199928</v>
      </c>
      <c r="BH9" s="159">
        <f t="shared" si="32"/>
        <v>8.1394116928504801</v>
      </c>
      <c r="BI9" s="159">
        <f t="shared" si="33"/>
        <v>4.4305251276546951</v>
      </c>
      <c r="BJ9" s="159">
        <f t="shared" si="34"/>
        <v>4.5154693092289335</v>
      </c>
      <c r="BK9" s="159">
        <f t="shared" si="35"/>
        <v>13.724935005947735</v>
      </c>
      <c r="BL9" s="159">
        <f t="shared" si="36"/>
        <v>0.62151919181077286</v>
      </c>
      <c r="BM9" s="159">
        <f t="shared" si="37"/>
        <v>3.0208125870372915</v>
      </c>
      <c r="BN9" s="159">
        <f t="shared" si="38"/>
        <v>1.141195866214088</v>
      </c>
      <c r="BO9" s="159">
        <f t="shared" si="39"/>
        <v>3.6147457724798548</v>
      </c>
      <c r="BP9" s="159">
        <f t="shared" si="40"/>
        <v>20.242314371833089</v>
      </c>
      <c r="BQ9" s="159">
        <f t="shared" si="41"/>
        <v>1.6135594402779683</v>
      </c>
      <c r="BR9" s="159">
        <f t="shared" si="42"/>
        <v>4.7661709706588375</v>
      </c>
      <c r="BS9" s="159">
        <f t="shared" si="43"/>
        <v>4.0948792846505508</v>
      </c>
      <c r="BT9" s="159">
        <f t="shared" si="44"/>
        <v>5.3924895950109315</v>
      </c>
      <c r="BU9" s="159">
        <f t="shared" si="45"/>
        <v>17.452259702429544</v>
      </c>
      <c r="BV9" s="159">
        <f t="shared" si="46"/>
        <v>1.4462273501750678</v>
      </c>
      <c r="BW9" s="159">
        <f t="shared" si="47"/>
        <v>4.7661709706588375</v>
      </c>
      <c r="BX9" s="159">
        <f t="shared" si="48"/>
        <v>4.0948792846505508</v>
      </c>
      <c r="BY9" s="159">
        <f t="shared" si="49"/>
        <v>7.47837568011406</v>
      </c>
      <c r="BZ9" s="159">
        <f t="shared" si="50"/>
        <v>14.117211474435418</v>
      </c>
      <c r="CA9" s="159">
        <f t="shared" si="51"/>
        <v>1.7689392382306612</v>
      </c>
      <c r="CB9" s="159">
        <f t="shared" si="52"/>
        <v>4.8117599463174461</v>
      </c>
      <c r="CC9" s="159">
        <f t="shared" si="53"/>
        <v>5.8774670674007936</v>
      </c>
      <c r="CD9" s="159">
        <f t="shared" si="54"/>
        <v>8.6327066754189907</v>
      </c>
      <c r="CE9" s="159">
        <f>CC9</f>
        <v>5.8774670674007936</v>
      </c>
      <c r="CF9" s="159">
        <f t="shared" si="55"/>
        <v>6.370859200055258</v>
      </c>
      <c r="CG9" s="159">
        <f t="shared" si="56"/>
        <v>8.0855450964907618</v>
      </c>
      <c r="CH9" s="159">
        <f>CF9</f>
        <v>6.370859200055258</v>
      </c>
      <c r="CI9" s="159">
        <f>((L9+G9+(LOG(H9)*4/3))*0.25)</f>
        <v>2.9629063708851269</v>
      </c>
    </row>
    <row r="10" spans="1:87" x14ac:dyDescent="0.25">
      <c r="A10" t="str">
        <f>PLANTILLA!D12</f>
        <v>E. Romweber</v>
      </c>
      <c r="B10" t="s">
        <v>855</v>
      </c>
      <c r="C10" s="633">
        <f>PLANTILLA!E12</f>
        <v>30</v>
      </c>
      <c r="D10" s="633">
        <f ca="1">PLANTILLA!F12</f>
        <v>98</v>
      </c>
      <c r="E10" s="633" t="str">
        <f>PLANTILLA!G12</f>
        <v>IMP</v>
      </c>
      <c r="F10" s="290">
        <v>41583</v>
      </c>
      <c r="G10" s="497">
        <v>1.5</v>
      </c>
      <c r="H10" s="498">
        <f>PLANTILLA!I12</f>
        <v>12.3</v>
      </c>
      <c r="I10" s="341"/>
      <c r="J10" s="163">
        <f>PLANTILLA!X12</f>
        <v>0</v>
      </c>
      <c r="K10" s="163">
        <f>PLANTILLA!Y12</f>
        <v>12.005555555555555</v>
      </c>
      <c r="L10" s="163">
        <f>PLANTILLA!Z12</f>
        <v>12.534111111111114</v>
      </c>
      <c r="M10" s="163">
        <f>PLANTILLA!AA12</f>
        <v>13.133333333333335</v>
      </c>
      <c r="N10" s="163">
        <f>PLANTILLA!AB12</f>
        <v>10.91</v>
      </c>
      <c r="O10" s="163">
        <f>PLANTILLA!AC12</f>
        <v>7.7700000000000005</v>
      </c>
      <c r="P10" s="163">
        <f>PLANTILLA!AD12</f>
        <v>17.13</v>
      </c>
      <c r="Q10" s="163">
        <f t="shared" si="57"/>
        <v>4.6031944444444441</v>
      </c>
      <c r="R10" s="163">
        <f t="shared" si="58"/>
        <v>21.246287061708095</v>
      </c>
      <c r="S10" s="163">
        <f t="shared" si="59"/>
        <v>0.90239999999999987</v>
      </c>
      <c r="T10" s="163">
        <f t="shared" si="60"/>
        <v>0.99412222222222224</v>
      </c>
      <c r="U10" s="163">
        <f t="shared" ca="1" si="0"/>
        <v>19.583206815252531</v>
      </c>
      <c r="V10" s="159">
        <f t="shared" si="1"/>
        <v>5.8916828830487926</v>
      </c>
      <c r="W10" s="159">
        <f t="shared" si="2"/>
        <v>8.9149511096021286</v>
      </c>
      <c r="X10" s="159">
        <f t="shared" si="61"/>
        <v>5.8916828830487926</v>
      </c>
      <c r="Y10" s="159">
        <f t="shared" si="3"/>
        <v>7.7187213833369723</v>
      </c>
      <c r="Z10" s="159">
        <f t="shared" si="4"/>
        <v>14.958762370808085</v>
      </c>
      <c r="AA10" s="159">
        <f t="shared" si="62"/>
        <v>3.8593606916684862</v>
      </c>
      <c r="AB10" s="159">
        <f t="shared" si="5"/>
        <v>3.6859816664745471</v>
      </c>
      <c r="AC10" s="159">
        <f t="shared" si="6"/>
        <v>5.6544121761654562</v>
      </c>
      <c r="AD10" s="159">
        <f t="shared" si="7"/>
        <v>10.815185194094244</v>
      </c>
      <c r="AE10" s="159">
        <f t="shared" si="63"/>
        <v>2.8272060880827281</v>
      </c>
      <c r="AF10" s="159">
        <f t="shared" si="8"/>
        <v>5.9626174016500029</v>
      </c>
      <c r="AG10" s="357">
        <f t="shared" si="9"/>
        <v>13.762061381143438</v>
      </c>
      <c r="AH10" s="159">
        <f t="shared" si="10"/>
        <v>6.1929276215145466</v>
      </c>
      <c r="AI10" s="159">
        <f t="shared" si="11"/>
        <v>2.5863820937027286</v>
      </c>
      <c r="AJ10" s="357">
        <f t="shared" si="12"/>
        <v>9.4588856073684884</v>
      </c>
      <c r="AK10" s="159">
        <f t="shared" si="13"/>
        <v>11.278906827589296</v>
      </c>
      <c r="AL10" s="159">
        <f t="shared" si="14"/>
        <v>10.590803758532124</v>
      </c>
      <c r="AM10" s="159">
        <f t="shared" si="15"/>
        <v>3.3538955381471727</v>
      </c>
      <c r="AN10" s="159">
        <f t="shared" si="16"/>
        <v>2.1762435627927288</v>
      </c>
      <c r="AO10" s="159">
        <f t="shared" si="17"/>
        <v>4.0388658401181834</v>
      </c>
      <c r="AP10" s="159">
        <f t="shared" si="18"/>
        <v>8.8855048482600019</v>
      </c>
      <c r="AQ10" s="159">
        <f t="shared" si="64"/>
        <v>2.0194329200590917</v>
      </c>
      <c r="AR10" s="159">
        <f t="shared" si="19"/>
        <v>14.62002812248728</v>
      </c>
      <c r="AS10" s="159">
        <f t="shared" si="20"/>
        <v>1.8022168859828289</v>
      </c>
      <c r="AT10" s="159">
        <f t="shared" si="21"/>
        <v>3.5186995968689914</v>
      </c>
      <c r="AU10" s="159">
        <f t="shared" si="65"/>
        <v>0.90110844299141446</v>
      </c>
      <c r="AV10" s="159">
        <f t="shared" si="22"/>
        <v>2.8272060880827281</v>
      </c>
      <c r="AW10" s="159">
        <f t="shared" si="23"/>
        <v>5.9835049483232341</v>
      </c>
      <c r="AX10" s="159">
        <f t="shared" si="66"/>
        <v>1.4136030440413641</v>
      </c>
      <c r="AY10" s="159">
        <f t="shared" si="24"/>
        <v>15.487317926363644</v>
      </c>
      <c r="AZ10" s="159">
        <f t="shared" si="25"/>
        <v>3.5073913242588901</v>
      </c>
      <c r="BA10" s="159">
        <f t="shared" si="26"/>
        <v>6.9792269552041448</v>
      </c>
      <c r="BB10" s="159">
        <f t="shared" si="67"/>
        <v>1.7536956621294451</v>
      </c>
      <c r="BC10" s="159">
        <f t="shared" si="27"/>
        <v>4.3529998499051521</v>
      </c>
      <c r="BD10" s="159">
        <f t="shared" si="28"/>
        <v>5.2056493050412129</v>
      </c>
      <c r="BE10" s="159">
        <f t="shared" si="29"/>
        <v>13.644327093126371</v>
      </c>
      <c r="BF10" s="159">
        <f t="shared" si="30"/>
        <v>13.600584192092832</v>
      </c>
      <c r="BG10" s="159">
        <f t="shared" si="31"/>
        <v>3.3410328424758595</v>
      </c>
      <c r="BH10" s="159">
        <f t="shared" si="32"/>
        <v>7.2549997498419208</v>
      </c>
      <c r="BI10" s="159">
        <f t="shared" si="33"/>
        <v>3.9491132658933346</v>
      </c>
      <c r="BJ10" s="159">
        <f t="shared" si="34"/>
        <v>5.9006681299445489</v>
      </c>
      <c r="BK10" s="159">
        <f t="shared" si="35"/>
        <v>13.612746089864046</v>
      </c>
      <c r="BL10" s="159">
        <f t="shared" si="36"/>
        <v>0.72088675439313155</v>
      </c>
      <c r="BM10" s="159">
        <f t="shared" si="37"/>
        <v>2.6925772267454553</v>
      </c>
      <c r="BN10" s="159">
        <f t="shared" si="38"/>
        <v>1.0171958412149498</v>
      </c>
      <c r="BO10" s="159">
        <f t="shared" si="39"/>
        <v>4.7236319675409115</v>
      </c>
      <c r="BP10" s="159">
        <f t="shared" si="40"/>
        <v>20.051417297748088</v>
      </c>
      <c r="BQ10" s="159">
        <f t="shared" si="41"/>
        <v>1.8715329200590918</v>
      </c>
      <c r="BR10" s="159">
        <f t="shared" si="42"/>
        <v>4.2482885133094959</v>
      </c>
      <c r="BS10" s="159">
        <f t="shared" si="43"/>
        <v>3.6499380184771728</v>
      </c>
      <c r="BT10" s="159">
        <f t="shared" si="44"/>
        <v>7.0467296564954589</v>
      </c>
      <c r="BU10" s="159">
        <f t="shared" si="45"/>
        <v>17.281393151299806</v>
      </c>
      <c r="BV10" s="159">
        <f t="shared" si="46"/>
        <v>1.6774480246455561</v>
      </c>
      <c r="BW10" s="159">
        <f t="shared" si="47"/>
        <v>4.2482885133094959</v>
      </c>
      <c r="BX10" s="159">
        <f t="shared" si="48"/>
        <v>3.6499380184771728</v>
      </c>
      <c r="BY10" s="159">
        <f t="shared" si="49"/>
        <v>9.77249761153546</v>
      </c>
      <c r="BZ10" s="159">
        <f t="shared" si="50"/>
        <v>13.968350099651015</v>
      </c>
      <c r="CA10" s="159">
        <f t="shared" si="51"/>
        <v>2.0517546086573746</v>
      </c>
      <c r="CB10" s="159">
        <f t="shared" si="52"/>
        <v>6.2878510781036399</v>
      </c>
      <c r="CC10" s="159">
        <f t="shared" si="53"/>
        <v>7.1441107507465684</v>
      </c>
      <c r="CD10" s="159">
        <f t="shared" si="54"/>
        <v>13.779350873974348</v>
      </c>
      <c r="CE10" s="159">
        <f t="shared" si="68"/>
        <v>7.1441107507465684</v>
      </c>
      <c r="CF10" s="159">
        <f t="shared" si="55"/>
        <v>8.181734512568994</v>
      </c>
      <c r="CG10" s="159">
        <f t="shared" si="56"/>
        <v>15.838730130080712</v>
      </c>
      <c r="CH10" s="159">
        <f t="shared" si="69"/>
        <v>8.181734512568994</v>
      </c>
      <c r="CI10" s="159">
        <f t="shared" si="70"/>
        <v>3.8718294815909111</v>
      </c>
    </row>
    <row r="11" spans="1:87" x14ac:dyDescent="0.25">
      <c r="A11" t="str">
        <f>PLANTILLA!D13</f>
        <v>K. Helms</v>
      </c>
      <c r="B11" t="s">
        <v>855</v>
      </c>
      <c r="C11" s="633">
        <f>PLANTILLA!E13</f>
        <v>30</v>
      </c>
      <c r="D11" s="633">
        <f ca="1">PLANTILLA!F13</f>
        <v>45</v>
      </c>
      <c r="E11" s="633" t="str">
        <f>PLANTILLA!G13</f>
        <v>TEC</v>
      </c>
      <c r="F11" s="290">
        <v>41722</v>
      </c>
      <c r="G11" s="497">
        <v>1.5</v>
      </c>
      <c r="H11" s="498">
        <f>PLANTILLA!I13</f>
        <v>10.3</v>
      </c>
      <c r="I11" s="341"/>
      <c r="J11" s="163">
        <f>PLANTILLA!X13</f>
        <v>0</v>
      </c>
      <c r="K11" s="163">
        <f>PLANTILLA!Y13</f>
        <v>7.2200000000000006</v>
      </c>
      <c r="L11" s="163">
        <f>PLANTILLA!Z13</f>
        <v>10.500000000000004</v>
      </c>
      <c r="M11" s="163">
        <f>PLANTILLA!AA13</f>
        <v>13.388333333333334</v>
      </c>
      <c r="N11" s="163">
        <f>PLANTILLA!AB13</f>
        <v>10.359999999999998</v>
      </c>
      <c r="O11" s="163">
        <f>PLANTILLA!AC13</f>
        <v>5.4050000000000002</v>
      </c>
      <c r="P11" s="163">
        <f>PLANTILLA!AD13</f>
        <v>17.300000000000004</v>
      </c>
      <c r="Q11" s="163">
        <f t="shared" si="57"/>
        <v>3.8674999999999997</v>
      </c>
      <c r="R11" s="163">
        <f t="shared" si="58"/>
        <v>17.186793688797913</v>
      </c>
      <c r="S11" s="163">
        <f t="shared" si="59"/>
        <v>0.78925000000000023</v>
      </c>
      <c r="T11" s="163">
        <f t="shared" si="60"/>
        <v>0.80780000000000007</v>
      </c>
      <c r="U11" s="163">
        <f t="shared" ca="1" si="0"/>
        <v>19.650449632940234</v>
      </c>
      <c r="V11" s="159">
        <f t="shared" si="1"/>
        <v>4.4811625295568209</v>
      </c>
      <c r="W11" s="159">
        <f t="shared" si="2"/>
        <v>6.7484304761258365</v>
      </c>
      <c r="X11" s="159">
        <f t="shared" si="61"/>
        <v>4.4811625295568209</v>
      </c>
      <c r="Y11" s="159">
        <f t="shared" si="3"/>
        <v>5.1963520105971588</v>
      </c>
      <c r="Z11" s="159">
        <f t="shared" si="4"/>
        <v>10.07044963294023</v>
      </c>
      <c r="AA11" s="159">
        <f t="shared" si="62"/>
        <v>2.5981760052985794</v>
      </c>
      <c r="AB11" s="159">
        <f t="shared" si="5"/>
        <v>3.1774070126397751</v>
      </c>
      <c r="AC11" s="159">
        <f t="shared" si="6"/>
        <v>3.806629961251407</v>
      </c>
      <c r="AD11" s="159">
        <f t="shared" si="7"/>
        <v>7.2809350846157859</v>
      </c>
      <c r="AE11" s="159">
        <f t="shared" si="63"/>
        <v>1.9033149806257035</v>
      </c>
      <c r="AF11" s="159">
        <f t="shared" si="8"/>
        <v>5.1399231086819901</v>
      </c>
      <c r="AG11" s="357">
        <f t="shared" si="9"/>
        <v>9.2648136623050128</v>
      </c>
      <c r="AH11" s="159">
        <f t="shared" si="10"/>
        <v>4.169166148037255</v>
      </c>
      <c r="AI11" s="159">
        <f t="shared" si="11"/>
        <v>2.2295250887010192</v>
      </c>
      <c r="AJ11" s="357">
        <f t="shared" si="12"/>
        <v>9.5484043841688564</v>
      </c>
      <c r="AK11" s="159">
        <f t="shared" si="13"/>
        <v>7.5931190232369339</v>
      </c>
      <c r="AL11" s="159">
        <f t="shared" si="14"/>
        <v>7.1298783401216825</v>
      </c>
      <c r="AM11" s="159">
        <f t="shared" si="15"/>
        <v>3.3651250887010193</v>
      </c>
      <c r="AN11" s="159">
        <f t="shared" si="16"/>
        <v>1.9347694942867859</v>
      </c>
      <c r="AO11" s="159">
        <f t="shared" si="17"/>
        <v>2.7190214008938622</v>
      </c>
      <c r="AP11" s="159">
        <f t="shared" si="18"/>
        <v>5.9818470819664959</v>
      </c>
      <c r="AQ11" s="159">
        <f t="shared" si="64"/>
        <v>1.3595107004469311</v>
      </c>
      <c r="AR11" s="159">
        <f t="shared" si="19"/>
        <v>12.602824453495579</v>
      </c>
      <c r="AS11" s="159">
        <f t="shared" si="20"/>
        <v>1.7173584522822296</v>
      </c>
      <c r="AT11" s="159">
        <f t="shared" si="21"/>
        <v>3.013446742451487</v>
      </c>
      <c r="AU11" s="159">
        <f t="shared" si="65"/>
        <v>0.8586792261411148</v>
      </c>
      <c r="AV11" s="159">
        <f t="shared" si="22"/>
        <v>1.9033149806257035</v>
      </c>
      <c r="AW11" s="159">
        <f t="shared" si="23"/>
        <v>4.0281798531760922</v>
      </c>
      <c r="AX11" s="159">
        <f t="shared" si="66"/>
        <v>0.95165749031285174</v>
      </c>
      <c r="AY11" s="159">
        <f t="shared" si="24"/>
        <v>13.350449632940233</v>
      </c>
      <c r="AZ11" s="159">
        <f t="shared" si="25"/>
        <v>3.3422437571338777</v>
      </c>
      <c r="BA11" s="159">
        <f t="shared" si="26"/>
        <v>6.2384077477500659</v>
      </c>
      <c r="BB11" s="159">
        <f t="shared" si="67"/>
        <v>1.6711218785669388</v>
      </c>
      <c r="BC11" s="159">
        <f t="shared" si="27"/>
        <v>2.9305008431856066</v>
      </c>
      <c r="BD11" s="159">
        <f t="shared" si="28"/>
        <v>3.5045164722631998</v>
      </c>
      <c r="BE11" s="159">
        <f t="shared" si="29"/>
        <v>11.761746126620345</v>
      </c>
      <c r="BF11" s="159">
        <f t="shared" si="30"/>
        <v>13.482353057017196</v>
      </c>
      <c r="BG11" s="159">
        <f t="shared" si="31"/>
        <v>3.1837183615385944</v>
      </c>
      <c r="BH11" s="159">
        <f t="shared" si="32"/>
        <v>4.8841680719760117</v>
      </c>
      <c r="BI11" s="159">
        <f t="shared" si="33"/>
        <v>2.6585987030962208</v>
      </c>
      <c r="BJ11" s="159">
        <f t="shared" si="34"/>
        <v>5.0865213101502285</v>
      </c>
      <c r="BK11" s="159">
        <f t="shared" si="35"/>
        <v>13.584001312523096</v>
      </c>
      <c r="BL11" s="159">
        <f t="shared" si="36"/>
        <v>0.68694338091289175</v>
      </c>
      <c r="BM11" s="159">
        <f t="shared" si="37"/>
        <v>1.8126809339292413</v>
      </c>
      <c r="BN11" s="159">
        <f t="shared" si="38"/>
        <v>0.68479057503993568</v>
      </c>
      <c r="BO11" s="159">
        <f t="shared" si="39"/>
        <v>4.0718871380467707</v>
      </c>
      <c r="BP11" s="159">
        <f t="shared" si="40"/>
        <v>20.016971561294469</v>
      </c>
      <c r="BQ11" s="159">
        <f t="shared" si="41"/>
        <v>1.7834107004469308</v>
      </c>
      <c r="BR11" s="159">
        <f t="shared" si="42"/>
        <v>2.8600076957550251</v>
      </c>
      <c r="BS11" s="159">
        <f t="shared" si="43"/>
        <v>2.4571897104374161</v>
      </c>
      <c r="BT11" s="159">
        <f t="shared" si="44"/>
        <v>6.0744545829878058</v>
      </c>
      <c r="BU11" s="159">
        <f t="shared" si="45"/>
        <v>17.253658193297774</v>
      </c>
      <c r="BV11" s="159">
        <f t="shared" si="46"/>
        <v>1.5984644055857675</v>
      </c>
      <c r="BW11" s="159">
        <f t="shared" si="47"/>
        <v>2.8600076957550251</v>
      </c>
      <c r="BX11" s="159">
        <f t="shared" si="48"/>
        <v>2.4571897104374161</v>
      </c>
      <c r="BY11" s="159">
        <f t="shared" si="49"/>
        <v>8.4241337183852867</v>
      </c>
      <c r="BZ11" s="159">
        <f t="shared" si="50"/>
        <v>13.949242421481506</v>
      </c>
      <c r="CA11" s="159">
        <f t="shared" si="51"/>
        <v>1.9551465456751536</v>
      </c>
      <c r="CB11" s="159">
        <f t="shared" si="52"/>
        <v>5.4202825509737353</v>
      </c>
      <c r="CC11" s="159">
        <f t="shared" si="53"/>
        <v>7.7644452293970767</v>
      </c>
      <c r="CD11" s="159">
        <f t="shared" si="54"/>
        <v>11.986201286690697</v>
      </c>
      <c r="CE11" s="159">
        <f t="shared" si="68"/>
        <v>7.7644452293970767</v>
      </c>
      <c r="CF11" s="159">
        <f t="shared" si="55"/>
        <v>7.4810717879884301</v>
      </c>
      <c r="CG11" s="159">
        <f t="shared" si="56"/>
        <v>13.130105547495173</v>
      </c>
      <c r="CH11" s="159">
        <f t="shared" si="69"/>
        <v>7.4810717879884301</v>
      </c>
      <c r="CI11" s="159">
        <f t="shared" si="70"/>
        <v>3.3376124082350582</v>
      </c>
    </row>
    <row r="12" spans="1:87" x14ac:dyDescent="0.25">
      <c r="A12" t="str">
        <f>PLANTILLA!D14</f>
        <v>S. Zobbe</v>
      </c>
      <c r="B12" t="s">
        <v>855</v>
      </c>
      <c r="C12" s="633">
        <f>PLANTILLA!E14</f>
        <v>27</v>
      </c>
      <c r="D12" s="633">
        <f ca="1">PLANTILLA!F14</f>
        <v>60</v>
      </c>
      <c r="E12" s="633" t="str">
        <f>PLANTILLA!G14</f>
        <v>CAB</v>
      </c>
      <c r="F12" s="290">
        <v>41911</v>
      </c>
      <c r="G12" s="497">
        <v>1.5</v>
      </c>
      <c r="H12" s="498">
        <f>PLANTILLA!I14</f>
        <v>8.6999999999999993</v>
      </c>
      <c r="I12" s="341"/>
      <c r="J12" s="163">
        <f>PLANTILLA!X14</f>
        <v>0</v>
      </c>
      <c r="K12" s="163">
        <f>PLANTILLA!Y14</f>
        <v>8.2399999999999984</v>
      </c>
      <c r="L12" s="163">
        <f>PLANTILLA!Z14</f>
        <v>12.158412698412699</v>
      </c>
      <c r="M12" s="163">
        <f>PLANTILLA!AA14</f>
        <v>12.25</v>
      </c>
      <c r="N12" s="163">
        <f>PLANTILLA!AB14</f>
        <v>10.24</v>
      </c>
      <c r="O12" s="163">
        <f>PLANTILLA!AC14</f>
        <v>7.4766666666666666</v>
      </c>
      <c r="P12" s="163">
        <f>PLANTILLA!AD14</f>
        <v>15.270000000000001</v>
      </c>
      <c r="Q12" s="163">
        <f t="shared" si="57"/>
        <v>3.9649999999999999</v>
      </c>
      <c r="R12" s="163">
        <f t="shared" si="58"/>
        <v>19.293216731049526</v>
      </c>
      <c r="S12" s="163">
        <f t="shared" si="59"/>
        <v>0.8319333333333333</v>
      </c>
      <c r="T12" s="163">
        <f t="shared" si="60"/>
        <v>0.78769999999999996</v>
      </c>
      <c r="U12" s="163">
        <f t="shared" ca="1" si="0"/>
        <v>17.522692336824829</v>
      </c>
      <c r="V12" s="159">
        <f t="shared" si="1"/>
        <v>4.677340410048072</v>
      </c>
      <c r="W12" s="159">
        <f t="shared" si="2"/>
        <v>7.055725806840849</v>
      </c>
      <c r="X12" s="159">
        <f t="shared" si="61"/>
        <v>4.677340410048072</v>
      </c>
      <c r="Y12" s="159">
        <f t="shared" si="3"/>
        <v>5.672229245801609</v>
      </c>
      <c r="Z12" s="159">
        <f t="shared" si="4"/>
        <v>10.992692336824824</v>
      </c>
      <c r="AA12" s="159">
        <f t="shared" si="62"/>
        <v>2.8361146229008045</v>
      </c>
      <c r="AB12" s="159">
        <f t="shared" si="5"/>
        <v>3.5488429983865299</v>
      </c>
      <c r="AC12" s="159">
        <f t="shared" si="6"/>
        <v>4.1552377033197834</v>
      </c>
      <c r="AD12" s="159">
        <f t="shared" si="7"/>
        <v>7.9477165595243475</v>
      </c>
      <c r="AE12" s="159">
        <f t="shared" si="63"/>
        <v>2.0776188516598917</v>
      </c>
      <c r="AF12" s="159">
        <f t="shared" si="8"/>
        <v>5.7407754385664465</v>
      </c>
      <c r="AG12" s="357">
        <f t="shared" si="9"/>
        <v>10.113276949878838</v>
      </c>
      <c r="AH12" s="159">
        <f t="shared" si="10"/>
        <v>4.550974627445477</v>
      </c>
      <c r="AI12" s="159">
        <f t="shared" si="11"/>
        <v>2.4901545408846664</v>
      </c>
      <c r="AJ12" s="357">
        <f t="shared" si="12"/>
        <v>8.8215830940529969</v>
      </c>
      <c r="AK12" s="159">
        <f t="shared" si="13"/>
        <v>8.2884900219659166</v>
      </c>
      <c r="AL12" s="159">
        <f t="shared" si="14"/>
        <v>7.7828261744719747</v>
      </c>
      <c r="AM12" s="159">
        <f t="shared" si="15"/>
        <v>3.0097896202497467</v>
      </c>
      <c r="AN12" s="159">
        <f t="shared" si="16"/>
        <v>1.9346953930055493</v>
      </c>
      <c r="AO12" s="159">
        <f t="shared" si="17"/>
        <v>2.9680269309427025</v>
      </c>
      <c r="AP12" s="159">
        <f t="shared" si="18"/>
        <v>6.529659248073945</v>
      </c>
      <c r="AQ12" s="159">
        <f t="shared" si="64"/>
        <v>1.4840134654713513</v>
      </c>
      <c r="AR12" s="159">
        <f t="shared" si="19"/>
        <v>14.07608315326422</v>
      </c>
      <c r="AS12" s="159">
        <f t="shared" si="20"/>
        <v>1.6890500037872271</v>
      </c>
      <c r="AT12" s="159">
        <f t="shared" si="21"/>
        <v>3.3288021880230065</v>
      </c>
      <c r="AU12" s="159">
        <f t="shared" si="65"/>
        <v>0.84452500189361357</v>
      </c>
      <c r="AV12" s="159">
        <f t="shared" si="22"/>
        <v>2.0776188516598917</v>
      </c>
      <c r="AW12" s="159">
        <f t="shared" si="23"/>
        <v>4.3970769347299301</v>
      </c>
      <c r="AX12" s="159">
        <f t="shared" si="66"/>
        <v>1.0388094258299458</v>
      </c>
      <c r="AY12" s="159">
        <f t="shared" si="24"/>
        <v>14.911105035237522</v>
      </c>
      <c r="AZ12" s="159">
        <f t="shared" si="25"/>
        <v>3.2871511612166806</v>
      </c>
      <c r="BA12" s="159">
        <f t="shared" si="26"/>
        <v>6.5786734775904785</v>
      </c>
      <c r="BB12" s="159">
        <f t="shared" si="67"/>
        <v>1.6435755806083403</v>
      </c>
      <c r="BC12" s="159">
        <f t="shared" si="27"/>
        <v>3.1988734700160237</v>
      </c>
      <c r="BD12" s="159">
        <f t="shared" si="28"/>
        <v>3.8254569332150385</v>
      </c>
      <c r="BE12" s="159">
        <f t="shared" si="29"/>
        <v>13.136683536044258</v>
      </c>
      <c r="BF12" s="159">
        <f t="shared" si="30"/>
        <v>12.704243487437269</v>
      </c>
      <c r="BG12" s="159">
        <f t="shared" si="31"/>
        <v>3.1312388531747826</v>
      </c>
      <c r="BH12" s="159">
        <f t="shared" si="32"/>
        <v>5.3314557833600391</v>
      </c>
      <c r="BI12" s="159">
        <f t="shared" si="33"/>
        <v>2.9020707769217537</v>
      </c>
      <c r="BJ12" s="159">
        <f t="shared" si="34"/>
        <v>5.6811310184254964</v>
      </c>
      <c r="BK12" s="159">
        <f t="shared" si="35"/>
        <v>12.708343102384898</v>
      </c>
      <c r="BL12" s="159">
        <f t="shared" si="36"/>
        <v>0.67562000151489077</v>
      </c>
      <c r="BM12" s="159">
        <f t="shared" si="37"/>
        <v>1.9786846206284683</v>
      </c>
      <c r="BN12" s="159">
        <f t="shared" si="38"/>
        <v>0.74750307890408807</v>
      </c>
      <c r="BO12" s="159">
        <f t="shared" si="39"/>
        <v>4.5478870357474444</v>
      </c>
      <c r="BP12" s="159">
        <f t="shared" si="40"/>
        <v>18.718602345156725</v>
      </c>
      <c r="BQ12" s="159">
        <f t="shared" si="41"/>
        <v>1.7540134654713513</v>
      </c>
      <c r="BR12" s="159">
        <f t="shared" si="42"/>
        <v>3.1219246236582499</v>
      </c>
      <c r="BS12" s="159">
        <f t="shared" si="43"/>
        <v>2.6822169301852572</v>
      </c>
      <c r="BT12" s="159">
        <f t="shared" si="44"/>
        <v>6.7845527910330725</v>
      </c>
      <c r="BU12" s="159">
        <f t="shared" si="45"/>
        <v>16.132543109201908</v>
      </c>
      <c r="BV12" s="159">
        <f t="shared" si="46"/>
        <v>1.5721157727558037</v>
      </c>
      <c r="BW12" s="159">
        <f t="shared" si="47"/>
        <v>3.1219246236582499</v>
      </c>
      <c r="BX12" s="159">
        <f t="shared" si="48"/>
        <v>2.6822169301852572</v>
      </c>
      <c r="BY12" s="159">
        <f t="shared" si="49"/>
        <v>9.4089072772348761</v>
      </c>
      <c r="BZ12" s="159">
        <f t="shared" si="50"/>
        <v>13.039479641458218</v>
      </c>
      <c r="CA12" s="159">
        <f t="shared" si="51"/>
        <v>1.9229184658500738</v>
      </c>
      <c r="CB12" s="159">
        <f t="shared" si="52"/>
        <v>6.0539086443064347</v>
      </c>
      <c r="CC12" s="159">
        <f t="shared" si="53"/>
        <v>6.7076893741524</v>
      </c>
      <c r="CD12" s="159">
        <f t="shared" si="54"/>
        <v>13.018748237931419</v>
      </c>
      <c r="CE12" s="159">
        <f t="shared" si="68"/>
        <v>6.7076893741524</v>
      </c>
      <c r="CF12" s="159">
        <f t="shared" si="55"/>
        <v>7.6901906591751992</v>
      </c>
      <c r="CG12" s="159">
        <f t="shared" si="56"/>
        <v>15.023662475779851</v>
      </c>
      <c r="CH12" s="159">
        <f t="shared" si="69"/>
        <v>7.6901906591751992</v>
      </c>
      <c r="CI12" s="159">
        <f t="shared" si="70"/>
        <v>3.7277762588093806</v>
      </c>
    </row>
    <row r="13" spans="1:87" x14ac:dyDescent="0.25">
      <c r="A13" t="str">
        <f>PLANTILLA!D15</f>
        <v>S. Buschelman</v>
      </c>
      <c r="B13" t="s">
        <v>855</v>
      </c>
      <c r="C13" s="633">
        <f>PLANTILLA!E15</f>
        <v>29</v>
      </c>
      <c r="D13" s="633">
        <f ca="1">PLANTILLA!F15</f>
        <v>57</v>
      </c>
      <c r="E13" s="633" t="str">
        <f>PLANTILLA!G15</f>
        <v>TEC</v>
      </c>
      <c r="F13" s="290">
        <v>41747</v>
      </c>
      <c r="G13" s="497">
        <v>1.5</v>
      </c>
      <c r="H13" s="498">
        <f>PLANTILLA!I15</f>
        <v>10.4</v>
      </c>
      <c r="I13" s="341"/>
      <c r="J13" s="163">
        <f>PLANTILLA!X15</f>
        <v>0</v>
      </c>
      <c r="K13" s="163">
        <f>PLANTILLA!Y15</f>
        <v>9.2036666666666651</v>
      </c>
      <c r="L13" s="163">
        <f>PLANTILLA!Z15</f>
        <v>13.759999999999998</v>
      </c>
      <c r="M13" s="163">
        <f>PLANTILLA!AA15</f>
        <v>12.835000000000001</v>
      </c>
      <c r="N13" s="163">
        <f>PLANTILLA!AB15</f>
        <v>9.6733333333333356</v>
      </c>
      <c r="O13" s="163">
        <f>PLANTILLA!AC15</f>
        <v>5.0296666666666656</v>
      </c>
      <c r="P13" s="163">
        <f>PLANTILLA!AD15</f>
        <v>15.2</v>
      </c>
      <c r="Q13" s="163">
        <f t="shared" si="57"/>
        <v>3.9437916666666668</v>
      </c>
      <c r="R13" s="163">
        <f t="shared" si="58"/>
        <v>15.421104906467074</v>
      </c>
      <c r="S13" s="163">
        <f t="shared" si="59"/>
        <v>0.70748333333333324</v>
      </c>
      <c r="T13" s="163">
        <f t="shared" si="60"/>
        <v>0.82414666666666658</v>
      </c>
      <c r="U13" s="163">
        <f t="shared" ca="1" si="0"/>
        <v>17.556044452398375</v>
      </c>
      <c r="V13" s="159">
        <f t="shared" si="1"/>
        <v>5.0335388069437794</v>
      </c>
      <c r="W13" s="159">
        <f t="shared" si="2"/>
        <v>7.5987117213796331</v>
      </c>
      <c r="X13" s="159">
        <f t="shared" si="61"/>
        <v>5.0335388069437794</v>
      </c>
      <c r="Y13" s="159">
        <f t="shared" si="3"/>
        <v>6.2228109374375604</v>
      </c>
      <c r="Z13" s="159">
        <f t="shared" si="4"/>
        <v>12.059711119065039</v>
      </c>
      <c r="AA13" s="159">
        <f t="shared" si="62"/>
        <v>3.1114054687187802</v>
      </c>
      <c r="AB13" s="159">
        <f t="shared" si="5"/>
        <v>3.9546185796708118</v>
      </c>
      <c r="AC13" s="159">
        <f t="shared" si="6"/>
        <v>4.5585708030065843</v>
      </c>
      <c r="AD13" s="159">
        <f t="shared" si="7"/>
        <v>8.7191711390840236</v>
      </c>
      <c r="AE13" s="159">
        <f t="shared" si="63"/>
        <v>2.2792854015032922</v>
      </c>
      <c r="AF13" s="159">
        <f t="shared" si="8"/>
        <v>6.3971771141733722</v>
      </c>
      <c r="AG13" s="357">
        <f t="shared" si="9"/>
        <v>11.094934229539836</v>
      </c>
      <c r="AH13" s="159">
        <f t="shared" si="10"/>
        <v>4.9927204032929255</v>
      </c>
      <c r="AI13" s="159">
        <f t="shared" si="11"/>
        <v>2.7748794235505279</v>
      </c>
      <c r="AJ13" s="357">
        <f t="shared" si="12"/>
        <v>9.2263341380102428</v>
      </c>
      <c r="AK13" s="159">
        <f t="shared" si="13"/>
        <v>9.0930221837750391</v>
      </c>
      <c r="AL13" s="159">
        <f t="shared" si="14"/>
        <v>8.5382754722980465</v>
      </c>
      <c r="AM13" s="159">
        <f t="shared" si="15"/>
        <v>3.0153594235505286</v>
      </c>
      <c r="AN13" s="159">
        <f t="shared" si="16"/>
        <v>1.9583528022907315</v>
      </c>
      <c r="AO13" s="159">
        <f t="shared" si="17"/>
        <v>3.2561220021475608</v>
      </c>
      <c r="AP13" s="159">
        <f t="shared" si="18"/>
        <v>7.1634684047246324</v>
      </c>
      <c r="AQ13" s="159">
        <f t="shared" si="64"/>
        <v>1.6280610010737804</v>
      </c>
      <c r="AR13" s="159">
        <f t="shared" si="19"/>
        <v>15.68554596306406</v>
      </c>
      <c r="AS13" s="159">
        <f t="shared" si="20"/>
        <v>1.6288191121451223</v>
      </c>
      <c r="AT13" s="159">
        <f t="shared" si="21"/>
        <v>2.8677533578860568</v>
      </c>
      <c r="AU13" s="159">
        <f t="shared" si="65"/>
        <v>0.81440955607256116</v>
      </c>
      <c r="AV13" s="159">
        <f t="shared" si="22"/>
        <v>2.2792854015032922</v>
      </c>
      <c r="AW13" s="159">
        <f t="shared" si="23"/>
        <v>4.8238844476260159</v>
      </c>
      <c r="AX13" s="159">
        <f t="shared" si="66"/>
        <v>1.1396427007516461</v>
      </c>
      <c r="AY13" s="159">
        <f t="shared" si="24"/>
        <v>16.61604445239837</v>
      </c>
      <c r="AZ13" s="159">
        <f t="shared" si="25"/>
        <v>3.1699325797901223</v>
      </c>
      <c r="BA13" s="159">
        <f t="shared" si="26"/>
        <v>5.9285171599381714</v>
      </c>
      <c r="BB13" s="159">
        <f t="shared" si="67"/>
        <v>1.5849662898950612</v>
      </c>
      <c r="BC13" s="159">
        <f t="shared" si="27"/>
        <v>3.5093759356479262</v>
      </c>
      <c r="BD13" s="159">
        <f t="shared" si="28"/>
        <v>4.1967794694346336</v>
      </c>
      <c r="BE13" s="159">
        <f t="shared" si="29"/>
        <v>14.638735162562964</v>
      </c>
      <c r="BF13" s="159">
        <f t="shared" si="30"/>
        <v>12.953413518182156</v>
      </c>
      <c r="BG13" s="159">
        <f t="shared" si="31"/>
        <v>3.0195800463613418</v>
      </c>
      <c r="BH13" s="159">
        <f t="shared" si="32"/>
        <v>5.848959892746544</v>
      </c>
      <c r="BI13" s="159">
        <f t="shared" si="33"/>
        <v>3.1837637354331703</v>
      </c>
      <c r="BJ13" s="159">
        <f t="shared" si="34"/>
        <v>6.3307129363637786</v>
      </c>
      <c r="BK13" s="159">
        <f t="shared" si="35"/>
        <v>13.07847785139618</v>
      </c>
      <c r="BL13" s="159">
        <f t="shared" si="36"/>
        <v>0.65152764485804882</v>
      </c>
      <c r="BM13" s="159">
        <f t="shared" si="37"/>
        <v>2.1707480014317069</v>
      </c>
      <c r="BN13" s="159">
        <f t="shared" si="38"/>
        <v>0.82006035609642269</v>
      </c>
      <c r="BO13" s="159">
        <f t="shared" si="39"/>
        <v>5.0678935579815025</v>
      </c>
      <c r="BP13" s="159">
        <f t="shared" si="40"/>
        <v>19.274446499117644</v>
      </c>
      <c r="BQ13" s="159">
        <f t="shared" si="41"/>
        <v>1.6914660010737808</v>
      </c>
      <c r="BR13" s="159">
        <f t="shared" si="42"/>
        <v>3.4249579578144709</v>
      </c>
      <c r="BS13" s="159">
        <f t="shared" si="43"/>
        <v>2.9425695130518692</v>
      </c>
      <c r="BT13" s="159">
        <f t="shared" si="44"/>
        <v>7.5603002258412584</v>
      </c>
      <c r="BU13" s="159">
        <f t="shared" si="45"/>
        <v>16.614230586590732</v>
      </c>
      <c r="BV13" s="159">
        <f t="shared" si="46"/>
        <v>1.5160547120735368</v>
      </c>
      <c r="BW13" s="159">
        <f t="shared" si="47"/>
        <v>3.4249579578144709</v>
      </c>
      <c r="BX13" s="159">
        <f t="shared" si="48"/>
        <v>2.9425695130518692</v>
      </c>
      <c r="BY13" s="159">
        <f t="shared" si="49"/>
        <v>10.484724049463372</v>
      </c>
      <c r="BZ13" s="159">
        <f t="shared" si="50"/>
        <v>13.433283118229879</v>
      </c>
      <c r="CA13" s="159">
        <f t="shared" si="51"/>
        <v>1.8543479122882929</v>
      </c>
      <c r="CB13" s="159">
        <f t="shared" si="52"/>
        <v>6.7461140476737382</v>
      </c>
      <c r="CC13" s="159">
        <f t="shared" si="53"/>
        <v>7.4146603825580897</v>
      </c>
      <c r="CD13" s="159">
        <f t="shared" si="54"/>
        <v>11.400821720067237</v>
      </c>
      <c r="CE13" s="159">
        <f t="shared" si="68"/>
        <v>7.4146603825580897</v>
      </c>
      <c r="CF13" s="159">
        <f t="shared" si="55"/>
        <v>7.1671773605108537</v>
      </c>
      <c r="CG13" s="159">
        <f t="shared" si="56"/>
        <v>12.509051522000039</v>
      </c>
      <c r="CH13" s="159">
        <f t="shared" si="69"/>
        <v>7.1671773605108537</v>
      </c>
      <c r="CI13" s="159">
        <f t="shared" si="70"/>
        <v>4.1540111130995925</v>
      </c>
    </row>
    <row r="14" spans="1:87" x14ac:dyDescent="0.25">
      <c r="A14" t="str">
        <f>PLANTILLA!D16</f>
        <v>C. Rojas</v>
      </c>
      <c r="B14" t="s">
        <v>855</v>
      </c>
      <c r="C14" s="633">
        <f>PLANTILLA!E16</f>
        <v>31</v>
      </c>
      <c r="D14" s="633">
        <f ca="1">PLANTILLA!F16</f>
        <v>91</v>
      </c>
      <c r="E14" s="633" t="str">
        <f>PLANTILLA!G16</f>
        <v>TEC</v>
      </c>
      <c r="F14" s="290">
        <v>41653</v>
      </c>
      <c r="G14" s="497">
        <v>1.5</v>
      </c>
      <c r="H14" s="498">
        <f>PLANTILLA!I16</f>
        <v>11</v>
      </c>
      <c r="I14" s="341"/>
      <c r="J14" s="163">
        <f>PLANTILLA!X16</f>
        <v>0</v>
      </c>
      <c r="K14" s="163">
        <f>PLANTILLA!Y16</f>
        <v>8.6175555555555583</v>
      </c>
      <c r="L14" s="163">
        <f>PLANTILLA!Z16</f>
        <v>14.238017460317453</v>
      </c>
      <c r="M14" s="163">
        <f>PLANTILLA!AA16</f>
        <v>9.99</v>
      </c>
      <c r="N14" s="163">
        <f>PLANTILLA!AB16</f>
        <v>10.09</v>
      </c>
      <c r="O14" s="163">
        <f>PLANTILLA!AC16</f>
        <v>4.3999999999999995</v>
      </c>
      <c r="P14" s="163">
        <f>PLANTILLA!AD16</f>
        <v>16.544444444444441</v>
      </c>
      <c r="Q14" s="163">
        <f t="shared" si="57"/>
        <v>3.9746944444444448</v>
      </c>
      <c r="R14" s="163">
        <f t="shared" si="58"/>
        <v>15.187081556710682</v>
      </c>
      <c r="S14" s="163">
        <f t="shared" si="59"/>
        <v>0.71633333333333327</v>
      </c>
      <c r="T14" s="163">
        <f t="shared" si="60"/>
        <v>0.84103555555555543</v>
      </c>
      <c r="U14" s="163">
        <f t="shared" ca="1" si="0"/>
        <v>18.932968024655409</v>
      </c>
      <c r="V14" s="159">
        <f t="shared" si="1"/>
        <v>4.900126418857508</v>
      </c>
      <c r="W14" s="159">
        <f t="shared" si="2"/>
        <v>7.3915450531634708</v>
      </c>
      <c r="X14" s="159">
        <f t="shared" si="61"/>
        <v>4.900126418857508</v>
      </c>
      <c r="Y14" s="159">
        <f t="shared" si="3"/>
        <v>5.9371368340555266</v>
      </c>
      <c r="Z14" s="159">
        <f t="shared" si="4"/>
        <v>11.506079135766525</v>
      </c>
      <c r="AA14" s="159">
        <f t="shared" si="62"/>
        <v>2.9685684170277633</v>
      </c>
      <c r="AB14" s="159">
        <f t="shared" si="5"/>
        <v>4.0761167676457637</v>
      </c>
      <c r="AC14" s="159">
        <f t="shared" si="6"/>
        <v>4.349297913319746</v>
      </c>
      <c r="AD14" s="159">
        <f t="shared" si="7"/>
        <v>8.3188952151591966</v>
      </c>
      <c r="AE14" s="159">
        <f t="shared" si="63"/>
        <v>2.174648956659873</v>
      </c>
      <c r="AF14" s="159">
        <f t="shared" si="8"/>
        <v>6.5937183006034417</v>
      </c>
      <c r="AG14" s="357">
        <f t="shared" si="9"/>
        <v>10.585592804905204</v>
      </c>
      <c r="AH14" s="159">
        <f t="shared" si="10"/>
        <v>4.7635167622073409</v>
      </c>
      <c r="AI14" s="159">
        <f t="shared" si="11"/>
        <v>2.8601323537682464</v>
      </c>
      <c r="AJ14" s="357">
        <f t="shared" si="12"/>
        <v>7.5725718651640479</v>
      </c>
      <c r="AK14" s="159">
        <f t="shared" si="13"/>
        <v>8.6755836683679597</v>
      </c>
      <c r="AL14" s="159">
        <f t="shared" si="14"/>
        <v>8.1463040281226995</v>
      </c>
      <c r="AM14" s="159">
        <f t="shared" si="15"/>
        <v>3.2453056601174537</v>
      </c>
      <c r="AN14" s="159">
        <f t="shared" si="16"/>
        <v>1.9766067911007585</v>
      </c>
      <c r="AO14" s="159">
        <f t="shared" si="17"/>
        <v>3.1066413666569619</v>
      </c>
      <c r="AP14" s="159">
        <f t="shared" si="18"/>
        <v>6.8346110066453152</v>
      </c>
      <c r="AQ14" s="159">
        <f t="shared" si="64"/>
        <v>1.5533206833284809</v>
      </c>
      <c r="AR14" s="159">
        <f t="shared" si="19"/>
        <v>16.167454742258826</v>
      </c>
      <c r="AS14" s="159">
        <f t="shared" si="20"/>
        <v>1.6872080654274257</v>
      </c>
      <c r="AT14" s="159">
        <f t="shared" si="21"/>
        <v>2.818337409001813</v>
      </c>
      <c r="AU14" s="159">
        <f t="shared" si="65"/>
        <v>0.84360403271371287</v>
      </c>
      <c r="AV14" s="159">
        <f t="shared" si="22"/>
        <v>2.174648956659873</v>
      </c>
      <c r="AW14" s="159">
        <f t="shared" si="23"/>
        <v>4.6024316543066099</v>
      </c>
      <c r="AX14" s="159">
        <f t="shared" si="66"/>
        <v>1.0873244783299365</v>
      </c>
      <c r="AY14" s="159">
        <f t="shared" si="24"/>
        <v>17.126541040528419</v>
      </c>
      <c r="AZ14" s="159">
        <f t="shared" si="25"/>
        <v>3.2835664657933745</v>
      </c>
      <c r="BA14" s="159">
        <f t="shared" si="26"/>
        <v>5.9562664926962432</v>
      </c>
      <c r="BB14" s="159">
        <f t="shared" si="67"/>
        <v>1.6417832328966873</v>
      </c>
      <c r="BC14" s="159">
        <f t="shared" si="27"/>
        <v>3.3482690285080583</v>
      </c>
      <c r="BD14" s="159">
        <f t="shared" si="28"/>
        <v>4.00411553924675</v>
      </c>
      <c r="BE14" s="159">
        <f t="shared" si="29"/>
        <v>15.088482656705537</v>
      </c>
      <c r="BF14" s="159">
        <f t="shared" si="30"/>
        <v>11.480507462807548</v>
      </c>
      <c r="BG14" s="159">
        <f t="shared" si="31"/>
        <v>3.1278241828308428</v>
      </c>
      <c r="BH14" s="159">
        <f t="shared" si="32"/>
        <v>5.5804483808467644</v>
      </c>
      <c r="BI14" s="159">
        <f t="shared" si="33"/>
        <v>3.0376048918423626</v>
      </c>
      <c r="BJ14" s="159">
        <f t="shared" si="34"/>
        <v>6.5252121364413282</v>
      </c>
      <c r="BK14" s="159">
        <f t="shared" si="35"/>
        <v>11.275929609104386</v>
      </c>
      <c r="BL14" s="159">
        <f t="shared" si="36"/>
        <v>0.67488322617097019</v>
      </c>
      <c r="BM14" s="159">
        <f t="shared" si="37"/>
        <v>2.0710942444379743</v>
      </c>
      <c r="BN14" s="159">
        <f t="shared" si="38"/>
        <v>0.78241338123212378</v>
      </c>
      <c r="BO14" s="159">
        <f t="shared" si="39"/>
        <v>5.223595017361168</v>
      </c>
      <c r="BP14" s="159">
        <f t="shared" si="40"/>
        <v>16.590381324151302</v>
      </c>
      <c r="BQ14" s="159">
        <f t="shared" si="41"/>
        <v>1.7521006833284807</v>
      </c>
      <c r="BR14" s="159">
        <f t="shared" si="42"/>
        <v>3.2677264745576928</v>
      </c>
      <c r="BS14" s="159">
        <f t="shared" si="43"/>
        <v>2.8074833091270319</v>
      </c>
      <c r="BT14" s="159">
        <f t="shared" si="44"/>
        <v>7.7925761734404313</v>
      </c>
      <c r="BU14" s="159">
        <f t="shared" si="45"/>
        <v>14.293804126873752</v>
      </c>
      <c r="BV14" s="159">
        <f t="shared" si="46"/>
        <v>1.570401353205527</v>
      </c>
      <c r="BW14" s="159">
        <f t="shared" si="47"/>
        <v>3.2677264745576928</v>
      </c>
      <c r="BX14" s="159">
        <f t="shared" si="48"/>
        <v>2.8074833091270319</v>
      </c>
      <c r="BY14" s="159">
        <f t="shared" si="49"/>
        <v>10.806847396573433</v>
      </c>
      <c r="BZ14" s="159">
        <f t="shared" si="50"/>
        <v>11.545578604288814</v>
      </c>
      <c r="CA14" s="159">
        <f t="shared" si="51"/>
        <v>1.920821489871223</v>
      </c>
      <c r="CB14" s="159">
        <f t="shared" si="52"/>
        <v>6.9533756624545386</v>
      </c>
      <c r="CC14" s="159">
        <f t="shared" si="53"/>
        <v>7.0624626717067915</v>
      </c>
      <c r="CD14" s="159">
        <f t="shared" si="54"/>
        <v>11.296547551317548</v>
      </c>
      <c r="CE14" s="159">
        <f t="shared" si="68"/>
        <v>7.0624626717067915</v>
      </c>
      <c r="CF14" s="159">
        <f t="shared" si="55"/>
        <v>6.454120190471432</v>
      </c>
      <c r="CG14" s="159">
        <f t="shared" si="56"/>
        <v>12.077598781308811</v>
      </c>
      <c r="CH14" s="159">
        <f t="shared" si="69"/>
        <v>6.454120190471432</v>
      </c>
      <c r="CI14" s="159">
        <f t="shared" si="70"/>
        <v>4.2816352601321048</v>
      </c>
    </row>
    <row r="15" spans="1:87" x14ac:dyDescent="0.25">
      <c r="A15" t="str">
        <f>PLANTILLA!D17</f>
        <v>E. Gross</v>
      </c>
      <c r="B15" t="s">
        <v>855</v>
      </c>
      <c r="C15" s="633">
        <f>PLANTILLA!E17</f>
        <v>30</v>
      </c>
      <c r="D15" s="633">
        <f ca="1">PLANTILLA!F17</f>
        <v>85</v>
      </c>
      <c r="E15" s="633"/>
      <c r="F15" s="290">
        <v>41552</v>
      </c>
      <c r="G15" s="497">
        <v>1.5</v>
      </c>
      <c r="H15" s="498">
        <f>PLANTILLA!I17</f>
        <v>9.1</v>
      </c>
      <c r="I15" s="341"/>
      <c r="J15" s="163">
        <f>PLANTILLA!X17</f>
        <v>0</v>
      </c>
      <c r="K15" s="163">
        <f>PLANTILLA!Y17</f>
        <v>10.449999999999996</v>
      </c>
      <c r="L15" s="163">
        <f>PLANTILLA!Z17</f>
        <v>12.869777777777777</v>
      </c>
      <c r="M15" s="163">
        <f>PLANTILLA!AA17</f>
        <v>5.1299999999999981</v>
      </c>
      <c r="N15" s="163">
        <f>PLANTILLA!AB17</f>
        <v>9.24</v>
      </c>
      <c r="O15" s="163">
        <f>PLANTILLA!AC17</f>
        <v>2.98</v>
      </c>
      <c r="P15" s="163">
        <f>PLANTILLA!AD17</f>
        <v>16.959999999999997</v>
      </c>
      <c r="Q15" s="163">
        <f t="shared" si="57"/>
        <v>3.9912499999999995</v>
      </c>
      <c r="R15" s="163">
        <f t="shared" si="58"/>
        <v>12.815775302706152</v>
      </c>
      <c r="S15" s="163">
        <f t="shared" si="59"/>
        <v>0.65779999999999994</v>
      </c>
      <c r="T15" s="163">
        <f t="shared" si="60"/>
        <v>0.92679999999999974</v>
      </c>
      <c r="U15" s="163">
        <f t="shared" ca="1" si="0"/>
        <v>19.238721856428121</v>
      </c>
      <c r="V15" s="159">
        <f t="shared" si="1"/>
        <v>5.3100241806617516</v>
      </c>
      <c r="W15" s="159">
        <f t="shared" si="2"/>
        <v>8.0285799166487077</v>
      </c>
      <c r="X15" s="159">
        <f t="shared" si="61"/>
        <v>5.3100241806617516</v>
      </c>
      <c r="Y15" s="159">
        <f t="shared" si="3"/>
        <v>6.8260204779169102</v>
      </c>
      <c r="Z15" s="159">
        <f t="shared" si="4"/>
        <v>13.22872185642812</v>
      </c>
      <c r="AA15" s="159">
        <f t="shared" si="62"/>
        <v>3.4130102389584551</v>
      </c>
      <c r="AB15" s="159">
        <f t="shared" si="5"/>
        <v>3.7243429129410042</v>
      </c>
      <c r="AC15" s="159">
        <f t="shared" si="6"/>
        <v>5.0004568617298295</v>
      </c>
      <c r="AD15" s="159">
        <f t="shared" si="7"/>
        <v>9.5643659021975296</v>
      </c>
      <c r="AE15" s="159">
        <f t="shared" si="63"/>
        <v>2.5002284308649148</v>
      </c>
      <c r="AF15" s="159">
        <f t="shared" si="8"/>
        <v>6.0246723591692719</v>
      </c>
      <c r="AG15" s="357">
        <f t="shared" si="9"/>
        <v>12.17042410791387</v>
      </c>
      <c r="AH15" s="159">
        <f t="shared" si="10"/>
        <v>5.4766908485612413</v>
      </c>
      <c r="AI15" s="159">
        <f t="shared" si="11"/>
        <v>2.6132994389123856</v>
      </c>
      <c r="AJ15" s="357">
        <f t="shared" si="12"/>
        <v>4.6503284515797363</v>
      </c>
      <c r="AK15" s="159">
        <f t="shared" si="13"/>
        <v>9.9744562797468017</v>
      </c>
      <c r="AL15" s="159">
        <f t="shared" si="14"/>
        <v>9.3659350743511087</v>
      </c>
      <c r="AM15" s="159">
        <f t="shared" si="15"/>
        <v>3.2963665500234964</v>
      </c>
      <c r="AN15" s="159">
        <f t="shared" si="16"/>
        <v>1.9497518946512995</v>
      </c>
      <c r="AO15" s="159">
        <f t="shared" si="17"/>
        <v>3.5717549012355927</v>
      </c>
      <c r="AP15" s="159">
        <f t="shared" si="18"/>
        <v>7.8578607827183031</v>
      </c>
      <c r="AQ15" s="159">
        <f t="shared" si="64"/>
        <v>1.7858774506177963</v>
      </c>
      <c r="AR15" s="159">
        <f t="shared" si="19"/>
        <v>14.77218365469037</v>
      </c>
      <c r="AS15" s="159">
        <f t="shared" si="20"/>
        <v>1.5624338413356562</v>
      </c>
      <c r="AT15" s="159">
        <f t="shared" si="21"/>
        <v>2.4385055039334405</v>
      </c>
      <c r="AU15" s="159">
        <f t="shared" si="65"/>
        <v>0.78121692066782811</v>
      </c>
      <c r="AV15" s="159">
        <f t="shared" si="22"/>
        <v>2.5002284308649148</v>
      </c>
      <c r="AW15" s="159">
        <f t="shared" si="23"/>
        <v>5.2914887425712482</v>
      </c>
      <c r="AX15" s="159">
        <f t="shared" si="66"/>
        <v>1.2501142154324574</v>
      </c>
      <c r="AY15" s="159">
        <f t="shared" si="24"/>
        <v>15.648499634205901</v>
      </c>
      <c r="AZ15" s="159">
        <f t="shared" si="25"/>
        <v>3.0407366296763154</v>
      </c>
      <c r="BA15" s="159">
        <f t="shared" si="26"/>
        <v>5.3077157428918973</v>
      </c>
      <c r="BB15" s="159">
        <f t="shared" si="67"/>
        <v>1.5203683148381577</v>
      </c>
      <c r="BC15" s="159">
        <f t="shared" si="27"/>
        <v>3.8495580602205828</v>
      </c>
      <c r="BD15" s="159">
        <f t="shared" si="28"/>
        <v>4.6035952060369851</v>
      </c>
      <c r="BE15" s="159">
        <f t="shared" si="29"/>
        <v>13.786328177735399</v>
      </c>
      <c r="BF15" s="159">
        <f t="shared" si="30"/>
        <v>8.325503730364602</v>
      </c>
      <c r="BG15" s="159">
        <f t="shared" si="31"/>
        <v>2.8965119673991779</v>
      </c>
      <c r="BH15" s="159">
        <f t="shared" si="32"/>
        <v>6.4159301003676381</v>
      </c>
      <c r="BI15" s="159">
        <f t="shared" si="33"/>
        <v>3.4923825700970239</v>
      </c>
      <c r="BJ15" s="159">
        <f t="shared" si="34"/>
        <v>5.9620783606324483</v>
      </c>
      <c r="BK15" s="159">
        <f t="shared" si="35"/>
        <v>7.73833290251818</v>
      </c>
      <c r="BL15" s="159">
        <f t="shared" si="36"/>
        <v>0.62497353653426246</v>
      </c>
      <c r="BM15" s="159">
        <f t="shared" si="37"/>
        <v>2.3811699341570614</v>
      </c>
      <c r="BN15" s="159">
        <f t="shared" si="38"/>
        <v>0.89955308623711216</v>
      </c>
      <c r="BO15" s="159">
        <f t="shared" si="39"/>
        <v>4.7727923884327996</v>
      </c>
      <c r="BP15" s="159">
        <f t="shared" si="40"/>
        <v>11.346076307366566</v>
      </c>
      <c r="BQ15" s="159">
        <f t="shared" si="41"/>
        <v>1.6225274506177969</v>
      </c>
      <c r="BR15" s="159">
        <f t="shared" si="42"/>
        <v>3.7569570072255858</v>
      </c>
      <c r="BS15" s="159">
        <f t="shared" si="43"/>
        <v>3.2278081329684611</v>
      </c>
      <c r="BT15" s="159">
        <f t="shared" si="44"/>
        <v>7.1200673335636857</v>
      </c>
      <c r="BU15" s="159">
        <f t="shared" si="45"/>
        <v>9.7657038169223611</v>
      </c>
      <c r="BV15" s="159">
        <f t="shared" si="46"/>
        <v>1.4542653446278029</v>
      </c>
      <c r="BW15" s="159">
        <f t="shared" si="47"/>
        <v>3.7569570072255858</v>
      </c>
      <c r="BX15" s="159">
        <f t="shared" si="48"/>
        <v>3.2278081329684611</v>
      </c>
      <c r="BY15" s="159">
        <f t="shared" si="49"/>
        <v>9.8742032691839245</v>
      </c>
      <c r="BZ15" s="159">
        <f t="shared" si="50"/>
        <v>7.8715360615031704</v>
      </c>
      <c r="CA15" s="159">
        <f t="shared" si="51"/>
        <v>1.7787708347513622</v>
      </c>
      <c r="CB15" s="159">
        <f t="shared" si="52"/>
        <v>6.3532908514875963</v>
      </c>
      <c r="CC15" s="159">
        <f t="shared" si="53"/>
        <v>4.8748940871990527</v>
      </c>
      <c r="CD15" s="159">
        <f t="shared" si="54"/>
        <v>9.8835008103380684</v>
      </c>
      <c r="CE15" s="159">
        <f t="shared" si="68"/>
        <v>4.8748940871990527</v>
      </c>
      <c r="CF15" s="159">
        <f t="shared" si="55"/>
        <v>4.8217537165547206</v>
      </c>
      <c r="CG15" s="159">
        <f t="shared" si="56"/>
        <v>10.193630221450103</v>
      </c>
      <c r="CH15" s="159">
        <f t="shared" si="69"/>
        <v>4.8217537165547206</v>
      </c>
      <c r="CI15" s="159">
        <f t="shared" si="70"/>
        <v>3.9121249085514753</v>
      </c>
    </row>
    <row r="16" spans="1:87" x14ac:dyDescent="0.25">
      <c r="A16" t="str">
        <f>PLANTILLA!D18</f>
        <v>L. Bauman</v>
      </c>
      <c r="B16" t="s">
        <v>855</v>
      </c>
      <c r="C16" s="633">
        <f>PLANTILLA!E18</f>
        <v>30</v>
      </c>
      <c r="D16" s="633">
        <f ca="1">PLANTILLA!F18</f>
        <v>60</v>
      </c>
      <c r="E16" s="633"/>
      <c r="F16" s="290">
        <v>41686</v>
      </c>
      <c r="G16" s="497">
        <v>1.5</v>
      </c>
      <c r="H16" s="498">
        <f>PLANTILLA!I18</f>
        <v>8.1</v>
      </c>
      <c r="I16" s="341"/>
      <c r="J16" s="163">
        <f>PLANTILLA!X18</f>
        <v>0</v>
      </c>
      <c r="K16" s="163">
        <f>PLANTILLA!Y18</f>
        <v>5.4311111111111119</v>
      </c>
      <c r="L16" s="163">
        <f>PLANTILLA!Z18</f>
        <v>14.331408994708985</v>
      </c>
      <c r="M16" s="163">
        <f>PLANTILLA!AA18</f>
        <v>3.5124999999999993</v>
      </c>
      <c r="N16" s="163">
        <f>PLANTILLA!AB18</f>
        <v>9.1400000000000041</v>
      </c>
      <c r="O16" s="163">
        <f>PLANTILLA!AC18</f>
        <v>7.4318888888888894</v>
      </c>
      <c r="P16" s="163">
        <f>PLANTILLA!AD18</f>
        <v>16.07</v>
      </c>
      <c r="Q16" s="163">
        <f t="shared" si="57"/>
        <v>3.3388888888888899</v>
      </c>
      <c r="R16" s="163">
        <f t="shared" si="58"/>
        <v>19.567438077851307</v>
      </c>
      <c r="S16" s="163">
        <f t="shared" si="59"/>
        <v>0.85369444444444442</v>
      </c>
      <c r="T16" s="163">
        <f t="shared" si="60"/>
        <v>0.69934444444444444</v>
      </c>
      <c r="U16" s="163">
        <f t="shared" ca="1" si="0"/>
        <v>18.281313358504867</v>
      </c>
      <c r="V16" s="159">
        <f t="shared" si="1"/>
        <v>3.865963228641415</v>
      </c>
      <c r="W16" s="159">
        <f t="shared" si="2"/>
        <v>5.8085277680520049</v>
      </c>
      <c r="X16" s="159">
        <f t="shared" si="61"/>
        <v>3.865963228641415</v>
      </c>
      <c r="Y16" s="159">
        <f t="shared" si="3"/>
        <v>4.201491026321845</v>
      </c>
      <c r="Z16" s="159">
        <f t="shared" si="4"/>
        <v>8.1424244696159782</v>
      </c>
      <c r="AA16" s="159">
        <f t="shared" si="62"/>
        <v>2.1007455131609225</v>
      </c>
      <c r="AB16" s="159">
        <f t="shared" si="5"/>
        <v>4.0561679200648966</v>
      </c>
      <c r="AC16" s="159">
        <f t="shared" si="6"/>
        <v>3.0778364495148396</v>
      </c>
      <c r="AD16" s="159">
        <f t="shared" si="7"/>
        <v>5.886972891532352</v>
      </c>
      <c r="AE16" s="159">
        <f t="shared" si="63"/>
        <v>1.5389182247574198</v>
      </c>
      <c r="AF16" s="159">
        <f t="shared" si="8"/>
        <v>6.5614481059873322</v>
      </c>
      <c r="AG16" s="357">
        <f t="shared" si="9"/>
        <v>7.4910305120467005</v>
      </c>
      <c r="AH16" s="159">
        <f t="shared" si="10"/>
        <v>3.3709637304210149</v>
      </c>
      <c r="AI16" s="159">
        <f t="shared" si="11"/>
        <v>2.846134632986713</v>
      </c>
      <c r="AJ16" s="357">
        <f t="shared" si="12"/>
        <v>3.6596022548008609</v>
      </c>
      <c r="AK16" s="159">
        <f t="shared" si="13"/>
        <v>6.1393880500904476</v>
      </c>
      <c r="AL16" s="159">
        <f t="shared" si="14"/>
        <v>5.7648365244881123</v>
      </c>
      <c r="AM16" s="159">
        <f t="shared" si="15"/>
        <v>3.1364793308703129</v>
      </c>
      <c r="AN16" s="159">
        <f t="shared" si="16"/>
        <v>1.7424582472494017</v>
      </c>
      <c r="AO16" s="159">
        <f t="shared" si="17"/>
        <v>2.1984546067963144</v>
      </c>
      <c r="AP16" s="159">
        <f t="shared" si="18"/>
        <v>4.8366001349518912</v>
      </c>
      <c r="AQ16" s="159">
        <f t="shared" si="64"/>
        <v>1.0992273033981572</v>
      </c>
      <c r="AR16" s="159">
        <f t="shared" si="19"/>
        <v>16.088329901433873</v>
      </c>
      <c r="AS16" s="159">
        <f t="shared" si="20"/>
        <v>1.5406707366056334</v>
      </c>
      <c r="AT16" s="159">
        <f t="shared" si="21"/>
        <v>3.1769315918197041</v>
      </c>
      <c r="AU16" s="159">
        <f t="shared" si="65"/>
        <v>0.77033536830281668</v>
      </c>
      <c r="AV16" s="159">
        <f t="shared" si="22"/>
        <v>1.5389182247574198</v>
      </c>
      <c r="AW16" s="159">
        <f t="shared" si="23"/>
        <v>3.2569697878463915</v>
      </c>
      <c r="AX16" s="159">
        <f t="shared" si="66"/>
        <v>0.7694591123787099</v>
      </c>
      <c r="AY16" s="159">
        <f t="shared" si="24"/>
        <v>17.042722353213851</v>
      </c>
      <c r="AZ16" s="159">
        <f t="shared" si="25"/>
        <v>2.9983822797017323</v>
      </c>
      <c r="BA16" s="159">
        <f t="shared" si="26"/>
        <v>6.1713703272028502</v>
      </c>
      <c r="BB16" s="159">
        <f t="shared" si="67"/>
        <v>1.4991911398508662</v>
      </c>
      <c r="BC16" s="159">
        <f t="shared" si="27"/>
        <v>2.3694455206582496</v>
      </c>
      <c r="BD16" s="159">
        <f t="shared" si="28"/>
        <v>2.8335637154263602</v>
      </c>
      <c r="BE16" s="159">
        <f t="shared" si="29"/>
        <v>15.014638393181402</v>
      </c>
      <c r="BF16" s="159">
        <f t="shared" si="30"/>
        <v>7.3056325757108267</v>
      </c>
      <c r="BG16" s="159">
        <f t="shared" si="31"/>
        <v>2.8561665193996739</v>
      </c>
      <c r="BH16" s="159">
        <f t="shared" si="32"/>
        <v>3.9490758677637494</v>
      </c>
      <c r="BI16" s="159">
        <f t="shared" si="33"/>
        <v>2.1496000599786185</v>
      </c>
      <c r="BJ16" s="159">
        <f t="shared" si="34"/>
        <v>6.4932772165744774</v>
      </c>
      <c r="BK16" s="159">
        <f t="shared" si="35"/>
        <v>6.5707403753332549</v>
      </c>
      <c r="BL16" s="159">
        <f t="shared" si="36"/>
        <v>0.6162682946422533</v>
      </c>
      <c r="BM16" s="159">
        <f t="shared" si="37"/>
        <v>1.4656364045308761</v>
      </c>
      <c r="BN16" s="159">
        <f t="shared" si="38"/>
        <v>0.55368486393388661</v>
      </c>
      <c r="BO16" s="159">
        <f t="shared" si="39"/>
        <v>5.1980303177302245</v>
      </c>
      <c r="BP16" s="159">
        <f t="shared" si="40"/>
        <v>9.6132889790372591</v>
      </c>
      <c r="BQ16" s="159">
        <f t="shared" si="41"/>
        <v>1.5999273033981578</v>
      </c>
      <c r="BR16" s="159">
        <f t="shared" si="42"/>
        <v>2.3124485493709375</v>
      </c>
      <c r="BS16" s="159">
        <f t="shared" si="43"/>
        <v>1.9867515705862986</v>
      </c>
      <c r="BT16" s="159">
        <f t="shared" si="44"/>
        <v>7.7544386707123021</v>
      </c>
      <c r="BU16" s="159">
        <f t="shared" si="45"/>
        <v>8.2690952012233918</v>
      </c>
      <c r="BV16" s="159">
        <f t="shared" si="46"/>
        <v>1.4340089163790894</v>
      </c>
      <c r="BW16" s="159">
        <f t="shared" si="47"/>
        <v>2.3124485493709375</v>
      </c>
      <c r="BX16" s="159">
        <f t="shared" si="48"/>
        <v>1.9867515705862986</v>
      </c>
      <c r="BY16" s="159">
        <f t="shared" si="49"/>
        <v>10.75395780487794</v>
      </c>
      <c r="BZ16" s="159">
        <f t="shared" si="50"/>
        <v>6.6564204558618556</v>
      </c>
      <c r="CA16" s="159">
        <f t="shared" si="51"/>
        <v>1.753994377058721</v>
      </c>
      <c r="CB16" s="159">
        <f t="shared" si="52"/>
        <v>6.9193452754048241</v>
      </c>
      <c r="CC16" s="159">
        <f t="shared" si="53"/>
        <v>5.147244148669925</v>
      </c>
      <c r="CD16" s="159">
        <f t="shared" si="54"/>
        <v>12.348750063898706</v>
      </c>
      <c r="CE16" s="159">
        <f t="shared" si="68"/>
        <v>5.147244148669925</v>
      </c>
      <c r="CF16" s="159">
        <f t="shared" si="55"/>
        <v>5.5655818334596434</v>
      </c>
      <c r="CG16" s="159">
        <f t="shared" si="56"/>
        <v>14.516336876682054</v>
      </c>
      <c r="CH16" s="159">
        <f t="shared" si="69"/>
        <v>5.5655818334596434</v>
      </c>
      <c r="CI16" s="159">
        <f t="shared" si="70"/>
        <v>4.2606805883034626</v>
      </c>
    </row>
    <row r="17" spans="1:87" x14ac:dyDescent="0.25">
      <c r="A17" t="str">
        <f>PLANTILLA!D19</f>
        <v>W. Gelifini</v>
      </c>
      <c r="B17" t="s">
        <v>855</v>
      </c>
      <c r="C17" s="633">
        <f>PLANTILLA!E19</f>
        <v>29</v>
      </c>
      <c r="D17" s="633">
        <f ca="1">PLANTILLA!F19</f>
        <v>10</v>
      </c>
      <c r="E17" s="633"/>
      <c r="F17" s="290">
        <v>41737</v>
      </c>
      <c r="G17" s="497">
        <v>1.5</v>
      </c>
      <c r="H17" s="498">
        <f>PLANTILLA!I19</f>
        <v>4</v>
      </c>
      <c r="I17" s="341"/>
      <c r="J17" s="163">
        <f>PLANTILLA!X19</f>
        <v>0</v>
      </c>
      <c r="K17" s="163">
        <f>PLANTILLA!Y19</f>
        <v>5.6515555555555519</v>
      </c>
      <c r="L17" s="163">
        <f>PLANTILLA!Z19</f>
        <v>9.8623388888888872</v>
      </c>
      <c r="M17" s="163">
        <f>PLANTILLA!AA19</f>
        <v>7.0726666666666667</v>
      </c>
      <c r="N17" s="163">
        <f>PLANTILLA!AB19</f>
        <v>9.2666666666666639</v>
      </c>
      <c r="O17" s="163">
        <f>PLANTILLA!AC19</f>
        <v>3.5417777777777766</v>
      </c>
      <c r="P17" s="163">
        <f>PLANTILLA!AD19</f>
        <v>12.450000000000001</v>
      </c>
      <c r="Q17" s="163">
        <f t="shared" si="57"/>
        <v>3.3981111111111098</v>
      </c>
      <c r="R17" s="163">
        <f t="shared" si="58"/>
        <v>10.215921218890843</v>
      </c>
      <c r="S17" s="163">
        <f t="shared" si="59"/>
        <v>0.55058888888888879</v>
      </c>
      <c r="T17" s="163">
        <f t="shared" si="60"/>
        <v>0.59956222222222211</v>
      </c>
      <c r="U17" s="163">
        <f t="shared" ca="1" si="0"/>
        <v>14.252746655103952</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2.8952903594702954</v>
      </c>
      <c r="AC17" s="159">
        <f t="shared" si="6"/>
        <v>3.0067262356292916</v>
      </c>
      <c r="AD17" s="159">
        <f t="shared" si="7"/>
        <v>5.7509604983068199</v>
      </c>
      <c r="AE17" s="159">
        <f t="shared" si="63"/>
        <v>1.5033631178146458</v>
      </c>
      <c r="AF17" s="159">
        <f t="shared" si="8"/>
        <v>4.6835579344372427</v>
      </c>
      <c r="AG17" s="357">
        <f t="shared" si="9"/>
        <v>7.3179580338067414</v>
      </c>
      <c r="AH17" s="159">
        <f t="shared" si="10"/>
        <v>3.2930811152130337</v>
      </c>
      <c r="AI17" s="159">
        <f t="shared" si="11"/>
        <v>2.0315692858468042</v>
      </c>
      <c r="AJ17" s="357">
        <f t="shared" si="12"/>
        <v>5.5127430332011222</v>
      </c>
      <c r="AK17" s="159">
        <f t="shared" si="13"/>
        <v>5.9975438668372645</v>
      </c>
      <c r="AL17" s="159">
        <f t="shared" si="14"/>
        <v>5.6316459651469266</v>
      </c>
      <c r="AM17" s="159">
        <f t="shared" si="15"/>
        <v>2.4637086914023603</v>
      </c>
      <c r="AN17" s="159">
        <f t="shared" si="16"/>
        <v>1.6418470366699369</v>
      </c>
      <c r="AO17" s="159">
        <f t="shared" si="17"/>
        <v>2.1476615968780655</v>
      </c>
      <c r="AP17" s="159">
        <f t="shared" si="18"/>
        <v>4.724855513131744</v>
      </c>
      <c r="AQ17" s="159">
        <f t="shared" si="64"/>
        <v>1.0738307984390327</v>
      </c>
      <c r="AR17" s="159">
        <f t="shared" si="19"/>
        <v>11.483840753529238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12.165085543992838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10.717440364257691</v>
      </c>
      <c r="BF17" s="159">
        <f t="shared" si="30"/>
        <v>9.0258524430540774</v>
      </c>
      <c r="BG17" s="159">
        <f t="shared" si="31"/>
        <v>2.7882286105467182</v>
      </c>
      <c r="BH17" s="159">
        <f t="shared" si="32"/>
        <v>3.857836572169858</v>
      </c>
      <c r="BI17" s="159">
        <f t="shared" si="33"/>
        <v>2.0999357836141086</v>
      </c>
      <c r="BJ17" s="159">
        <f t="shared" si="34"/>
        <v>4.6348975922612716</v>
      </c>
      <c r="BK17" s="159">
        <f t="shared" si="35"/>
        <v>8.6351052432275193</v>
      </c>
      <c r="BL17" s="159">
        <f t="shared" si="36"/>
        <v>0.60160949273207198</v>
      </c>
      <c r="BM17" s="159">
        <f t="shared" si="37"/>
        <v>1.4317743979187103</v>
      </c>
      <c r="BN17" s="159">
        <f t="shared" si="38"/>
        <v>0.54089255032484618</v>
      </c>
      <c r="BO17" s="159">
        <f t="shared" si="39"/>
        <v>3.7103510909178152</v>
      </c>
      <c r="BP17" s="159">
        <f t="shared" si="40"/>
        <v>12.684265531797013</v>
      </c>
      <c r="BQ17" s="159">
        <f t="shared" si="41"/>
        <v>1.561870798439033</v>
      </c>
      <c r="BR17" s="159">
        <f t="shared" si="42"/>
        <v>2.2590218278272984</v>
      </c>
      <c r="BS17" s="159">
        <f t="shared" si="43"/>
        <v>1.9408497394009183</v>
      </c>
      <c r="BT17" s="159">
        <f t="shared" si="44"/>
        <v>5.5351139225167412</v>
      </c>
      <c r="BU17" s="159">
        <f t="shared" si="45"/>
        <v>10.923293960521843</v>
      </c>
      <c r="BV17" s="159">
        <f t="shared" si="46"/>
        <v>1.3998990119342443</v>
      </c>
      <c r="BW17" s="159">
        <f t="shared" si="47"/>
        <v>2.2590218278272984</v>
      </c>
      <c r="BX17" s="159">
        <f t="shared" si="48"/>
        <v>1.9408497394009183</v>
      </c>
      <c r="BY17" s="159">
        <f t="shared" si="49"/>
        <v>7.6761689782594811</v>
      </c>
      <c r="BZ17" s="159">
        <f t="shared" si="50"/>
        <v>8.8144369229847008</v>
      </c>
      <c r="CA17" s="159">
        <f t="shared" si="51"/>
        <v>1.7122731716220509</v>
      </c>
      <c r="CB17" s="159">
        <f t="shared" si="52"/>
        <v>4.9390247308610924</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3.0412713859982095</v>
      </c>
    </row>
    <row r="18" spans="1:87" x14ac:dyDescent="0.25">
      <c r="A18" t="str">
        <f>PLANTILLA!D20</f>
        <v>M. Amico</v>
      </c>
      <c r="B18" t="s">
        <v>855</v>
      </c>
      <c r="C18" s="633">
        <f>PLANTILLA!E20</f>
        <v>29</v>
      </c>
      <c r="D18" s="633">
        <f ca="1">PLANTILLA!F20</f>
        <v>17</v>
      </c>
      <c r="E18" s="633" t="str">
        <f>PLANTILLA!G20</f>
        <v>IMP</v>
      </c>
      <c r="F18" s="290">
        <v>41730</v>
      </c>
      <c r="G18" s="497">
        <v>1.5</v>
      </c>
      <c r="H18" s="498">
        <f>PLANTILLA!I20</f>
        <v>1.2</v>
      </c>
      <c r="I18" s="341"/>
      <c r="J18" s="163">
        <f>PLANTILLA!X20</f>
        <v>0</v>
      </c>
      <c r="K18" s="163">
        <f>PLANTILLA!Y20</f>
        <v>2.4961111111111101</v>
      </c>
      <c r="L18" s="163">
        <f>PLANTILLA!Z20</f>
        <v>7.3299999999999974</v>
      </c>
      <c r="M18" s="163">
        <f>PLANTILLA!AA20</f>
        <v>4.17</v>
      </c>
      <c r="N18" s="163">
        <f>PLANTILLA!AB20</f>
        <v>7.2649999999999988</v>
      </c>
      <c r="O18" s="163">
        <f>PLANTILLA!AC20</f>
        <v>4.3299999999999983</v>
      </c>
      <c r="P18" s="163">
        <f>PLANTILLA!AD20</f>
        <v>9.5</v>
      </c>
      <c r="Q18" s="163">
        <f t="shared" si="57"/>
        <v>2.5032638888888883</v>
      </c>
      <c r="R18" s="163">
        <f t="shared" si="58"/>
        <v>8.3611207383536659</v>
      </c>
      <c r="S18" s="163">
        <f t="shared" si="59"/>
        <v>0.50149999999999983</v>
      </c>
      <c r="T18" s="163">
        <f t="shared" si="60"/>
        <v>0.38484444444444443</v>
      </c>
      <c r="U18" s="163">
        <f t="shared" ca="1" si="0"/>
        <v>10.605574994730166</v>
      </c>
      <c r="V18" s="159">
        <f t="shared" si="1"/>
        <v>2.0905936370661018</v>
      </c>
      <c r="W18" s="159">
        <f t="shared" si="2"/>
        <v>3.1336445404188664</v>
      </c>
      <c r="X18" s="159">
        <f t="shared" si="61"/>
        <v>2.0905936370661018</v>
      </c>
      <c r="Y18" s="159">
        <f t="shared" si="3"/>
        <v>2.1164700306140984</v>
      </c>
      <c r="Z18" s="159">
        <f t="shared" si="4"/>
        <v>4.1016861058412761</v>
      </c>
      <c r="AA18" s="159">
        <f t="shared" si="62"/>
        <v>1.0582350153070492</v>
      </c>
      <c r="AB18" s="159">
        <f t="shared" si="5"/>
        <v>2.1266668487457787</v>
      </c>
      <c r="AC18" s="159">
        <f t="shared" si="6"/>
        <v>1.5504373480080025</v>
      </c>
      <c r="AD18" s="159">
        <f t="shared" si="7"/>
        <v>2.9655190545232424</v>
      </c>
      <c r="AE18" s="159">
        <f t="shared" si="63"/>
        <v>0.77521867400400124</v>
      </c>
      <c r="AF18" s="159">
        <f t="shared" si="8"/>
        <v>3.4401963729711134</v>
      </c>
      <c r="AG18" s="357">
        <f t="shared" si="9"/>
        <v>3.7735512173739743</v>
      </c>
      <c r="AH18" s="159">
        <f t="shared" si="10"/>
        <v>1.6980980478182883</v>
      </c>
      <c r="AI18" s="159">
        <f t="shared" si="11"/>
        <v>1.4922410241199375</v>
      </c>
      <c r="AJ18" s="357">
        <f t="shared" si="12"/>
        <v>3.3960380969013375</v>
      </c>
      <c r="AK18" s="159">
        <f t="shared" si="13"/>
        <v>3.0926713238043222</v>
      </c>
      <c r="AL18" s="159">
        <f t="shared" si="14"/>
        <v>2.9039937629356234</v>
      </c>
      <c r="AM18" s="159">
        <f t="shared" si="15"/>
        <v>1.8546310241199377</v>
      </c>
      <c r="AN18" s="159">
        <f t="shared" si="16"/>
        <v>1.1833455984822876</v>
      </c>
      <c r="AO18" s="159">
        <f t="shared" si="17"/>
        <v>1.1074552485771447</v>
      </c>
      <c r="AP18" s="159">
        <f t="shared" si="18"/>
        <v>2.436401546869718</v>
      </c>
      <c r="AQ18" s="159">
        <f t="shared" si="64"/>
        <v>0.55372762428857236</v>
      </c>
      <c r="AR18" s="159">
        <f t="shared" si="19"/>
        <v>8.4351827950252751</v>
      </c>
      <c r="AS18" s="159">
        <f t="shared" si="20"/>
        <v>1.1531747493149214</v>
      </c>
      <c r="AT18" s="159">
        <f t="shared" si="21"/>
        <v>2.0913234734559385</v>
      </c>
      <c r="AU18" s="159">
        <f t="shared" si="65"/>
        <v>0.57658737465746068</v>
      </c>
      <c r="AV18" s="159">
        <f t="shared" si="22"/>
        <v>0.77521867400400124</v>
      </c>
      <c r="AW18" s="159">
        <f t="shared" si="23"/>
        <v>1.6406744423365105</v>
      </c>
      <c r="AX18" s="159">
        <f t="shared" si="66"/>
        <v>0.38760933700200062</v>
      </c>
      <c r="AY18" s="159">
        <f t="shared" si="24"/>
        <v>8.9355749947301639</v>
      </c>
      <c r="AZ18" s="159">
        <f t="shared" si="25"/>
        <v>2.2442554736667315</v>
      </c>
      <c r="BA18" s="159">
        <f t="shared" si="26"/>
        <v>4.2713368220963206</v>
      </c>
      <c r="BB18" s="159">
        <f t="shared" si="67"/>
        <v>1.1221277368333658</v>
      </c>
      <c r="BC18" s="159">
        <f t="shared" si="27"/>
        <v>1.1935906567998114</v>
      </c>
      <c r="BD18" s="159">
        <f t="shared" si="28"/>
        <v>1.4273867648327641</v>
      </c>
      <c r="BE18" s="159">
        <f t="shared" si="29"/>
        <v>7.8722415703572741</v>
      </c>
      <c r="BF18" s="159">
        <f t="shared" si="30"/>
        <v>6.1094111703151164</v>
      </c>
      <c r="BG18" s="159">
        <f t="shared" si="31"/>
        <v>2.1378085737299695</v>
      </c>
      <c r="BH18" s="159">
        <f t="shared" si="32"/>
        <v>1.9893177613330189</v>
      </c>
      <c r="BI18" s="159">
        <f t="shared" si="33"/>
        <v>1.0828451319420969</v>
      </c>
      <c r="BJ18" s="159">
        <f t="shared" si="34"/>
        <v>3.4044540729921926</v>
      </c>
      <c r="BK18" s="159">
        <f t="shared" si="35"/>
        <v>5.669947545394165</v>
      </c>
      <c r="BL18" s="159">
        <f t="shared" si="36"/>
        <v>0.46126989972596855</v>
      </c>
      <c r="BM18" s="159">
        <f t="shared" si="37"/>
        <v>0.73830349905142967</v>
      </c>
      <c r="BN18" s="159">
        <f t="shared" si="38"/>
        <v>0.27891465519720682</v>
      </c>
      <c r="BO18" s="159">
        <f t="shared" si="39"/>
        <v>2.7253503733927</v>
      </c>
      <c r="BP18" s="159">
        <f t="shared" si="40"/>
        <v>8.3125594432229928</v>
      </c>
      <c r="BQ18" s="159">
        <f t="shared" si="41"/>
        <v>1.1975276242885722</v>
      </c>
      <c r="BR18" s="159">
        <f t="shared" si="42"/>
        <v>1.1648788540589223</v>
      </c>
      <c r="BS18" s="159">
        <f t="shared" si="43"/>
        <v>1.0008114098252714</v>
      </c>
      <c r="BT18" s="159">
        <f t="shared" si="44"/>
        <v>4.0656866226022244</v>
      </c>
      <c r="BU18" s="159">
        <f t="shared" si="45"/>
        <v>7.1545170941610232</v>
      </c>
      <c r="BV18" s="159">
        <f t="shared" si="46"/>
        <v>1.0733395743623499</v>
      </c>
      <c r="BW18" s="159">
        <f t="shared" si="47"/>
        <v>1.1648788540589223</v>
      </c>
      <c r="BX18" s="159">
        <f t="shared" si="48"/>
        <v>1.0008114098252714</v>
      </c>
      <c r="BY18" s="159">
        <f t="shared" si="49"/>
        <v>5.6383478216747331</v>
      </c>
      <c r="BZ18" s="159">
        <f t="shared" si="50"/>
        <v>5.766474620283498</v>
      </c>
      <c r="CA18" s="159">
        <f t="shared" si="51"/>
        <v>1.3128450992200642</v>
      </c>
      <c r="CB18" s="159">
        <f t="shared" si="52"/>
        <v>3.6278434478604469</v>
      </c>
      <c r="CC18" s="159">
        <f t="shared" si="53"/>
        <v>3.8031445722544159</v>
      </c>
      <c r="CD18" s="159">
        <f t="shared" si="54"/>
        <v>8.2771624440661657</v>
      </c>
      <c r="CE18" s="159">
        <f t="shared" si="68"/>
        <v>3.8031445722544159</v>
      </c>
      <c r="CF18" s="159">
        <f t="shared" si="55"/>
        <v>3.9492732217168931</v>
      </c>
      <c r="CG18" s="159">
        <f t="shared" si="56"/>
        <v>9.208817167785595</v>
      </c>
      <c r="CH18" s="159">
        <f t="shared" si="69"/>
        <v>3.9492732217168931</v>
      </c>
      <c r="CI18" s="159">
        <f t="shared" si="70"/>
        <v>2.233893748682541</v>
      </c>
    </row>
    <row r="19" spans="1:87" x14ac:dyDescent="0.25">
      <c r="A19" t="str">
        <f>PLANTILLA!D21</f>
        <v>G. Kerschl</v>
      </c>
      <c r="B19" t="s">
        <v>855</v>
      </c>
      <c r="C19" s="669">
        <f>PLANTILLA!E21</f>
        <v>28</v>
      </c>
      <c r="D19" s="669">
        <f ca="1">PLANTILLA!F21</f>
        <v>87</v>
      </c>
      <c r="E19" s="669" t="str">
        <f>PLANTILLA!G21</f>
        <v>CAB</v>
      </c>
      <c r="F19" s="290">
        <v>43060</v>
      </c>
      <c r="G19" s="497">
        <v>2.5</v>
      </c>
      <c r="H19" s="498">
        <f>PLANTILLA!I21</f>
        <v>8.6</v>
      </c>
      <c r="I19" s="341"/>
      <c r="J19" s="163">
        <f>PLANTILLA!X21</f>
        <v>0</v>
      </c>
      <c r="K19" s="163">
        <f>PLANTILLA!Y21</f>
        <v>2.2000000000000002</v>
      </c>
      <c r="L19" s="163">
        <f>PLANTILLA!Z21</f>
        <v>14.600000000000001</v>
      </c>
      <c r="M19" s="163">
        <f>PLANTILLA!AA21</f>
        <v>12.01</v>
      </c>
      <c r="N19" s="163">
        <f>PLANTILLA!AB21</f>
        <v>12</v>
      </c>
      <c r="O19" s="163">
        <f>PLANTILLA!AC21</f>
        <v>8</v>
      </c>
      <c r="P19" s="163">
        <f>PLANTILLA!AD21</f>
        <v>2</v>
      </c>
      <c r="Q19" s="163">
        <f t="shared" ref="Q19" si="71">((2*(N19+1))+(K19+1))/8</f>
        <v>3.65</v>
      </c>
      <c r="R19" s="163">
        <f t="shared" ref="R19" si="72">1.66*(O19+(LOG(H19)*4/3)+G19)+0.55*(P19+(LOG(H19)*4/3)+G19)-7.6</f>
        <v>15.058655436331046</v>
      </c>
      <c r="S19" s="163">
        <f t="shared" ref="S19" si="73">(0.5*O19+ 0.3*P19)/10</f>
        <v>0.45999999999999996</v>
      </c>
      <c r="T19" s="163">
        <f t="shared" ref="T19" si="74">(0.4*K19+0.3*P19)/10</f>
        <v>0.14799999999999999</v>
      </c>
      <c r="U19" s="163">
        <f t="shared" ref="U19" ca="1" si="75">IF(TODAY()-F19&gt;335,(P19+1+(LOG(H19)*4/3)),(P19+((TODAY()-F19)^0.5)/(336^0.5)+(LOG(H19)*4/3)))</f>
        <v>3.5497443831384015</v>
      </c>
      <c r="V19" s="159">
        <f t="shared" ref="V19" si="76">((J19+G19+(LOG(H19)*4/3))*0.597)+((K19+G19+(LOG(H19)*4/3))*0.276)</f>
        <v>3.877456197247513</v>
      </c>
      <c r="W19" s="159">
        <f t="shared" ref="W19" si="77">((J19+G19+(LOG(H19)*4/3))*0.866)+((K19+G19+(LOG(H19)*4/3))*0.425)</f>
        <v>5.7710833340739285</v>
      </c>
      <c r="X19" s="159">
        <f t="shared" ref="X19" si="78">V19</f>
        <v>3.877456197247513</v>
      </c>
      <c r="Y19" s="159">
        <f t="shared" ref="Y19" si="79">((K19+G19+(LOG(H19)*4/3))*0.516)</f>
        <v>3.0681349344555748</v>
      </c>
      <c r="Z19" s="159">
        <f t="shared" ref="Z19" si="80">(K19+G19+(LOG(H19)*4/3))*1</f>
        <v>5.945997934991424</v>
      </c>
      <c r="AA19" s="159">
        <f t="shared" ref="AA19" si="81">Y19/2</f>
        <v>1.5340674672277874</v>
      </c>
      <c r="AB19" s="159">
        <f t="shared" ref="AB19" si="82">(L19+G19+(LOG(H19)*4/3))*0.238</f>
        <v>4.3663475085279586</v>
      </c>
      <c r="AC19" s="159">
        <f t="shared" ref="AC19" si="83">((K19+G19+(LOG(H19)*4/3))*0.378)</f>
        <v>2.2475872194267583</v>
      </c>
      <c r="AD19" s="159">
        <f t="shared" ref="AD19" si="84">(K19+G19+(LOG(H19)*4/3))*0.723</f>
        <v>4.2989565069987998</v>
      </c>
      <c r="AE19" s="159">
        <f t="shared" ref="AE19" si="85">AC19/2</f>
        <v>1.1237936097133792</v>
      </c>
      <c r="AF19" s="159">
        <f t="shared" ref="AF19" si="86">(L19+G19+(LOG(H19)*4/3))*0.385</f>
        <v>7.0632092049716979</v>
      </c>
      <c r="AG19" s="357">
        <f t="shared" ref="AG19" si="87">((K19+G19+(LOG(H19)*4/3))*0.92)</f>
        <v>5.4703181001921104</v>
      </c>
      <c r="AH19" s="159">
        <f t="shared" ref="AH19" si="88">(K19+G19+(LOG(H19)*4/3))*0.414</f>
        <v>2.4616431450864495</v>
      </c>
      <c r="AI19" s="159">
        <f t="shared" ref="AI19" si="89">((L19+G19+(LOG(H19)*4/3))*0.167)</f>
        <v>3.0637816551435679</v>
      </c>
      <c r="AJ19" s="357">
        <f t="shared" ref="AJ19" si="90">(M19+G19+(LOG(H19)*4/3))*0.588</f>
        <v>9.2645267857749563</v>
      </c>
      <c r="AK19" s="159">
        <f t="shared" ref="AK19" si="91">((K19+G19+(LOG(H19)*4/3))*0.754)</f>
        <v>4.4832824429835334</v>
      </c>
      <c r="AL19" s="159">
        <f t="shared" ref="AL19" si="92">((K19+G19+(LOG(H19)*4/3))*0.708)</f>
        <v>4.2097665379739277</v>
      </c>
      <c r="AM19" s="159">
        <f t="shared" ref="AM19" si="93">((P19+G19+(LOG(H19)*4/3))*0.167)</f>
        <v>0.95958165514356786</v>
      </c>
      <c r="AN19" s="159">
        <f t="shared" ref="AN19" si="94">((Q19+G19+(LOG(H19)*4/3))*0.288)</f>
        <v>2.13004740527753</v>
      </c>
      <c r="AO19" s="159">
        <f t="shared" ref="AO19" si="95">((K19+G19+(LOG(H19)*4/3))*0.27)</f>
        <v>1.6054194424476846</v>
      </c>
      <c r="AP19" s="159">
        <f t="shared" ref="AP19" si="96">((K19+G19+(LOG(H19)*4/3))*0.594)</f>
        <v>3.5319227733849057</v>
      </c>
      <c r="AQ19" s="159">
        <f t="shared" ref="AQ19" si="97">AO19/2</f>
        <v>0.80270972122384232</v>
      </c>
      <c r="AR19" s="159">
        <f t="shared" ref="AR19" si="98">((L19+G19+(LOG(H19)*4/3))*0.944)</f>
        <v>17.318622050631902</v>
      </c>
      <c r="AS19" s="159">
        <f t="shared" ref="AS19" si="99">((N19+G19+(LOG(H19)*4/3))*0.13)</f>
        <v>2.0469797315488854</v>
      </c>
      <c r="AT19" s="159">
        <f t="shared" ref="AT19" si="100">((O19+G19+(LOG(H19)*4/3))*0.173)+((N19+G19+(LOG(H19)*4/3))*0.12)</f>
        <v>3.9215773949524868</v>
      </c>
      <c r="AU19" s="159">
        <f t="shared" ref="AU19" si="101">AS19/2</f>
        <v>1.0234898657744427</v>
      </c>
      <c r="AV19" s="159">
        <f t="shared" ref="AV19" si="102">((K19+G19+(LOG(H19)*4/3))*0.189)</f>
        <v>1.1237936097133792</v>
      </c>
      <c r="AW19" s="159">
        <f t="shared" ref="AW19" si="103">((K19+G19+(LOG(H19)*4/3))*0.4)</f>
        <v>2.3783991739965695</v>
      </c>
      <c r="AX19" s="159">
        <f t="shared" ref="AX19" si="104">AV19/2</f>
        <v>0.56189680485668958</v>
      </c>
      <c r="AY19" s="159">
        <f t="shared" ref="AY19" si="105">((L19+G19+(LOG(H19)*4/3))*1)</f>
        <v>18.345997934991424</v>
      </c>
      <c r="AZ19" s="159">
        <f t="shared" ref="AZ19" si="106">((N19+G19+(LOG(H19)*4/3))*0.253)</f>
        <v>3.9837374775528303</v>
      </c>
      <c r="BA19" s="159">
        <f t="shared" ref="BA19" si="107">((O19+G19+(LOG(H19)*4/3))*0.21)+((N19+G19+(LOG(H19)*4/3))*0.341)</f>
        <v>7.836044862180275</v>
      </c>
      <c r="BB19" s="159">
        <f t="shared" ref="BB19" si="108">AZ19/2</f>
        <v>1.9918687387764151</v>
      </c>
      <c r="BC19" s="159">
        <f t="shared" ref="BC19" si="109">((K19+G19+(LOG(H19)*4/3))*0.291)</f>
        <v>1.7302853990825042</v>
      </c>
      <c r="BD19" s="159">
        <f t="shared" ref="BD19" si="110">((K19+G19+(LOG(H19)*4/3))*0.348)</f>
        <v>2.0692072813770155</v>
      </c>
      <c r="BE19" s="159">
        <f t="shared" ref="BE19" si="111">((L19+G19+(LOG(H19)*4/3))*0.881)</f>
        <v>16.162824180727444</v>
      </c>
      <c r="BF19" s="159">
        <f t="shared" ref="BF19" si="112">((M19+G19+(LOG(H19)*4/3))*0.574)+((N19+G19+(LOG(H19)*4/3))*0.315)</f>
        <v>14.003932164207374</v>
      </c>
      <c r="BG19" s="159">
        <f t="shared" ref="BG19" si="113">((N19+G19+(LOG(H19)*4/3))*0.241)</f>
        <v>3.7947855023329331</v>
      </c>
      <c r="BH19" s="159">
        <f t="shared" ref="BH19" si="114">((K19+G19+(LOG(H19)*4/3))*0.485)</f>
        <v>2.8838089984708404</v>
      </c>
      <c r="BI19" s="159">
        <f t="shared" ref="BI19" si="115">((K19+G19+(LOG(H19)*4/3))*0.264)</f>
        <v>1.569743454837736</v>
      </c>
      <c r="BJ19" s="159">
        <f t="shared" ref="BJ19" si="116">((L19+G19+(LOG(H19)*4/3))*0.381)</f>
        <v>6.9898252132317324</v>
      </c>
      <c r="BK19" s="159">
        <f t="shared" ref="BK19" si="117">((M19+G19+(LOG(H19)*4/3))*0.673)+((N19+G19+(LOG(H19)*4/3))*0.201)</f>
        <v>13.768732195182505</v>
      </c>
      <c r="BL19" s="159">
        <f t="shared" ref="BL19" si="118">((N19+G19+(LOG(H19)*4/3))*0.052)</f>
        <v>0.81879189261955398</v>
      </c>
      <c r="BM19" s="159">
        <f t="shared" ref="BM19" si="119">((K19+G19+(LOG(H19)*4/3))*0.18)</f>
        <v>1.0702796282984564</v>
      </c>
      <c r="BN19" s="159">
        <f t="shared" ref="BN19" si="120">(K19+G19+(LOG(H19)*4/3))*0.068</f>
        <v>0.40432785957941686</v>
      </c>
      <c r="BO19" s="159">
        <f t="shared" ref="BO19" si="121">((L19+G19+(LOG(H19)*4/3))*0.305)</f>
        <v>5.5955293701723843</v>
      </c>
      <c r="BP19" s="159">
        <f t="shared" ref="BP19" si="122">((M19+G19+(LOG(H19)*4/3))*1)+((N19+G19+(LOG(H19)*4/3))*0.286)</f>
        <v>20.259353344398971</v>
      </c>
      <c r="BQ19" s="159">
        <f t="shared" ref="BQ19" si="123">((N19+G19+(LOG(H19)*4/3))*0.135)</f>
        <v>2.1257097212238425</v>
      </c>
      <c r="BR19" s="159">
        <f t="shared" ref="BR19" si="124">((K19+G19+(LOG(H19)*4/3))*0.284)</f>
        <v>1.6886634135375642</v>
      </c>
      <c r="BS19" s="159">
        <f t="shared" ref="BS19" si="125">(K19+G19+(LOG(H19)*4/3))*0.244</f>
        <v>1.4508234961379074</v>
      </c>
      <c r="BT19" s="159">
        <f t="shared" ref="BT19" si="126">((L19+G19+(LOG(H19)*4/3))*0.455)</f>
        <v>8.3474290604210974</v>
      </c>
      <c r="BU19" s="159">
        <f t="shared" ref="BU19" si="127">((M19+G19+(LOG(H19)*4/3))*0.864)+((N19+G19+(LOG(H19)*4/3))*0.244)</f>
        <v>17.455205711970496</v>
      </c>
      <c r="BV19" s="159">
        <f t="shared" ref="BV19" si="128">((N19+G19+(LOG(H19)*4/3))*0.121)</f>
        <v>1.9052657501339623</v>
      </c>
      <c r="BW19" s="159">
        <f t="shared" ref="BW19" si="129">((K19+G19+(LOG(H19)*4/3))*0.284)</f>
        <v>1.6886634135375642</v>
      </c>
      <c r="BX19" s="159">
        <f t="shared" ref="BX19" si="130">((K19+G19+(LOG(H19)*4/3))*0.244)</f>
        <v>1.4508234961379074</v>
      </c>
      <c r="BY19" s="159">
        <f t="shared" ref="BY19" si="131">((L19+G19+(LOG(H19)*4/3))*0.631)</f>
        <v>11.576324696979588</v>
      </c>
      <c r="BZ19" s="159">
        <f t="shared" ref="BZ19" si="132">((M19+G19+(LOG(H19)*4/3))*0.702)+((N19+G19+(LOG(H19)*4/3))*0.193)</f>
        <v>14.099688151817324</v>
      </c>
      <c r="CA19" s="159">
        <f t="shared" ref="CA19" si="133">((N19+G19+(LOG(H19)*4/3))*0.148)</f>
        <v>2.3304076943787306</v>
      </c>
      <c r="CB19" s="159">
        <f t="shared" ref="CB19" si="134">((L19+G19+(LOG(H19)*4/3))*0.406)</f>
        <v>7.4484751616065186</v>
      </c>
      <c r="CC19" s="159">
        <f t="shared" ref="CC19" si="135">IF(E19="TEC",((M19+G19+(LOG(H19)*4/3))*0.15)+((N19+G19+(LOG(H19)*4/3))*0.324)+((O19+G19+(LOG(H19)*4/3))*0.127),(((M19+G19+(LOG(H19)*4/3))*0.144)+((N19+G19+(LOG(H19)*4/3))*0.25)+((O19+G19+(LOG(H19)*4/3))*0.127)))</f>
        <v>7.6971049241305316</v>
      </c>
      <c r="CD19" s="159">
        <f t="shared" ref="CD19" si="136">((N19+G19+(LOG(H19)*4/3))*0.543)+((O19+G19+(LOG(H19)*4/3))*0.583)</f>
        <v>15.397993674800343</v>
      </c>
      <c r="CE19" s="159">
        <f t="shared" ref="CE19" si="137">CC19</f>
        <v>7.6971049241305316</v>
      </c>
      <c r="CF19" s="159">
        <f t="shared" ref="CF19" si="138">((O19+1+(LOG(H19)*4/3))*0.26)+((M19+G19+(LOG(H19)*4/3))*0.221)+((N19+G19+(LOG(H19)*4/3))*0.142)</f>
        <v>8.3819667134996578</v>
      </c>
      <c r="CG19" s="159">
        <f t="shared" ref="CG19" si="139">((O19+G19+(LOG(H19)*4/3))*1)+((N19+G19+(LOG(H19)*4/3))*0.369)</f>
        <v>17.55627117300326</v>
      </c>
      <c r="CH19" s="159">
        <f t="shared" ref="CH19" si="140">CF19</f>
        <v>8.3819667134996578</v>
      </c>
      <c r="CI19" s="159">
        <f t="shared" ref="CI19" si="141">((L19+G19+(LOG(H19)*4/3))*0.25)</f>
        <v>4.5864994837478559</v>
      </c>
    </row>
    <row r="20" spans="1:87" x14ac:dyDescent="0.25">
      <c r="A20" t="str">
        <f>PLANTILLA!D22</f>
        <v>J. Limon</v>
      </c>
      <c r="B20" t="s">
        <v>855</v>
      </c>
      <c r="C20" s="633">
        <f>PLANTILLA!E22</f>
        <v>29</v>
      </c>
      <c r="D20" s="633">
        <f ca="1">PLANTILLA!F22</f>
        <v>97</v>
      </c>
      <c r="E20" s="633" t="str">
        <f>PLANTILLA!G22</f>
        <v>RAP</v>
      </c>
      <c r="F20" s="290">
        <v>41664</v>
      </c>
      <c r="G20" s="497">
        <v>1.5</v>
      </c>
      <c r="H20" s="498">
        <f>PLANTILLA!I22</f>
        <v>10</v>
      </c>
      <c r="I20" s="341"/>
      <c r="J20" s="163">
        <f>PLANTILLA!X22</f>
        <v>0</v>
      </c>
      <c r="K20" s="163">
        <f>PLANTILLA!Y22</f>
        <v>6.8276190476190495</v>
      </c>
      <c r="L20" s="163">
        <f>PLANTILLA!Z22</f>
        <v>8.625</v>
      </c>
      <c r="M20" s="163">
        <f>PLANTILLA!AA22</f>
        <v>8.7299999999999969</v>
      </c>
      <c r="N20" s="163">
        <f>PLANTILLA!AB22</f>
        <v>9.6900000000000013</v>
      </c>
      <c r="O20" s="163">
        <f>PLANTILLA!AC22</f>
        <v>8.5625000000000018</v>
      </c>
      <c r="P20" s="163">
        <f>PLANTILLA!AD22</f>
        <v>18.639999999999993</v>
      </c>
      <c r="Q20" s="163">
        <f t="shared" si="57"/>
        <v>3.6509523809523814</v>
      </c>
      <c r="R20" s="163">
        <f t="shared" si="58"/>
        <v>23.127416666666669</v>
      </c>
      <c r="S20" s="163">
        <f t="shared" si="59"/>
        <v>0.9873249999999999</v>
      </c>
      <c r="T20" s="163">
        <f t="shared" si="60"/>
        <v>0.83230476190476177</v>
      </c>
      <c r="U20" s="163">
        <f t="shared" ca="1" si="0"/>
        <v>20.973333333333326</v>
      </c>
      <c r="V20" s="159">
        <f t="shared" si="1"/>
        <v>4.3579228571428574</v>
      </c>
      <c r="W20" s="159">
        <f t="shared" si="2"/>
        <v>6.5595714285714291</v>
      </c>
      <c r="X20" s="159">
        <f t="shared" si="61"/>
        <v>4.3579228571428574</v>
      </c>
      <c r="Y20" s="159">
        <f t="shared" si="3"/>
        <v>4.9850514285714294</v>
      </c>
      <c r="Z20" s="159">
        <f t="shared" si="4"/>
        <v>9.6609523809523825</v>
      </c>
      <c r="AA20" s="159">
        <f t="shared" si="62"/>
        <v>2.4925257142857147</v>
      </c>
      <c r="AB20" s="159">
        <f t="shared" si="5"/>
        <v>2.7270833333333333</v>
      </c>
      <c r="AC20" s="159">
        <f t="shared" si="6"/>
        <v>3.6518400000000004</v>
      </c>
      <c r="AD20" s="159">
        <f t="shared" si="7"/>
        <v>6.9848685714285725</v>
      </c>
      <c r="AE20" s="159">
        <f t="shared" si="63"/>
        <v>1.8259200000000002</v>
      </c>
      <c r="AF20" s="159">
        <f t="shared" si="8"/>
        <v>4.4114583333333339</v>
      </c>
      <c r="AG20" s="357">
        <f t="shared" si="9"/>
        <v>8.8880761904761929</v>
      </c>
      <c r="AH20" s="159">
        <f t="shared" si="10"/>
        <v>3.9996342857142864</v>
      </c>
      <c r="AI20" s="159">
        <f t="shared" si="11"/>
        <v>1.9135416666666669</v>
      </c>
      <c r="AJ20" s="357">
        <f t="shared" si="12"/>
        <v>6.7992399999999984</v>
      </c>
      <c r="AK20" s="159">
        <f t="shared" si="13"/>
        <v>7.2843580952380966</v>
      </c>
      <c r="AL20" s="159">
        <f t="shared" si="14"/>
        <v>6.8399542857142865</v>
      </c>
      <c r="AM20" s="159">
        <f t="shared" si="15"/>
        <v>3.5860466666666655</v>
      </c>
      <c r="AN20" s="159">
        <f t="shared" si="16"/>
        <v>1.8674742857142854</v>
      </c>
      <c r="AO20" s="159">
        <f t="shared" si="17"/>
        <v>2.6084571428571435</v>
      </c>
      <c r="AP20" s="159">
        <f t="shared" si="18"/>
        <v>5.7386057142857148</v>
      </c>
      <c r="AQ20" s="159">
        <f t="shared" si="64"/>
        <v>1.3042285714285717</v>
      </c>
      <c r="AR20" s="159">
        <f t="shared" si="19"/>
        <v>10.816666666666666</v>
      </c>
      <c r="AS20" s="159">
        <f t="shared" si="20"/>
        <v>1.6280333333333337</v>
      </c>
      <c r="AT20" s="159">
        <f t="shared" si="21"/>
        <v>3.4742791666666673</v>
      </c>
      <c r="AU20" s="159">
        <f t="shared" si="65"/>
        <v>0.81401666666666683</v>
      </c>
      <c r="AV20" s="357">
        <f t="shared" si="22"/>
        <v>1.8259200000000002</v>
      </c>
      <c r="AW20" s="357">
        <f t="shared" si="23"/>
        <v>3.8643809523809534</v>
      </c>
      <c r="AX20" s="357">
        <f t="shared" si="66"/>
        <v>0.9129600000000001</v>
      </c>
      <c r="AY20" s="357">
        <f t="shared" si="24"/>
        <v>11.458333333333334</v>
      </c>
      <c r="AZ20" s="357">
        <f t="shared" si="25"/>
        <v>3.1684033333333339</v>
      </c>
      <c r="BA20" s="357">
        <f t="shared" si="26"/>
        <v>6.6635816666666683</v>
      </c>
      <c r="BB20" s="357">
        <f t="shared" si="67"/>
        <v>1.584201666666667</v>
      </c>
      <c r="BC20" s="357">
        <f t="shared" si="27"/>
        <v>2.811337142857143</v>
      </c>
      <c r="BD20" s="357">
        <f t="shared" si="28"/>
        <v>3.3620114285714289</v>
      </c>
      <c r="BE20" s="357">
        <f t="shared" si="29"/>
        <v>10.094791666666667</v>
      </c>
      <c r="BF20" s="357">
        <f t="shared" si="30"/>
        <v>10.582203333333332</v>
      </c>
      <c r="BG20" s="357">
        <f t="shared" si="31"/>
        <v>3.0181233333333335</v>
      </c>
      <c r="BH20" s="357">
        <f t="shared" si="32"/>
        <v>4.6855619047619053</v>
      </c>
      <c r="BI20" s="357">
        <f t="shared" si="33"/>
        <v>2.5504914285714291</v>
      </c>
      <c r="BJ20" s="357">
        <f t="shared" si="34"/>
        <v>4.3656250000000005</v>
      </c>
      <c r="BK20" s="357">
        <f t="shared" si="35"/>
        <v>10.299313333333332</v>
      </c>
      <c r="BL20" s="357">
        <f t="shared" si="36"/>
        <v>0.65121333333333342</v>
      </c>
      <c r="BM20" s="357">
        <f t="shared" si="37"/>
        <v>1.7389714285714288</v>
      </c>
      <c r="BN20" s="357">
        <f t="shared" si="38"/>
        <v>0.65694476190476203</v>
      </c>
      <c r="BO20" s="357">
        <f t="shared" si="39"/>
        <v>3.494791666666667</v>
      </c>
      <c r="BP20" s="357">
        <f t="shared" si="40"/>
        <v>15.145006666666664</v>
      </c>
      <c r="BQ20" s="357">
        <f t="shared" si="41"/>
        <v>1.6906500000000004</v>
      </c>
      <c r="BR20" s="357">
        <f t="shared" si="42"/>
        <v>2.7437104761904765</v>
      </c>
      <c r="BS20" s="357">
        <f t="shared" si="43"/>
        <v>2.3572723809523812</v>
      </c>
      <c r="BT20" s="357">
        <f t="shared" si="44"/>
        <v>5.213541666666667</v>
      </c>
      <c r="BU20" s="357">
        <f t="shared" si="45"/>
        <v>13.046413333333332</v>
      </c>
      <c r="BV20" s="357">
        <f t="shared" si="46"/>
        <v>1.5153233333333336</v>
      </c>
      <c r="BW20" s="357">
        <f t="shared" si="47"/>
        <v>2.7437104761904765</v>
      </c>
      <c r="BX20" s="357">
        <f t="shared" si="48"/>
        <v>2.3572723809523812</v>
      </c>
      <c r="BY20" s="357">
        <f t="shared" si="49"/>
        <v>7.2302083333333336</v>
      </c>
      <c r="BZ20" s="357">
        <f t="shared" si="50"/>
        <v>10.534463333333331</v>
      </c>
      <c r="CA20" s="357">
        <f t="shared" si="51"/>
        <v>1.8534533333333336</v>
      </c>
      <c r="CB20" s="357">
        <f t="shared" si="52"/>
        <v>4.6520833333333336</v>
      </c>
      <c r="CC20" s="357">
        <f t="shared" si="53"/>
        <v>6.2432241666666668</v>
      </c>
      <c r="CD20" s="357">
        <f t="shared" si="54"/>
        <v>13.443940833333336</v>
      </c>
      <c r="CE20" s="357">
        <f t="shared" si="68"/>
        <v>6.2432241666666668</v>
      </c>
      <c r="CF20" s="357">
        <f t="shared" si="55"/>
        <v>7.1667266666666665</v>
      </c>
      <c r="CG20" s="357">
        <f t="shared" si="56"/>
        <v>16.016943333333337</v>
      </c>
      <c r="CH20" s="357">
        <f t="shared" si="69"/>
        <v>7.1667266666666665</v>
      </c>
      <c r="CI20" s="357">
        <f t="shared" si="70"/>
        <v>2.8645833333333335</v>
      </c>
    </row>
    <row r="21" spans="1:87" x14ac:dyDescent="0.25">
      <c r="A21" t="str">
        <f>PLANTILLA!D23</f>
        <v>L. Calosso</v>
      </c>
      <c r="C21" s="633">
        <f>PLANTILLA!E23</f>
        <v>30</v>
      </c>
      <c r="D21" s="633">
        <f ca="1">PLANTILLA!F23</f>
        <v>54</v>
      </c>
      <c r="E21" s="633" t="str">
        <f>PLANTILLA!G23</f>
        <v>TEC</v>
      </c>
      <c r="F21" s="290">
        <v>41890</v>
      </c>
      <c r="G21" s="497">
        <v>1</v>
      </c>
      <c r="H21" s="498">
        <f>PLANTILLA!I23</f>
        <v>10.199999999999999</v>
      </c>
      <c r="I21" s="341"/>
      <c r="J21" s="163">
        <f>PLANTILLA!X23</f>
        <v>0</v>
      </c>
      <c r="K21" s="163">
        <f>PLANTILLA!Y23</f>
        <v>3</v>
      </c>
      <c r="L21" s="163">
        <f>PLANTILLA!Z23</f>
        <v>14.137609523809523</v>
      </c>
      <c r="M21" s="163">
        <f>PLANTILLA!AA23</f>
        <v>3.02</v>
      </c>
      <c r="N21" s="163">
        <f>PLANTILLA!AB23</f>
        <v>15.02</v>
      </c>
      <c r="O21" s="163">
        <f>PLANTILLA!AC23</f>
        <v>10</v>
      </c>
      <c r="P21" s="163">
        <f>PLANTILLA!AD23</f>
        <v>9.3000000000000007</v>
      </c>
      <c r="Q21" s="163">
        <f t="shared" si="57"/>
        <v>4.5049999999999999</v>
      </c>
      <c r="R21" s="163">
        <f t="shared" si="58"/>
        <v>19.297008506125117</v>
      </c>
      <c r="S21" s="163">
        <f t="shared" si="59"/>
        <v>0.77900000000000003</v>
      </c>
      <c r="T21" s="163">
        <f t="shared" si="60"/>
        <v>0.39900000000000002</v>
      </c>
      <c r="U21" s="163">
        <f t="shared" ca="1" si="0"/>
        <v>11.644800229015891</v>
      </c>
      <c r="V21" s="159">
        <f t="shared" si="1"/>
        <v>2.8750105999308722</v>
      </c>
      <c r="W21" s="159">
        <f t="shared" si="2"/>
        <v>4.3021370956595142</v>
      </c>
      <c r="X21" s="159">
        <f t="shared" si="61"/>
        <v>2.8750105999308722</v>
      </c>
      <c r="Y21" s="159">
        <f t="shared" si="3"/>
        <v>2.7579169181721994</v>
      </c>
      <c r="Z21" s="159">
        <f t="shared" si="4"/>
        <v>5.34480022901589</v>
      </c>
      <c r="AA21" s="159">
        <f t="shared" si="62"/>
        <v>1.3789584590860997</v>
      </c>
      <c r="AB21" s="159">
        <f t="shared" si="5"/>
        <v>3.9228135211724475</v>
      </c>
      <c r="AC21" s="159">
        <f t="shared" si="6"/>
        <v>2.0203344865680064</v>
      </c>
      <c r="AD21" s="159">
        <f t="shared" si="7"/>
        <v>3.8642905655784885</v>
      </c>
      <c r="AE21" s="159">
        <f t="shared" si="63"/>
        <v>1.0101672432840032</v>
      </c>
      <c r="AF21" s="159">
        <f t="shared" si="8"/>
        <v>6.3457277548377835</v>
      </c>
      <c r="AG21" s="357">
        <f t="shared" si="9"/>
        <v>4.9172162106946189</v>
      </c>
      <c r="AH21" s="159">
        <f t="shared" si="10"/>
        <v>2.2127472948125781</v>
      </c>
      <c r="AI21" s="159">
        <f t="shared" si="11"/>
        <v>2.752562428721844</v>
      </c>
      <c r="AJ21" s="357">
        <f t="shared" si="12"/>
        <v>3.1545025346613431</v>
      </c>
      <c r="AK21" s="159">
        <f t="shared" si="13"/>
        <v>4.0299793726779809</v>
      </c>
      <c r="AL21" s="159">
        <f t="shared" si="14"/>
        <v>3.78411856214325</v>
      </c>
      <c r="AM21" s="159">
        <f t="shared" si="15"/>
        <v>1.9446816382456538</v>
      </c>
      <c r="AN21" s="159">
        <f t="shared" si="16"/>
        <v>1.9727424659565762</v>
      </c>
      <c r="AO21" s="159">
        <f t="shared" si="17"/>
        <v>1.4430960618342905</v>
      </c>
      <c r="AP21" s="159">
        <f t="shared" si="18"/>
        <v>3.1748113360354386</v>
      </c>
      <c r="AQ21" s="159">
        <f t="shared" si="64"/>
        <v>0.72154803091714526</v>
      </c>
      <c r="AR21" s="159">
        <f t="shared" si="19"/>
        <v>15.559394806667187</v>
      </c>
      <c r="AS21" s="159">
        <f t="shared" si="20"/>
        <v>2.257424029772066</v>
      </c>
      <c r="AT21" s="159">
        <f t="shared" si="21"/>
        <v>4.2194264671016555</v>
      </c>
      <c r="AU21" s="159">
        <f t="shared" si="65"/>
        <v>1.128712014886033</v>
      </c>
      <c r="AV21" s="357">
        <f t="shared" si="22"/>
        <v>1.0101672432840032</v>
      </c>
      <c r="AW21" s="357">
        <f t="shared" si="23"/>
        <v>2.1379200916063561</v>
      </c>
      <c r="AX21" s="357">
        <f t="shared" si="66"/>
        <v>0.5050836216420016</v>
      </c>
      <c r="AY21" s="357">
        <f t="shared" si="24"/>
        <v>16.482409752825411</v>
      </c>
      <c r="AZ21" s="357">
        <f t="shared" si="25"/>
        <v>4.3932944579410202</v>
      </c>
      <c r="BA21" s="357">
        <f t="shared" si="26"/>
        <v>8.5138049261877562</v>
      </c>
      <c r="BB21" s="357">
        <f t="shared" si="67"/>
        <v>2.1966472289705101</v>
      </c>
      <c r="BC21" s="357">
        <f t="shared" si="27"/>
        <v>1.5553368666436238</v>
      </c>
      <c r="BD21" s="357">
        <f t="shared" si="28"/>
        <v>1.8599904796975295</v>
      </c>
      <c r="BE21" s="357">
        <f t="shared" si="29"/>
        <v>14.521002992239188</v>
      </c>
      <c r="BF21" s="357">
        <f t="shared" si="30"/>
        <v>8.549307403595126</v>
      </c>
      <c r="BG21" s="357">
        <f t="shared" si="31"/>
        <v>4.1849168551928297</v>
      </c>
      <c r="BH21" s="357">
        <f t="shared" si="32"/>
        <v>2.5922281110727066</v>
      </c>
      <c r="BI21" s="357">
        <f t="shared" si="33"/>
        <v>1.411027260460195</v>
      </c>
      <c r="BJ21" s="357">
        <f t="shared" si="34"/>
        <v>6.2797981158264822</v>
      </c>
      <c r="BK21" s="357">
        <f t="shared" si="35"/>
        <v>7.1008354001598883</v>
      </c>
      <c r="BL21" s="357">
        <f t="shared" si="36"/>
        <v>0.9029696119088263</v>
      </c>
      <c r="BM21" s="357">
        <f t="shared" si="37"/>
        <v>0.96206404122286016</v>
      </c>
      <c r="BN21" s="357">
        <f t="shared" si="38"/>
        <v>0.36344641557308055</v>
      </c>
      <c r="BO21" s="357">
        <f t="shared" si="39"/>
        <v>5.0271349746117506</v>
      </c>
      <c r="BP21" s="357">
        <f t="shared" si="40"/>
        <v>10.331133094514435</v>
      </c>
      <c r="BQ21" s="357">
        <f t="shared" si="41"/>
        <v>2.3442480309171456</v>
      </c>
      <c r="BR21" s="357">
        <f t="shared" si="42"/>
        <v>1.5179232650405126</v>
      </c>
      <c r="BS21" s="357">
        <f t="shared" si="43"/>
        <v>1.3041312558798772</v>
      </c>
      <c r="BT21" s="357">
        <f t="shared" si="44"/>
        <v>7.4994964375355622</v>
      </c>
      <c r="BU21" s="357">
        <f t="shared" si="45"/>
        <v>8.8721986537496065</v>
      </c>
      <c r="BV21" s="357">
        <f t="shared" si="46"/>
        <v>2.1011408277109229</v>
      </c>
      <c r="BW21" s="357">
        <f t="shared" si="47"/>
        <v>1.5179232650405126</v>
      </c>
      <c r="BX21" s="357">
        <f t="shared" si="48"/>
        <v>1.3041312558798772</v>
      </c>
      <c r="BY21" s="357">
        <f t="shared" si="49"/>
        <v>10.400400554032835</v>
      </c>
      <c r="BZ21" s="357">
        <f t="shared" si="50"/>
        <v>7.1174962049692212</v>
      </c>
      <c r="CA21" s="357">
        <f t="shared" si="51"/>
        <v>2.5699904338943518</v>
      </c>
      <c r="CB21" s="357">
        <f t="shared" si="52"/>
        <v>6.6918583596471173</v>
      </c>
      <c r="CC21" s="357">
        <f t="shared" si="53"/>
        <v>7.9987049376385508</v>
      </c>
      <c r="CD21" s="357">
        <f t="shared" si="54"/>
        <v>16.626105057871893</v>
      </c>
      <c r="CE21" s="357">
        <f t="shared" si="68"/>
        <v>7.9987049376385508</v>
      </c>
      <c r="CF21" s="357">
        <f t="shared" si="55"/>
        <v>6.8610705426768996</v>
      </c>
      <c r="CG21" s="357">
        <f t="shared" si="56"/>
        <v>18.752411513522752</v>
      </c>
      <c r="CH21" s="357">
        <f t="shared" si="69"/>
        <v>6.8610705426768996</v>
      </c>
      <c r="CI21" s="357">
        <f t="shared" si="70"/>
        <v>4.1206024382063529</v>
      </c>
    </row>
    <row r="22" spans="1:87" x14ac:dyDescent="0.25">
      <c r="A22" t="str">
        <f>PLANTILLA!D24</f>
        <v>P .Trivadi</v>
      </c>
      <c r="B22" t="s">
        <v>855</v>
      </c>
      <c r="C22" s="633">
        <f>PLANTILLA!E24</f>
        <v>27</v>
      </c>
      <c r="D22" s="633">
        <f ca="1">PLANTILLA!F24</f>
        <v>16</v>
      </c>
      <c r="E22" s="633"/>
      <c r="F22" s="290">
        <v>41973</v>
      </c>
      <c r="G22" s="497">
        <v>1.5</v>
      </c>
      <c r="H22" s="498">
        <f>PLANTILLA!I24</f>
        <v>5.3</v>
      </c>
      <c r="I22" s="341"/>
      <c r="J22" s="163">
        <f>PLANTILLA!X24</f>
        <v>0</v>
      </c>
      <c r="K22" s="163">
        <f>PLANTILLA!Y24</f>
        <v>4.01</v>
      </c>
      <c r="L22" s="163">
        <f>PLANTILLA!Z24</f>
        <v>5.5538722222222203</v>
      </c>
      <c r="M22" s="163">
        <f>PLANTILLA!AA24</f>
        <v>5.4899999999999993</v>
      </c>
      <c r="N22" s="163">
        <f>PLANTILLA!AB24</f>
        <v>10.799999999999999</v>
      </c>
      <c r="O22" s="163">
        <f>PLANTILLA!AC24</f>
        <v>8.384500000000001</v>
      </c>
      <c r="P22" s="163">
        <f>PLANTILLA!AD24</f>
        <v>13.566666666666668</v>
      </c>
      <c r="Q22" s="163">
        <f t="shared" si="57"/>
        <v>3.5762499999999999</v>
      </c>
      <c r="R22" s="163">
        <f t="shared" si="58"/>
        <v>19.229136229090329</v>
      </c>
      <c r="S22" s="163">
        <f t="shared" si="59"/>
        <v>0.82622500000000021</v>
      </c>
      <c r="T22" s="163">
        <f t="shared" si="60"/>
        <v>0.56740000000000002</v>
      </c>
      <c r="U22" s="163">
        <f t="shared" ca="1" si="0"/>
        <v>15.532367826134386</v>
      </c>
      <c r="V22" s="159">
        <f t="shared" si="1"/>
        <v>3.2593171122153182</v>
      </c>
      <c r="W22" s="159">
        <f t="shared" si="2"/>
        <v>4.8874701968728242</v>
      </c>
      <c r="X22" s="159">
        <f t="shared" si="61"/>
        <v>3.2593171122153182</v>
      </c>
      <c r="Y22" s="159">
        <f t="shared" si="3"/>
        <v>3.3414617982853425</v>
      </c>
      <c r="Z22" s="159">
        <f t="shared" si="4"/>
        <v>6.4757011594677181</v>
      </c>
      <c r="AA22" s="159">
        <f t="shared" si="62"/>
        <v>1.6707308991426713</v>
      </c>
      <c r="AB22" s="159">
        <f t="shared" si="5"/>
        <v>1.9086584648422056</v>
      </c>
      <c r="AC22" s="159">
        <f t="shared" si="6"/>
        <v>2.4478150382787973</v>
      </c>
      <c r="AD22" s="159">
        <f t="shared" si="7"/>
        <v>4.6819319382951603</v>
      </c>
      <c r="AE22" s="159">
        <f t="shared" si="63"/>
        <v>1.2239075191393987</v>
      </c>
      <c r="AF22" s="159">
        <f t="shared" si="8"/>
        <v>3.0875357519506266</v>
      </c>
      <c r="AG22" s="357">
        <f t="shared" si="9"/>
        <v>5.9576450667103007</v>
      </c>
      <c r="AH22" s="159">
        <f t="shared" si="10"/>
        <v>2.6809402800196351</v>
      </c>
      <c r="AI22" s="159">
        <f t="shared" si="11"/>
        <v>1.33926875474222</v>
      </c>
      <c r="AJ22" s="357">
        <f t="shared" si="12"/>
        <v>4.6779522817670181</v>
      </c>
      <c r="AK22" s="159">
        <f t="shared" si="13"/>
        <v>4.8826786742386599</v>
      </c>
      <c r="AL22" s="159">
        <f t="shared" si="14"/>
        <v>4.5847964209031442</v>
      </c>
      <c r="AM22" s="159">
        <f t="shared" si="15"/>
        <v>2.6774054269644427</v>
      </c>
      <c r="AN22" s="159">
        <f t="shared" si="16"/>
        <v>1.7400819339267026</v>
      </c>
      <c r="AO22" s="159">
        <f t="shared" si="17"/>
        <v>1.7484393130562841</v>
      </c>
      <c r="AP22" s="159">
        <f t="shared" si="18"/>
        <v>3.8465664887238242</v>
      </c>
      <c r="AQ22" s="159">
        <f t="shared" si="64"/>
        <v>0.87421965652814204</v>
      </c>
      <c r="AR22" s="159">
        <f t="shared" si="19"/>
        <v>7.5704772723153022</v>
      </c>
      <c r="AS22" s="159">
        <f t="shared" si="20"/>
        <v>1.7245411507308033</v>
      </c>
      <c r="AT22" s="159">
        <f t="shared" si="21"/>
        <v>3.4689689397240411</v>
      </c>
      <c r="AU22" s="159">
        <f t="shared" si="65"/>
        <v>0.86227057536540164</v>
      </c>
      <c r="AV22" s="357">
        <f t="shared" si="22"/>
        <v>1.2239075191393987</v>
      </c>
      <c r="AW22" s="357">
        <f t="shared" si="23"/>
        <v>2.5902804637870873</v>
      </c>
      <c r="AX22" s="357">
        <f t="shared" si="66"/>
        <v>0.61195375956969933</v>
      </c>
      <c r="AY22" s="357">
        <f t="shared" si="24"/>
        <v>8.0195733816899395</v>
      </c>
      <c r="AZ22" s="357">
        <f t="shared" si="25"/>
        <v>3.3562223933453326</v>
      </c>
      <c r="BA22" s="357">
        <f t="shared" si="26"/>
        <v>6.8021463388667129</v>
      </c>
      <c r="BB22" s="357">
        <f t="shared" si="67"/>
        <v>1.6781111966726663</v>
      </c>
      <c r="BC22" s="357">
        <f t="shared" si="27"/>
        <v>1.8844290374051058</v>
      </c>
      <c r="BD22" s="357">
        <f t="shared" si="28"/>
        <v>2.2535440034947656</v>
      </c>
      <c r="BE22" s="357">
        <f t="shared" si="29"/>
        <v>7.0652441492688371</v>
      </c>
      <c r="BF22" s="357">
        <f t="shared" si="30"/>
        <v>8.7452683307668018</v>
      </c>
      <c r="BG22" s="357">
        <f t="shared" si="31"/>
        <v>3.19703397943172</v>
      </c>
      <c r="BH22" s="357">
        <f t="shared" si="32"/>
        <v>3.1407150623418434</v>
      </c>
      <c r="BI22" s="357">
        <f t="shared" si="33"/>
        <v>1.7095851060994776</v>
      </c>
      <c r="BJ22" s="357">
        <f t="shared" si="34"/>
        <v>3.055457458423867</v>
      </c>
      <c r="BK22" s="357">
        <f t="shared" si="35"/>
        <v>8.0205928133747868</v>
      </c>
      <c r="BL22" s="357">
        <f t="shared" si="36"/>
        <v>0.68981646029232124</v>
      </c>
      <c r="BM22" s="357">
        <f t="shared" si="37"/>
        <v>1.1656262087041893</v>
      </c>
      <c r="BN22" s="357">
        <f t="shared" si="38"/>
        <v>0.44034767884380488</v>
      </c>
      <c r="BO22" s="357">
        <f t="shared" si="39"/>
        <v>2.4459698814154316</v>
      </c>
      <c r="BP22" s="357">
        <f t="shared" si="40"/>
        <v>11.749691691075485</v>
      </c>
      <c r="BQ22" s="357">
        <f t="shared" si="41"/>
        <v>1.7908696565281419</v>
      </c>
      <c r="BR22" s="357">
        <f t="shared" si="42"/>
        <v>1.8390991292888317</v>
      </c>
      <c r="BS22" s="357">
        <f t="shared" si="43"/>
        <v>1.5800710829101232</v>
      </c>
      <c r="BT22" s="357">
        <f t="shared" si="44"/>
        <v>3.6489058886689225</v>
      </c>
      <c r="BU22" s="357">
        <f t="shared" si="45"/>
        <v>10.110556884690231</v>
      </c>
      <c r="BV22" s="357">
        <f t="shared" si="46"/>
        <v>1.6051498402955937</v>
      </c>
      <c r="BW22" s="357">
        <f t="shared" si="47"/>
        <v>1.8390991292888317</v>
      </c>
      <c r="BX22" s="357">
        <f t="shared" si="48"/>
        <v>1.5800710829101232</v>
      </c>
      <c r="BY22" s="357">
        <f t="shared" si="49"/>
        <v>5.0603508038463518</v>
      </c>
      <c r="BZ22" s="357">
        <f t="shared" si="50"/>
        <v>8.145182537723608</v>
      </c>
      <c r="CA22" s="357">
        <f t="shared" si="51"/>
        <v>1.963323771601222</v>
      </c>
      <c r="CB22" s="357">
        <f t="shared" si="52"/>
        <v>3.2559467929661157</v>
      </c>
      <c r="CC22" s="357">
        <f t="shared" si="53"/>
        <v>5.8400218040826815</v>
      </c>
      <c r="CD22" s="357">
        <f t="shared" si="54"/>
        <v>13.528943005560652</v>
      </c>
      <c r="CE22" s="357">
        <f t="shared" si="68"/>
        <v>5.8400218040826815</v>
      </c>
      <c r="CF22" s="357">
        <f t="shared" si="55"/>
        <v>6.3329918223483883</v>
      </c>
      <c r="CG22" s="357">
        <f t="shared" si="56"/>
        <v>15.745244887311307</v>
      </c>
      <c r="CH22" s="357">
        <f t="shared" si="69"/>
        <v>6.3329918223483883</v>
      </c>
      <c r="CI22" s="357">
        <f t="shared" si="70"/>
        <v>2.0048933454224849</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7"/>
      <c r="H24" s="498"/>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7"/>
      <c r="H25" s="498"/>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7"/>
      <c r="H26" s="498"/>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7"/>
      <c r="H27" s="498"/>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7"/>
      <c r="H28" s="498"/>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7"/>
      <c r="H29" s="498"/>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7"/>
      <c r="H30" s="498"/>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7"/>
      <c r="H31" s="498"/>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7"/>
      <c r="H32" s="498"/>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7"/>
      <c r="H33" s="498"/>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7"/>
      <c r="H34" s="498"/>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2017-12-22T14:35:22Z</dcterms:modified>
</cp:coreProperties>
</file>