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1" activeTab="4"/>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LAT" sheetId="16" r:id="rId10"/>
    <sheet name="ANO" sheetId="15" r:id="rId11"/>
    <sheet name="Calculador de Sueldo" sheetId="2" r:id="rId12"/>
    <sheet name="Empleados" sheetId="4" r:id="rId13"/>
  </sheets>
  <calcPr calcId="152511"/>
</workbook>
</file>

<file path=xl/calcChain.xml><?xml version="1.0" encoding="utf-8"?>
<calcChain xmlns="http://schemas.openxmlformats.org/spreadsheetml/2006/main">
  <c r="AC20" i="1" l="1"/>
  <c r="AC19" i="1"/>
  <c r="AC17" i="1"/>
  <c r="AC16" i="1"/>
  <c r="AC15" i="1"/>
  <c r="AC11" i="1"/>
  <c r="AC10" i="1"/>
  <c r="AC9" i="1"/>
  <c r="AC14" i="1"/>
  <c r="AC13" i="1"/>
  <c r="AC12" i="1"/>
  <c r="AC4" i="1"/>
  <c r="AC8" i="1"/>
  <c r="AC7" i="1"/>
  <c r="AC6" i="1"/>
  <c r="AC5" i="1"/>
  <c r="AG7" i="10" l="1"/>
  <c r="AI7" i="10"/>
  <c r="A18" i="10"/>
  <c r="B18" i="10"/>
  <c r="D18" i="10"/>
  <c r="E18" i="10"/>
  <c r="H18" i="10"/>
  <c r="L18" i="10" s="1"/>
  <c r="I18" i="10"/>
  <c r="J18" i="10"/>
  <c r="M18" i="10"/>
  <c r="N18" i="10"/>
  <c r="AE18" i="10" s="1"/>
  <c r="O18" i="10"/>
  <c r="P18" i="10"/>
  <c r="Q18" i="10"/>
  <c r="R18" i="10"/>
  <c r="S18" i="10"/>
  <c r="AC18" i="10"/>
  <c r="AD18" i="10"/>
  <c r="AF18" i="10"/>
  <c r="AH18" i="10"/>
  <c r="AJ18" i="10"/>
  <c r="K18" i="10" l="1"/>
  <c r="U18" i="1"/>
  <c r="AR18" i="1"/>
  <c r="AN18" i="1"/>
  <c r="AM18" i="1"/>
  <c r="AL18" i="1"/>
  <c r="AK18" i="1"/>
  <c r="AJ18" i="1"/>
  <c r="AI18" i="1"/>
  <c r="AH18" i="1"/>
  <c r="AG18" i="1"/>
  <c r="W18" i="1"/>
  <c r="R18" i="1"/>
  <c r="S18" i="1"/>
  <c r="P18" i="1"/>
  <c r="J18" i="1"/>
  <c r="K18" i="1"/>
  <c r="L18" i="1"/>
  <c r="J20" i="1" l="1"/>
  <c r="U27" i="1" l="1"/>
  <c r="T27" i="1"/>
  <c r="J3" i="3"/>
  <c r="K3" i="3"/>
  <c r="Q3" i="3"/>
  <c r="N21" i="1"/>
  <c r="AG17" i="10" l="1"/>
  <c r="AI17" i="10"/>
  <c r="AG16" i="10"/>
  <c r="AI16" i="10"/>
  <c r="AG15" i="10"/>
  <c r="AI15" i="10"/>
  <c r="AG14" i="10"/>
  <c r="AI14" i="10"/>
  <c r="AG13" i="10"/>
  <c r="AI13" i="10"/>
  <c r="AG12" i="10"/>
  <c r="AI12" i="10"/>
  <c r="AG11" i="10"/>
  <c r="AI11" i="10"/>
  <c r="AG10" i="10"/>
  <c r="AI10" i="10"/>
  <c r="AG8" i="10"/>
  <c r="AI8" i="10"/>
  <c r="AG6" i="10"/>
  <c r="AG5" i="10"/>
  <c r="AI4" i="10"/>
  <c r="AF6" i="10"/>
  <c r="Y17" i="10"/>
  <c r="Y16" i="10"/>
  <c r="Y15" i="10"/>
  <c r="Y14" i="10"/>
  <c r="Y11" i="10"/>
  <c r="A5" i="10"/>
  <c r="B5" i="10"/>
  <c r="D5" i="10"/>
  <c r="E5" i="10"/>
  <c r="G5" i="10"/>
  <c r="H5" i="10"/>
  <c r="I5" i="10"/>
  <c r="L5" i="10" s="1"/>
  <c r="J5" i="10"/>
  <c r="M5" i="10"/>
  <c r="N5" i="10"/>
  <c r="AE5" i="10" s="1"/>
  <c r="O5" i="10"/>
  <c r="AF5" i="10" s="1"/>
  <c r="P5" i="10"/>
  <c r="Q5" i="10"/>
  <c r="R5" i="10"/>
  <c r="S5" i="10"/>
  <c r="A6" i="10"/>
  <c r="B6" i="10"/>
  <c r="D6" i="10"/>
  <c r="E6" i="10"/>
  <c r="G6" i="10"/>
  <c r="H6" i="10"/>
  <c r="I6" i="10"/>
  <c r="K6" i="10" s="1"/>
  <c r="J6" i="10"/>
  <c r="M6" i="10"/>
  <c r="N6" i="10"/>
  <c r="AE6" i="10" s="1"/>
  <c r="O6" i="10"/>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K8" i="10" s="1"/>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1" i="10"/>
  <c r="B11" i="10"/>
  <c r="D11" i="10"/>
  <c r="E11" i="10"/>
  <c r="G11" i="10"/>
  <c r="H11" i="10"/>
  <c r="I11" i="10"/>
  <c r="J11" i="10"/>
  <c r="M11" i="10"/>
  <c r="N11" i="10"/>
  <c r="AE11" i="10" s="1"/>
  <c r="O11" i="10"/>
  <c r="AF11" i="10" s="1"/>
  <c r="P11" i="10"/>
  <c r="Q11" i="10"/>
  <c r="R11" i="10"/>
  <c r="S11"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L13" i="10" s="1"/>
  <c r="J13" i="10"/>
  <c r="M13" i="10"/>
  <c r="N13" i="10"/>
  <c r="AE13" i="10" s="1"/>
  <c r="O13" i="10"/>
  <c r="AF13" i="10" s="1"/>
  <c r="P13" i="10"/>
  <c r="Q13" i="10"/>
  <c r="R13" i="10"/>
  <c r="S13" i="10"/>
  <c r="A14" i="10"/>
  <c r="B14" i="10"/>
  <c r="D14" i="10"/>
  <c r="E14" i="10"/>
  <c r="G14" i="10"/>
  <c r="H14" i="10"/>
  <c r="I14" i="10"/>
  <c r="K14" i="10" s="1"/>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9" i="10"/>
  <c r="B19" i="10"/>
  <c r="D19" i="10"/>
  <c r="A20" i="10"/>
  <c r="B20" i="10"/>
  <c r="D20" i="10"/>
  <c r="A21" i="10"/>
  <c r="B21" i="10"/>
  <c r="D21" i="10"/>
  <c r="A22" i="10"/>
  <c r="B22" i="10"/>
  <c r="D22" i="10"/>
  <c r="A23" i="10"/>
  <c r="B23" i="10"/>
  <c r="C23" i="10"/>
  <c r="D23" i="10"/>
  <c r="S4" i="10"/>
  <c r="R4" i="10"/>
  <c r="Q4" i="10"/>
  <c r="AH4" i="10" s="1"/>
  <c r="P4" i="10"/>
  <c r="O4" i="10"/>
  <c r="AF4" i="10" s="1"/>
  <c r="N4" i="10"/>
  <c r="AE4" i="10" s="1"/>
  <c r="M4" i="10"/>
  <c r="J4" i="10"/>
  <c r="I4" i="10"/>
  <c r="H4" i="10"/>
  <c r="G4" i="10"/>
  <c r="E4" i="10"/>
  <c r="D4" i="10"/>
  <c r="B4" i="10"/>
  <c r="A4" i="10"/>
  <c r="R18" i="3"/>
  <c r="W20" i="3"/>
  <c r="Y20" i="3" s="1"/>
  <c r="AH20" i="3"/>
  <c r="AL20" i="3"/>
  <c r="AP20" i="3"/>
  <c r="AR20" i="3" s="1"/>
  <c r="AU20" i="3"/>
  <c r="BA20" i="3"/>
  <c r="BC20" i="3" s="1"/>
  <c r="BJ20" i="3"/>
  <c r="BM20" i="3"/>
  <c r="BN20" i="3"/>
  <c r="BQ20" i="3"/>
  <c r="BR20" i="3"/>
  <c r="BV20" i="3"/>
  <c r="A4" i="3"/>
  <c r="B4" i="3"/>
  <c r="D4" i="3"/>
  <c r="E4" i="3"/>
  <c r="I4" i="3" s="1"/>
  <c r="F4" i="3"/>
  <c r="G4" i="3" s="1"/>
  <c r="J4" i="3"/>
  <c r="K4" i="3"/>
  <c r="L4" i="3"/>
  <c r="M4" i="3"/>
  <c r="N4" i="3"/>
  <c r="O4" i="3"/>
  <c r="P4" i="3"/>
  <c r="Q4" i="3"/>
  <c r="A5" i="3"/>
  <c r="B5" i="3"/>
  <c r="D5" i="3"/>
  <c r="E5" i="3"/>
  <c r="F5" i="3"/>
  <c r="H5" i="3" s="1"/>
  <c r="G5" i="3"/>
  <c r="I5" i="3"/>
  <c r="J5" i="3"/>
  <c r="K5" i="3"/>
  <c r="L5" i="3"/>
  <c r="M5" i="3"/>
  <c r="N5" i="3"/>
  <c r="O5" i="3"/>
  <c r="P5" i="3"/>
  <c r="Q5" i="3"/>
  <c r="A6" i="3"/>
  <c r="B6" i="3"/>
  <c r="D6" i="3"/>
  <c r="E6" i="3"/>
  <c r="F6" i="3"/>
  <c r="G6" i="3" s="1"/>
  <c r="I6" i="3"/>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F9" i="3"/>
  <c r="G9" i="3"/>
  <c r="H9" i="3"/>
  <c r="I9" i="3"/>
  <c r="J9" i="3"/>
  <c r="K9" i="3"/>
  <c r="L9" i="3"/>
  <c r="M9" i="3"/>
  <c r="N9" i="3"/>
  <c r="O9" i="3"/>
  <c r="P9" i="3"/>
  <c r="Q9" i="3"/>
  <c r="A10" i="3"/>
  <c r="B10" i="3"/>
  <c r="D10" i="3"/>
  <c r="E10" i="3"/>
  <c r="F10" i="3"/>
  <c r="G10" i="3" s="1"/>
  <c r="I10" i="3"/>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H12" i="3"/>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H16" i="3"/>
  <c r="J16" i="3"/>
  <c r="K16" i="3"/>
  <c r="L16" i="3"/>
  <c r="M16" i="3"/>
  <c r="N16" i="3"/>
  <c r="O16" i="3"/>
  <c r="P16" i="3"/>
  <c r="Q16" i="3"/>
  <c r="A17" i="3"/>
  <c r="B17" i="3"/>
  <c r="D17" i="3"/>
  <c r="E17" i="3"/>
  <c r="F17" i="3"/>
  <c r="G17" i="3" s="1"/>
  <c r="I17" i="3"/>
  <c r="J17" i="3"/>
  <c r="K17" i="3"/>
  <c r="L17" i="3"/>
  <c r="M17" i="3"/>
  <c r="N17" i="3"/>
  <c r="O17" i="3"/>
  <c r="P17" i="3"/>
  <c r="Q17" i="3"/>
  <c r="A18" i="3"/>
  <c r="B18" i="3"/>
  <c r="D18" i="3"/>
  <c r="BZ18" i="3" s="1"/>
  <c r="E18" i="3"/>
  <c r="W18" i="3" s="1"/>
  <c r="Y18" i="3" s="1"/>
  <c r="F18" i="3"/>
  <c r="G18" i="3" s="1"/>
  <c r="I18" i="3"/>
  <c r="J18" i="3"/>
  <c r="AG18" i="3" s="1"/>
  <c r="K18" i="3"/>
  <c r="L18" i="3"/>
  <c r="T18" i="3" s="1"/>
  <c r="M18" i="3"/>
  <c r="N18" i="3"/>
  <c r="AK18" i="3" s="1"/>
  <c r="O18" i="3"/>
  <c r="P18" i="3"/>
  <c r="S18" i="3" s="1"/>
  <c r="Q18" i="3"/>
  <c r="A19" i="3"/>
  <c r="B19" i="3"/>
  <c r="D19" i="3"/>
  <c r="E19" i="3"/>
  <c r="BA19" i="3" s="1"/>
  <c r="BC19" i="3" s="1"/>
  <c r="F19" i="3"/>
  <c r="G19" i="3" s="1"/>
  <c r="J19" i="3"/>
  <c r="K19" i="3"/>
  <c r="L19" i="3"/>
  <c r="T19" i="3" s="1"/>
  <c r="M19" i="3"/>
  <c r="N19" i="3"/>
  <c r="O19" i="3"/>
  <c r="R19" i="3" s="1"/>
  <c r="P19" i="3"/>
  <c r="S19" i="3" s="1"/>
  <c r="Q19" i="3"/>
  <c r="A20" i="3"/>
  <c r="B20" i="3"/>
  <c r="D20" i="3"/>
  <c r="BY20" i="3" s="1"/>
  <c r="CA20" i="3" s="1"/>
  <c r="E20" i="3"/>
  <c r="X20" i="3" s="1"/>
  <c r="F20" i="3"/>
  <c r="G20" i="3" s="1"/>
  <c r="H20" i="3"/>
  <c r="I20" i="3"/>
  <c r="J20" i="3"/>
  <c r="K20" i="3"/>
  <c r="L20" i="3"/>
  <c r="T20" i="3" s="1"/>
  <c r="M20" i="3"/>
  <c r="AC20" i="3" s="1"/>
  <c r="N20" i="3"/>
  <c r="O20" i="3"/>
  <c r="R20" i="3" s="1"/>
  <c r="P20" i="3"/>
  <c r="Q20" i="3"/>
  <c r="S20" i="3" s="1"/>
  <c r="P3" i="3"/>
  <c r="O3" i="3"/>
  <c r="N3" i="3"/>
  <c r="M3" i="3"/>
  <c r="L3" i="3"/>
  <c r="F3" i="3"/>
  <c r="E3" i="3"/>
  <c r="I3" i="3" s="1"/>
  <c r="D3" i="3"/>
  <c r="B3" i="3"/>
  <c r="A3" i="3"/>
  <c r="A4" i="12"/>
  <c r="O3" i="12" s="1"/>
  <c r="B4" i="12"/>
  <c r="C4" i="12"/>
  <c r="D4" i="12"/>
  <c r="E4" i="12" s="1"/>
  <c r="P3" i="12" s="1"/>
  <c r="G4" i="12"/>
  <c r="H4" i="12" s="1"/>
  <c r="S3" i="12" s="1"/>
  <c r="A5" i="12"/>
  <c r="B5" i="12"/>
  <c r="C5" i="12"/>
  <c r="G5" i="12" s="1"/>
  <c r="H5" i="12" s="1"/>
  <c r="D5" i="12"/>
  <c r="E5" i="12"/>
  <c r="F5" i="12" s="1"/>
  <c r="A6" i="12"/>
  <c r="B6" i="12"/>
  <c r="C6" i="12"/>
  <c r="G6" i="12" s="1"/>
  <c r="H6" i="12" s="1"/>
  <c r="D6" i="12"/>
  <c r="E6" i="12" s="1"/>
  <c r="A7" i="12"/>
  <c r="O12" i="12" s="1"/>
  <c r="B7" i="12"/>
  <c r="C7" i="12"/>
  <c r="D7" i="12"/>
  <c r="E7" i="12"/>
  <c r="P12" i="12" s="1"/>
  <c r="F7" i="12"/>
  <c r="Q12" i="12" s="1"/>
  <c r="G7" i="12"/>
  <c r="H7" i="12" s="1"/>
  <c r="A8" i="12"/>
  <c r="B8" i="12"/>
  <c r="C8" i="12"/>
  <c r="G8" i="12" s="1"/>
  <c r="H8" i="12" s="1"/>
  <c r="D8" i="12"/>
  <c r="E8" i="12" s="1"/>
  <c r="A9" i="12"/>
  <c r="B9" i="12"/>
  <c r="C9" i="12"/>
  <c r="D9" i="12"/>
  <c r="E9" i="12"/>
  <c r="F9" i="12"/>
  <c r="G9" i="12"/>
  <c r="H9" i="12" s="1"/>
  <c r="A10" i="12"/>
  <c r="B10" i="12"/>
  <c r="C10" i="12"/>
  <c r="G10" i="12" s="1"/>
  <c r="H10" i="12" s="1"/>
  <c r="D10" i="12"/>
  <c r="E10" i="12" s="1"/>
  <c r="A11" i="12"/>
  <c r="O6" i="12" s="1"/>
  <c r="B11" i="12"/>
  <c r="C11" i="12"/>
  <c r="G11" i="12" s="1"/>
  <c r="H11" i="12" s="1"/>
  <c r="S6" i="12" s="1"/>
  <c r="D11" i="12"/>
  <c r="E11" i="12" s="1"/>
  <c r="P6" i="12" s="1"/>
  <c r="A12" i="12"/>
  <c r="B12" i="12"/>
  <c r="C12" i="12"/>
  <c r="D12" i="12"/>
  <c r="E12" i="12" s="1"/>
  <c r="G12" i="12"/>
  <c r="H12" i="12"/>
  <c r="A13" i="12"/>
  <c r="B13" i="12"/>
  <c r="C13" i="12"/>
  <c r="G13" i="12" s="1"/>
  <c r="H13" i="12" s="1"/>
  <c r="D13" i="12"/>
  <c r="E13" i="12" s="1"/>
  <c r="F13" i="12" s="1"/>
  <c r="A14" i="12"/>
  <c r="B14" i="12"/>
  <c r="C14" i="12"/>
  <c r="G14" i="12" s="1"/>
  <c r="H14" i="12" s="1"/>
  <c r="D14" i="12"/>
  <c r="E14" i="12" s="1"/>
  <c r="A15" i="12"/>
  <c r="B15" i="12"/>
  <c r="C15" i="12"/>
  <c r="D15" i="12"/>
  <c r="E15" i="12"/>
  <c r="F15" i="12" s="1"/>
  <c r="G15" i="12"/>
  <c r="H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D20" i="12"/>
  <c r="E20" i="12" s="1"/>
  <c r="G20" i="12"/>
  <c r="H20" i="12" s="1"/>
  <c r="A21" i="12"/>
  <c r="B21" i="12"/>
  <c r="C21" i="12"/>
  <c r="D21" i="12"/>
  <c r="E21" i="12" s="1"/>
  <c r="F21" i="12" s="1"/>
  <c r="G21" i="12"/>
  <c r="H21" i="12" s="1"/>
  <c r="D3" i="12"/>
  <c r="C3" i="12"/>
  <c r="B3" i="12"/>
  <c r="A3" i="12"/>
  <c r="H17" i="3" l="1"/>
  <c r="H8" i="3"/>
  <c r="L11" i="10"/>
  <c r="L8" i="10"/>
  <c r="BZ20" i="3"/>
  <c r="AH19" i="3"/>
  <c r="BQ18" i="3"/>
  <c r="BE18" i="3"/>
  <c r="AO18" i="3"/>
  <c r="AA18" i="3"/>
  <c r="CE20" i="3"/>
  <c r="BU20" i="3"/>
  <c r="BI20" i="3"/>
  <c r="BE20" i="3"/>
  <c r="AZ20" i="3"/>
  <c r="AT20" i="3"/>
  <c r="AV20" i="3" s="1"/>
  <c r="AO20" i="3"/>
  <c r="AK20" i="3"/>
  <c r="AG20" i="3"/>
  <c r="AA20" i="3"/>
  <c r="V20" i="3"/>
  <c r="CC18" i="3"/>
  <c r="BX18" i="3"/>
  <c r="BT18" i="3"/>
  <c r="BP18" i="3"/>
  <c r="BL18" i="3"/>
  <c r="BH18" i="3"/>
  <c r="BD18" i="3"/>
  <c r="AX18" i="3"/>
  <c r="AS18" i="3"/>
  <c r="AN18" i="3"/>
  <c r="AJ18" i="3"/>
  <c r="AE18" i="3"/>
  <c r="Z18" i="3"/>
  <c r="AB18" i="3" s="1"/>
  <c r="U18" i="3"/>
  <c r="BF20" i="3"/>
  <c r="BU18" i="3"/>
  <c r="BI18" i="3"/>
  <c r="AZ18" i="3"/>
  <c r="V18" i="3"/>
  <c r="X19" i="3"/>
  <c r="H13" i="3"/>
  <c r="CC20" i="3"/>
  <c r="BX20" i="3"/>
  <c r="BT20" i="3"/>
  <c r="BP20" i="3"/>
  <c r="BL20" i="3"/>
  <c r="BH20" i="3"/>
  <c r="BD20" i="3"/>
  <c r="AX20" i="3"/>
  <c r="AS20" i="3"/>
  <c r="AN20" i="3"/>
  <c r="AJ20" i="3"/>
  <c r="AE20" i="3"/>
  <c r="Z20" i="3"/>
  <c r="AB20" i="3" s="1"/>
  <c r="U20" i="3"/>
  <c r="BR19" i="3"/>
  <c r="CB18" i="3"/>
  <c r="CD18" i="3" s="1"/>
  <c r="BW18" i="3"/>
  <c r="BS18" i="3"/>
  <c r="BO18" i="3"/>
  <c r="BK18" i="3"/>
  <c r="BG18" i="3"/>
  <c r="BB18" i="3"/>
  <c r="AW18" i="3"/>
  <c r="AY18" i="3" s="1"/>
  <c r="AQ18" i="3"/>
  <c r="AM18" i="3"/>
  <c r="AI18" i="3"/>
  <c r="AD18" i="3"/>
  <c r="AF18" i="3" s="1"/>
  <c r="X18" i="3"/>
  <c r="CE18" i="3"/>
  <c r="BY18" i="3"/>
  <c r="CA18" i="3" s="1"/>
  <c r="BM18" i="3"/>
  <c r="AT18" i="3"/>
  <c r="AV18" i="3" s="1"/>
  <c r="J7" i="12"/>
  <c r="I19" i="3"/>
  <c r="H4" i="3"/>
  <c r="CB20" i="3"/>
  <c r="CD20" i="3" s="1"/>
  <c r="BW20" i="3"/>
  <c r="BS20" i="3"/>
  <c r="BO20" i="3"/>
  <c r="BK20" i="3"/>
  <c r="BG20" i="3"/>
  <c r="BB20" i="3"/>
  <c r="AW20" i="3"/>
  <c r="AY20" i="3" s="1"/>
  <c r="AQ20" i="3"/>
  <c r="AM20" i="3"/>
  <c r="AI20" i="3"/>
  <c r="AD20" i="3"/>
  <c r="AF20" i="3" s="1"/>
  <c r="BV18" i="3"/>
  <c r="BR18" i="3"/>
  <c r="BN18" i="3"/>
  <c r="BJ18" i="3"/>
  <c r="BF18" i="3"/>
  <c r="BA18" i="3"/>
  <c r="BC18" i="3" s="1"/>
  <c r="AU18" i="3"/>
  <c r="AP18" i="3"/>
  <c r="AR18" i="3" s="1"/>
  <c r="AL18" i="3"/>
  <c r="AH18" i="3"/>
  <c r="AC18" i="3"/>
  <c r="L16" i="10"/>
  <c r="L12" i="10"/>
  <c r="L7" i="10"/>
  <c r="K5" i="10"/>
  <c r="J15" i="12"/>
  <c r="K16" i="10"/>
  <c r="BN19" i="3"/>
  <c r="AU19" i="3"/>
  <c r="AC19" i="3"/>
  <c r="BZ19" i="3"/>
  <c r="BJ19" i="3"/>
  <c r="AP19" i="3"/>
  <c r="AR19" i="3" s="1"/>
  <c r="W19" i="3"/>
  <c r="Y19" i="3" s="1"/>
  <c r="BV19" i="3"/>
  <c r="BF19" i="3"/>
  <c r="AL19" i="3"/>
  <c r="CE19" i="3"/>
  <c r="BY19" i="3"/>
  <c r="CA19" i="3" s="1"/>
  <c r="BU19" i="3"/>
  <c r="BQ19" i="3"/>
  <c r="BM19" i="3"/>
  <c r="BI19" i="3"/>
  <c r="BE19" i="3"/>
  <c r="AZ19" i="3"/>
  <c r="AT19" i="3"/>
  <c r="AV19" i="3" s="1"/>
  <c r="AO19" i="3"/>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3" i="10"/>
  <c r="K11" i="10"/>
  <c r="K17" i="10"/>
  <c r="K15" i="10"/>
  <c r="K12" i="10"/>
  <c r="L17" i="10"/>
  <c r="L15" i="10"/>
  <c r="K10" i="10"/>
  <c r="L9" i="10"/>
  <c r="K7" i="10"/>
  <c r="L14"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I10" i="12"/>
  <c r="F10" i="12"/>
  <c r="I12" i="12"/>
  <c r="F12" i="12"/>
  <c r="I16" i="12"/>
  <c r="F16" i="12"/>
  <c r="J16" i="12" s="1"/>
  <c r="J12" i="12"/>
  <c r="I8" i="12"/>
  <c r="F8" i="12"/>
  <c r="J8" i="12" s="1"/>
  <c r="I20" i="12"/>
  <c r="F20" i="12"/>
  <c r="J20" i="12" s="1"/>
  <c r="J18" i="12"/>
  <c r="I14" i="12"/>
  <c r="F14" i="12"/>
  <c r="J14" i="12" s="1"/>
  <c r="J10" i="12"/>
  <c r="I6" i="12"/>
  <c r="F6" i="12"/>
  <c r="J6" i="12" s="1"/>
  <c r="I19" i="12"/>
  <c r="I17" i="12"/>
  <c r="I15" i="12"/>
  <c r="I13" i="12"/>
  <c r="I11" i="12"/>
  <c r="I9" i="12"/>
  <c r="I7" i="12"/>
  <c r="I5" i="12"/>
  <c r="I21" i="12"/>
  <c r="AB14" i="1"/>
  <c r="J4" i="12" l="1"/>
  <c r="J11" i="12"/>
  <c r="AB22" i="1"/>
  <c r="AB21" i="1"/>
  <c r="AB20" i="1"/>
  <c r="AB19" i="1"/>
  <c r="AB17" i="1"/>
  <c r="I2" i="1"/>
  <c r="O2" i="1"/>
  <c r="Q2" i="1"/>
  <c r="V2" i="1"/>
  <c r="T2" i="1"/>
  <c r="AB16" i="1"/>
  <c r="AB15" i="1"/>
  <c r="AB10" i="1"/>
  <c r="AB9" i="1"/>
  <c r="AB13" i="1"/>
  <c r="AB12" i="1"/>
  <c r="AB4" i="1"/>
  <c r="AB8" i="1"/>
  <c r="AB7" i="1"/>
  <c r="AB6" i="1"/>
  <c r="AB5"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U6" i="1" l="1"/>
  <c r="AR6" i="1"/>
  <c r="W6" i="1"/>
  <c r="R6" i="1"/>
  <c r="S6" i="1"/>
  <c r="P6" i="1"/>
  <c r="N6" i="1"/>
  <c r="AI6" i="1" s="1"/>
  <c r="J6" i="1"/>
  <c r="K6" i="1"/>
  <c r="L6" i="1"/>
  <c r="AK6" i="1" l="1"/>
  <c r="AM6" i="1"/>
  <c r="AL6" i="1"/>
  <c r="AH6" i="1"/>
  <c r="AN6" i="1"/>
  <c r="AG6" i="1"/>
  <c r="AJ6" i="1"/>
  <c r="K9" i="9"/>
  <c r="AD22" i="1" l="1"/>
  <c r="AD20" i="1"/>
  <c r="AD19" i="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V17"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4" i="3"/>
  <c r="S13" i="3"/>
  <c r="BU12" i="3"/>
  <c r="AZ12" i="3"/>
  <c r="AK12" i="3"/>
  <c r="U12" i="3"/>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V12"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11" i="1" l="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U13" i="1"/>
  <c r="AR13" i="1"/>
  <c r="W13" i="1"/>
  <c r="R13" i="1"/>
  <c r="S13" i="1"/>
  <c r="P13" i="1"/>
  <c r="N13" i="1"/>
  <c r="AG13" i="1" s="1"/>
  <c r="J13" i="1"/>
  <c r="K13" i="1"/>
  <c r="L13" i="1"/>
  <c r="AK13" i="1" l="1"/>
  <c r="AJ13" i="1"/>
  <c r="AI13" i="1"/>
  <c r="AM13" i="1"/>
  <c r="AL13" i="1"/>
  <c r="AH13" i="1"/>
  <c r="AN13" i="1"/>
  <c r="U5" i="1"/>
  <c r="AR5" i="1"/>
  <c r="W5" i="1"/>
  <c r="R5" i="1"/>
  <c r="S5" i="1"/>
  <c r="P5" i="1"/>
  <c r="N5" i="1"/>
  <c r="AN5" i="1" s="1"/>
  <c r="J5" i="1"/>
  <c r="K5" i="1"/>
  <c r="L5" i="1"/>
  <c r="AG5" i="1" l="1"/>
  <c r="AK5" i="1"/>
  <c r="AH5" i="1"/>
  <c r="AL5" i="1"/>
  <c r="AI5" i="1"/>
  <c r="AM5" i="1"/>
  <c r="AJ5" i="1"/>
  <c r="AR4" i="1" l="1"/>
  <c r="W4" i="1"/>
  <c r="U4" i="1"/>
  <c r="S4" i="1"/>
  <c r="R4" i="1"/>
  <c r="P4" i="1"/>
  <c r="N4" i="1"/>
  <c r="L4" i="1"/>
  <c r="K4" i="1"/>
  <c r="J4" i="1"/>
  <c r="AR16" i="1"/>
  <c r="W16" i="1"/>
  <c r="U16" i="1"/>
  <c r="S16" i="1"/>
  <c r="R16" i="1"/>
  <c r="P16" i="1"/>
  <c r="N16" i="1"/>
  <c r="AM16" i="1" s="1"/>
  <c r="L16" i="1"/>
  <c r="K16" i="1"/>
  <c r="J16" i="1"/>
  <c r="AR17" i="1"/>
  <c r="W17" i="1"/>
  <c r="U17" i="1"/>
  <c r="S17" i="1"/>
  <c r="R17" i="1"/>
  <c r="P17" i="1"/>
  <c r="N17" i="1"/>
  <c r="AN17" i="1" s="1"/>
  <c r="L17" i="1"/>
  <c r="K17" i="1"/>
  <c r="J17" i="1"/>
  <c r="AR14" i="1"/>
  <c r="W14" i="1"/>
  <c r="U14" i="1"/>
  <c r="S14" i="1"/>
  <c r="R14" i="1"/>
  <c r="P14" i="1"/>
  <c r="N14" i="1"/>
  <c r="AK14" i="1" s="1"/>
  <c r="L14" i="1"/>
  <c r="K14" i="1"/>
  <c r="J14" i="1"/>
  <c r="AN4" i="1" l="1"/>
  <c r="AG4" i="1"/>
  <c r="AK4" i="1"/>
  <c r="AH4" i="1"/>
  <c r="AL4" i="1"/>
  <c r="AI4" i="1"/>
  <c r="AM4" i="1"/>
  <c r="AJ4" i="1"/>
  <c r="AG16" i="1"/>
  <c r="AL16" i="1"/>
  <c r="AK16" i="1"/>
  <c r="AH16" i="1"/>
  <c r="AN16" i="1"/>
  <c r="AJ16" i="1"/>
  <c r="AI16" i="1"/>
  <c r="AG17" i="1"/>
  <c r="AK17" i="1"/>
  <c r="AH17" i="1"/>
  <c r="AL17" i="1"/>
  <c r="AI17" i="1"/>
  <c r="AM17" i="1"/>
  <c r="AJ17" i="1"/>
  <c r="AI14" i="1"/>
  <c r="AM14" i="1"/>
  <c r="AL14" i="1"/>
  <c r="AJ14" i="1"/>
  <c r="AN14" i="1"/>
  <c r="AH14" i="1"/>
  <c r="AG14" i="1"/>
  <c r="AR11" i="1"/>
  <c r="W11" i="1"/>
  <c r="U11" i="1"/>
  <c r="S11" i="1"/>
  <c r="R11" i="1"/>
  <c r="P11" i="1"/>
  <c r="N11" i="1"/>
  <c r="AK11" i="1" s="1"/>
  <c r="L11" i="1"/>
  <c r="K11" i="1"/>
  <c r="J11" i="1"/>
  <c r="AR7" i="1"/>
  <c r="W7" i="1"/>
  <c r="U7" i="1"/>
  <c r="S7" i="1"/>
  <c r="R7" i="1"/>
  <c r="P7" i="1"/>
  <c r="N7" i="1"/>
  <c r="AK7" i="1" s="1"/>
  <c r="L7" i="1"/>
  <c r="K7" i="1"/>
  <c r="J7" i="1"/>
  <c r="AR10" i="1"/>
  <c r="W10" i="1"/>
  <c r="U10" i="1"/>
  <c r="S10" i="1"/>
  <c r="R10" i="1"/>
  <c r="P10" i="1"/>
  <c r="N10" i="1"/>
  <c r="AL10" i="1" s="1"/>
  <c r="L10" i="1"/>
  <c r="K10" i="1"/>
  <c r="J10" i="1"/>
  <c r="AR8" i="1"/>
  <c r="W8" i="1"/>
  <c r="U8" i="1"/>
  <c r="S8" i="1"/>
  <c r="R8" i="1"/>
  <c r="P8" i="1"/>
  <c r="N8" i="1"/>
  <c r="L8" i="1"/>
  <c r="K8" i="1"/>
  <c r="J8" i="1"/>
  <c r="AR15" i="1"/>
  <c r="W15" i="1"/>
  <c r="U15" i="1"/>
  <c r="S15" i="1"/>
  <c r="R15" i="1"/>
  <c r="P15" i="1"/>
  <c r="N15" i="1"/>
  <c r="AN15" i="1" s="1"/>
  <c r="L15" i="1"/>
  <c r="K15" i="1"/>
  <c r="J15" i="1"/>
  <c r="AR9" i="1"/>
  <c r="W9" i="1"/>
  <c r="U9" i="1"/>
  <c r="S9" i="1"/>
  <c r="R9" i="1"/>
  <c r="P9" i="1"/>
  <c r="N9" i="1"/>
  <c r="AK9" i="1" s="1"/>
  <c r="L9" i="1"/>
  <c r="K9" i="1"/>
  <c r="J9" i="1"/>
  <c r="AR12" i="1"/>
  <c r="W12" i="1"/>
  <c r="U12" i="1"/>
  <c r="S12" i="1"/>
  <c r="R12" i="1"/>
  <c r="P12" i="1"/>
  <c r="AI12" i="1"/>
  <c r="L12" i="1"/>
  <c r="K12" i="1"/>
  <c r="J12" i="1"/>
  <c r="AH11" i="1" l="1"/>
  <c r="AL11" i="1"/>
  <c r="AI11" i="1"/>
  <c r="AM11" i="1"/>
  <c r="AJ11" i="1"/>
  <c r="AN11" i="1"/>
  <c r="AG11" i="1"/>
  <c r="AK10" i="1"/>
  <c r="AJ10" i="1"/>
  <c r="AI10" i="1"/>
  <c r="AJ15" i="1"/>
  <c r="AG15" i="1"/>
  <c r="AH15" i="1"/>
  <c r="AM12" i="1"/>
  <c r="AK15" i="1"/>
  <c r="AM10" i="1"/>
  <c r="AN7" i="1"/>
  <c r="AM7" i="1"/>
  <c r="AJ12" i="1"/>
  <c r="AG12" i="1"/>
  <c r="AN9" i="1"/>
  <c r="AL15" i="1"/>
  <c r="AK8" i="1"/>
  <c r="AM8" i="1"/>
  <c r="AJ7" i="1"/>
  <c r="AL7" i="1"/>
  <c r="AJ9" i="1"/>
  <c r="AJ8" i="1"/>
  <c r="AN8" i="1"/>
  <c r="AH9" i="1"/>
  <c r="AL9" i="1"/>
  <c r="AG8" i="1"/>
  <c r="AN10" i="1"/>
  <c r="AH7" i="1"/>
  <c r="AN12" i="1"/>
  <c r="AI9" i="1"/>
  <c r="AM9" i="1"/>
  <c r="AI15" i="1"/>
  <c r="AM15" i="1"/>
  <c r="AK12" i="1"/>
  <c r="AH8" i="1"/>
  <c r="AL8" i="1"/>
  <c r="AG10" i="1"/>
  <c r="AI7" i="1"/>
  <c r="AH12" i="1"/>
  <c r="AL12" i="1"/>
  <c r="AG9" i="1"/>
  <c r="AI8" i="1"/>
  <c r="AH10" i="1"/>
  <c r="AG7" i="1"/>
  <c r="AA22" i="1"/>
  <c r="AA21" i="1"/>
  <c r="AA20" i="1"/>
  <c r="AA19" i="1"/>
  <c r="AC22" i="1" l="1"/>
  <c r="Z22" i="1" l="1"/>
  <c r="Z21" i="1"/>
  <c r="Z20" i="1"/>
  <c r="Z19" i="1"/>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19" i="1"/>
  <c r="U20" i="1"/>
  <c r="U21" i="1"/>
  <c r="U22" i="1"/>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Y22" i="1" l="1"/>
  <c r="Y21" i="1"/>
  <c r="AD4" i="10" l="1"/>
  <c r="AD5" i="10"/>
  <c r="AD6" i="10"/>
  <c r="AJ6" i="10"/>
  <c r="AD7" i="10"/>
  <c r="AD8" i="10"/>
  <c r="AJ8" i="10"/>
  <c r="AD9" i="10"/>
  <c r="AJ9" i="10"/>
  <c r="AD10" i="10"/>
  <c r="AD11" i="10"/>
  <c r="AJ11" i="10"/>
  <c r="AD12" i="10"/>
  <c r="AJ12" i="10"/>
  <c r="AD13" i="10"/>
  <c r="AJ13" i="10"/>
  <c r="AD14" i="10"/>
  <c r="AJ14" i="10"/>
  <c r="AD15" i="10"/>
  <c r="AD16" i="10"/>
  <c r="AD17" i="10"/>
  <c r="AC5" i="10"/>
  <c r="AC6" i="10"/>
  <c r="AC9" i="10"/>
  <c r="AC10" i="10"/>
  <c r="AC14" i="10"/>
  <c r="AC15" i="10"/>
  <c r="AC16" i="10"/>
  <c r="Y10" i="10"/>
  <c r="Y8" i="10"/>
  <c r="Y4" i="10"/>
  <c r="D2" i="10"/>
  <c r="Z1" i="10"/>
  <c r="AA1" i="10" s="1"/>
  <c r="K4" i="10" l="1"/>
  <c r="L4" i="10"/>
  <c r="AC4" i="10"/>
  <c r="AC7" i="10"/>
  <c r="AC8" i="10"/>
  <c r="AC11" i="10"/>
  <c r="AC12" i="10"/>
  <c r="AC13" i="10"/>
  <c r="AC17" i="10"/>
  <c r="AJ17" i="10" l="1"/>
  <c r="AH17" i="10"/>
  <c r="AH16" i="10"/>
  <c r="AJ15" i="10"/>
  <c r="AH14" i="10"/>
  <c r="AH10" i="10"/>
  <c r="AJ10" i="10"/>
  <c r="AH13" i="10"/>
  <c r="AH12" i="10"/>
  <c r="AH11" i="10"/>
  <c r="AH8" i="10"/>
  <c r="AH6" i="10"/>
  <c r="AH9" i="10"/>
  <c r="AH7" i="10"/>
  <c r="AJ7" i="10"/>
  <c r="AJ5" i="10"/>
  <c r="AJ4" i="10"/>
  <c r="AJ16" i="10" l="1"/>
  <c r="AH15" i="10"/>
  <c r="AH5" i="10"/>
  <c r="AK21" i="1" l="1"/>
  <c r="N22" i="1"/>
  <c r="AK22" i="1" s="1"/>
  <c r="N19" i="1"/>
  <c r="N20" i="1"/>
  <c r="AK20" i="1" s="1"/>
  <c r="AK19" i="1" l="1"/>
  <c r="N2" i="1"/>
  <c r="AN19" i="1"/>
  <c r="AM19" i="1"/>
  <c r="AL19" i="1"/>
  <c r="AN20" i="1"/>
  <c r="AM20" i="1"/>
  <c r="AL20" i="1"/>
  <c r="AN22" i="1"/>
  <c r="AM22" i="1"/>
  <c r="AL22" i="1"/>
  <c r="AN21" i="1"/>
  <c r="AM21" i="1"/>
  <c r="AL21" i="1"/>
  <c r="AJ19" i="1"/>
  <c r="AI19" i="1"/>
  <c r="AG19" i="1"/>
  <c r="AH19" i="1"/>
  <c r="AJ20" i="1"/>
  <c r="AI20" i="1"/>
  <c r="AH20" i="1"/>
  <c r="AG20" i="1"/>
  <c r="AJ22" i="1"/>
  <c r="AI22" i="1"/>
  <c r="AH22" i="1"/>
  <c r="AG22" i="1"/>
  <c r="AJ21" i="1"/>
  <c r="AG21" i="1"/>
  <c r="AI21" i="1"/>
  <c r="AH21" i="1"/>
  <c r="W20" i="1" l="1"/>
  <c r="S20" i="1"/>
  <c r="R20" i="1"/>
  <c r="P20" i="1"/>
  <c r="K20" i="1"/>
  <c r="L20" i="1"/>
  <c r="AD2" i="1" l="1"/>
  <c r="AO2" i="1" l="1"/>
  <c r="AQ2" i="1"/>
  <c r="AR20" i="1"/>
  <c r="AR23"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R19" i="1" l="1"/>
  <c r="AR21" i="1"/>
  <c r="AR22" i="1"/>
  <c r="AS4" i="3" l="1"/>
  <c r="AJ4" i="3"/>
  <c r="AZ4" i="3"/>
  <c r="BF4" i="3"/>
  <c r="BX4" i="3"/>
  <c r="BP4" i="3"/>
  <c r="AC4" i="3"/>
  <c r="BU4" i="3"/>
  <c r="BK4" i="3"/>
  <c r="CE4" i="3"/>
  <c r="AG4" i="3"/>
  <c r="AG5" i="3"/>
  <c r="BX5" i="3"/>
  <c r="BF5" i="3"/>
  <c r="CE5" i="3"/>
  <c r="AZ5" i="3"/>
  <c r="AC5" i="3"/>
  <c r="AJ5" i="3"/>
  <c r="AS5" i="3"/>
  <c r="BK5" i="3"/>
  <c r="BU5" i="3"/>
  <c r="BP5" i="3"/>
  <c r="AH27" i="3" l="1"/>
  <c r="AI27" i="3"/>
  <c r="C14" i="2" l="1"/>
  <c r="C15" i="2"/>
  <c r="C16" i="2" s="1"/>
  <c r="C1" i="2" l="1"/>
  <c r="J19" i="1" l="1"/>
  <c r="J21" i="1"/>
  <c r="J22" i="1"/>
  <c r="R19" i="1"/>
  <c r="S19" i="1"/>
  <c r="R21" i="1"/>
  <c r="S21" i="1"/>
  <c r="S2" i="1" s="1"/>
  <c r="R22" i="1"/>
  <c r="S22" i="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W21" i="1" l="1"/>
  <c r="P21" i="1"/>
  <c r="K21" i="1"/>
  <c r="L21" i="1"/>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5" i="3" l="1"/>
  <c r="AI29" i="3" s="1"/>
  <c r="AI25" i="3"/>
  <c r="AH29" i="3" s="1"/>
  <c r="W2" i="1" l="1"/>
  <c r="C9" i="2"/>
  <c r="C10" i="2" s="1"/>
  <c r="B9" i="2"/>
  <c r="B10" i="2" s="1"/>
  <c r="AE2" i="1" l="1"/>
  <c r="W22" i="1" l="1"/>
  <c r="L22" i="1"/>
  <c r="K22" i="1"/>
  <c r="P22" i="1"/>
  <c r="D2" i="1"/>
  <c r="F18" i="1" s="1"/>
  <c r="W19" i="1"/>
  <c r="L19" i="1"/>
  <c r="K19" i="1"/>
  <c r="P19" i="1"/>
  <c r="C18" i="1" l="1"/>
  <c r="C18" i="10" s="1"/>
  <c r="F18" i="10"/>
  <c r="F6" i="1"/>
  <c r="F6" i="10" s="1"/>
  <c r="F21" i="1"/>
  <c r="F19" i="1"/>
  <c r="F13" i="1"/>
  <c r="F5" i="1"/>
  <c r="F4" i="1"/>
  <c r="F16" i="1"/>
  <c r="F17" i="1"/>
  <c r="F14" i="1"/>
  <c r="F11" i="1"/>
  <c r="F10" i="1"/>
  <c r="F7" i="1"/>
  <c r="F15" i="1"/>
  <c r="F8" i="1"/>
  <c r="F12" i="1"/>
  <c r="F9" i="1"/>
  <c r="F20" i="1"/>
  <c r="F22" i="1"/>
  <c r="C8" i="3" l="1"/>
  <c r="F9" i="10"/>
  <c r="C12" i="3"/>
  <c r="F13" i="10"/>
  <c r="C11" i="3"/>
  <c r="F12" i="10"/>
  <c r="C9" i="3"/>
  <c r="F10" i="10"/>
  <c r="C15" i="3"/>
  <c r="F16" i="10"/>
  <c r="C17" i="3"/>
  <c r="C6" i="3"/>
  <c r="F7" i="10"/>
  <c r="C20" i="3"/>
  <c r="C7" i="3"/>
  <c r="F8" i="10"/>
  <c r="C10" i="3"/>
  <c r="F11" i="10"/>
  <c r="C19" i="3"/>
  <c r="C16" i="3"/>
  <c r="F17" i="10"/>
  <c r="C18" i="3"/>
  <c r="C14" i="3"/>
  <c r="F15" i="10"/>
  <c r="C13" i="3"/>
  <c r="F14" i="10"/>
  <c r="C4" i="3"/>
  <c r="F5" i="10"/>
  <c r="C3" i="3"/>
  <c r="F4" i="10"/>
  <c r="C6" i="1"/>
  <c r="C6" i="10" s="1"/>
  <c r="C5" i="3"/>
  <c r="C11" i="1"/>
  <c r="C11" i="10" s="1"/>
  <c r="C4" i="1"/>
  <c r="C4" i="10" s="1"/>
  <c r="C17" i="1"/>
  <c r="C17" i="10" s="1"/>
  <c r="C8" i="1"/>
  <c r="C8" i="10" s="1"/>
  <c r="C10" i="1"/>
  <c r="C10" i="10" s="1"/>
  <c r="C15" i="1"/>
  <c r="C15" i="10" s="1"/>
  <c r="C12" i="1"/>
  <c r="C12" i="10" s="1"/>
  <c r="C5" i="1"/>
  <c r="C5" i="10" s="1"/>
  <c r="C9" i="1"/>
  <c r="C9" i="10" s="1"/>
  <c r="C7" i="1"/>
  <c r="C7" i="10" s="1"/>
  <c r="C14" i="1"/>
  <c r="C14" i="10" s="1"/>
  <c r="C13" i="1"/>
  <c r="C13" i="10" s="1"/>
  <c r="C16" i="1"/>
  <c r="C16" i="10" s="1"/>
  <c r="C22" i="1"/>
  <c r="C22" i="10" s="1"/>
  <c r="C20" i="1"/>
  <c r="C20" i="10" s="1"/>
  <c r="C21" i="1"/>
  <c r="C21" i="10" s="1"/>
  <c r="C19" i="1"/>
  <c r="C19" i="10" s="1"/>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6" authorId="0" shapeId="0">
      <text>
        <r>
          <rPr>
            <b/>
            <sz val="8"/>
            <color indexed="81"/>
            <rFont val="Tahoma"/>
            <family val="2"/>
          </rPr>
          <t>Sacado del manual no escrito, no se sabe que son estos valores</t>
        </r>
      </text>
    </comment>
    <comment ref="D26"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<sst xmlns="http://schemas.openxmlformats.org/spreadsheetml/2006/main" count="1214" uniqueCount="477">
  <si>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</si>
  <si>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</si>
  <si>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</si>
  <si>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</si>
  <si>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</si>
  <si>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</si>
  <si>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</si>
  <si>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</si>
  <si>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</si>
  <si>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</si>
  <si>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</si>
  <si>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</si>
  <si>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</si>
  <si>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</si>
  <si>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</si>
  <si>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</si>
  <si>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</si>
  <si>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</si>
  <si>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</si>
  <si>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</si>
  <si>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</si>
  <si>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</si>
  <si>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</si>
  <si>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</si>
  <si>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</si>
  <si>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</si>
  <si>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</si>
  <si>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</si>
  <si>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</si>
  <si>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</si>
  <si>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</si>
  <si>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</si>
  <si>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</si>
  <si>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</si>
  <si>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</si>
  <si>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</si>
  <si>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</si>
  <si>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</si>
  <si>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</si>
  <si>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</si>
  <si>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</si>
  <si>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</si>
  <si>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</si>
  <si>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</si>
  <si>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</si>
  <si>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</si>
  <si>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</si>
  <si>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</si>
  <si>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</si>
  <si>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</si>
  <si>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</si>
  <si>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</si>
  <si>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</si>
  <si>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</si>
  <si>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</si>
  <si>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</si>
  <si>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</si>
  <si>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</si>
  <si>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</si>
  <si>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</si>
  <si>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</si>
  <si>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</si>
  <si>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</si>
  <si>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</si>
  <si>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</si>
  <si>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</si>
  <si>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</si>
  <si>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</si>
  <si>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</si>
  <si>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</si>
  <si>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</si>
  <si>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</si>
  <si>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</si>
  <si>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</si>
  <si>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</si>
  <si>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</si>
  <si>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</si>
  <si>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</si>
  <si>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</si>
  <si>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</si>
  <si>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</si>
  <si>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</si>
  <si>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</si>
  <si>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</si>
  <si>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</si>
  <si>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</si>
  <si>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</si>
  <si>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</si>
  <si>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</si>
  <si>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</si>
  <si>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</si>
  <si>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</si>
  <si>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</si>
  <si>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</si>
  <si>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</si>
  <si>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</si>
  <si>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</si>
  <si>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</si>
  <si>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</si>
  <si>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</si>
  <si>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</si>
  <si>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</si>
  <si>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</si>
  <si>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</si>
  <si>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</si>
  <si>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</si>
  <si>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</si>
  <si>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</si>
  <si>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</si>
  <si>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</si>
  <si>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</si>
  <si>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</si>
  <si>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</si>
  <si>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</si>
  <si>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</si>
  <si>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</si>
  <si>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</si>
  <si>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</si>
  <si>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</si>
  <si>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</si>
  <si>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</si>
  <si>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</si>
  <si>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</si>
  <si>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</si>
  <si>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</si>
  <si>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</si>
  <si>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</si>
  <si>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</si>
  <si>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</si>
  <si>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</si>
  <si>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</si>
  <si>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</si>
  <si>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</si>
  <si>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</si>
  <si>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</si>
  <si>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</si>
  <si>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</si>
  <si>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</si>
  <si>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</si>
  <si>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</si>
  <si>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</si>
  <si>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</si>
  <si>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</si>
  <si>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</si>
  <si>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</si>
  <si>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</si>
  <si>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</si>
  <si>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</si>
  <si>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</si>
  <si>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</si>
  <si>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</si>
  <si>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</si>
  <si>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</si>
  <si>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</si>
  <si>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</si>
  <si>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</si>
  <si>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</si>
  <si>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</si>
  <si>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</si>
  <si>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</si>
  <si>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</si>
  <si>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</si>
  <si>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</si>
  <si>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</si>
  <si>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</si>
  <si>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</si>
  <si>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</si>
  <si>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</si>
  <si>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</si>
  <si>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</si>
  <si>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</si>
  <si>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</si>
  <si>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</si>
  <si>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</si>
  <si>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</si>
  <si>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</si>
  <si>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</si>
  <si>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</si>
  <si>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</si>
  <si>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</si>
  <si>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</si>
  <si>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</si>
  <si>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</si>
  <si>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</si>
  <si>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</si>
  <si>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</si>
  <si>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</si>
  <si>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</si>
  <si>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</si>
  <si>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</si>
  <si>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</si>
  <si>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</si>
  <si>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</si>
  <si>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</si>
  <si>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</si>
  <si>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</si>
  <si>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Morgan Thomas</t>
  </si>
  <si>
    <t>Mario Omarini</t>
  </si>
  <si>
    <t>Mateuz Brzostowski</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</si>
  <si>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</si>
  <si>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</si>
  <si>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</si>
  <si>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</si>
  <si>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</si>
  <si>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</si>
  <si>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</si>
  <si>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</si>
  <si>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</si>
  <si>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</si>
  <si>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</si>
  <si>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</si>
  <si>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</si>
  <si>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</si>
  <si>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</si>
  <si>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</si>
  <si>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</si>
  <si>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</si>
  <si>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</si>
  <si>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</si>
  <si>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</si>
  <si>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</si>
  <si>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</si>
  <si>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</si>
  <si>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</si>
  <si>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</si>
  <si>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</si>
  <si>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</si>
  <si>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</si>
  <si>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</si>
  <si>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</si>
  <si>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</si>
  <si>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</si>
  <si>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</si>
  <si>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</si>
  <si>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</si>
  <si>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</si>
  <si>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</si>
  <si>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</si>
  <si>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</si>
  <si>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</si>
  <si>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</si>
  <si>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</si>
  <si>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</si>
  <si>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</si>
  <si>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</si>
  <si>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</si>
  <si>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</si>
  <si>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</si>
  <si>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</si>
  <si>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</si>
  <si>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</si>
  <si>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</si>
  <si>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</si>
  <si>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</si>
  <si>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</si>
  <si>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</si>
  <si>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</si>
  <si>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</si>
  <si>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</si>
  <si>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</si>
  <si>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</si>
  <si>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</si>
  <si>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</si>
  <si>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</si>
  <si>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</si>
  <si>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</si>
  <si>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</si>
  <si>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</si>
  <si>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</si>
  <si>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</si>
  <si>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</si>
  <si>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</si>
  <si>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</si>
  <si>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</si>
  <si>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</si>
  <si>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</si>
  <si>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</si>
  <si>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</si>
  <si>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</si>
  <si>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</si>
  <si>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</si>
  <si>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</si>
  <si>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</si>
  <si>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</si>
  <si>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</si>
  <si>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</si>
  <si>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</si>
  <si>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</si>
  <si>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</si>
  <si>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</si>
  <si>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</si>
  <si>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</si>
  <si>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</si>
  <si>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</si>
  <si>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</si>
  <si>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</si>
  <si>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</si>
  <si>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</si>
  <si>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</si>
  <si>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</si>
  <si>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</si>
  <si>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</si>
  <si>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</si>
  <si>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</si>
  <si>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</si>
  <si>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</si>
  <si>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</si>
  <si>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</si>
  <si>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</si>
  <si>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</si>
  <si>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</si>
  <si>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</si>
  <si>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</si>
  <si>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</si>
  <si>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</si>
  <si>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</si>
  <si>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</si>
  <si>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</si>
  <si>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</si>
  <si>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</si>
  <si>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</si>
  <si>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</si>
  <si>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</si>
  <si>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</si>
  <si>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</si>
  <si>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</si>
  <si>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</si>
  <si>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</si>
  <si>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</si>
  <si>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</si>
  <si>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</si>
  <si>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</si>
  <si>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</si>
  <si>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</si>
  <si>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</si>
  <si>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</si>
  <si>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</si>
  <si>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</si>
  <si>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</si>
  <si>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</si>
  <si>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</si>
  <si>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</si>
  <si>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</si>
  <si>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</si>
  <si>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</si>
  <si>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</si>
  <si>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</si>
  <si>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</si>
  <si>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</si>
  <si>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</si>
  <si>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</si>
  <si>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</si>
  <si>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</si>
  <si>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</si>
  <si>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</si>
  <si>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</si>
  <si>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</si>
  <si>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</si>
  <si>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</si>
  <si>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</si>
  <si>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</si>
  <si>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</si>
  <si>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</si>
  <si>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</si>
  <si>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</si>
  <si>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</si>
  <si>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</si>
  <si>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</si>
  <si>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#91</t>
  </si>
  <si>
    <t>#92</t>
  </si>
  <si>
    <t>#95</t>
  </si>
  <si>
    <t>#98</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</si>
  <si>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</si>
  <si>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</si>
  <si>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</si>
  <si>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</si>
  <si>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</si>
  <si>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</si>
  <si>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</si>
  <si>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</si>
  <si>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</si>
  <si>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</si>
  <si>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</si>
  <si>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</si>
  <si>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</si>
  <si>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</si>
  <si>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</si>
  <si>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</si>
  <si>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</si>
  <si>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</si>
  <si>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</si>
  <si>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</si>
  <si>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</si>
  <si>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</si>
  <si>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</si>
  <si>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</si>
  <si>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</si>
  <si>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</si>
  <si>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</si>
  <si>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</si>
  <si>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</si>
  <si>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</si>
  <si>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</si>
  <si>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</si>
  <si>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</si>
  <si>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</si>
  <si>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</si>
  <si>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</si>
  <si>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</si>
  <si>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</si>
  <si>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</si>
  <si>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</si>
  <si>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</si>
  <si>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</si>
  <si>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</si>
  <si>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</si>
  <si>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</si>
  <si>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</si>
  <si>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</si>
  <si>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</si>
  <si>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</si>
  <si>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</si>
  <si>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</si>
  <si>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</si>
  <si>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</si>
  <si>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</si>
  <si>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</si>
  <si>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</si>
  <si>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</si>
  <si>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</si>
  <si>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</si>
  <si>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</si>
  <si>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</si>
  <si>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</si>
  <si>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</si>
  <si>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</si>
  <si>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</si>
  <si>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</si>
  <si>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</si>
  <si>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</si>
  <si>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</si>
  <si>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</si>
  <si>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</si>
  <si>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</si>
  <si>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</si>
  <si>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</si>
  <si>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</si>
  <si>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</si>
  <si>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</si>
  <si>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ANOTACION</t>
  </si>
  <si>
    <t xml:space="preserve">Extrem </t>
  </si>
  <si>
    <t xml:space="preserve">2 (55) </t>
  </si>
  <si>
    <t>17 (62)</t>
  </si>
  <si>
    <t xml:space="preserve">4 (55) </t>
  </si>
  <si>
    <t>17 (76)</t>
  </si>
  <si>
    <t xml:space="preserve">6 (55) </t>
  </si>
  <si>
    <t>17 (90)</t>
  </si>
  <si>
    <t xml:space="preserve">2 (56) </t>
  </si>
  <si>
    <t>18 (62)</t>
  </si>
  <si>
    <t xml:space="preserve">12 (56) </t>
  </si>
  <si>
    <t>19 (20)</t>
  </si>
  <si>
    <t xml:space="preserve">1 (57) </t>
  </si>
  <si>
    <t>19 (55)</t>
  </si>
  <si>
    <t xml:space="preserve">8 (57) </t>
  </si>
  <si>
    <t>19 (104)</t>
  </si>
  <si>
    <t xml:space="preserve">15 (57) </t>
  </si>
  <si>
    <t>20 (41)</t>
  </si>
  <si>
    <t xml:space="preserve">8 (58) </t>
  </si>
  <si>
    <t>20 (104)</t>
  </si>
  <si>
    <t xml:space="preserve">2 (59) </t>
  </si>
  <si>
    <t>21 (62)</t>
  </si>
  <si>
    <t xml:space="preserve">15 (59) </t>
  </si>
  <si>
    <t>22 (41)</t>
  </si>
  <si>
    <t xml:space="preserve">16 (60) </t>
  </si>
  <si>
    <t>23 (48)</t>
  </si>
  <si>
    <t>LATERAL</t>
  </si>
  <si>
    <t>Casildo Abraldes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</si>
</sst>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6"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theme="3"/>
      <name val="Calibri"/>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4">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45" fillId="2"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Excel Built-in Normal" xfId="3"/>
    <cellStyle name="Millares" xfId="1" builtinId="3"/>
    <cellStyle name="Moneda" xfId="4" builtinId="4"/>
    <cellStyle name="Normal" xfId="0" builtinId="0"/>
    <cellStyle name="Porcentaje" xfId="2" builtinId="5"/>
  </cellStyles>
  <dxfs count="22">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2" t="s">
        <v>121</v>
      </c>
      <c r="B1" s="72"/>
      <c r="C1" s="72"/>
      <c r="D1" s="72"/>
      <c r="E1" s="72"/>
      <c r="F1" s="72"/>
      <c r="G1" s="72"/>
      <c r="H1" s="73"/>
      <c r="I1" s="72"/>
      <c r="J1" s="72"/>
      <c r="K1" s="72"/>
      <c r="L1" s="72"/>
      <c r="M1" s="72"/>
      <c r="N1" s="72"/>
      <c r="O1" s="72"/>
      <c r="P1" s="72"/>
      <c r="Q1" s="72"/>
      <c r="R1" s="72"/>
      <c r="S1" s="72"/>
      <c r="T1" s="72"/>
      <c r="U1" s="72"/>
      <c r="V1" s="72"/>
      <c r="W1" s="72"/>
      <c r="X1" s="74"/>
      <c r="Y1" s="75" t="s">
        <v>122</v>
      </c>
      <c r="Z1" s="75"/>
    </row>
    <row r="2" spans="1:46" ht="15.75" x14ac:dyDescent="0.25">
      <c r="A2" s="76" t="s">
        <v>123</v>
      </c>
      <c r="B2" s="77">
        <v>17</v>
      </c>
      <c r="C2" s="77">
        <v>18</v>
      </c>
      <c r="D2" s="77">
        <v>19</v>
      </c>
      <c r="E2" s="77">
        <v>20</v>
      </c>
      <c r="F2" s="78">
        <v>21</v>
      </c>
      <c r="G2" s="125">
        <v>22</v>
      </c>
      <c r="H2" s="77">
        <v>23</v>
      </c>
      <c r="I2" s="77">
        <v>24</v>
      </c>
      <c r="J2" s="77">
        <v>25</v>
      </c>
      <c r="K2" s="77">
        <v>26</v>
      </c>
      <c r="L2" s="77">
        <v>27</v>
      </c>
      <c r="M2" s="78">
        <v>28</v>
      </c>
      <c r="N2" s="78">
        <v>29</v>
      </c>
      <c r="O2" s="78">
        <v>30</v>
      </c>
      <c r="P2" s="78">
        <v>31</v>
      </c>
      <c r="Q2" s="77">
        <v>32</v>
      </c>
      <c r="R2" s="77">
        <v>33</v>
      </c>
      <c r="S2" s="77">
        <v>34</v>
      </c>
      <c r="T2" s="77">
        <v>35</v>
      </c>
      <c r="U2" s="77">
        <v>36</v>
      </c>
      <c r="V2" s="77">
        <v>37</v>
      </c>
      <c r="W2" s="77">
        <v>38</v>
      </c>
      <c r="X2" s="80"/>
      <c r="Y2" s="72" t="s">
        <v>126</v>
      </c>
      <c r="Z2" s="72"/>
    </row>
    <row r="3" spans="1:46" ht="16.5" thickBot="1" x14ac:dyDescent="0.3">
      <c r="A3" s="81">
        <v>0.05</v>
      </c>
      <c r="B3" s="82">
        <v>3.2</v>
      </c>
      <c r="C3" s="82">
        <v>3.7</v>
      </c>
      <c r="D3" s="82">
        <v>4.0999999999999996</v>
      </c>
      <c r="E3" s="82">
        <v>4.4000000000000004</v>
      </c>
      <c r="F3" s="126">
        <v>4.5999999999999996</v>
      </c>
      <c r="G3" s="127">
        <v>4.7</v>
      </c>
      <c r="H3" s="82">
        <v>4.55</v>
      </c>
      <c r="I3" s="82">
        <v>4.4000000000000004</v>
      </c>
      <c r="J3" s="82">
        <v>4.25</v>
      </c>
      <c r="K3" s="82">
        <v>4.0999999999999996</v>
      </c>
      <c r="L3" s="82">
        <v>3.95</v>
      </c>
      <c r="M3" s="83">
        <v>3.8</v>
      </c>
      <c r="N3" s="83">
        <v>3.6500000000000004</v>
      </c>
      <c r="O3" s="83">
        <v>3.5</v>
      </c>
      <c r="P3" s="83">
        <v>3.3499999999999996</v>
      </c>
      <c r="Q3" s="82">
        <v>3.1500000000000004</v>
      </c>
      <c r="R3" s="82">
        <v>2.95</v>
      </c>
      <c r="S3" s="82">
        <v>2.65</v>
      </c>
      <c r="T3" s="82">
        <v>2.2999999999999998</v>
      </c>
      <c r="U3" s="82">
        <v>1.9</v>
      </c>
      <c r="V3" s="82">
        <v>1.4500000000000002</v>
      </c>
      <c r="W3" s="82">
        <v>0.95</v>
      </c>
      <c r="X3" s="84"/>
      <c r="Y3" s="72"/>
      <c r="Z3" s="72"/>
    </row>
    <row r="4" spans="1:46" ht="16.5" thickBot="1" x14ac:dyDescent="0.3">
      <c r="A4" s="81">
        <v>0.06</v>
      </c>
      <c r="B4" s="82">
        <v>3.5700000000000003</v>
      </c>
      <c r="C4" s="82">
        <v>4.07</v>
      </c>
      <c r="D4" s="82">
        <v>4.47</v>
      </c>
      <c r="E4" s="82">
        <v>4.7699999999999996</v>
      </c>
      <c r="F4" s="126">
        <v>4.97</v>
      </c>
      <c r="G4" s="127">
        <v>5.07</v>
      </c>
      <c r="H4" s="82">
        <v>4.92</v>
      </c>
      <c r="I4" s="82">
        <v>4.7699999999999996</v>
      </c>
      <c r="J4" s="82">
        <v>4.62</v>
      </c>
      <c r="K4" s="82">
        <v>4.47</v>
      </c>
      <c r="L4" s="82">
        <v>4.32</v>
      </c>
      <c r="M4" s="83">
        <v>4.17</v>
      </c>
      <c r="N4" s="83">
        <v>4.0199999999999996</v>
      </c>
      <c r="O4" s="83">
        <v>3.87</v>
      </c>
      <c r="P4" s="83">
        <v>3.7199999999999998</v>
      </c>
      <c r="Q4" s="82">
        <v>3.5199999999999996</v>
      </c>
      <c r="R4" s="82">
        <v>3.3200000000000003</v>
      </c>
      <c r="S4" s="82">
        <v>3.0199999999999996</v>
      </c>
      <c r="T4" s="82">
        <v>2.67</v>
      </c>
      <c r="U4" s="82">
        <v>2.27</v>
      </c>
      <c r="V4" s="82">
        <v>1.8199999999999998</v>
      </c>
      <c r="W4" s="82">
        <v>1.3199999999999998</v>
      </c>
      <c r="X4" s="84"/>
      <c r="Y4" s="79" t="s">
        <v>124</v>
      </c>
      <c r="Z4" s="79" t="s">
        <v>162</v>
      </c>
      <c r="AA4" s="79">
        <v>0</v>
      </c>
      <c r="AB4" s="79">
        <v>5</v>
      </c>
      <c r="AC4" s="79">
        <v>10</v>
      </c>
      <c r="AD4" s="79">
        <v>15</v>
      </c>
      <c r="AE4" s="79">
        <v>20</v>
      </c>
      <c r="AF4" s="79">
        <v>25</v>
      </c>
      <c r="AG4" s="79">
        <v>30</v>
      </c>
      <c r="AH4" s="79">
        <v>35</v>
      </c>
      <c r="AI4" s="79">
        <v>40</v>
      </c>
      <c r="AJ4" s="79">
        <v>45</v>
      </c>
      <c r="AK4" s="79">
        <v>50</v>
      </c>
      <c r="AL4" s="79">
        <v>55</v>
      </c>
      <c r="AM4" s="79">
        <v>60</v>
      </c>
      <c r="AN4" s="79">
        <v>65</v>
      </c>
      <c r="AO4" s="79">
        <v>70</v>
      </c>
      <c r="AP4" s="79">
        <v>75</v>
      </c>
      <c r="AQ4" s="79">
        <v>80</v>
      </c>
      <c r="AR4" s="79">
        <v>85</v>
      </c>
      <c r="AS4" s="79">
        <v>90</v>
      </c>
      <c r="AT4" s="79" t="s">
        <v>125</v>
      </c>
    </row>
    <row r="5" spans="1:46" ht="16.5" thickBot="1" x14ac:dyDescent="0.3">
      <c r="A5" s="81">
        <v>7.0000000000000007E-2</v>
      </c>
      <c r="B5" s="82">
        <v>3.92</v>
      </c>
      <c r="C5" s="82">
        <v>4.42</v>
      </c>
      <c r="D5" s="82">
        <v>4.82</v>
      </c>
      <c r="E5" s="82">
        <v>5.12</v>
      </c>
      <c r="F5" s="126">
        <v>5.32</v>
      </c>
      <c r="G5" s="127">
        <v>5.42</v>
      </c>
      <c r="H5" s="82">
        <v>5.27</v>
      </c>
      <c r="I5" s="82">
        <v>5.12</v>
      </c>
      <c r="J5" s="82">
        <v>4.97</v>
      </c>
      <c r="K5" s="82">
        <v>4.82</v>
      </c>
      <c r="L5" s="82">
        <v>4.67</v>
      </c>
      <c r="M5" s="83">
        <v>4.5199999999999996</v>
      </c>
      <c r="N5" s="83">
        <v>4.37</v>
      </c>
      <c r="O5" s="83">
        <v>4.22</v>
      </c>
      <c r="P5" s="83">
        <v>4.07</v>
      </c>
      <c r="Q5" s="82">
        <v>3.87</v>
      </c>
      <c r="R5" s="82">
        <v>3.67</v>
      </c>
      <c r="S5" s="82">
        <v>3.37</v>
      </c>
      <c r="T5" s="82">
        <v>3.0199999999999996</v>
      </c>
      <c r="U5" s="82">
        <v>2.62</v>
      </c>
      <c r="V5" s="82">
        <v>2.17</v>
      </c>
      <c r="W5" s="82">
        <v>1.67</v>
      </c>
      <c r="X5" s="84"/>
      <c r="Y5" s="79">
        <v>9</v>
      </c>
      <c r="Z5" s="79">
        <f>Y5-1</f>
        <v>8</v>
      </c>
      <c r="AA5" s="79">
        <v>100</v>
      </c>
      <c r="AB5" s="79">
        <v>100</v>
      </c>
      <c r="AC5" s="79">
        <v>100</v>
      </c>
      <c r="AD5" s="79">
        <v>100</v>
      </c>
      <c r="AE5" s="79">
        <v>100</v>
      </c>
      <c r="AF5" s="79">
        <v>100</v>
      </c>
      <c r="AG5" s="79">
        <v>100</v>
      </c>
      <c r="AH5" s="79">
        <v>100</v>
      </c>
      <c r="AI5" s="79">
        <v>100</v>
      </c>
      <c r="AJ5" s="79">
        <v>100</v>
      </c>
      <c r="AK5" s="79">
        <v>100</v>
      </c>
      <c r="AL5" s="79">
        <v>100</v>
      </c>
      <c r="AM5" s="79">
        <v>100</v>
      </c>
      <c r="AN5" s="79">
        <v>100</v>
      </c>
      <c r="AO5" s="79">
        <v>100</v>
      </c>
      <c r="AP5" s="79">
        <v>100</v>
      </c>
      <c r="AQ5" s="79">
        <v>100</v>
      </c>
      <c r="AR5" s="79">
        <v>100</v>
      </c>
      <c r="AS5" s="79">
        <v>99</v>
      </c>
      <c r="AT5" s="79">
        <v>99.95</v>
      </c>
    </row>
    <row r="6" spans="1:46" ht="19.5" thickBot="1" x14ac:dyDescent="0.35">
      <c r="A6" s="81">
        <v>0.08</v>
      </c>
      <c r="B6" s="82">
        <v>4.24</v>
      </c>
      <c r="C6" s="82">
        <v>4.74</v>
      </c>
      <c r="D6" s="82">
        <v>5.14</v>
      </c>
      <c r="E6" s="82">
        <v>5.44</v>
      </c>
      <c r="F6" s="126">
        <v>5.64</v>
      </c>
      <c r="G6" s="127">
        <v>5.74</v>
      </c>
      <c r="H6" s="82">
        <v>5.59</v>
      </c>
      <c r="I6" s="82">
        <v>5.44</v>
      </c>
      <c r="J6" s="82">
        <v>5.29</v>
      </c>
      <c r="K6" s="82">
        <v>5.14</v>
      </c>
      <c r="L6" s="82">
        <v>4.99</v>
      </c>
      <c r="M6" s="83">
        <v>4.84</v>
      </c>
      <c r="N6" s="83">
        <v>4.6900000000000004</v>
      </c>
      <c r="O6" s="83">
        <v>4.54</v>
      </c>
      <c r="P6" s="83">
        <v>4.3899999999999997</v>
      </c>
      <c r="Q6" s="82">
        <v>4.1900000000000004</v>
      </c>
      <c r="R6" s="82">
        <v>3.99</v>
      </c>
      <c r="S6" s="82">
        <v>3.6900000000000004</v>
      </c>
      <c r="T6" s="82">
        <v>3.34</v>
      </c>
      <c r="U6" s="82">
        <v>2.94</v>
      </c>
      <c r="V6" s="82">
        <v>2.4900000000000002</v>
      </c>
      <c r="W6" s="82">
        <v>1.9900000000000002</v>
      </c>
      <c r="X6" s="85"/>
      <c r="Y6" s="79">
        <v>8.9</v>
      </c>
      <c r="Z6" s="79">
        <f t="shared" ref="Z6:Z45" si="0">Y6-1</f>
        <v>7.9</v>
      </c>
      <c r="AA6" s="79">
        <v>100</v>
      </c>
      <c r="AB6" s="79">
        <v>100</v>
      </c>
      <c r="AC6" s="79">
        <v>100</v>
      </c>
      <c r="AD6" s="79">
        <v>100</v>
      </c>
      <c r="AE6" s="79">
        <v>100</v>
      </c>
      <c r="AF6" s="79">
        <v>100</v>
      </c>
      <c r="AG6" s="79">
        <v>100</v>
      </c>
      <c r="AH6" s="79">
        <v>100</v>
      </c>
      <c r="AI6" s="79">
        <v>100</v>
      </c>
      <c r="AJ6" s="79">
        <v>100</v>
      </c>
      <c r="AK6" s="79">
        <v>100</v>
      </c>
      <c r="AL6" s="79">
        <v>100</v>
      </c>
      <c r="AM6" s="79">
        <v>100</v>
      </c>
      <c r="AN6" s="79">
        <v>100</v>
      </c>
      <c r="AO6" s="79">
        <v>100</v>
      </c>
      <c r="AP6" s="79">
        <v>100</v>
      </c>
      <c r="AQ6" s="79">
        <v>100</v>
      </c>
      <c r="AR6" s="79">
        <v>100</v>
      </c>
      <c r="AS6" s="79">
        <v>98</v>
      </c>
      <c r="AT6" s="79">
        <v>99.89</v>
      </c>
    </row>
    <row r="7" spans="1:46" ht="16.5" thickBot="1" x14ac:dyDescent="0.3">
      <c r="A7" s="81">
        <v>0.09</v>
      </c>
      <c r="B7" s="82">
        <v>4.53</v>
      </c>
      <c r="C7" s="82">
        <v>5.03</v>
      </c>
      <c r="D7" s="82">
        <v>5.43</v>
      </c>
      <c r="E7" s="82">
        <v>5.73</v>
      </c>
      <c r="F7" s="126">
        <v>5.93</v>
      </c>
      <c r="G7" s="127">
        <v>6.03</v>
      </c>
      <c r="H7" s="82">
        <v>5.88</v>
      </c>
      <c r="I7" s="82">
        <v>5.73</v>
      </c>
      <c r="J7" s="82">
        <v>5.58</v>
      </c>
      <c r="K7" s="82">
        <v>5.43</v>
      </c>
      <c r="L7" s="82">
        <v>5.28</v>
      </c>
      <c r="M7" s="83">
        <v>5.13</v>
      </c>
      <c r="N7" s="83">
        <v>4.9800000000000004</v>
      </c>
      <c r="O7" s="83">
        <v>4.83</v>
      </c>
      <c r="P7" s="83">
        <v>4.68</v>
      </c>
      <c r="Q7" s="82">
        <v>4.4800000000000004</v>
      </c>
      <c r="R7" s="82">
        <v>4.28</v>
      </c>
      <c r="S7" s="82">
        <v>3.9800000000000004</v>
      </c>
      <c r="T7" s="82">
        <v>3.63</v>
      </c>
      <c r="U7" s="82">
        <v>3.2300000000000004</v>
      </c>
      <c r="V7" s="82">
        <v>2.78</v>
      </c>
      <c r="W7" s="82">
        <v>2.2799999999999998</v>
      </c>
      <c r="X7" s="84"/>
      <c r="Y7" s="79">
        <v>8.8000000000000007</v>
      </c>
      <c r="Z7" s="79">
        <f t="shared" si="0"/>
        <v>7.8000000000000007</v>
      </c>
      <c r="AA7" s="79">
        <v>100</v>
      </c>
      <c r="AB7" s="79">
        <v>100</v>
      </c>
      <c r="AC7" s="79">
        <v>100</v>
      </c>
      <c r="AD7" s="79">
        <v>100</v>
      </c>
      <c r="AE7" s="79">
        <v>100</v>
      </c>
      <c r="AF7" s="79">
        <v>100</v>
      </c>
      <c r="AG7" s="79">
        <v>100</v>
      </c>
      <c r="AH7" s="79">
        <v>100</v>
      </c>
      <c r="AI7" s="79">
        <v>100</v>
      </c>
      <c r="AJ7" s="79">
        <v>100</v>
      </c>
      <c r="AK7" s="79">
        <v>100</v>
      </c>
      <c r="AL7" s="79">
        <v>100</v>
      </c>
      <c r="AM7" s="79">
        <v>100</v>
      </c>
      <c r="AN7" s="79">
        <v>100</v>
      </c>
      <c r="AO7" s="79">
        <v>100</v>
      </c>
      <c r="AP7" s="79">
        <v>100</v>
      </c>
      <c r="AQ7" s="79">
        <v>100</v>
      </c>
      <c r="AR7" s="79">
        <v>100</v>
      </c>
      <c r="AS7" s="79">
        <v>97</v>
      </c>
      <c r="AT7" s="79">
        <v>99.84</v>
      </c>
    </row>
    <row r="8" spans="1:46" ht="15.75" thickBot="1" x14ac:dyDescent="0.3">
      <c r="A8" s="123">
        <v>0.1</v>
      </c>
      <c r="B8" s="124">
        <v>4.8099999999999996</v>
      </c>
      <c r="C8" s="124">
        <v>5.31</v>
      </c>
      <c r="D8" s="124">
        <v>5.71</v>
      </c>
      <c r="E8" s="124">
        <v>6.01</v>
      </c>
      <c r="F8" s="124">
        <v>6.21</v>
      </c>
      <c r="G8" s="124">
        <v>6.31</v>
      </c>
      <c r="H8" s="124">
        <v>6.16</v>
      </c>
      <c r="I8" s="124">
        <v>6.01</v>
      </c>
      <c r="J8" s="124">
        <v>5.86</v>
      </c>
      <c r="K8" s="124">
        <v>5.71</v>
      </c>
      <c r="L8" s="124">
        <v>5.56</v>
      </c>
      <c r="M8" s="124">
        <v>5.41</v>
      </c>
      <c r="N8" s="124">
        <v>5.26</v>
      </c>
      <c r="O8" s="124">
        <v>5.1100000000000003</v>
      </c>
      <c r="P8" s="124">
        <v>4.96</v>
      </c>
      <c r="Q8" s="124">
        <v>4.76</v>
      </c>
      <c r="R8" s="124">
        <v>4.5599999999999996</v>
      </c>
      <c r="S8" s="124">
        <v>4.26</v>
      </c>
      <c r="T8" s="124">
        <v>3.91</v>
      </c>
      <c r="U8" s="124">
        <v>3.51</v>
      </c>
      <c r="V8" s="124">
        <v>3.0599999999999996</v>
      </c>
      <c r="W8" s="124">
        <v>2.56</v>
      </c>
      <c r="X8" s="84"/>
      <c r="Y8" s="79">
        <v>8.6999999999999993</v>
      </c>
      <c r="Z8" s="79">
        <f t="shared" si="0"/>
        <v>7.6999999999999993</v>
      </c>
      <c r="AA8" s="79">
        <v>100</v>
      </c>
      <c r="AB8" s="79">
        <v>100</v>
      </c>
      <c r="AC8" s="79">
        <v>100</v>
      </c>
      <c r="AD8" s="79">
        <v>100</v>
      </c>
      <c r="AE8" s="79">
        <v>100</v>
      </c>
      <c r="AF8" s="79">
        <v>100</v>
      </c>
      <c r="AG8" s="79">
        <v>100</v>
      </c>
      <c r="AH8" s="79">
        <v>100</v>
      </c>
      <c r="AI8" s="79">
        <v>100</v>
      </c>
      <c r="AJ8" s="79">
        <v>100</v>
      </c>
      <c r="AK8" s="79">
        <v>100</v>
      </c>
      <c r="AL8" s="79">
        <v>100</v>
      </c>
      <c r="AM8" s="79">
        <v>100</v>
      </c>
      <c r="AN8" s="79">
        <v>100</v>
      </c>
      <c r="AO8" s="79">
        <v>100</v>
      </c>
      <c r="AP8" s="79">
        <v>100</v>
      </c>
      <c r="AQ8" s="79">
        <v>100</v>
      </c>
      <c r="AR8" s="79">
        <v>100</v>
      </c>
      <c r="AS8" s="79">
        <v>96</v>
      </c>
      <c r="AT8" s="79">
        <v>99.79</v>
      </c>
    </row>
    <row r="9" spans="1:46" ht="15.75" thickBot="1" x14ac:dyDescent="0.3">
      <c r="A9" s="123">
        <v>0.11</v>
      </c>
      <c r="B9" s="83">
        <v>5.0599999999999996</v>
      </c>
      <c r="C9" s="83">
        <v>5.56</v>
      </c>
      <c r="D9" s="83">
        <v>5.96</v>
      </c>
      <c r="E9" s="83">
        <v>6.26</v>
      </c>
      <c r="F9" s="83">
        <v>6.46</v>
      </c>
      <c r="G9" s="124">
        <v>6.56</v>
      </c>
      <c r="H9" s="83">
        <v>6.41</v>
      </c>
      <c r="I9" s="83">
        <v>6.26</v>
      </c>
      <c r="J9" s="83">
        <v>6.11</v>
      </c>
      <c r="K9" s="83">
        <v>5.96</v>
      </c>
      <c r="L9" s="83">
        <v>5.81</v>
      </c>
      <c r="M9" s="83">
        <v>5.66</v>
      </c>
      <c r="N9" s="83">
        <v>5.51</v>
      </c>
      <c r="O9" s="83">
        <v>5.36</v>
      </c>
      <c r="P9" s="83">
        <v>5.21</v>
      </c>
      <c r="Q9" s="83">
        <v>5.01</v>
      </c>
      <c r="R9" s="83">
        <v>4.8099999999999996</v>
      </c>
      <c r="S9" s="83">
        <v>4.51</v>
      </c>
      <c r="T9" s="83">
        <v>4.16</v>
      </c>
      <c r="U9" s="83">
        <v>3.76</v>
      </c>
      <c r="V9" s="83">
        <v>3.3099999999999996</v>
      </c>
      <c r="W9" s="83">
        <v>2.81</v>
      </c>
      <c r="X9" s="84"/>
      <c r="Y9" s="79">
        <v>8.6</v>
      </c>
      <c r="Z9" s="79">
        <f t="shared" si="0"/>
        <v>7.6</v>
      </c>
      <c r="AA9" s="79">
        <v>100</v>
      </c>
      <c r="AB9" s="79">
        <v>100</v>
      </c>
      <c r="AC9" s="79">
        <v>100</v>
      </c>
      <c r="AD9" s="79">
        <v>100</v>
      </c>
      <c r="AE9" s="79">
        <v>100</v>
      </c>
      <c r="AF9" s="79">
        <v>100</v>
      </c>
      <c r="AG9" s="79">
        <v>100</v>
      </c>
      <c r="AH9" s="79">
        <v>100</v>
      </c>
      <c r="AI9" s="79">
        <v>100</v>
      </c>
      <c r="AJ9" s="79">
        <v>100</v>
      </c>
      <c r="AK9" s="79">
        <v>100</v>
      </c>
      <c r="AL9" s="79">
        <v>100</v>
      </c>
      <c r="AM9" s="79">
        <v>100</v>
      </c>
      <c r="AN9" s="79">
        <v>100</v>
      </c>
      <c r="AO9" s="79">
        <v>100</v>
      </c>
      <c r="AP9" s="79">
        <v>100</v>
      </c>
      <c r="AQ9" s="79">
        <v>100</v>
      </c>
      <c r="AR9" s="79">
        <v>98</v>
      </c>
      <c r="AS9" s="79">
        <v>95</v>
      </c>
      <c r="AT9" s="79">
        <v>99.63</v>
      </c>
    </row>
    <row r="10" spans="1:46" ht="15.75" thickBot="1" x14ac:dyDescent="0.3">
      <c r="A10" s="123">
        <v>0.12</v>
      </c>
      <c r="B10" s="124">
        <v>5.3</v>
      </c>
      <c r="C10" s="124">
        <v>5.8</v>
      </c>
      <c r="D10" s="124">
        <v>6.2</v>
      </c>
      <c r="E10" s="124">
        <v>6.5</v>
      </c>
      <c r="F10" s="124">
        <v>6.7</v>
      </c>
      <c r="G10" s="124">
        <v>6.8</v>
      </c>
      <c r="H10" s="124">
        <v>6.65</v>
      </c>
      <c r="I10" s="124">
        <v>6.5</v>
      </c>
      <c r="J10" s="124">
        <v>6.35</v>
      </c>
      <c r="K10" s="124">
        <v>6.2</v>
      </c>
      <c r="L10" s="124">
        <v>6.05</v>
      </c>
      <c r="M10" s="124">
        <v>5.9</v>
      </c>
      <c r="N10" s="124">
        <v>5.75</v>
      </c>
      <c r="O10" s="124">
        <v>5.6</v>
      </c>
      <c r="P10" s="124">
        <v>5.45</v>
      </c>
      <c r="Q10" s="124">
        <v>5.25</v>
      </c>
      <c r="R10" s="124">
        <v>5.05</v>
      </c>
      <c r="S10" s="124">
        <v>4.75</v>
      </c>
      <c r="T10" s="124">
        <v>4.4000000000000004</v>
      </c>
      <c r="U10" s="124">
        <v>4</v>
      </c>
      <c r="V10" s="124">
        <v>3.55</v>
      </c>
      <c r="W10" s="124">
        <v>3.05</v>
      </c>
      <c r="X10" s="80"/>
      <c r="Y10" s="79">
        <v>8.5</v>
      </c>
      <c r="Z10" s="79">
        <f t="shared" si="0"/>
        <v>7.5</v>
      </c>
      <c r="AA10" s="79">
        <v>100</v>
      </c>
      <c r="AB10" s="79">
        <v>100</v>
      </c>
      <c r="AC10" s="79">
        <v>100</v>
      </c>
      <c r="AD10" s="79">
        <v>100</v>
      </c>
      <c r="AE10" s="79">
        <v>100</v>
      </c>
      <c r="AF10" s="79">
        <v>100</v>
      </c>
      <c r="AG10" s="79">
        <v>100</v>
      </c>
      <c r="AH10" s="79">
        <v>100</v>
      </c>
      <c r="AI10" s="79">
        <v>100</v>
      </c>
      <c r="AJ10" s="79">
        <v>100</v>
      </c>
      <c r="AK10" s="79">
        <v>100</v>
      </c>
      <c r="AL10" s="79">
        <v>100</v>
      </c>
      <c r="AM10" s="79">
        <v>100</v>
      </c>
      <c r="AN10" s="79">
        <v>100</v>
      </c>
      <c r="AO10" s="79">
        <v>100</v>
      </c>
      <c r="AP10" s="79">
        <v>100</v>
      </c>
      <c r="AQ10" s="79">
        <v>100</v>
      </c>
      <c r="AR10" s="79">
        <v>98</v>
      </c>
      <c r="AS10" s="79">
        <v>94</v>
      </c>
      <c r="AT10" s="79">
        <v>99.58</v>
      </c>
    </row>
    <row r="11" spans="1:46" ht="15.75" thickBot="1" x14ac:dyDescent="0.3">
      <c r="A11" s="123">
        <v>0.13</v>
      </c>
      <c r="B11" s="83">
        <v>5.52</v>
      </c>
      <c r="C11" s="83">
        <v>6.02</v>
      </c>
      <c r="D11" s="83">
        <v>6.42</v>
      </c>
      <c r="E11" s="83">
        <v>6.72</v>
      </c>
      <c r="F11" s="83">
        <v>6.92</v>
      </c>
      <c r="G11" s="124">
        <v>7.02</v>
      </c>
      <c r="H11" s="83">
        <v>6.87</v>
      </c>
      <c r="I11" s="83">
        <v>6.72</v>
      </c>
      <c r="J11" s="83">
        <v>6.57</v>
      </c>
      <c r="K11" s="83">
        <v>6.42</v>
      </c>
      <c r="L11" s="83">
        <v>6.27</v>
      </c>
      <c r="M11" s="83">
        <v>6.12</v>
      </c>
      <c r="N11" s="83">
        <v>5.97</v>
      </c>
      <c r="O11" s="83">
        <v>5.82</v>
      </c>
      <c r="P11" s="83">
        <v>5.67</v>
      </c>
      <c r="Q11" s="83">
        <v>5.47</v>
      </c>
      <c r="R11" s="83">
        <v>5.27</v>
      </c>
      <c r="S11" s="83">
        <v>4.97</v>
      </c>
      <c r="T11" s="83">
        <v>4.62</v>
      </c>
      <c r="U11" s="83">
        <v>4.22</v>
      </c>
      <c r="V11" s="83">
        <v>3.7699999999999996</v>
      </c>
      <c r="W11" s="83">
        <v>3.2699999999999996</v>
      </c>
      <c r="X11" s="84"/>
      <c r="Y11" s="79">
        <v>8.4</v>
      </c>
      <c r="Z11" s="79">
        <f t="shared" si="0"/>
        <v>7.4</v>
      </c>
      <c r="AA11" s="79">
        <v>100</v>
      </c>
      <c r="AB11" s="79">
        <v>100</v>
      </c>
      <c r="AC11" s="79">
        <v>100</v>
      </c>
      <c r="AD11" s="79">
        <v>100</v>
      </c>
      <c r="AE11" s="79">
        <v>100</v>
      </c>
      <c r="AF11" s="79">
        <v>100</v>
      </c>
      <c r="AG11" s="79">
        <v>100</v>
      </c>
      <c r="AH11" s="79">
        <v>100</v>
      </c>
      <c r="AI11" s="79">
        <v>100</v>
      </c>
      <c r="AJ11" s="79">
        <v>100</v>
      </c>
      <c r="AK11" s="79">
        <v>100</v>
      </c>
      <c r="AL11" s="79">
        <v>100</v>
      </c>
      <c r="AM11" s="79">
        <v>100</v>
      </c>
      <c r="AN11" s="79">
        <v>100</v>
      </c>
      <c r="AO11" s="79">
        <v>100</v>
      </c>
      <c r="AP11" s="79">
        <v>100</v>
      </c>
      <c r="AQ11" s="79">
        <v>99</v>
      </c>
      <c r="AR11" s="79">
        <v>96</v>
      </c>
      <c r="AS11" s="79">
        <v>93</v>
      </c>
      <c r="AT11" s="79">
        <v>99.37</v>
      </c>
    </row>
    <row r="12" spans="1:46" ht="15.75" thickBot="1" x14ac:dyDescent="0.3">
      <c r="A12" s="123">
        <v>0.14000000000000001</v>
      </c>
      <c r="B12" s="83">
        <v>5.72</v>
      </c>
      <c r="C12" s="83">
        <v>6.22</v>
      </c>
      <c r="D12" s="83">
        <v>6.62</v>
      </c>
      <c r="E12" s="83">
        <v>6.92</v>
      </c>
      <c r="F12" s="83">
        <v>7.1199999999999992</v>
      </c>
      <c r="G12" s="124">
        <v>7.2200000000000006</v>
      </c>
      <c r="H12" s="83">
        <v>7.07</v>
      </c>
      <c r="I12" s="83">
        <v>6.92</v>
      </c>
      <c r="J12" s="83">
        <v>6.77</v>
      </c>
      <c r="K12" s="83">
        <v>6.62</v>
      </c>
      <c r="L12" s="83">
        <v>6.47</v>
      </c>
      <c r="M12" s="83">
        <v>6.32</v>
      </c>
      <c r="N12" s="83">
        <v>6.17</v>
      </c>
      <c r="O12" s="83">
        <v>6.02</v>
      </c>
      <c r="P12" s="83">
        <v>5.87</v>
      </c>
      <c r="Q12" s="83">
        <v>5.67</v>
      </c>
      <c r="R12" s="83">
        <v>5.47</v>
      </c>
      <c r="S12" s="83">
        <v>5.17</v>
      </c>
      <c r="T12" s="83">
        <v>4.82</v>
      </c>
      <c r="U12" s="83">
        <v>4.42</v>
      </c>
      <c r="V12" s="83">
        <v>3.9699999999999998</v>
      </c>
      <c r="W12" s="83">
        <v>3.4699999999999998</v>
      </c>
      <c r="X12" s="84"/>
      <c r="Y12" s="79">
        <v>8.3000000000000007</v>
      </c>
      <c r="Z12" s="79">
        <f t="shared" si="0"/>
        <v>7.3000000000000007</v>
      </c>
      <c r="AA12" s="79">
        <v>100</v>
      </c>
      <c r="AB12" s="79">
        <v>100</v>
      </c>
      <c r="AC12" s="79">
        <v>100</v>
      </c>
      <c r="AD12" s="79">
        <v>100</v>
      </c>
      <c r="AE12" s="79">
        <v>100</v>
      </c>
      <c r="AF12" s="79">
        <v>100</v>
      </c>
      <c r="AG12" s="79">
        <v>100</v>
      </c>
      <c r="AH12" s="79">
        <v>100</v>
      </c>
      <c r="AI12" s="79">
        <v>100</v>
      </c>
      <c r="AJ12" s="79">
        <v>100</v>
      </c>
      <c r="AK12" s="79">
        <v>100</v>
      </c>
      <c r="AL12" s="79">
        <v>100</v>
      </c>
      <c r="AM12" s="79">
        <v>100</v>
      </c>
      <c r="AN12" s="79">
        <v>100</v>
      </c>
      <c r="AO12" s="79">
        <v>100</v>
      </c>
      <c r="AP12" s="79">
        <v>100</v>
      </c>
      <c r="AQ12" s="79">
        <v>99</v>
      </c>
      <c r="AR12" s="79">
        <v>95</v>
      </c>
      <c r="AS12" s="79">
        <v>92</v>
      </c>
      <c r="AT12" s="79">
        <v>99.26</v>
      </c>
    </row>
    <row r="13" spans="1:46" ht="15.75" thickBot="1" x14ac:dyDescent="0.3">
      <c r="A13" s="123">
        <v>0.15</v>
      </c>
      <c r="B13" s="83">
        <v>5.91</v>
      </c>
      <c r="C13" s="83">
        <v>6.41</v>
      </c>
      <c r="D13" s="83">
        <v>6.81</v>
      </c>
      <c r="E13" s="83">
        <v>7.1099999999999994</v>
      </c>
      <c r="F13" s="83">
        <v>7.3100000000000005</v>
      </c>
      <c r="G13" s="124">
        <v>7.41</v>
      </c>
      <c r="H13" s="83">
        <v>7.26</v>
      </c>
      <c r="I13" s="83">
        <v>7.1099999999999994</v>
      </c>
      <c r="J13" s="83">
        <v>6.96</v>
      </c>
      <c r="K13" s="83">
        <v>6.81</v>
      </c>
      <c r="L13" s="83">
        <v>6.66</v>
      </c>
      <c r="M13" s="83">
        <v>6.51</v>
      </c>
      <c r="N13" s="83">
        <v>6.36</v>
      </c>
      <c r="O13" s="83">
        <v>6.21</v>
      </c>
      <c r="P13" s="83">
        <v>6.06</v>
      </c>
      <c r="Q13" s="83">
        <v>5.86</v>
      </c>
      <c r="R13" s="83">
        <v>5.66</v>
      </c>
      <c r="S13" s="83">
        <v>5.36</v>
      </c>
      <c r="T13" s="83">
        <v>5.01</v>
      </c>
      <c r="U13" s="83">
        <v>4.6100000000000003</v>
      </c>
      <c r="V13" s="83">
        <v>4.16</v>
      </c>
      <c r="W13" s="83">
        <v>3.66</v>
      </c>
      <c r="X13" s="84"/>
      <c r="Y13" s="79">
        <v>8.1999999999999993</v>
      </c>
      <c r="Z13" s="79">
        <f t="shared" si="0"/>
        <v>7.1999999999999993</v>
      </c>
      <c r="AA13" s="79">
        <v>100</v>
      </c>
      <c r="AB13" s="79">
        <v>100</v>
      </c>
      <c r="AC13" s="79">
        <v>100</v>
      </c>
      <c r="AD13" s="79">
        <v>100</v>
      </c>
      <c r="AE13" s="79">
        <v>100</v>
      </c>
      <c r="AF13" s="79">
        <v>100</v>
      </c>
      <c r="AG13" s="79">
        <v>100</v>
      </c>
      <c r="AH13" s="79">
        <v>100</v>
      </c>
      <c r="AI13" s="79">
        <v>100</v>
      </c>
      <c r="AJ13" s="79">
        <v>100</v>
      </c>
      <c r="AK13" s="79">
        <v>100</v>
      </c>
      <c r="AL13" s="79">
        <v>100</v>
      </c>
      <c r="AM13" s="79">
        <v>100</v>
      </c>
      <c r="AN13" s="79">
        <v>100</v>
      </c>
      <c r="AO13" s="79">
        <v>100</v>
      </c>
      <c r="AP13" s="79">
        <v>100</v>
      </c>
      <c r="AQ13" s="79">
        <v>97</v>
      </c>
      <c r="AR13" s="79">
        <v>94</v>
      </c>
      <c r="AS13" s="79">
        <v>91</v>
      </c>
      <c r="AT13" s="79">
        <v>99.05</v>
      </c>
    </row>
    <row r="14" spans="1:46" ht="15.75" thickBot="1" x14ac:dyDescent="0.3">
      <c r="A14" s="123">
        <v>0.16</v>
      </c>
      <c r="B14" s="83">
        <v>6.09</v>
      </c>
      <c r="C14" s="83">
        <v>6.59</v>
      </c>
      <c r="D14" s="83">
        <v>6.99</v>
      </c>
      <c r="E14" s="83">
        <v>7.2899999999999991</v>
      </c>
      <c r="F14" s="83">
        <v>7.49</v>
      </c>
      <c r="G14" s="124">
        <v>7.59</v>
      </c>
      <c r="H14" s="83">
        <v>7.4399999999999995</v>
      </c>
      <c r="I14" s="83">
        <v>7.2899999999999991</v>
      </c>
      <c r="J14" s="83">
        <v>7.1400000000000006</v>
      </c>
      <c r="K14" s="83">
        <v>6.99</v>
      </c>
      <c r="L14" s="83">
        <v>6.84</v>
      </c>
      <c r="M14" s="83">
        <v>6.69</v>
      </c>
      <c r="N14" s="83">
        <v>6.54</v>
      </c>
      <c r="O14" s="83">
        <v>6.39</v>
      </c>
      <c r="P14" s="83">
        <v>6.24</v>
      </c>
      <c r="Q14" s="83">
        <v>6.04</v>
      </c>
      <c r="R14" s="83">
        <v>5.84</v>
      </c>
      <c r="S14" s="83">
        <v>5.54</v>
      </c>
      <c r="T14" s="83">
        <v>5.19</v>
      </c>
      <c r="U14" s="83">
        <v>4.79</v>
      </c>
      <c r="V14" s="83">
        <v>4.34</v>
      </c>
      <c r="W14" s="83">
        <v>3.84</v>
      </c>
      <c r="X14" s="84"/>
      <c r="Y14" s="79">
        <v>8.1</v>
      </c>
      <c r="Z14" s="79">
        <f t="shared" si="0"/>
        <v>7.1</v>
      </c>
      <c r="AA14" s="79">
        <v>100</v>
      </c>
      <c r="AB14" s="79">
        <v>100</v>
      </c>
      <c r="AC14" s="79">
        <v>100</v>
      </c>
      <c r="AD14" s="79">
        <v>100</v>
      </c>
      <c r="AE14" s="79">
        <v>100</v>
      </c>
      <c r="AF14" s="79">
        <v>100</v>
      </c>
      <c r="AG14" s="79">
        <v>100</v>
      </c>
      <c r="AH14" s="79">
        <v>100</v>
      </c>
      <c r="AI14" s="79">
        <v>100</v>
      </c>
      <c r="AJ14" s="79">
        <v>100</v>
      </c>
      <c r="AK14" s="79">
        <v>100</v>
      </c>
      <c r="AL14" s="79">
        <v>100</v>
      </c>
      <c r="AM14" s="79">
        <v>100</v>
      </c>
      <c r="AN14" s="79">
        <v>100</v>
      </c>
      <c r="AO14" s="79">
        <v>100</v>
      </c>
      <c r="AP14" s="79">
        <v>100</v>
      </c>
      <c r="AQ14" s="79">
        <v>97</v>
      </c>
      <c r="AR14" s="79">
        <v>93</v>
      </c>
      <c r="AS14" s="79">
        <v>90</v>
      </c>
      <c r="AT14" s="79">
        <v>98.95</v>
      </c>
    </row>
    <row r="15" spans="1:46" ht="19.5" thickBot="1" x14ac:dyDescent="0.35">
      <c r="A15" s="123">
        <v>0.17</v>
      </c>
      <c r="B15" s="124">
        <v>6.25</v>
      </c>
      <c r="C15" s="124">
        <v>6.75</v>
      </c>
      <c r="D15" s="124">
        <v>7.15</v>
      </c>
      <c r="E15" s="124">
        <v>7.4499999999999993</v>
      </c>
      <c r="F15" s="124">
        <v>7.65</v>
      </c>
      <c r="G15" s="124">
        <v>7.75</v>
      </c>
      <c r="H15" s="124">
        <v>7.6</v>
      </c>
      <c r="I15" s="124">
        <v>7.4499999999999993</v>
      </c>
      <c r="J15" s="124">
        <v>7.3000000000000007</v>
      </c>
      <c r="K15" s="124">
        <v>7.15</v>
      </c>
      <c r="L15" s="124">
        <v>7</v>
      </c>
      <c r="M15" s="124">
        <v>6.85</v>
      </c>
      <c r="N15" s="124">
        <v>6.7</v>
      </c>
      <c r="O15" s="124">
        <v>6.55</v>
      </c>
      <c r="P15" s="124">
        <v>6.4</v>
      </c>
      <c r="Q15" s="124">
        <v>6.2</v>
      </c>
      <c r="R15" s="124">
        <v>6</v>
      </c>
      <c r="S15" s="124">
        <v>5.7</v>
      </c>
      <c r="T15" s="124">
        <v>5.35</v>
      </c>
      <c r="U15" s="124">
        <v>4.95</v>
      </c>
      <c r="V15" s="124">
        <v>4.5</v>
      </c>
      <c r="W15" s="124">
        <v>4</v>
      </c>
      <c r="X15" s="85"/>
      <c r="Y15" s="79">
        <v>8</v>
      </c>
      <c r="Z15" s="79">
        <f t="shared" si="0"/>
        <v>7</v>
      </c>
      <c r="AA15" s="79">
        <v>100</v>
      </c>
      <c r="AB15" s="79">
        <v>100</v>
      </c>
      <c r="AC15" s="79">
        <v>100</v>
      </c>
      <c r="AD15" s="79">
        <v>100</v>
      </c>
      <c r="AE15" s="79">
        <v>100</v>
      </c>
      <c r="AF15" s="79">
        <v>100</v>
      </c>
      <c r="AG15" s="79">
        <v>100</v>
      </c>
      <c r="AH15" s="79">
        <v>100</v>
      </c>
      <c r="AI15" s="79">
        <v>100</v>
      </c>
      <c r="AJ15" s="79">
        <v>99</v>
      </c>
      <c r="AK15" s="79">
        <v>100</v>
      </c>
      <c r="AL15" s="79">
        <v>100</v>
      </c>
      <c r="AM15" s="79">
        <v>100</v>
      </c>
      <c r="AN15" s="79">
        <v>100</v>
      </c>
      <c r="AO15" s="79">
        <v>100</v>
      </c>
      <c r="AP15" s="79">
        <v>99</v>
      </c>
      <c r="AQ15" s="79">
        <v>95</v>
      </c>
      <c r="AR15" s="79">
        <v>92</v>
      </c>
      <c r="AS15" s="79">
        <v>89</v>
      </c>
      <c r="AT15" s="79">
        <v>98.63</v>
      </c>
    </row>
    <row r="16" spans="1:46" ht="15.75" thickBot="1" x14ac:dyDescent="0.3">
      <c r="A16" s="123">
        <v>0.18</v>
      </c>
      <c r="B16" s="83">
        <v>6.4</v>
      </c>
      <c r="C16" s="83">
        <v>6.9</v>
      </c>
      <c r="D16" s="83">
        <v>7.3000000000000007</v>
      </c>
      <c r="E16" s="83">
        <v>7.6</v>
      </c>
      <c r="F16" s="83">
        <v>7.8000000000000007</v>
      </c>
      <c r="G16" s="124">
        <v>7.9</v>
      </c>
      <c r="H16" s="83">
        <v>7.75</v>
      </c>
      <c r="I16" s="83">
        <v>7.6</v>
      </c>
      <c r="J16" s="83">
        <v>7.4499999999999993</v>
      </c>
      <c r="K16" s="83">
        <v>7.3000000000000007</v>
      </c>
      <c r="L16" s="83">
        <v>7.15</v>
      </c>
      <c r="M16" s="83">
        <v>7</v>
      </c>
      <c r="N16" s="83">
        <v>6.85</v>
      </c>
      <c r="O16" s="83">
        <v>6.7</v>
      </c>
      <c r="P16" s="83">
        <v>6.55</v>
      </c>
      <c r="Q16" s="83">
        <v>6.35</v>
      </c>
      <c r="R16" s="83">
        <v>6.15</v>
      </c>
      <c r="S16" s="83">
        <v>5.85</v>
      </c>
      <c r="T16" s="83">
        <v>5.5</v>
      </c>
      <c r="U16" s="83">
        <v>5.0999999999999996</v>
      </c>
      <c r="V16" s="83">
        <v>4.6500000000000004</v>
      </c>
      <c r="W16" s="83">
        <v>4.1500000000000004</v>
      </c>
      <c r="X16" s="84"/>
      <c r="Y16" s="79">
        <v>7.9</v>
      </c>
      <c r="Z16" s="79">
        <f t="shared" si="0"/>
        <v>6.9</v>
      </c>
      <c r="AA16" s="79">
        <v>100</v>
      </c>
      <c r="AB16" s="79">
        <v>100</v>
      </c>
      <c r="AC16" s="79">
        <v>100</v>
      </c>
      <c r="AD16" s="79">
        <v>100</v>
      </c>
      <c r="AE16" s="79">
        <v>100</v>
      </c>
      <c r="AF16" s="79">
        <v>100</v>
      </c>
      <c r="AG16" s="79">
        <v>100</v>
      </c>
      <c r="AH16" s="79">
        <v>100</v>
      </c>
      <c r="AI16" s="79">
        <v>100</v>
      </c>
      <c r="AJ16" s="79">
        <v>99</v>
      </c>
      <c r="AK16" s="79">
        <v>100</v>
      </c>
      <c r="AL16" s="79">
        <v>100</v>
      </c>
      <c r="AM16" s="79">
        <v>100</v>
      </c>
      <c r="AN16" s="79">
        <v>100</v>
      </c>
      <c r="AO16" s="79">
        <v>100</v>
      </c>
      <c r="AP16" s="79">
        <v>98</v>
      </c>
      <c r="AQ16" s="79">
        <v>95</v>
      </c>
      <c r="AR16" s="79">
        <v>92</v>
      </c>
      <c r="AS16" s="79">
        <v>88</v>
      </c>
      <c r="AT16" s="79">
        <v>98.53</v>
      </c>
    </row>
    <row r="17" spans="1:46" ht="15.75" thickBot="1" x14ac:dyDescent="0.3">
      <c r="A17" s="123">
        <v>0.19</v>
      </c>
      <c r="B17" s="83">
        <v>6.54</v>
      </c>
      <c r="C17" s="83">
        <v>7.0399999999999991</v>
      </c>
      <c r="D17" s="83">
        <v>7.4399999999999995</v>
      </c>
      <c r="E17" s="83">
        <v>7.74</v>
      </c>
      <c r="F17" s="83">
        <v>7.9399999999999995</v>
      </c>
      <c r="G17" s="124">
        <v>8.0399999999999991</v>
      </c>
      <c r="H17" s="83">
        <v>7.8900000000000006</v>
      </c>
      <c r="I17" s="83">
        <v>7.74</v>
      </c>
      <c r="J17" s="83">
        <v>7.59</v>
      </c>
      <c r="K17" s="83">
        <v>7.4399999999999995</v>
      </c>
      <c r="L17" s="83">
        <v>7.2899999999999991</v>
      </c>
      <c r="M17" s="83">
        <v>7.1400000000000006</v>
      </c>
      <c r="N17" s="83">
        <v>6.99</v>
      </c>
      <c r="O17" s="83">
        <v>6.84</v>
      </c>
      <c r="P17" s="83">
        <v>6.69</v>
      </c>
      <c r="Q17" s="83">
        <v>6.49</v>
      </c>
      <c r="R17" s="83">
        <v>6.29</v>
      </c>
      <c r="S17" s="83">
        <v>5.99</v>
      </c>
      <c r="T17" s="83">
        <v>5.64</v>
      </c>
      <c r="U17" s="83">
        <v>5.24</v>
      </c>
      <c r="V17" s="83">
        <v>4.79</v>
      </c>
      <c r="W17" s="83">
        <v>4.29</v>
      </c>
      <c r="X17" s="84"/>
      <c r="Y17" s="79">
        <v>7.8</v>
      </c>
      <c r="Z17" s="79">
        <f t="shared" si="0"/>
        <v>6.8</v>
      </c>
      <c r="AA17" s="79">
        <v>100</v>
      </c>
      <c r="AB17" s="79">
        <v>100</v>
      </c>
      <c r="AC17" s="79">
        <v>100</v>
      </c>
      <c r="AD17" s="79">
        <v>100</v>
      </c>
      <c r="AE17" s="79">
        <v>100</v>
      </c>
      <c r="AF17" s="79">
        <v>100</v>
      </c>
      <c r="AG17" s="79">
        <v>100</v>
      </c>
      <c r="AH17" s="79">
        <v>100</v>
      </c>
      <c r="AI17" s="79">
        <v>100</v>
      </c>
      <c r="AJ17" s="79">
        <v>98</v>
      </c>
      <c r="AK17" s="79">
        <v>100</v>
      </c>
      <c r="AL17" s="79">
        <v>100</v>
      </c>
      <c r="AM17" s="79">
        <v>100</v>
      </c>
      <c r="AN17" s="79">
        <v>100</v>
      </c>
      <c r="AO17" s="79">
        <v>100</v>
      </c>
      <c r="AP17" s="79">
        <v>97</v>
      </c>
      <c r="AQ17" s="79">
        <v>94</v>
      </c>
      <c r="AR17" s="79">
        <v>91</v>
      </c>
      <c r="AS17" s="79">
        <v>87</v>
      </c>
      <c r="AT17" s="79">
        <v>98.26</v>
      </c>
    </row>
    <row r="18" spans="1:46" ht="19.5" thickBot="1" x14ac:dyDescent="0.35">
      <c r="A18" s="86">
        <v>0.2</v>
      </c>
      <c r="B18" s="88">
        <v>6.67</v>
      </c>
      <c r="C18" s="88">
        <v>7.17</v>
      </c>
      <c r="D18" s="88">
        <v>7.57</v>
      </c>
      <c r="E18" s="88">
        <v>7.8699999999999992</v>
      </c>
      <c r="F18" s="88">
        <v>8.07</v>
      </c>
      <c r="G18" s="87">
        <v>8.17</v>
      </c>
      <c r="H18" s="88">
        <v>8.02</v>
      </c>
      <c r="I18" s="88">
        <v>7.8699999999999992</v>
      </c>
      <c r="J18" s="88">
        <v>7.7200000000000006</v>
      </c>
      <c r="K18" s="88">
        <v>7.57</v>
      </c>
      <c r="L18" s="88">
        <v>7.42</v>
      </c>
      <c r="M18" s="88">
        <v>7.27</v>
      </c>
      <c r="N18" s="88">
        <v>7.1199999999999992</v>
      </c>
      <c r="O18" s="88">
        <v>6.97</v>
      </c>
      <c r="P18" s="88">
        <v>6.82</v>
      </c>
      <c r="Q18" s="88">
        <v>6.62</v>
      </c>
      <c r="R18" s="88">
        <v>6.42</v>
      </c>
      <c r="S18" s="88">
        <v>6.12</v>
      </c>
      <c r="T18" s="88">
        <v>5.77</v>
      </c>
      <c r="U18" s="88">
        <v>5.37</v>
      </c>
      <c r="V18" s="88">
        <v>4.92</v>
      </c>
      <c r="W18" s="88">
        <v>4.42</v>
      </c>
      <c r="X18" s="84"/>
      <c r="Y18" s="79">
        <v>7.7</v>
      </c>
      <c r="Z18" s="79">
        <f t="shared" si="0"/>
        <v>6.7</v>
      </c>
      <c r="AA18" s="79">
        <v>100</v>
      </c>
      <c r="AB18" s="79">
        <v>100</v>
      </c>
      <c r="AC18" s="79">
        <v>100</v>
      </c>
      <c r="AD18" s="79">
        <v>100</v>
      </c>
      <c r="AE18" s="79">
        <v>100</v>
      </c>
      <c r="AF18" s="79">
        <v>100</v>
      </c>
      <c r="AG18" s="79">
        <v>100</v>
      </c>
      <c r="AH18" s="79">
        <v>100</v>
      </c>
      <c r="AI18" s="79">
        <v>100</v>
      </c>
      <c r="AJ18" s="79">
        <v>97</v>
      </c>
      <c r="AK18" s="79">
        <v>100</v>
      </c>
      <c r="AL18" s="79">
        <v>100</v>
      </c>
      <c r="AM18" s="79">
        <v>100</v>
      </c>
      <c r="AN18" s="79">
        <v>100</v>
      </c>
      <c r="AO18" s="79">
        <v>99</v>
      </c>
      <c r="AP18" s="79">
        <v>96</v>
      </c>
      <c r="AQ18" s="79">
        <v>93</v>
      </c>
      <c r="AR18" s="79">
        <v>89</v>
      </c>
      <c r="AS18" s="79">
        <v>86</v>
      </c>
      <c r="AT18" s="79">
        <v>97.89</v>
      </c>
    </row>
    <row r="19" spans="1:46" ht="16.5" customHeight="1" thickBot="1" x14ac:dyDescent="0.3">
      <c r="A19" s="81">
        <v>0.21</v>
      </c>
      <c r="B19" s="82">
        <v>6.8</v>
      </c>
      <c r="C19" s="82">
        <v>7.3000000000000007</v>
      </c>
      <c r="D19" s="82">
        <v>7.6999999999999993</v>
      </c>
      <c r="E19" s="82">
        <v>8</v>
      </c>
      <c r="F19" s="126">
        <v>8.1999999999999993</v>
      </c>
      <c r="G19" s="127">
        <v>8.3000000000000007</v>
      </c>
      <c r="H19" s="82">
        <v>8.15</v>
      </c>
      <c r="I19" s="82">
        <v>8</v>
      </c>
      <c r="J19" s="82">
        <v>7.85</v>
      </c>
      <c r="K19" s="82">
        <v>7.6999999999999993</v>
      </c>
      <c r="L19" s="82">
        <v>7.5500000000000007</v>
      </c>
      <c r="M19" s="83">
        <v>7.4</v>
      </c>
      <c r="N19" s="83">
        <v>7.25</v>
      </c>
      <c r="O19" s="83">
        <v>7.1</v>
      </c>
      <c r="P19" s="83">
        <v>6.95</v>
      </c>
      <c r="Q19" s="82">
        <v>6.75</v>
      </c>
      <c r="R19" s="82">
        <v>6.55</v>
      </c>
      <c r="S19" s="82">
        <v>6.25</v>
      </c>
      <c r="T19" s="82">
        <v>5.9</v>
      </c>
      <c r="U19" s="82">
        <v>5.5</v>
      </c>
      <c r="V19" s="82">
        <v>5.05</v>
      </c>
      <c r="W19" s="82">
        <v>4.55</v>
      </c>
      <c r="X19" s="84"/>
      <c r="Y19" s="79">
        <v>7.6</v>
      </c>
      <c r="Z19" s="79">
        <f t="shared" si="0"/>
        <v>6.6</v>
      </c>
      <c r="AA19" s="79">
        <v>100</v>
      </c>
      <c r="AB19" s="79">
        <v>100</v>
      </c>
      <c r="AC19" s="79">
        <v>100</v>
      </c>
      <c r="AD19" s="79">
        <v>100</v>
      </c>
      <c r="AE19" s="79">
        <v>100</v>
      </c>
      <c r="AF19" s="79">
        <v>100</v>
      </c>
      <c r="AG19" s="79">
        <v>100</v>
      </c>
      <c r="AH19" s="79">
        <v>100</v>
      </c>
      <c r="AI19" s="79">
        <v>100</v>
      </c>
      <c r="AJ19" s="79">
        <v>96</v>
      </c>
      <c r="AK19" s="79">
        <v>100</v>
      </c>
      <c r="AL19" s="79">
        <v>100</v>
      </c>
      <c r="AM19" s="79">
        <v>100</v>
      </c>
      <c r="AN19" s="79">
        <v>100</v>
      </c>
      <c r="AO19" s="79">
        <v>98</v>
      </c>
      <c r="AP19" s="79">
        <v>95</v>
      </c>
      <c r="AQ19" s="79">
        <v>91</v>
      </c>
      <c r="AR19" s="79">
        <v>88</v>
      </c>
      <c r="AS19" s="79">
        <v>85</v>
      </c>
      <c r="AT19" s="79">
        <v>97.53</v>
      </c>
    </row>
    <row r="20" spans="1:46" ht="16.5" customHeight="1" thickBot="1" x14ac:dyDescent="0.3">
      <c r="A20" s="81">
        <v>0.22</v>
      </c>
      <c r="B20" s="82">
        <v>6.91</v>
      </c>
      <c r="C20" s="82">
        <v>7.41</v>
      </c>
      <c r="D20" s="82">
        <v>7.8100000000000005</v>
      </c>
      <c r="E20" s="82">
        <v>8.11</v>
      </c>
      <c r="F20" s="126">
        <v>8.31</v>
      </c>
      <c r="G20" s="127">
        <v>8.33</v>
      </c>
      <c r="H20" s="82">
        <v>8.26</v>
      </c>
      <c r="I20" s="82">
        <v>8.11</v>
      </c>
      <c r="J20" s="82">
        <v>7.9600000000000009</v>
      </c>
      <c r="K20" s="82">
        <v>7.8100000000000005</v>
      </c>
      <c r="L20" s="82">
        <v>7.66</v>
      </c>
      <c r="M20" s="83">
        <v>7.51</v>
      </c>
      <c r="N20" s="83">
        <v>7.3599999999999994</v>
      </c>
      <c r="O20" s="83">
        <v>7.2100000000000009</v>
      </c>
      <c r="P20" s="83">
        <v>7.0600000000000005</v>
      </c>
      <c r="Q20" s="82">
        <v>6.86</v>
      </c>
      <c r="R20" s="82">
        <v>6.66</v>
      </c>
      <c r="S20" s="82">
        <v>6.36</v>
      </c>
      <c r="T20" s="82">
        <v>6.01</v>
      </c>
      <c r="U20" s="82">
        <v>5.61</v>
      </c>
      <c r="V20" s="82">
        <v>5.16</v>
      </c>
      <c r="W20" s="82">
        <v>4.66</v>
      </c>
      <c r="X20" s="84"/>
      <c r="Y20" s="79">
        <v>7.5</v>
      </c>
      <c r="Z20" s="79">
        <f t="shared" si="0"/>
        <v>6.5</v>
      </c>
      <c r="AA20" s="79">
        <v>100</v>
      </c>
      <c r="AB20" s="79">
        <v>100</v>
      </c>
      <c r="AC20" s="79">
        <v>100</v>
      </c>
      <c r="AD20" s="79">
        <v>100</v>
      </c>
      <c r="AE20" s="79">
        <v>100</v>
      </c>
      <c r="AF20" s="79">
        <v>100</v>
      </c>
      <c r="AG20" s="79">
        <v>100</v>
      </c>
      <c r="AH20" s="79">
        <v>100</v>
      </c>
      <c r="AI20" s="79">
        <v>100</v>
      </c>
      <c r="AJ20" s="79">
        <v>96</v>
      </c>
      <c r="AK20" s="79">
        <v>100</v>
      </c>
      <c r="AL20" s="79">
        <v>100</v>
      </c>
      <c r="AM20" s="79">
        <v>100</v>
      </c>
      <c r="AN20" s="79">
        <v>100</v>
      </c>
      <c r="AO20" s="79">
        <v>98</v>
      </c>
      <c r="AP20" s="79">
        <v>95</v>
      </c>
      <c r="AQ20" s="79">
        <v>91</v>
      </c>
      <c r="AR20" s="79">
        <v>88</v>
      </c>
      <c r="AS20" s="79">
        <v>84</v>
      </c>
      <c r="AT20" s="79">
        <v>97.47</v>
      </c>
    </row>
    <row r="21" spans="1:46" ht="16.5" customHeight="1" thickBot="1" x14ac:dyDescent="0.3">
      <c r="A21" s="81">
        <v>0.23</v>
      </c>
      <c r="B21" s="82">
        <v>7.01</v>
      </c>
      <c r="C21" s="82">
        <v>7.51</v>
      </c>
      <c r="D21" s="82">
        <v>7.91</v>
      </c>
      <c r="E21" s="82">
        <v>8.2100000000000009</v>
      </c>
      <c r="F21" s="126">
        <v>8.33</v>
      </c>
      <c r="G21" s="127">
        <v>8.33</v>
      </c>
      <c r="H21" s="82">
        <v>8.33</v>
      </c>
      <c r="I21" s="82">
        <v>8.2100000000000009</v>
      </c>
      <c r="J21" s="82">
        <v>8.06</v>
      </c>
      <c r="K21" s="82">
        <v>7.91</v>
      </c>
      <c r="L21" s="82">
        <v>7.76</v>
      </c>
      <c r="M21" s="83">
        <v>7.6099999999999994</v>
      </c>
      <c r="N21" s="83">
        <v>7.4600000000000009</v>
      </c>
      <c r="O21" s="83">
        <v>7.3100000000000005</v>
      </c>
      <c r="P21" s="83">
        <v>7.16</v>
      </c>
      <c r="Q21" s="82">
        <v>6.96</v>
      </c>
      <c r="R21" s="82">
        <v>6.76</v>
      </c>
      <c r="S21" s="82">
        <v>6.46</v>
      </c>
      <c r="T21" s="82">
        <v>6.11</v>
      </c>
      <c r="U21" s="82">
        <v>5.71</v>
      </c>
      <c r="V21" s="82">
        <v>5.26</v>
      </c>
      <c r="W21" s="82">
        <v>4.76</v>
      </c>
      <c r="X21" s="84"/>
      <c r="Y21" s="79">
        <v>7.4</v>
      </c>
      <c r="Z21" s="79">
        <f t="shared" si="0"/>
        <v>6.4</v>
      </c>
      <c r="AA21" s="79">
        <v>100</v>
      </c>
      <c r="AB21" s="79">
        <v>100</v>
      </c>
      <c r="AC21" s="79">
        <v>100</v>
      </c>
      <c r="AD21" s="79">
        <v>100</v>
      </c>
      <c r="AE21" s="79">
        <v>100</v>
      </c>
      <c r="AF21" s="79">
        <v>100</v>
      </c>
      <c r="AG21" s="79">
        <v>100</v>
      </c>
      <c r="AH21" s="79">
        <v>100</v>
      </c>
      <c r="AI21" s="79">
        <v>99</v>
      </c>
      <c r="AJ21" s="79">
        <v>96</v>
      </c>
      <c r="AK21" s="79">
        <v>100</v>
      </c>
      <c r="AL21" s="79">
        <v>100</v>
      </c>
      <c r="AM21" s="79">
        <v>100</v>
      </c>
      <c r="AN21" s="79">
        <v>100</v>
      </c>
      <c r="AO21" s="79">
        <v>97</v>
      </c>
      <c r="AP21" s="79">
        <v>94</v>
      </c>
      <c r="AQ21" s="79">
        <v>90</v>
      </c>
      <c r="AR21" s="79">
        <v>87</v>
      </c>
      <c r="AS21" s="79">
        <v>83</v>
      </c>
      <c r="AT21" s="79">
        <v>97.16</v>
      </c>
    </row>
    <row r="22" spans="1:46" ht="16.5" customHeight="1" thickBot="1" x14ac:dyDescent="0.3">
      <c r="A22" s="81">
        <v>0.24</v>
      </c>
      <c r="B22" s="82">
        <v>7.1099999999999994</v>
      </c>
      <c r="C22" s="82">
        <v>7.6099999999999994</v>
      </c>
      <c r="D22" s="82">
        <v>8.01</v>
      </c>
      <c r="E22" s="82">
        <v>8.31</v>
      </c>
      <c r="F22" s="126">
        <v>8.33</v>
      </c>
      <c r="G22" s="127">
        <v>8.33</v>
      </c>
      <c r="H22" s="82">
        <v>8.33</v>
      </c>
      <c r="I22" s="82">
        <v>8.31</v>
      </c>
      <c r="J22" s="82">
        <v>8.16</v>
      </c>
      <c r="K22" s="82">
        <v>8.01</v>
      </c>
      <c r="L22" s="82">
        <v>7.8599999999999994</v>
      </c>
      <c r="M22" s="83">
        <v>7.7100000000000009</v>
      </c>
      <c r="N22" s="83">
        <v>7.5600000000000005</v>
      </c>
      <c r="O22" s="83">
        <v>7.41</v>
      </c>
      <c r="P22" s="83">
        <v>7.26</v>
      </c>
      <c r="Q22" s="82">
        <v>7.0600000000000005</v>
      </c>
      <c r="R22" s="82">
        <v>6.86</v>
      </c>
      <c r="S22" s="82">
        <v>6.56</v>
      </c>
      <c r="T22" s="82">
        <v>6.21</v>
      </c>
      <c r="U22" s="82">
        <v>5.81</v>
      </c>
      <c r="V22" s="82">
        <v>5.36</v>
      </c>
      <c r="W22" s="82">
        <v>4.8600000000000003</v>
      </c>
      <c r="X22" s="84"/>
      <c r="Y22" s="79">
        <v>7.3</v>
      </c>
      <c r="Z22" s="79">
        <f t="shared" si="0"/>
        <v>6.3</v>
      </c>
      <c r="AA22" s="79">
        <v>100</v>
      </c>
      <c r="AB22" s="79">
        <v>100</v>
      </c>
      <c r="AC22" s="79">
        <v>100</v>
      </c>
      <c r="AD22" s="79">
        <v>100</v>
      </c>
      <c r="AE22" s="79">
        <v>100</v>
      </c>
      <c r="AF22" s="79">
        <v>100</v>
      </c>
      <c r="AG22" s="79">
        <v>100</v>
      </c>
      <c r="AH22" s="79">
        <v>100</v>
      </c>
      <c r="AI22" s="79">
        <v>98</v>
      </c>
      <c r="AJ22" s="79">
        <v>95</v>
      </c>
      <c r="AK22" s="79">
        <v>100</v>
      </c>
      <c r="AL22" s="79">
        <v>100</v>
      </c>
      <c r="AM22" s="79">
        <v>100</v>
      </c>
      <c r="AN22" s="79">
        <v>100</v>
      </c>
      <c r="AO22" s="79">
        <v>96</v>
      </c>
      <c r="AP22" s="79">
        <v>93</v>
      </c>
      <c r="AQ22" s="79">
        <v>89</v>
      </c>
      <c r="AR22" s="79">
        <v>86</v>
      </c>
      <c r="AS22" s="79">
        <v>82</v>
      </c>
      <c r="AT22" s="79">
        <v>96.79</v>
      </c>
    </row>
    <row r="23" spans="1:46" ht="19.5" thickBot="1" x14ac:dyDescent="0.35">
      <c r="A23" s="86">
        <v>0.25</v>
      </c>
      <c r="B23" s="88">
        <v>7.1999999999999993</v>
      </c>
      <c r="C23" s="88">
        <v>7.6999999999999993</v>
      </c>
      <c r="D23" s="88">
        <v>8.1</v>
      </c>
      <c r="E23" s="88">
        <v>8.33</v>
      </c>
      <c r="F23" s="88">
        <v>8.33</v>
      </c>
      <c r="G23" s="87">
        <v>8.33</v>
      </c>
      <c r="H23" s="88">
        <v>8.33</v>
      </c>
      <c r="I23" s="88">
        <v>8.33</v>
      </c>
      <c r="J23" s="88">
        <v>8.25</v>
      </c>
      <c r="K23" s="88">
        <v>8.1</v>
      </c>
      <c r="L23" s="88">
        <v>7.9499999999999993</v>
      </c>
      <c r="M23" s="88">
        <v>7.8000000000000007</v>
      </c>
      <c r="N23" s="88">
        <v>7.65</v>
      </c>
      <c r="O23" s="88">
        <v>7.5</v>
      </c>
      <c r="P23" s="88">
        <v>7.35</v>
      </c>
      <c r="Q23" s="88">
        <v>7.15</v>
      </c>
      <c r="R23" s="88">
        <v>6.95</v>
      </c>
      <c r="S23" s="88">
        <v>6.65</v>
      </c>
      <c r="T23" s="88">
        <v>6.3</v>
      </c>
      <c r="U23" s="88">
        <v>5.9</v>
      </c>
      <c r="V23" s="88">
        <v>5.45</v>
      </c>
      <c r="W23" s="88">
        <v>4.95</v>
      </c>
      <c r="X23" s="84"/>
      <c r="Y23" s="79">
        <v>7.2</v>
      </c>
      <c r="Z23" s="79">
        <f t="shared" si="0"/>
        <v>6.2</v>
      </c>
      <c r="AA23" s="79">
        <v>100</v>
      </c>
      <c r="AB23" s="79">
        <v>100</v>
      </c>
      <c r="AC23" s="79">
        <v>100</v>
      </c>
      <c r="AD23" s="79">
        <v>100</v>
      </c>
      <c r="AE23" s="79">
        <v>100</v>
      </c>
      <c r="AF23" s="79">
        <v>100</v>
      </c>
      <c r="AG23" s="79">
        <v>100</v>
      </c>
      <c r="AH23" s="79">
        <v>100</v>
      </c>
      <c r="AI23" s="79">
        <v>98</v>
      </c>
      <c r="AJ23" s="79">
        <v>94</v>
      </c>
      <c r="AK23" s="79">
        <v>100</v>
      </c>
      <c r="AL23" s="79">
        <v>100</v>
      </c>
      <c r="AM23" s="79">
        <v>100</v>
      </c>
      <c r="AN23" s="79">
        <v>99</v>
      </c>
      <c r="AO23" s="79">
        <v>95</v>
      </c>
      <c r="AP23" s="79">
        <v>92</v>
      </c>
      <c r="AQ23" s="79">
        <v>88</v>
      </c>
      <c r="AR23" s="79">
        <v>85</v>
      </c>
      <c r="AS23" s="79">
        <v>81</v>
      </c>
      <c r="AT23" s="79">
        <v>96.42</v>
      </c>
    </row>
    <row r="24" spans="1:46" ht="16.5" thickBot="1" x14ac:dyDescent="0.3">
      <c r="A24" s="81">
        <v>0.26</v>
      </c>
      <c r="B24" s="82">
        <v>7.2799999999999994</v>
      </c>
      <c r="C24" s="82">
        <v>7.7799999999999994</v>
      </c>
      <c r="D24" s="82">
        <v>8.18</v>
      </c>
      <c r="E24" s="82">
        <v>8.33</v>
      </c>
      <c r="F24" s="126">
        <v>8.33</v>
      </c>
      <c r="G24" s="127">
        <v>8.33</v>
      </c>
      <c r="H24" s="82">
        <v>8.33</v>
      </c>
      <c r="I24" s="82">
        <v>8.33</v>
      </c>
      <c r="J24" s="82">
        <v>8.33</v>
      </c>
      <c r="K24" s="82">
        <v>8.18</v>
      </c>
      <c r="L24" s="82">
        <v>8.0299999999999994</v>
      </c>
      <c r="M24" s="83">
        <v>7.8800000000000008</v>
      </c>
      <c r="N24" s="83">
        <v>7.73</v>
      </c>
      <c r="O24" s="83">
        <v>7.58</v>
      </c>
      <c r="P24" s="83">
        <v>7.43</v>
      </c>
      <c r="Q24" s="82">
        <v>7.23</v>
      </c>
      <c r="R24" s="82">
        <v>7.0299999999999994</v>
      </c>
      <c r="S24" s="82">
        <v>6.73</v>
      </c>
      <c r="T24" s="82">
        <v>6.38</v>
      </c>
      <c r="U24" s="82">
        <v>5.98</v>
      </c>
      <c r="V24" s="82">
        <v>5.53</v>
      </c>
      <c r="W24" s="82">
        <v>5.03</v>
      </c>
      <c r="X24" s="84"/>
      <c r="Y24" s="79">
        <v>7.1</v>
      </c>
      <c r="Z24" s="79">
        <f t="shared" si="0"/>
        <v>6.1</v>
      </c>
      <c r="AA24" s="79">
        <v>100</v>
      </c>
      <c r="AB24" s="79">
        <v>100</v>
      </c>
      <c r="AC24" s="79">
        <v>100</v>
      </c>
      <c r="AD24" s="79">
        <v>100</v>
      </c>
      <c r="AE24" s="79">
        <v>100</v>
      </c>
      <c r="AF24" s="79">
        <v>100</v>
      </c>
      <c r="AG24" s="79">
        <v>100</v>
      </c>
      <c r="AH24" s="79">
        <v>100</v>
      </c>
      <c r="AI24" s="79">
        <v>97</v>
      </c>
      <c r="AJ24" s="79">
        <v>94</v>
      </c>
      <c r="AK24" s="79">
        <v>100</v>
      </c>
      <c r="AL24" s="79">
        <v>100</v>
      </c>
      <c r="AM24" s="79">
        <v>100</v>
      </c>
      <c r="AN24" s="79">
        <v>98</v>
      </c>
      <c r="AO24" s="79">
        <v>95</v>
      </c>
      <c r="AP24" s="79">
        <v>91</v>
      </c>
      <c r="AQ24" s="79">
        <v>87</v>
      </c>
      <c r="AR24" s="79">
        <v>84</v>
      </c>
      <c r="AS24" s="79">
        <v>80</v>
      </c>
      <c r="AT24" s="79">
        <v>96.11</v>
      </c>
    </row>
    <row r="25" spans="1:46" ht="16.5" customHeight="1" thickBot="1" x14ac:dyDescent="0.3">
      <c r="A25" s="81">
        <v>0.27</v>
      </c>
      <c r="B25" s="82">
        <v>7.3599999999999994</v>
      </c>
      <c r="C25" s="82">
        <v>7.8599999999999994</v>
      </c>
      <c r="D25" s="82">
        <v>8.26</v>
      </c>
      <c r="E25" s="82">
        <v>8.33</v>
      </c>
      <c r="F25" s="126">
        <v>8.33</v>
      </c>
      <c r="G25" s="127">
        <v>8.33</v>
      </c>
      <c r="H25" s="82">
        <v>8.33</v>
      </c>
      <c r="I25" s="82">
        <v>8.33</v>
      </c>
      <c r="J25" s="82">
        <v>8.33</v>
      </c>
      <c r="K25" s="82">
        <v>8.26</v>
      </c>
      <c r="L25" s="82">
        <v>8.11</v>
      </c>
      <c r="M25" s="83">
        <v>7.9600000000000009</v>
      </c>
      <c r="N25" s="83">
        <v>7.8100000000000005</v>
      </c>
      <c r="O25" s="83">
        <v>7.66</v>
      </c>
      <c r="P25" s="83">
        <v>7.51</v>
      </c>
      <c r="Q25" s="82">
        <v>7.3100000000000005</v>
      </c>
      <c r="R25" s="82">
        <v>7.1099999999999994</v>
      </c>
      <c r="S25" s="82">
        <v>6.81</v>
      </c>
      <c r="T25" s="82">
        <v>6.46</v>
      </c>
      <c r="U25" s="82">
        <v>6.06</v>
      </c>
      <c r="V25" s="82">
        <v>5.61</v>
      </c>
      <c r="W25" s="82">
        <v>5.1100000000000003</v>
      </c>
      <c r="X25" s="84"/>
      <c r="Y25" s="79">
        <v>7</v>
      </c>
      <c r="Z25" s="79">
        <f t="shared" si="0"/>
        <v>6</v>
      </c>
      <c r="AA25" s="79">
        <v>100</v>
      </c>
      <c r="AB25" s="79">
        <v>100</v>
      </c>
      <c r="AC25" s="79">
        <v>100</v>
      </c>
      <c r="AD25" s="79">
        <v>100</v>
      </c>
      <c r="AE25" s="79">
        <v>100</v>
      </c>
      <c r="AF25" s="79">
        <v>100</v>
      </c>
      <c r="AG25" s="79">
        <v>100</v>
      </c>
      <c r="AH25" s="79">
        <v>100</v>
      </c>
      <c r="AI25" s="79">
        <v>96</v>
      </c>
      <c r="AJ25" s="79">
        <v>93</v>
      </c>
      <c r="AK25" s="79">
        <v>100</v>
      </c>
      <c r="AL25" s="79">
        <v>100</v>
      </c>
      <c r="AM25" s="79">
        <v>100</v>
      </c>
      <c r="AN25" s="79">
        <v>97</v>
      </c>
      <c r="AO25" s="79">
        <v>94</v>
      </c>
      <c r="AP25" s="79">
        <v>90</v>
      </c>
      <c r="AQ25" s="79">
        <v>86</v>
      </c>
      <c r="AR25" s="79">
        <v>82</v>
      </c>
      <c r="AS25" s="79">
        <v>79</v>
      </c>
      <c r="AT25" s="79">
        <v>95.79</v>
      </c>
    </row>
    <row r="26" spans="1:46" ht="16.5" customHeight="1" thickBot="1" x14ac:dyDescent="0.3">
      <c r="A26" s="81">
        <v>0.28000000000000003</v>
      </c>
      <c r="B26" s="82">
        <v>7.43</v>
      </c>
      <c r="C26" s="82">
        <v>7.93</v>
      </c>
      <c r="D26" s="82">
        <v>8.33</v>
      </c>
      <c r="E26" s="82">
        <v>8.33</v>
      </c>
      <c r="F26" s="126">
        <v>8.33</v>
      </c>
      <c r="G26" s="127">
        <v>8.33</v>
      </c>
      <c r="H26" s="82">
        <v>8.33</v>
      </c>
      <c r="I26" s="82">
        <v>8.33</v>
      </c>
      <c r="J26" s="82">
        <v>8.33</v>
      </c>
      <c r="K26" s="82">
        <v>8.33</v>
      </c>
      <c r="L26" s="82">
        <v>8.18</v>
      </c>
      <c r="M26" s="83">
        <v>8.0299999999999994</v>
      </c>
      <c r="N26" s="83">
        <v>7.8800000000000008</v>
      </c>
      <c r="O26" s="83">
        <v>7.73</v>
      </c>
      <c r="P26" s="83">
        <v>7.58</v>
      </c>
      <c r="Q26" s="82">
        <v>7.3800000000000008</v>
      </c>
      <c r="R26" s="82">
        <v>7.18</v>
      </c>
      <c r="S26" s="82">
        <v>6.88</v>
      </c>
      <c r="T26" s="82">
        <v>6.53</v>
      </c>
      <c r="U26" s="82">
        <v>6.13</v>
      </c>
      <c r="V26" s="82">
        <v>5.68</v>
      </c>
      <c r="W26" s="82">
        <v>5.18</v>
      </c>
      <c r="X26" s="84"/>
      <c r="Y26" s="79">
        <v>6.9</v>
      </c>
      <c r="Z26" s="79">
        <f t="shared" si="0"/>
        <v>5.9</v>
      </c>
      <c r="AA26" s="79">
        <v>100</v>
      </c>
      <c r="AB26" s="79">
        <v>100</v>
      </c>
      <c r="AC26" s="79">
        <v>100</v>
      </c>
      <c r="AD26" s="79">
        <v>100</v>
      </c>
      <c r="AE26" s="79">
        <v>100</v>
      </c>
      <c r="AF26" s="79">
        <v>100</v>
      </c>
      <c r="AG26" s="79">
        <v>100</v>
      </c>
      <c r="AH26" s="79">
        <v>100</v>
      </c>
      <c r="AI26" s="79">
        <v>96</v>
      </c>
      <c r="AJ26" s="79">
        <v>92</v>
      </c>
      <c r="AK26" s="79">
        <v>100</v>
      </c>
      <c r="AL26" s="79">
        <v>100</v>
      </c>
      <c r="AM26" s="79">
        <v>100</v>
      </c>
      <c r="AN26" s="79">
        <v>96</v>
      </c>
      <c r="AO26" s="79">
        <v>93</v>
      </c>
      <c r="AP26" s="79">
        <v>89</v>
      </c>
      <c r="AQ26" s="79">
        <v>85</v>
      </c>
      <c r="AR26" s="79">
        <v>82</v>
      </c>
      <c r="AS26" s="79">
        <v>78</v>
      </c>
      <c r="AT26" s="79">
        <v>95.32</v>
      </c>
    </row>
    <row r="27" spans="1:46" ht="16.5" thickBot="1" x14ac:dyDescent="0.3">
      <c r="A27" s="81">
        <v>0.28999999999999998</v>
      </c>
      <c r="B27" s="82">
        <v>7.5</v>
      </c>
      <c r="C27" s="82">
        <v>8</v>
      </c>
      <c r="D27" s="82">
        <v>8.33</v>
      </c>
      <c r="E27" s="82">
        <v>8.33</v>
      </c>
      <c r="F27" s="126">
        <v>8.33</v>
      </c>
      <c r="G27" s="127">
        <v>8.33</v>
      </c>
      <c r="H27" s="82">
        <v>8.33</v>
      </c>
      <c r="I27" s="82">
        <v>8.33</v>
      </c>
      <c r="J27" s="82">
        <v>8.33</v>
      </c>
      <c r="K27" s="82">
        <v>8.33</v>
      </c>
      <c r="L27" s="82">
        <v>8.25</v>
      </c>
      <c r="M27" s="83">
        <v>8.1</v>
      </c>
      <c r="N27" s="83">
        <v>7.9499999999999993</v>
      </c>
      <c r="O27" s="83">
        <v>7.8000000000000007</v>
      </c>
      <c r="P27" s="83">
        <v>7.65</v>
      </c>
      <c r="Q27" s="82">
        <v>7.4499999999999993</v>
      </c>
      <c r="R27" s="82">
        <v>7.25</v>
      </c>
      <c r="S27" s="82">
        <v>6.95</v>
      </c>
      <c r="T27" s="82">
        <v>6.6</v>
      </c>
      <c r="U27" s="82">
        <v>6.2</v>
      </c>
      <c r="V27" s="82">
        <v>5.75</v>
      </c>
      <c r="W27" s="82">
        <v>5.25</v>
      </c>
      <c r="X27" s="84"/>
      <c r="Y27" s="79">
        <v>6.8</v>
      </c>
      <c r="Z27" s="79">
        <f t="shared" si="0"/>
        <v>5.8</v>
      </c>
      <c r="AA27" s="79">
        <v>100</v>
      </c>
      <c r="AB27" s="79">
        <v>100</v>
      </c>
      <c r="AC27" s="79">
        <v>100</v>
      </c>
      <c r="AD27" s="79">
        <v>100</v>
      </c>
      <c r="AE27" s="79">
        <v>100</v>
      </c>
      <c r="AF27" s="79">
        <v>100</v>
      </c>
      <c r="AG27" s="79">
        <v>100</v>
      </c>
      <c r="AH27" s="79">
        <v>99</v>
      </c>
      <c r="AI27" s="79">
        <v>95</v>
      </c>
      <c r="AJ27" s="79">
        <v>91</v>
      </c>
      <c r="AK27" s="79">
        <v>100</v>
      </c>
      <c r="AL27" s="79">
        <v>100</v>
      </c>
      <c r="AM27" s="79">
        <v>99</v>
      </c>
      <c r="AN27" s="79">
        <v>95</v>
      </c>
      <c r="AO27" s="79">
        <v>91</v>
      </c>
      <c r="AP27" s="79">
        <v>88</v>
      </c>
      <c r="AQ27" s="79">
        <v>84</v>
      </c>
      <c r="AR27" s="79">
        <v>80</v>
      </c>
      <c r="AS27" s="79">
        <v>77</v>
      </c>
      <c r="AT27" s="79">
        <v>94.68</v>
      </c>
    </row>
    <row r="28" spans="1:46" ht="16.5" customHeight="1" thickBot="1" x14ac:dyDescent="0.3">
      <c r="A28" s="81">
        <v>0.3</v>
      </c>
      <c r="B28" s="82">
        <v>7.5600000000000005</v>
      </c>
      <c r="C28" s="82">
        <v>8.06</v>
      </c>
      <c r="D28" s="82">
        <v>8.33</v>
      </c>
      <c r="E28" s="82">
        <v>8.33</v>
      </c>
      <c r="F28" s="126">
        <v>8.33</v>
      </c>
      <c r="G28" s="127">
        <v>8.33</v>
      </c>
      <c r="H28" s="82">
        <v>8.33</v>
      </c>
      <c r="I28" s="82">
        <v>8.33</v>
      </c>
      <c r="J28" s="82">
        <v>8.33</v>
      </c>
      <c r="K28" s="82">
        <v>8.33</v>
      </c>
      <c r="L28" s="82">
        <v>8.31</v>
      </c>
      <c r="M28" s="83">
        <v>8.16</v>
      </c>
      <c r="N28" s="83">
        <v>8.01</v>
      </c>
      <c r="O28" s="83">
        <v>7.8599999999999994</v>
      </c>
      <c r="P28" s="83">
        <v>7.7100000000000009</v>
      </c>
      <c r="Q28" s="82">
        <v>7.51</v>
      </c>
      <c r="R28" s="82">
        <v>7.3100000000000005</v>
      </c>
      <c r="S28" s="82">
        <v>7.01</v>
      </c>
      <c r="T28" s="82">
        <v>6.66</v>
      </c>
      <c r="U28" s="82">
        <v>6.26</v>
      </c>
      <c r="V28" s="82">
        <v>5.81</v>
      </c>
      <c r="W28" s="82">
        <v>5.31</v>
      </c>
      <c r="X28" s="84"/>
      <c r="Y28" s="79">
        <v>6.7</v>
      </c>
      <c r="Z28" s="79">
        <f t="shared" si="0"/>
        <v>5.7</v>
      </c>
      <c r="AA28" s="79">
        <v>100</v>
      </c>
      <c r="AB28" s="79">
        <v>100</v>
      </c>
      <c r="AC28" s="79">
        <v>100</v>
      </c>
      <c r="AD28" s="79">
        <v>100</v>
      </c>
      <c r="AE28" s="79">
        <v>100</v>
      </c>
      <c r="AF28" s="79">
        <v>100</v>
      </c>
      <c r="AG28" s="79">
        <v>100</v>
      </c>
      <c r="AH28" s="79">
        <v>99</v>
      </c>
      <c r="AI28" s="79">
        <v>95</v>
      </c>
      <c r="AJ28" s="79">
        <v>91</v>
      </c>
      <c r="AK28" s="79">
        <v>100</v>
      </c>
      <c r="AL28" s="79">
        <v>100</v>
      </c>
      <c r="AM28" s="79">
        <v>99</v>
      </c>
      <c r="AN28" s="79">
        <v>95</v>
      </c>
      <c r="AO28" s="79">
        <v>91</v>
      </c>
      <c r="AP28" s="79">
        <v>87</v>
      </c>
      <c r="AQ28" s="79">
        <v>84</v>
      </c>
      <c r="AR28" s="79">
        <v>80</v>
      </c>
      <c r="AS28" s="79">
        <v>76</v>
      </c>
      <c r="AT28" s="79">
        <v>94.58</v>
      </c>
    </row>
    <row r="29" spans="1:46" ht="16.5" customHeight="1" thickBot="1" x14ac:dyDescent="0.3">
      <c r="A29" s="81">
        <v>0.31</v>
      </c>
      <c r="B29" s="82">
        <v>7.6199999999999992</v>
      </c>
      <c r="C29" s="82">
        <v>8.1199999999999992</v>
      </c>
      <c r="D29" s="82">
        <v>8.33</v>
      </c>
      <c r="E29" s="82">
        <v>8.33</v>
      </c>
      <c r="F29" s="126">
        <v>8.33</v>
      </c>
      <c r="G29" s="127">
        <v>8.33</v>
      </c>
      <c r="H29" s="82">
        <v>8.33</v>
      </c>
      <c r="I29" s="82">
        <v>8.33</v>
      </c>
      <c r="J29" s="82">
        <v>8.33</v>
      </c>
      <c r="K29" s="82">
        <v>8.33</v>
      </c>
      <c r="L29" s="82">
        <v>8.33</v>
      </c>
      <c r="M29" s="83">
        <v>8.2200000000000006</v>
      </c>
      <c r="N29" s="83">
        <v>8.07</v>
      </c>
      <c r="O29" s="83">
        <v>7.92</v>
      </c>
      <c r="P29" s="83">
        <v>7.77</v>
      </c>
      <c r="Q29" s="82">
        <v>7.57</v>
      </c>
      <c r="R29" s="82">
        <v>7.3699999999999992</v>
      </c>
      <c r="S29" s="82">
        <v>7.07</v>
      </c>
      <c r="T29" s="82">
        <v>6.72</v>
      </c>
      <c r="U29" s="82">
        <v>6.32</v>
      </c>
      <c r="V29" s="82">
        <v>5.87</v>
      </c>
      <c r="W29" s="82">
        <v>5.37</v>
      </c>
      <c r="X29" s="84"/>
      <c r="Y29" s="79">
        <v>6.6</v>
      </c>
      <c r="Z29" s="79">
        <f t="shared" si="0"/>
        <v>5.6</v>
      </c>
      <c r="AA29" s="79">
        <v>100</v>
      </c>
      <c r="AB29" s="79">
        <v>100</v>
      </c>
      <c r="AC29" s="79">
        <v>100</v>
      </c>
      <c r="AD29" s="79">
        <v>100</v>
      </c>
      <c r="AE29" s="79">
        <v>100</v>
      </c>
      <c r="AF29" s="79">
        <v>100</v>
      </c>
      <c r="AG29" s="79">
        <v>100</v>
      </c>
      <c r="AH29" s="79">
        <v>98</v>
      </c>
      <c r="AI29" s="79">
        <v>94</v>
      </c>
      <c r="AJ29" s="79">
        <v>90</v>
      </c>
      <c r="AK29" s="79">
        <v>100</v>
      </c>
      <c r="AL29" s="79">
        <v>100</v>
      </c>
      <c r="AM29" s="79">
        <v>97</v>
      </c>
      <c r="AN29" s="79">
        <v>94</v>
      </c>
      <c r="AO29" s="79">
        <v>90</v>
      </c>
      <c r="AP29" s="79">
        <v>86</v>
      </c>
      <c r="AQ29" s="79">
        <v>82</v>
      </c>
      <c r="AR29" s="79">
        <v>78</v>
      </c>
      <c r="AS29" s="79">
        <v>75</v>
      </c>
      <c r="AT29" s="79">
        <v>93.89</v>
      </c>
    </row>
    <row r="30" spans="1:46" ht="16.5" customHeight="1" thickBot="1" x14ac:dyDescent="0.3">
      <c r="A30" s="81">
        <v>0.32</v>
      </c>
      <c r="B30" s="82">
        <v>7.67</v>
      </c>
      <c r="C30" s="82">
        <v>8.17</v>
      </c>
      <c r="D30" s="82">
        <v>8.33</v>
      </c>
      <c r="E30" s="82">
        <v>8.33</v>
      </c>
      <c r="F30" s="126">
        <v>8.33</v>
      </c>
      <c r="G30" s="127">
        <v>8.33</v>
      </c>
      <c r="H30" s="82">
        <v>8.33</v>
      </c>
      <c r="I30" s="82">
        <v>8.33</v>
      </c>
      <c r="J30" s="82">
        <v>8.33</v>
      </c>
      <c r="K30" s="82">
        <v>8.33</v>
      </c>
      <c r="L30" s="82">
        <v>8.33</v>
      </c>
      <c r="M30" s="83">
        <v>8.27</v>
      </c>
      <c r="N30" s="83">
        <v>8.1199999999999992</v>
      </c>
      <c r="O30" s="83">
        <v>7.9700000000000006</v>
      </c>
      <c r="P30" s="83">
        <v>7.82</v>
      </c>
      <c r="Q30" s="82">
        <v>7.6199999999999992</v>
      </c>
      <c r="R30" s="82">
        <v>7.42</v>
      </c>
      <c r="S30" s="82">
        <v>7.1199999999999992</v>
      </c>
      <c r="T30" s="82">
        <v>6.77</v>
      </c>
      <c r="U30" s="82">
        <v>6.37</v>
      </c>
      <c r="V30" s="82">
        <v>5.92</v>
      </c>
      <c r="W30" s="82">
        <v>5.42</v>
      </c>
      <c r="X30" s="84"/>
      <c r="Y30" s="79">
        <v>6.5</v>
      </c>
      <c r="Z30" s="79">
        <f t="shared" si="0"/>
        <v>5.5</v>
      </c>
      <c r="AA30" s="79">
        <v>100</v>
      </c>
      <c r="AB30" s="79">
        <v>100</v>
      </c>
      <c r="AC30" s="79">
        <v>100</v>
      </c>
      <c r="AD30" s="79">
        <v>100</v>
      </c>
      <c r="AE30" s="79">
        <v>100</v>
      </c>
      <c r="AF30" s="79">
        <v>100</v>
      </c>
      <c r="AG30" s="79">
        <v>100</v>
      </c>
      <c r="AH30" s="79">
        <v>97</v>
      </c>
      <c r="AI30" s="79">
        <v>93</v>
      </c>
      <c r="AJ30" s="79">
        <v>90</v>
      </c>
      <c r="AK30" s="79">
        <v>100</v>
      </c>
      <c r="AL30" s="79">
        <v>100</v>
      </c>
      <c r="AM30" s="79">
        <v>97</v>
      </c>
      <c r="AN30" s="79">
        <v>93</v>
      </c>
      <c r="AO30" s="79">
        <v>89</v>
      </c>
      <c r="AP30" s="79">
        <v>85</v>
      </c>
      <c r="AQ30" s="79">
        <v>82</v>
      </c>
      <c r="AR30" s="79">
        <v>78</v>
      </c>
      <c r="AS30" s="79">
        <v>74</v>
      </c>
      <c r="AT30" s="79">
        <v>93.58</v>
      </c>
    </row>
    <row r="31" spans="1:46" ht="16.5" customHeight="1" thickBot="1" x14ac:dyDescent="0.3">
      <c r="A31" s="81">
        <v>0.33</v>
      </c>
      <c r="B31" s="82">
        <v>7.7200000000000006</v>
      </c>
      <c r="C31" s="82">
        <v>8.2200000000000006</v>
      </c>
      <c r="D31" s="82">
        <v>8.33</v>
      </c>
      <c r="E31" s="82">
        <v>8.33</v>
      </c>
      <c r="F31" s="126">
        <v>8.33</v>
      </c>
      <c r="G31" s="127">
        <v>8.33</v>
      </c>
      <c r="H31" s="82">
        <v>8.33</v>
      </c>
      <c r="I31" s="82">
        <v>8.33</v>
      </c>
      <c r="J31" s="82">
        <v>8.33</v>
      </c>
      <c r="K31" s="82">
        <v>8.33</v>
      </c>
      <c r="L31" s="82">
        <v>8.33</v>
      </c>
      <c r="M31" s="83">
        <v>8.32</v>
      </c>
      <c r="N31" s="83">
        <v>8.17</v>
      </c>
      <c r="O31" s="83">
        <v>8.02</v>
      </c>
      <c r="P31" s="83">
        <v>7.8699999999999992</v>
      </c>
      <c r="Q31" s="82">
        <v>7.67</v>
      </c>
      <c r="R31" s="82">
        <v>7.4700000000000006</v>
      </c>
      <c r="S31" s="82">
        <v>7.17</v>
      </c>
      <c r="T31" s="82">
        <v>6.82</v>
      </c>
      <c r="U31" s="82">
        <v>6.42</v>
      </c>
      <c r="V31" s="82">
        <v>5.97</v>
      </c>
      <c r="W31" s="82">
        <v>5.47</v>
      </c>
      <c r="X31" s="84"/>
      <c r="Y31" s="79">
        <v>6.4</v>
      </c>
      <c r="Z31" s="79">
        <f t="shared" si="0"/>
        <v>5.4</v>
      </c>
      <c r="AA31" s="79">
        <v>100</v>
      </c>
      <c r="AB31" s="79">
        <v>100</v>
      </c>
      <c r="AC31" s="79">
        <v>100</v>
      </c>
      <c r="AD31" s="79">
        <v>100</v>
      </c>
      <c r="AE31" s="79">
        <v>100</v>
      </c>
      <c r="AF31" s="79">
        <v>100</v>
      </c>
      <c r="AG31" s="79">
        <v>100</v>
      </c>
      <c r="AH31" s="79">
        <v>97</v>
      </c>
      <c r="AI31" s="79">
        <v>93</v>
      </c>
      <c r="AJ31" s="79">
        <v>89</v>
      </c>
      <c r="AK31" s="79">
        <v>100</v>
      </c>
      <c r="AL31" s="79">
        <v>100</v>
      </c>
      <c r="AM31" s="79">
        <v>96</v>
      </c>
      <c r="AN31" s="79">
        <v>93</v>
      </c>
      <c r="AO31" s="79">
        <v>89</v>
      </c>
      <c r="AP31" s="79">
        <v>85</v>
      </c>
      <c r="AQ31" s="79">
        <v>81</v>
      </c>
      <c r="AR31" s="79">
        <v>77</v>
      </c>
      <c r="AS31" s="79">
        <v>73</v>
      </c>
      <c r="AT31" s="79">
        <v>93.32</v>
      </c>
    </row>
    <row r="32" spans="1:46" ht="16.5" customHeight="1" thickBot="1" x14ac:dyDescent="0.3">
      <c r="A32" s="81">
        <v>0.34</v>
      </c>
      <c r="B32" s="82">
        <v>7.77</v>
      </c>
      <c r="C32" s="82">
        <v>8.27</v>
      </c>
      <c r="D32" s="82">
        <v>8.33</v>
      </c>
      <c r="E32" s="82">
        <v>8.33</v>
      </c>
      <c r="F32" s="126">
        <v>8.33</v>
      </c>
      <c r="G32" s="127">
        <v>8.33</v>
      </c>
      <c r="H32" s="82">
        <v>8.33</v>
      </c>
      <c r="I32" s="82">
        <v>8.33</v>
      </c>
      <c r="J32" s="82">
        <v>8.33</v>
      </c>
      <c r="K32" s="82">
        <v>8.33</v>
      </c>
      <c r="L32" s="82">
        <v>8.33</v>
      </c>
      <c r="M32" s="83">
        <v>8.33</v>
      </c>
      <c r="N32" s="83">
        <v>8.2200000000000006</v>
      </c>
      <c r="O32" s="83">
        <v>8.07</v>
      </c>
      <c r="P32" s="83">
        <v>7.92</v>
      </c>
      <c r="Q32" s="82">
        <v>7.7200000000000006</v>
      </c>
      <c r="R32" s="82">
        <v>7.52</v>
      </c>
      <c r="S32" s="82">
        <v>7.2200000000000006</v>
      </c>
      <c r="T32" s="82">
        <v>6.87</v>
      </c>
      <c r="U32" s="82">
        <v>6.47</v>
      </c>
      <c r="V32" s="82">
        <v>6.02</v>
      </c>
      <c r="W32" s="82">
        <v>5.52</v>
      </c>
      <c r="X32" s="84"/>
      <c r="Y32" s="79">
        <v>6.3</v>
      </c>
      <c r="Z32" s="79">
        <f t="shared" si="0"/>
        <v>5.3</v>
      </c>
      <c r="AA32" s="79">
        <v>100</v>
      </c>
      <c r="AB32" s="79">
        <v>100</v>
      </c>
      <c r="AC32" s="79">
        <v>100</v>
      </c>
      <c r="AD32" s="79">
        <v>100</v>
      </c>
      <c r="AE32" s="79">
        <v>100</v>
      </c>
      <c r="AF32" s="79">
        <v>100</v>
      </c>
      <c r="AG32" s="79">
        <v>100</v>
      </c>
      <c r="AH32" s="79">
        <v>96</v>
      </c>
      <c r="AI32" s="79">
        <v>92</v>
      </c>
      <c r="AJ32" s="79">
        <v>88</v>
      </c>
      <c r="AK32" s="79">
        <v>100</v>
      </c>
      <c r="AL32" s="79">
        <v>99</v>
      </c>
      <c r="AM32" s="79">
        <v>95</v>
      </c>
      <c r="AN32" s="79">
        <v>91</v>
      </c>
      <c r="AO32" s="79">
        <v>88</v>
      </c>
      <c r="AP32" s="79">
        <v>84</v>
      </c>
      <c r="AQ32" s="79">
        <v>80</v>
      </c>
      <c r="AR32" s="79">
        <v>76</v>
      </c>
      <c r="AS32" s="79">
        <v>72</v>
      </c>
      <c r="AT32" s="79">
        <v>92.68</v>
      </c>
    </row>
    <row r="33" spans="1:46" ht="16.5" customHeight="1" thickBot="1" x14ac:dyDescent="0.3">
      <c r="A33" s="81">
        <v>0.35</v>
      </c>
      <c r="B33" s="82">
        <v>7.8100000000000005</v>
      </c>
      <c r="C33" s="82">
        <v>8.31</v>
      </c>
      <c r="D33" s="82">
        <v>8.33</v>
      </c>
      <c r="E33" s="82">
        <v>8.33</v>
      </c>
      <c r="F33" s="126">
        <v>8.33</v>
      </c>
      <c r="G33" s="127">
        <v>8.33</v>
      </c>
      <c r="H33" s="82">
        <v>8.33</v>
      </c>
      <c r="I33" s="82">
        <v>8.33</v>
      </c>
      <c r="J33" s="82">
        <v>8.33</v>
      </c>
      <c r="K33" s="82">
        <v>8.33</v>
      </c>
      <c r="L33" s="82">
        <v>8.33</v>
      </c>
      <c r="M33" s="83">
        <v>8.33</v>
      </c>
      <c r="N33" s="83">
        <v>8.26</v>
      </c>
      <c r="O33" s="83">
        <v>8.11</v>
      </c>
      <c r="P33" s="83">
        <v>7.9600000000000009</v>
      </c>
      <c r="Q33" s="82">
        <v>7.76</v>
      </c>
      <c r="R33" s="82">
        <v>7.5600000000000005</v>
      </c>
      <c r="S33" s="82">
        <v>7.26</v>
      </c>
      <c r="T33" s="82">
        <v>6.91</v>
      </c>
      <c r="U33" s="82">
        <v>6.51</v>
      </c>
      <c r="V33" s="82">
        <v>6.06</v>
      </c>
      <c r="W33" s="82">
        <v>5.56</v>
      </c>
      <c r="X33" s="84"/>
      <c r="Y33" s="79">
        <v>6.2</v>
      </c>
      <c r="Z33" s="79">
        <f t="shared" si="0"/>
        <v>5.2</v>
      </c>
      <c r="AA33" s="79">
        <v>100</v>
      </c>
      <c r="AB33" s="79">
        <v>100</v>
      </c>
      <c r="AC33" s="79">
        <v>100</v>
      </c>
      <c r="AD33" s="79">
        <v>100</v>
      </c>
      <c r="AE33" s="79">
        <v>100</v>
      </c>
      <c r="AF33" s="79">
        <v>100</v>
      </c>
      <c r="AG33" s="79">
        <v>99</v>
      </c>
      <c r="AH33" s="79">
        <v>95</v>
      </c>
      <c r="AI33" s="79">
        <v>91</v>
      </c>
      <c r="AJ33" s="79">
        <v>87</v>
      </c>
      <c r="AK33" s="79">
        <v>100</v>
      </c>
      <c r="AL33" s="79">
        <v>98</v>
      </c>
      <c r="AM33" s="79">
        <v>94</v>
      </c>
      <c r="AN33" s="79">
        <v>90</v>
      </c>
      <c r="AO33" s="79">
        <v>86</v>
      </c>
      <c r="AP33" s="79">
        <v>82</v>
      </c>
      <c r="AQ33" s="79">
        <v>78</v>
      </c>
      <c r="AR33" s="79">
        <v>75</v>
      </c>
      <c r="AS33" s="79">
        <v>71</v>
      </c>
      <c r="AT33" s="79">
        <v>91.89</v>
      </c>
    </row>
    <row r="34" spans="1:46" ht="16.5" customHeight="1" thickBot="1" x14ac:dyDescent="0.3">
      <c r="A34" s="81">
        <v>0.36</v>
      </c>
      <c r="B34" s="82">
        <v>7.85</v>
      </c>
      <c r="C34" s="82">
        <v>8.33</v>
      </c>
      <c r="D34" s="82">
        <v>8.33</v>
      </c>
      <c r="E34" s="82">
        <v>8.33</v>
      </c>
      <c r="F34" s="126">
        <v>8.33</v>
      </c>
      <c r="G34" s="127">
        <v>8.33</v>
      </c>
      <c r="H34" s="82">
        <v>8.33</v>
      </c>
      <c r="I34" s="82">
        <v>8.33</v>
      </c>
      <c r="J34" s="82">
        <v>8.33</v>
      </c>
      <c r="K34" s="82">
        <v>8.33</v>
      </c>
      <c r="L34" s="82">
        <v>8.33</v>
      </c>
      <c r="M34" s="83">
        <v>8.33</v>
      </c>
      <c r="N34" s="83">
        <v>8.3000000000000007</v>
      </c>
      <c r="O34" s="83">
        <v>8.15</v>
      </c>
      <c r="P34" s="83">
        <v>8</v>
      </c>
      <c r="Q34" s="82">
        <v>7.8000000000000007</v>
      </c>
      <c r="R34" s="82">
        <v>7.6</v>
      </c>
      <c r="S34" s="82">
        <v>7.3000000000000007</v>
      </c>
      <c r="T34" s="82">
        <v>6.95</v>
      </c>
      <c r="U34" s="82">
        <v>6.55</v>
      </c>
      <c r="V34" s="82">
        <v>6.1</v>
      </c>
      <c r="W34" s="82">
        <v>5.6</v>
      </c>
      <c r="X34" s="84"/>
      <c r="Y34" s="79">
        <v>6.1</v>
      </c>
      <c r="Z34" s="79">
        <f t="shared" si="0"/>
        <v>5.0999999999999996</v>
      </c>
      <c r="AA34" s="79">
        <v>100</v>
      </c>
      <c r="AB34" s="79">
        <v>100</v>
      </c>
      <c r="AC34" s="79">
        <v>100</v>
      </c>
      <c r="AD34" s="79">
        <v>100</v>
      </c>
      <c r="AE34" s="79">
        <v>100</v>
      </c>
      <c r="AF34" s="79">
        <v>100</v>
      </c>
      <c r="AG34" s="79">
        <v>99</v>
      </c>
      <c r="AH34" s="79">
        <v>95</v>
      </c>
      <c r="AI34" s="79">
        <v>91</v>
      </c>
      <c r="AJ34" s="79">
        <v>86</v>
      </c>
      <c r="AK34" s="79">
        <v>100</v>
      </c>
      <c r="AL34" s="79">
        <v>98</v>
      </c>
      <c r="AM34" s="79">
        <v>93</v>
      </c>
      <c r="AN34" s="79">
        <v>89</v>
      </c>
      <c r="AO34" s="79">
        <v>86</v>
      </c>
      <c r="AP34" s="79">
        <v>81</v>
      </c>
      <c r="AQ34" s="79">
        <v>78</v>
      </c>
      <c r="AR34" s="79">
        <v>74</v>
      </c>
      <c r="AS34" s="79">
        <v>70</v>
      </c>
      <c r="AT34" s="79">
        <v>91.58</v>
      </c>
    </row>
    <row r="35" spans="1:46" ht="16.5" customHeight="1" thickBot="1" x14ac:dyDescent="0.3">
      <c r="A35" s="81">
        <v>0.37</v>
      </c>
      <c r="B35" s="82">
        <v>7.8800000000000008</v>
      </c>
      <c r="C35" s="82">
        <v>8.33</v>
      </c>
      <c r="D35" s="82">
        <v>8.33</v>
      </c>
      <c r="E35" s="82">
        <v>8.33</v>
      </c>
      <c r="F35" s="126">
        <v>8.33</v>
      </c>
      <c r="G35" s="127">
        <v>8.33</v>
      </c>
      <c r="H35" s="82">
        <v>8.33</v>
      </c>
      <c r="I35" s="82">
        <v>8.33</v>
      </c>
      <c r="J35" s="82">
        <v>8.33</v>
      </c>
      <c r="K35" s="82">
        <v>8.33</v>
      </c>
      <c r="L35" s="82">
        <v>8.33</v>
      </c>
      <c r="M35" s="83">
        <v>8.33</v>
      </c>
      <c r="N35" s="83">
        <v>8.33</v>
      </c>
      <c r="O35" s="83">
        <v>8.18</v>
      </c>
      <c r="P35" s="83">
        <v>8.0299999999999994</v>
      </c>
      <c r="Q35" s="82">
        <v>7.83</v>
      </c>
      <c r="R35" s="82">
        <v>7.6300000000000008</v>
      </c>
      <c r="S35" s="82">
        <v>7.33</v>
      </c>
      <c r="T35" s="82">
        <v>6.98</v>
      </c>
      <c r="U35" s="82">
        <v>6.58</v>
      </c>
      <c r="V35" s="82">
        <v>6.13</v>
      </c>
      <c r="W35" s="82">
        <v>5.63</v>
      </c>
      <c r="X35" s="84"/>
      <c r="Y35" s="79">
        <v>6</v>
      </c>
      <c r="Z35" s="79">
        <f t="shared" si="0"/>
        <v>5</v>
      </c>
      <c r="AA35" s="79">
        <v>100</v>
      </c>
      <c r="AB35" s="79">
        <v>100</v>
      </c>
      <c r="AC35" s="79">
        <v>100</v>
      </c>
      <c r="AD35" s="79">
        <v>100</v>
      </c>
      <c r="AE35" s="79">
        <v>100</v>
      </c>
      <c r="AF35" s="79">
        <v>100</v>
      </c>
      <c r="AG35" s="79">
        <v>98</v>
      </c>
      <c r="AH35" s="79">
        <v>94</v>
      </c>
      <c r="AI35" s="79">
        <v>90</v>
      </c>
      <c r="AJ35" s="79">
        <v>86</v>
      </c>
      <c r="AK35" s="79">
        <v>100</v>
      </c>
      <c r="AL35" s="79">
        <v>97</v>
      </c>
      <c r="AM35" s="79">
        <v>93</v>
      </c>
      <c r="AN35" s="79">
        <v>89</v>
      </c>
      <c r="AO35" s="79">
        <v>85</v>
      </c>
      <c r="AP35" s="79">
        <v>81</v>
      </c>
      <c r="AQ35" s="79">
        <v>77</v>
      </c>
      <c r="AR35" s="79">
        <v>73</v>
      </c>
      <c r="AS35" s="79">
        <v>69</v>
      </c>
      <c r="AT35" s="79">
        <v>91.16</v>
      </c>
    </row>
    <row r="36" spans="1:46" ht="16.5" customHeight="1" thickBot="1" x14ac:dyDescent="0.3">
      <c r="A36" s="81">
        <v>0.38</v>
      </c>
      <c r="B36" s="82">
        <v>7.92</v>
      </c>
      <c r="C36" s="82">
        <v>8.33</v>
      </c>
      <c r="D36" s="82">
        <v>8.33</v>
      </c>
      <c r="E36" s="82">
        <v>8.33</v>
      </c>
      <c r="F36" s="126">
        <v>8.33</v>
      </c>
      <c r="G36" s="127">
        <v>8.33</v>
      </c>
      <c r="H36" s="82">
        <v>8.33</v>
      </c>
      <c r="I36" s="82">
        <v>8.33</v>
      </c>
      <c r="J36" s="82">
        <v>8.33</v>
      </c>
      <c r="K36" s="82">
        <v>8.33</v>
      </c>
      <c r="L36" s="82">
        <v>8.33</v>
      </c>
      <c r="M36" s="83">
        <v>8.33</v>
      </c>
      <c r="N36" s="83">
        <v>8.33</v>
      </c>
      <c r="O36" s="83">
        <v>8.2200000000000006</v>
      </c>
      <c r="P36" s="83">
        <v>8.07</v>
      </c>
      <c r="Q36" s="82">
        <v>7.8699999999999992</v>
      </c>
      <c r="R36" s="82">
        <v>7.67</v>
      </c>
      <c r="S36" s="82">
        <v>7.3699999999999992</v>
      </c>
      <c r="T36" s="82">
        <v>7.02</v>
      </c>
      <c r="U36" s="82">
        <v>6.62</v>
      </c>
      <c r="V36" s="82">
        <v>6.17</v>
      </c>
      <c r="W36" s="82">
        <v>5.67</v>
      </c>
      <c r="X36" s="84"/>
      <c r="Y36" s="79">
        <v>5.9</v>
      </c>
      <c r="Z36" s="79">
        <f t="shared" si="0"/>
        <v>4.9000000000000004</v>
      </c>
      <c r="AA36" s="79">
        <v>100</v>
      </c>
      <c r="AB36" s="79">
        <v>100</v>
      </c>
      <c r="AC36" s="79">
        <v>100</v>
      </c>
      <c r="AD36" s="79">
        <v>100</v>
      </c>
      <c r="AE36" s="79">
        <v>100</v>
      </c>
      <c r="AF36" s="79">
        <v>100</v>
      </c>
      <c r="AG36" s="79">
        <v>98</v>
      </c>
      <c r="AH36" s="79">
        <v>94</v>
      </c>
      <c r="AI36" s="79">
        <v>90</v>
      </c>
      <c r="AJ36" s="79">
        <v>86</v>
      </c>
      <c r="AK36" s="79">
        <v>100</v>
      </c>
      <c r="AL36" s="79">
        <v>96</v>
      </c>
      <c r="AM36" s="79">
        <v>92</v>
      </c>
      <c r="AN36" s="79">
        <v>88</v>
      </c>
      <c r="AO36" s="79">
        <v>84</v>
      </c>
      <c r="AP36" s="79">
        <v>80</v>
      </c>
      <c r="AQ36" s="79">
        <v>76</v>
      </c>
      <c r="AR36" s="79">
        <v>72</v>
      </c>
      <c r="AS36" s="79">
        <v>68</v>
      </c>
      <c r="AT36" s="79">
        <v>90.74</v>
      </c>
    </row>
    <row r="37" spans="1:46" ht="16.5" customHeight="1" thickBot="1" x14ac:dyDescent="0.3">
      <c r="A37" s="81">
        <v>0.39</v>
      </c>
      <c r="B37" s="82">
        <v>7.9499999999999993</v>
      </c>
      <c r="C37" s="82">
        <v>8.33</v>
      </c>
      <c r="D37" s="82">
        <v>8.33</v>
      </c>
      <c r="E37" s="82">
        <v>8.33</v>
      </c>
      <c r="F37" s="126">
        <v>8.33</v>
      </c>
      <c r="G37" s="127">
        <v>8.33</v>
      </c>
      <c r="H37" s="82">
        <v>8.33</v>
      </c>
      <c r="I37" s="82">
        <v>8.33</v>
      </c>
      <c r="J37" s="82">
        <v>8.33</v>
      </c>
      <c r="K37" s="82">
        <v>8.33</v>
      </c>
      <c r="L37" s="82">
        <v>8.33</v>
      </c>
      <c r="M37" s="83">
        <v>8.33</v>
      </c>
      <c r="N37" s="83">
        <v>8.33</v>
      </c>
      <c r="O37" s="83">
        <v>8.25</v>
      </c>
      <c r="P37" s="83">
        <v>8.1</v>
      </c>
      <c r="Q37" s="82">
        <v>7.9</v>
      </c>
      <c r="R37" s="82">
        <v>7.6999999999999993</v>
      </c>
      <c r="S37" s="82">
        <v>7.4</v>
      </c>
      <c r="T37" s="82">
        <v>7.0500000000000007</v>
      </c>
      <c r="U37" s="82">
        <v>6.65</v>
      </c>
      <c r="V37" s="82">
        <v>6.2</v>
      </c>
      <c r="W37" s="82">
        <v>5.7</v>
      </c>
      <c r="X37" s="84"/>
      <c r="Y37" s="79">
        <v>5.8</v>
      </c>
      <c r="Z37" s="79">
        <f t="shared" si="0"/>
        <v>4.8</v>
      </c>
      <c r="AA37" s="79">
        <v>100</v>
      </c>
      <c r="AB37" s="79">
        <v>100</v>
      </c>
      <c r="AC37" s="79">
        <v>100</v>
      </c>
      <c r="AD37" s="79">
        <v>100</v>
      </c>
      <c r="AE37" s="79">
        <v>100</v>
      </c>
      <c r="AF37" s="79">
        <v>100</v>
      </c>
      <c r="AG37" s="79">
        <v>97</v>
      </c>
      <c r="AH37" s="79">
        <v>93</v>
      </c>
      <c r="AI37" s="79">
        <v>89</v>
      </c>
      <c r="AJ37" s="79">
        <v>85</v>
      </c>
      <c r="AK37" s="79">
        <v>100</v>
      </c>
      <c r="AL37" s="79">
        <v>96</v>
      </c>
      <c r="AM37" s="79">
        <v>91</v>
      </c>
      <c r="AN37" s="79">
        <v>88</v>
      </c>
      <c r="AO37" s="79">
        <v>84</v>
      </c>
      <c r="AP37" s="79">
        <v>79</v>
      </c>
      <c r="AQ37" s="79">
        <v>76</v>
      </c>
      <c r="AR37" s="79">
        <v>71</v>
      </c>
      <c r="AS37" s="79">
        <v>67</v>
      </c>
      <c r="AT37" s="79">
        <v>90.32</v>
      </c>
    </row>
    <row r="38" spans="1:46" ht="16.5" customHeight="1" thickBot="1" x14ac:dyDescent="0.3">
      <c r="A38" s="81">
        <v>0.4</v>
      </c>
      <c r="B38" s="82">
        <v>7.98</v>
      </c>
      <c r="C38" s="82">
        <v>8.33</v>
      </c>
      <c r="D38" s="82">
        <v>8.33</v>
      </c>
      <c r="E38" s="82">
        <v>8.33</v>
      </c>
      <c r="F38" s="126">
        <v>8.33</v>
      </c>
      <c r="G38" s="127">
        <v>8.33</v>
      </c>
      <c r="H38" s="82">
        <v>8.33</v>
      </c>
      <c r="I38" s="82">
        <v>8.33</v>
      </c>
      <c r="J38" s="82">
        <v>8.33</v>
      </c>
      <c r="K38" s="82">
        <v>8.33</v>
      </c>
      <c r="L38" s="82">
        <v>8.33</v>
      </c>
      <c r="M38" s="83">
        <v>8.33</v>
      </c>
      <c r="N38" s="83">
        <v>8.33</v>
      </c>
      <c r="O38" s="83">
        <v>8.2799999999999994</v>
      </c>
      <c r="P38" s="83">
        <v>8.1300000000000008</v>
      </c>
      <c r="Q38" s="82">
        <v>7.93</v>
      </c>
      <c r="R38" s="82">
        <v>7.73</v>
      </c>
      <c r="S38" s="82">
        <v>7.43</v>
      </c>
      <c r="T38" s="82">
        <v>7.08</v>
      </c>
      <c r="U38" s="82">
        <v>6.68</v>
      </c>
      <c r="V38" s="82">
        <v>6.23</v>
      </c>
      <c r="W38" s="82">
        <v>5.73</v>
      </c>
      <c r="X38" s="84"/>
      <c r="Y38" s="79">
        <v>5.7</v>
      </c>
      <c r="Z38" s="79">
        <f t="shared" si="0"/>
        <v>4.7</v>
      </c>
      <c r="AA38" s="79">
        <v>100</v>
      </c>
      <c r="AB38" s="79">
        <v>100</v>
      </c>
      <c r="AC38" s="79">
        <v>100</v>
      </c>
      <c r="AD38" s="79">
        <v>100</v>
      </c>
      <c r="AE38" s="79">
        <v>100</v>
      </c>
      <c r="AF38" s="79">
        <v>100</v>
      </c>
      <c r="AG38" s="79">
        <v>97</v>
      </c>
      <c r="AH38" s="79">
        <v>93</v>
      </c>
      <c r="AI38" s="79">
        <v>88</v>
      </c>
      <c r="AJ38" s="79">
        <v>85</v>
      </c>
      <c r="AK38" s="79">
        <v>99</v>
      </c>
      <c r="AL38" s="79">
        <v>95</v>
      </c>
      <c r="AM38" s="79">
        <v>90</v>
      </c>
      <c r="AN38" s="79">
        <v>87</v>
      </c>
      <c r="AO38" s="79">
        <v>83</v>
      </c>
      <c r="AP38" s="79">
        <v>78</v>
      </c>
      <c r="AQ38" s="79">
        <v>75</v>
      </c>
      <c r="AR38" s="79">
        <v>70</v>
      </c>
      <c r="AS38" s="79">
        <v>66</v>
      </c>
      <c r="AT38" s="79">
        <v>89.79</v>
      </c>
    </row>
    <row r="39" spans="1:46" ht="16.5" thickBot="1" x14ac:dyDescent="0.3">
      <c r="A39" s="89">
        <v>0.41</v>
      </c>
      <c r="B39" s="82">
        <v>8.01</v>
      </c>
      <c r="C39" s="82">
        <v>8.33</v>
      </c>
      <c r="D39" s="82">
        <v>8.33</v>
      </c>
      <c r="E39" s="82">
        <v>8.33</v>
      </c>
      <c r="F39" s="126">
        <v>8.33</v>
      </c>
      <c r="G39" s="127">
        <v>8.33</v>
      </c>
      <c r="H39" s="82">
        <v>8.33</v>
      </c>
      <c r="I39" s="82">
        <v>8.33</v>
      </c>
      <c r="J39" s="82">
        <v>8.33</v>
      </c>
      <c r="K39" s="82">
        <v>8.33</v>
      </c>
      <c r="L39" s="82">
        <v>8.33</v>
      </c>
      <c r="M39" s="83">
        <v>8.33</v>
      </c>
      <c r="N39" s="83">
        <v>8.33</v>
      </c>
      <c r="O39" s="83">
        <v>8.31</v>
      </c>
      <c r="P39" s="83">
        <v>8.16</v>
      </c>
      <c r="Q39" s="82">
        <v>7.9600000000000009</v>
      </c>
      <c r="R39" s="82">
        <v>7.76</v>
      </c>
      <c r="S39" s="82">
        <v>7.4600000000000009</v>
      </c>
      <c r="T39" s="82">
        <v>7.1099999999999994</v>
      </c>
      <c r="U39" s="82">
        <v>6.71</v>
      </c>
      <c r="V39" s="82">
        <v>6.26</v>
      </c>
      <c r="W39" s="82">
        <v>5.76</v>
      </c>
      <c r="X39" s="84"/>
      <c r="Y39" s="79">
        <v>5.6</v>
      </c>
      <c r="Z39" s="79">
        <f t="shared" si="0"/>
        <v>4.5999999999999996</v>
      </c>
      <c r="AA39" s="79">
        <v>100</v>
      </c>
      <c r="AB39" s="79">
        <v>100</v>
      </c>
      <c r="AC39" s="79">
        <v>100</v>
      </c>
      <c r="AD39" s="79">
        <v>100</v>
      </c>
      <c r="AE39" s="79">
        <v>100</v>
      </c>
      <c r="AF39" s="79">
        <v>100</v>
      </c>
      <c r="AG39" s="79">
        <v>97</v>
      </c>
      <c r="AH39" s="79">
        <v>93</v>
      </c>
      <c r="AI39" s="79">
        <v>88</v>
      </c>
      <c r="AJ39" s="79">
        <v>84</v>
      </c>
      <c r="AK39" s="79">
        <v>99</v>
      </c>
      <c r="AL39" s="79">
        <v>95</v>
      </c>
      <c r="AM39" s="79">
        <v>90</v>
      </c>
      <c r="AN39" s="79">
        <v>86</v>
      </c>
      <c r="AO39" s="79">
        <v>82</v>
      </c>
      <c r="AP39" s="79">
        <v>78</v>
      </c>
      <c r="AQ39" s="79">
        <v>74</v>
      </c>
      <c r="AR39" s="79">
        <v>69</v>
      </c>
      <c r="AS39" s="79">
        <v>65</v>
      </c>
      <c r="AT39" s="79">
        <v>89.47</v>
      </c>
    </row>
    <row r="40" spans="1:46" ht="16.5" thickBot="1" x14ac:dyDescent="0.3">
      <c r="A40" s="89">
        <v>0.42</v>
      </c>
      <c r="B40" s="82">
        <v>8.0299999999999994</v>
      </c>
      <c r="C40" s="82">
        <v>8.33</v>
      </c>
      <c r="D40" s="82">
        <v>8.33</v>
      </c>
      <c r="E40" s="82">
        <v>8.33</v>
      </c>
      <c r="F40" s="126">
        <v>8.33</v>
      </c>
      <c r="G40" s="127">
        <v>8.33</v>
      </c>
      <c r="H40" s="82">
        <v>8.33</v>
      </c>
      <c r="I40" s="82">
        <v>8.33</v>
      </c>
      <c r="J40" s="82">
        <v>8.33</v>
      </c>
      <c r="K40" s="82">
        <v>8.33</v>
      </c>
      <c r="L40" s="82">
        <v>8.33</v>
      </c>
      <c r="M40" s="83">
        <v>8.33</v>
      </c>
      <c r="N40" s="83">
        <v>8.33</v>
      </c>
      <c r="O40" s="83">
        <v>8.33</v>
      </c>
      <c r="P40" s="83">
        <v>8.18</v>
      </c>
      <c r="Q40" s="82">
        <v>7.98</v>
      </c>
      <c r="R40" s="82">
        <v>7.7799999999999994</v>
      </c>
      <c r="S40" s="82">
        <v>7.48</v>
      </c>
      <c r="T40" s="82">
        <v>7.1300000000000008</v>
      </c>
      <c r="U40" s="82">
        <v>6.73</v>
      </c>
      <c r="V40" s="82">
        <v>6.28</v>
      </c>
      <c r="W40" s="82">
        <v>5.78</v>
      </c>
      <c r="X40" s="84"/>
      <c r="Y40" s="79">
        <v>5.5</v>
      </c>
      <c r="Z40" s="79">
        <f t="shared" si="0"/>
        <v>4.5</v>
      </c>
      <c r="AA40" s="79">
        <v>100</v>
      </c>
      <c r="AB40" s="79">
        <v>100</v>
      </c>
      <c r="AC40" s="79">
        <v>100</v>
      </c>
      <c r="AD40" s="79">
        <v>100</v>
      </c>
      <c r="AE40" s="79">
        <v>100</v>
      </c>
      <c r="AF40" s="79">
        <v>100</v>
      </c>
      <c r="AG40" s="79">
        <v>96</v>
      </c>
      <c r="AH40" s="79">
        <v>92</v>
      </c>
      <c r="AI40" s="79">
        <v>87</v>
      </c>
      <c r="AJ40" s="79">
        <v>83</v>
      </c>
      <c r="AK40" s="79">
        <v>98</v>
      </c>
      <c r="AL40" s="79">
        <v>94</v>
      </c>
      <c r="AM40" s="79">
        <v>89</v>
      </c>
      <c r="AN40" s="79">
        <v>85</v>
      </c>
      <c r="AO40" s="79">
        <v>81</v>
      </c>
      <c r="AP40" s="79">
        <v>77</v>
      </c>
      <c r="AQ40" s="79">
        <v>73</v>
      </c>
      <c r="AR40" s="79">
        <v>68</v>
      </c>
      <c r="AS40" s="79">
        <v>64</v>
      </c>
      <c r="AT40" s="79">
        <v>88.79</v>
      </c>
    </row>
    <row r="41" spans="1:46" ht="16.5" thickBot="1" x14ac:dyDescent="0.3">
      <c r="A41" s="89">
        <v>0.43</v>
      </c>
      <c r="B41" s="82">
        <v>8.0500000000000007</v>
      </c>
      <c r="C41" s="82">
        <v>8.33</v>
      </c>
      <c r="D41" s="82">
        <v>8.33</v>
      </c>
      <c r="E41" s="82">
        <v>8.33</v>
      </c>
      <c r="F41" s="126">
        <v>8.33</v>
      </c>
      <c r="G41" s="127">
        <v>8.33</v>
      </c>
      <c r="H41" s="82">
        <v>8.33</v>
      </c>
      <c r="I41" s="82">
        <v>8.33</v>
      </c>
      <c r="J41" s="82">
        <v>8.33</v>
      </c>
      <c r="K41" s="82">
        <v>8.33</v>
      </c>
      <c r="L41" s="82">
        <v>8.33</v>
      </c>
      <c r="M41" s="83">
        <v>8.33</v>
      </c>
      <c r="N41" s="83">
        <v>8.33</v>
      </c>
      <c r="O41" s="83">
        <v>8.33</v>
      </c>
      <c r="P41" s="83">
        <v>8.1999999999999993</v>
      </c>
      <c r="Q41" s="82">
        <v>8</v>
      </c>
      <c r="R41" s="82">
        <v>7.8000000000000007</v>
      </c>
      <c r="S41" s="82">
        <v>7.5</v>
      </c>
      <c r="T41" s="82">
        <v>7.15</v>
      </c>
      <c r="U41" s="82">
        <v>6.75</v>
      </c>
      <c r="V41" s="82">
        <v>6.3</v>
      </c>
      <c r="W41" s="82">
        <v>5.8</v>
      </c>
      <c r="X41" s="84"/>
      <c r="Y41" s="79">
        <v>5.4</v>
      </c>
      <c r="Z41" s="79">
        <f t="shared" si="0"/>
        <v>4.4000000000000004</v>
      </c>
      <c r="AA41" s="79">
        <v>100</v>
      </c>
      <c r="AB41" s="79">
        <v>100</v>
      </c>
      <c r="AC41" s="79">
        <v>100</v>
      </c>
      <c r="AD41" s="79">
        <v>100</v>
      </c>
      <c r="AE41" s="79">
        <v>100</v>
      </c>
      <c r="AF41" s="79">
        <v>99</v>
      </c>
      <c r="AG41" s="79">
        <v>95</v>
      </c>
      <c r="AH41" s="79">
        <v>91</v>
      </c>
      <c r="AI41" s="79">
        <v>87</v>
      </c>
      <c r="AJ41" s="79">
        <v>82</v>
      </c>
      <c r="AK41" s="79">
        <v>97</v>
      </c>
      <c r="AL41" s="79">
        <v>93</v>
      </c>
      <c r="AM41" s="79">
        <v>88</v>
      </c>
      <c r="AN41" s="79">
        <v>84</v>
      </c>
      <c r="AO41" s="79">
        <v>80</v>
      </c>
      <c r="AP41" s="79">
        <v>76</v>
      </c>
      <c r="AQ41" s="79">
        <v>72</v>
      </c>
      <c r="AR41" s="79">
        <v>67</v>
      </c>
      <c r="AS41" s="79">
        <v>63</v>
      </c>
      <c r="AT41" s="79">
        <v>88.11</v>
      </c>
    </row>
    <row r="42" spans="1:46" ht="16.5" thickBot="1" x14ac:dyDescent="0.3">
      <c r="A42" s="89">
        <v>0.44</v>
      </c>
      <c r="B42" s="82">
        <v>8.08</v>
      </c>
      <c r="C42" s="82">
        <v>8.33</v>
      </c>
      <c r="D42" s="82">
        <v>8.33</v>
      </c>
      <c r="E42" s="82">
        <v>8.33</v>
      </c>
      <c r="F42" s="126">
        <v>8.33</v>
      </c>
      <c r="G42" s="127">
        <v>8.33</v>
      </c>
      <c r="H42" s="82">
        <v>8.33</v>
      </c>
      <c r="I42" s="82">
        <v>8.33</v>
      </c>
      <c r="J42" s="82">
        <v>8.33</v>
      </c>
      <c r="K42" s="82">
        <v>8.33</v>
      </c>
      <c r="L42" s="82">
        <v>8.33</v>
      </c>
      <c r="M42" s="83">
        <v>8.33</v>
      </c>
      <c r="N42" s="83">
        <v>8.33</v>
      </c>
      <c r="O42" s="83">
        <v>8.33</v>
      </c>
      <c r="P42" s="83">
        <v>8.23</v>
      </c>
      <c r="Q42" s="82">
        <v>8.0299999999999994</v>
      </c>
      <c r="R42" s="82">
        <v>7.83</v>
      </c>
      <c r="S42" s="82">
        <v>7.5299999999999994</v>
      </c>
      <c r="T42" s="82">
        <v>7.18</v>
      </c>
      <c r="U42" s="82">
        <v>6.78</v>
      </c>
      <c r="V42" s="82">
        <v>6.33</v>
      </c>
      <c r="W42" s="82">
        <v>5.83</v>
      </c>
      <c r="X42" s="84"/>
      <c r="Y42" s="79">
        <v>5.3</v>
      </c>
      <c r="Z42" s="79">
        <f t="shared" si="0"/>
        <v>4.3</v>
      </c>
      <c r="AA42" s="79">
        <v>100</v>
      </c>
      <c r="AB42" s="79">
        <v>100</v>
      </c>
      <c r="AC42" s="79">
        <v>100</v>
      </c>
      <c r="AD42" s="79">
        <v>100</v>
      </c>
      <c r="AE42" s="79">
        <v>100</v>
      </c>
      <c r="AF42" s="79">
        <v>99</v>
      </c>
      <c r="AG42" s="79">
        <v>95</v>
      </c>
      <c r="AH42" s="79">
        <v>91</v>
      </c>
      <c r="AI42" s="79">
        <v>86</v>
      </c>
      <c r="AJ42" s="79">
        <v>82</v>
      </c>
      <c r="AK42" s="79">
        <v>97</v>
      </c>
      <c r="AL42" s="79">
        <v>92</v>
      </c>
      <c r="AM42" s="79">
        <v>88</v>
      </c>
      <c r="AN42" s="79">
        <v>84</v>
      </c>
      <c r="AO42" s="79">
        <v>80</v>
      </c>
      <c r="AP42" s="79">
        <v>75</v>
      </c>
      <c r="AQ42" s="79">
        <v>71</v>
      </c>
      <c r="AR42" s="79">
        <v>67</v>
      </c>
      <c r="AS42" s="79">
        <v>62</v>
      </c>
      <c r="AT42" s="79">
        <v>87.84</v>
      </c>
    </row>
    <row r="43" spans="1:46" ht="16.5" thickBot="1" x14ac:dyDescent="0.3">
      <c r="A43" s="89">
        <v>0.45</v>
      </c>
      <c r="B43" s="82">
        <v>8.1</v>
      </c>
      <c r="C43" s="82">
        <v>8.33</v>
      </c>
      <c r="D43" s="82">
        <v>8.33</v>
      </c>
      <c r="E43" s="82">
        <v>8.33</v>
      </c>
      <c r="F43" s="126">
        <v>8.33</v>
      </c>
      <c r="G43" s="127">
        <v>8.33</v>
      </c>
      <c r="H43" s="82">
        <v>8.33</v>
      </c>
      <c r="I43" s="82">
        <v>8.33</v>
      </c>
      <c r="J43" s="82">
        <v>8.33</v>
      </c>
      <c r="K43" s="82">
        <v>8.33</v>
      </c>
      <c r="L43" s="82">
        <v>8.33</v>
      </c>
      <c r="M43" s="83">
        <v>8.33</v>
      </c>
      <c r="N43" s="83">
        <v>8.33</v>
      </c>
      <c r="O43" s="83">
        <v>8.33</v>
      </c>
      <c r="P43" s="83">
        <v>8.25</v>
      </c>
      <c r="Q43" s="82">
        <v>8.0500000000000007</v>
      </c>
      <c r="R43" s="82">
        <v>7.85</v>
      </c>
      <c r="S43" s="82">
        <v>7.5500000000000007</v>
      </c>
      <c r="T43" s="82">
        <v>7.1999999999999993</v>
      </c>
      <c r="U43" s="82">
        <v>6.8</v>
      </c>
      <c r="V43" s="82">
        <v>6.35</v>
      </c>
      <c r="W43" s="82">
        <v>5.85</v>
      </c>
      <c r="X43" s="84"/>
      <c r="Y43" s="79">
        <v>5.2</v>
      </c>
      <c r="Z43" s="79">
        <f t="shared" si="0"/>
        <v>4.2</v>
      </c>
      <c r="AA43" s="79">
        <v>100</v>
      </c>
      <c r="AB43" s="79">
        <v>100</v>
      </c>
      <c r="AC43" s="79">
        <v>100</v>
      </c>
      <c r="AD43" s="79">
        <v>100</v>
      </c>
      <c r="AE43" s="79">
        <v>100</v>
      </c>
      <c r="AF43" s="79">
        <v>99</v>
      </c>
      <c r="AG43" s="79">
        <v>94</v>
      </c>
      <c r="AH43" s="79">
        <v>90</v>
      </c>
      <c r="AI43" s="79">
        <v>86</v>
      </c>
      <c r="AJ43" s="79">
        <v>81</v>
      </c>
      <c r="AK43" s="79">
        <v>96</v>
      </c>
      <c r="AL43" s="79">
        <v>91</v>
      </c>
      <c r="AM43" s="79">
        <v>87</v>
      </c>
      <c r="AN43" s="79">
        <v>83</v>
      </c>
      <c r="AO43" s="79">
        <v>78</v>
      </c>
      <c r="AP43" s="79">
        <v>74</v>
      </c>
      <c r="AQ43" s="79">
        <v>70</v>
      </c>
      <c r="AR43" s="79">
        <v>66</v>
      </c>
      <c r="AS43" s="79">
        <v>61</v>
      </c>
      <c r="AT43" s="79">
        <v>87.16</v>
      </c>
    </row>
    <row r="44" spans="1:46" ht="16.5" thickBot="1" x14ac:dyDescent="0.3">
      <c r="A44" s="89">
        <v>0.46</v>
      </c>
      <c r="B44" s="82">
        <v>8.11</v>
      </c>
      <c r="C44" s="82">
        <v>8.33</v>
      </c>
      <c r="D44" s="82">
        <v>8.33</v>
      </c>
      <c r="E44" s="82">
        <v>8.33</v>
      </c>
      <c r="F44" s="126">
        <v>8.33</v>
      </c>
      <c r="G44" s="127">
        <v>8.33</v>
      </c>
      <c r="H44" s="82">
        <v>8.33</v>
      </c>
      <c r="I44" s="82">
        <v>8.33</v>
      </c>
      <c r="J44" s="82">
        <v>8.33</v>
      </c>
      <c r="K44" s="82">
        <v>8.33</v>
      </c>
      <c r="L44" s="82">
        <v>8.33</v>
      </c>
      <c r="M44" s="83">
        <v>8.33</v>
      </c>
      <c r="N44" s="83">
        <v>8.33</v>
      </c>
      <c r="O44" s="83">
        <v>8.33</v>
      </c>
      <c r="P44" s="83">
        <v>8.26</v>
      </c>
      <c r="Q44" s="82">
        <v>8.06</v>
      </c>
      <c r="R44" s="82">
        <v>7.8599999999999994</v>
      </c>
      <c r="S44" s="82">
        <v>7.5600000000000005</v>
      </c>
      <c r="T44" s="82">
        <v>7.2100000000000009</v>
      </c>
      <c r="U44" s="82">
        <v>6.81</v>
      </c>
      <c r="V44" s="82">
        <v>6.36</v>
      </c>
      <c r="W44" s="82">
        <v>5.86</v>
      </c>
      <c r="X44" s="84"/>
      <c r="Y44" s="79">
        <v>5.0999999999999996</v>
      </c>
      <c r="Z44" s="79">
        <f t="shared" si="0"/>
        <v>4.0999999999999996</v>
      </c>
      <c r="AA44" s="79">
        <v>100</v>
      </c>
      <c r="AB44" s="79">
        <v>100</v>
      </c>
      <c r="AC44" s="79">
        <v>100</v>
      </c>
      <c r="AD44" s="79">
        <v>100</v>
      </c>
      <c r="AE44" s="79">
        <v>100</v>
      </c>
      <c r="AF44" s="79">
        <v>98</v>
      </c>
      <c r="AG44" s="79">
        <v>94</v>
      </c>
      <c r="AH44" s="79">
        <v>89</v>
      </c>
      <c r="AI44" s="79">
        <v>85</v>
      </c>
      <c r="AJ44" s="79">
        <v>81</v>
      </c>
      <c r="AK44" s="79">
        <v>95</v>
      </c>
      <c r="AL44" s="79">
        <v>91</v>
      </c>
      <c r="AM44" s="79">
        <v>86</v>
      </c>
      <c r="AN44" s="79">
        <v>82</v>
      </c>
      <c r="AO44" s="79">
        <v>78</v>
      </c>
      <c r="AP44" s="79">
        <v>73</v>
      </c>
      <c r="AQ44" s="79">
        <v>69</v>
      </c>
      <c r="AR44" s="79">
        <v>64</v>
      </c>
      <c r="AS44" s="79">
        <v>60</v>
      </c>
      <c r="AT44" s="79">
        <v>86.58</v>
      </c>
    </row>
    <row r="45" spans="1:46" ht="16.5" thickBot="1" x14ac:dyDescent="0.3">
      <c r="A45" s="89">
        <v>0.47</v>
      </c>
      <c r="B45" s="82">
        <v>8.1300000000000008</v>
      </c>
      <c r="C45" s="82">
        <v>8.33</v>
      </c>
      <c r="D45" s="82">
        <v>8.33</v>
      </c>
      <c r="E45" s="82">
        <v>8.33</v>
      </c>
      <c r="F45" s="126">
        <v>8.33</v>
      </c>
      <c r="G45" s="127">
        <v>8.33</v>
      </c>
      <c r="H45" s="82">
        <v>8.33</v>
      </c>
      <c r="I45" s="82">
        <v>8.33</v>
      </c>
      <c r="J45" s="82">
        <v>8.33</v>
      </c>
      <c r="K45" s="82">
        <v>8.33</v>
      </c>
      <c r="L45" s="82">
        <v>8.33</v>
      </c>
      <c r="M45" s="83">
        <v>8.33</v>
      </c>
      <c r="N45" s="83">
        <v>8.33</v>
      </c>
      <c r="O45" s="83">
        <v>8.33</v>
      </c>
      <c r="P45" s="83">
        <v>8.2799999999999994</v>
      </c>
      <c r="Q45" s="82">
        <v>8.08</v>
      </c>
      <c r="R45" s="82">
        <v>7.8800000000000008</v>
      </c>
      <c r="S45" s="82">
        <v>7.58</v>
      </c>
      <c r="T45" s="82">
        <v>7.23</v>
      </c>
      <c r="U45" s="82">
        <v>6.83</v>
      </c>
      <c r="V45" s="82">
        <v>6.38</v>
      </c>
      <c r="W45" s="82">
        <v>5.88</v>
      </c>
      <c r="X45" s="84"/>
      <c r="Y45" s="79">
        <v>5</v>
      </c>
      <c r="Z45" s="79">
        <f t="shared" si="0"/>
        <v>4</v>
      </c>
      <c r="AA45" s="79">
        <v>100</v>
      </c>
      <c r="AB45" s="79">
        <v>100</v>
      </c>
      <c r="AC45" s="79">
        <v>100</v>
      </c>
      <c r="AD45" s="79">
        <v>100</v>
      </c>
      <c r="AE45" s="79">
        <v>100</v>
      </c>
      <c r="AF45" s="79">
        <v>97</v>
      </c>
      <c r="AG45" s="79">
        <v>93</v>
      </c>
      <c r="AH45" s="79">
        <v>89</v>
      </c>
      <c r="AI45" s="79">
        <v>84</v>
      </c>
      <c r="AJ45" s="79">
        <v>80</v>
      </c>
      <c r="AK45" s="79">
        <v>95</v>
      </c>
      <c r="AL45" s="79">
        <v>90</v>
      </c>
      <c r="AM45" s="79">
        <v>85</v>
      </c>
      <c r="AN45" s="79">
        <v>81</v>
      </c>
      <c r="AO45" s="79">
        <v>77</v>
      </c>
      <c r="AP45" s="79">
        <v>72</v>
      </c>
      <c r="AQ45" s="79">
        <v>68</v>
      </c>
      <c r="AR45" s="79">
        <v>63</v>
      </c>
      <c r="AS45" s="79">
        <v>59</v>
      </c>
      <c r="AT45" s="79">
        <v>85.95</v>
      </c>
    </row>
    <row r="46" spans="1:46" ht="15.75" x14ac:dyDescent="0.25">
      <c r="A46" s="89">
        <v>0.48</v>
      </c>
      <c r="B46" s="82">
        <v>8.15</v>
      </c>
      <c r="C46" s="82">
        <v>8.33</v>
      </c>
      <c r="D46" s="82">
        <v>8.33</v>
      </c>
      <c r="E46" s="82">
        <v>8.33</v>
      </c>
      <c r="F46" s="126">
        <v>8.33</v>
      </c>
      <c r="G46" s="127">
        <v>8.33</v>
      </c>
      <c r="H46" s="82">
        <v>8.33</v>
      </c>
      <c r="I46" s="82">
        <v>8.33</v>
      </c>
      <c r="J46" s="82">
        <v>8.33</v>
      </c>
      <c r="K46" s="82">
        <v>8.33</v>
      </c>
      <c r="L46" s="82">
        <v>8.33</v>
      </c>
      <c r="M46" s="83">
        <v>8.33</v>
      </c>
      <c r="N46" s="83">
        <v>8.33</v>
      </c>
      <c r="O46" s="83">
        <v>8.33</v>
      </c>
      <c r="P46" s="83">
        <v>8.3000000000000007</v>
      </c>
      <c r="Q46" s="82">
        <v>8.1</v>
      </c>
      <c r="R46" s="82">
        <v>7.9</v>
      </c>
      <c r="S46" s="82">
        <v>7.6</v>
      </c>
      <c r="T46" s="82">
        <v>7.25</v>
      </c>
      <c r="U46" s="82">
        <v>6.85</v>
      </c>
      <c r="V46" s="82">
        <v>6.4</v>
      </c>
      <c r="W46" s="82">
        <v>5.9</v>
      </c>
      <c r="X46" s="84"/>
    </row>
    <row r="47" spans="1:46" ht="15.75" x14ac:dyDescent="0.25">
      <c r="A47" s="89">
        <v>0.49</v>
      </c>
      <c r="B47" s="82">
        <v>8.16</v>
      </c>
      <c r="C47" s="82">
        <v>8.33</v>
      </c>
      <c r="D47" s="82">
        <v>8.33</v>
      </c>
      <c r="E47" s="82">
        <v>8.33</v>
      </c>
      <c r="F47" s="126">
        <v>8.33</v>
      </c>
      <c r="G47" s="127">
        <v>8.33</v>
      </c>
      <c r="H47" s="82">
        <v>8.33</v>
      </c>
      <c r="I47" s="82">
        <v>8.33</v>
      </c>
      <c r="J47" s="82">
        <v>8.33</v>
      </c>
      <c r="K47" s="82">
        <v>8.33</v>
      </c>
      <c r="L47" s="82">
        <v>8.33</v>
      </c>
      <c r="M47" s="83">
        <v>8.33</v>
      </c>
      <c r="N47" s="83">
        <v>8.33</v>
      </c>
      <c r="O47" s="83">
        <v>8.33</v>
      </c>
      <c r="P47" s="83">
        <v>8.31</v>
      </c>
      <c r="Q47" s="82">
        <v>8.11</v>
      </c>
      <c r="R47" s="82">
        <v>7.91</v>
      </c>
      <c r="S47" s="82">
        <v>7.6099999999999994</v>
      </c>
      <c r="T47" s="82">
        <v>7.26</v>
      </c>
      <c r="U47" s="82">
        <v>6.86</v>
      </c>
      <c r="V47" s="82">
        <v>6.41</v>
      </c>
      <c r="W47" s="82">
        <v>5.91</v>
      </c>
      <c r="X47" s="84"/>
    </row>
    <row r="48" spans="1:46" ht="15.75" x14ac:dyDescent="0.25">
      <c r="A48" s="89">
        <v>0.5</v>
      </c>
      <c r="B48" s="82">
        <v>8.18</v>
      </c>
      <c r="C48" s="82">
        <v>8.33</v>
      </c>
      <c r="D48" s="82">
        <v>8.33</v>
      </c>
      <c r="E48" s="82">
        <v>8.33</v>
      </c>
      <c r="F48" s="126">
        <v>8.33</v>
      </c>
      <c r="G48" s="127">
        <v>8.33</v>
      </c>
      <c r="H48" s="82">
        <v>8.33</v>
      </c>
      <c r="I48" s="82">
        <v>8.33</v>
      </c>
      <c r="J48" s="82">
        <v>8.33</v>
      </c>
      <c r="K48" s="82">
        <v>8.33</v>
      </c>
      <c r="L48" s="82">
        <v>8.33</v>
      </c>
      <c r="M48" s="83">
        <v>8.33</v>
      </c>
      <c r="N48" s="83">
        <v>8.33</v>
      </c>
      <c r="O48" s="83">
        <v>8.33</v>
      </c>
      <c r="P48" s="83">
        <v>8.33</v>
      </c>
      <c r="Q48" s="82">
        <v>8.1300000000000008</v>
      </c>
      <c r="R48" s="82">
        <v>7.93</v>
      </c>
      <c r="S48" s="82">
        <v>7.63</v>
      </c>
      <c r="T48" s="82">
        <v>7.2799999999999994</v>
      </c>
      <c r="U48" s="82">
        <v>6.88</v>
      </c>
      <c r="V48" s="82">
        <v>6.43</v>
      </c>
      <c r="W48" s="82">
        <v>5.93</v>
      </c>
      <c r="X48" s="84"/>
    </row>
    <row r="49" spans="1:24" ht="15.75" x14ac:dyDescent="0.25">
      <c r="A49" s="92"/>
      <c r="B49" s="92"/>
      <c r="C49" s="92"/>
      <c r="D49" s="92"/>
      <c r="E49" s="92"/>
      <c r="F49" s="92"/>
      <c r="H49" s="93"/>
      <c r="X49" s="90"/>
    </row>
    <row r="50" spans="1:24" ht="15.75" x14ac:dyDescent="0.25">
      <c r="A50" s="72" t="s">
        <v>127</v>
      </c>
      <c r="B50" s="92"/>
      <c r="C50" s="92"/>
      <c r="D50" s="92"/>
      <c r="E50" s="92"/>
      <c r="F50" s="92"/>
      <c r="G50" s="92"/>
      <c r="H50" s="93"/>
      <c r="I50" s="92"/>
      <c r="J50" s="92"/>
      <c r="K50" s="92"/>
      <c r="L50" s="92"/>
      <c r="M50" s="92"/>
      <c r="N50" s="92"/>
      <c r="O50" s="92"/>
      <c r="P50" s="92"/>
      <c r="Q50" s="92"/>
      <c r="R50" s="92"/>
      <c r="S50" s="92"/>
      <c r="T50" s="92"/>
      <c r="U50" s="92"/>
      <c r="V50" s="92"/>
      <c r="W50" s="92"/>
      <c r="X50" s="91"/>
    </row>
    <row r="51" spans="1:24" ht="15.75" x14ac:dyDescent="0.25">
      <c r="A51" s="72" t="s">
        <v>128</v>
      </c>
      <c r="B51" s="92"/>
      <c r="C51" s="92"/>
      <c r="D51" s="92"/>
      <c r="E51" s="92"/>
      <c r="F51" s="92"/>
      <c r="G51" s="92"/>
      <c r="H51" s="93"/>
      <c r="I51" s="92"/>
      <c r="J51" s="92"/>
      <c r="K51" s="92"/>
      <c r="L51" s="92"/>
      <c r="M51" s="92"/>
      <c r="N51" s="92"/>
      <c r="O51" s="92"/>
      <c r="P51" s="92"/>
      <c r="Q51" s="92"/>
      <c r="R51" s="92"/>
      <c r="S51" s="92"/>
      <c r="T51" s="92"/>
      <c r="U51" s="92"/>
      <c r="V51" s="92"/>
      <c r="W51" s="92"/>
      <c r="X51" s="91"/>
    </row>
    <row r="52" spans="1:24" ht="15.75" x14ac:dyDescent="0.25">
      <c r="A52" s="72" t="s">
        <v>129</v>
      </c>
      <c r="B52" s="92"/>
      <c r="C52" s="92"/>
      <c r="D52" s="92"/>
      <c r="E52" s="92"/>
      <c r="F52" s="92"/>
      <c r="G52" s="92"/>
      <c r="H52" s="93"/>
      <c r="I52" s="92"/>
      <c r="J52" s="92"/>
      <c r="K52" s="92"/>
      <c r="L52" s="92"/>
      <c r="M52" s="92"/>
      <c r="N52" s="92"/>
      <c r="O52" s="92"/>
      <c r="P52" s="92"/>
      <c r="Q52" s="92"/>
      <c r="R52" s="92"/>
      <c r="S52" s="92"/>
      <c r="T52" s="92"/>
      <c r="U52" s="92"/>
      <c r="V52" s="92"/>
      <c r="W52" s="92"/>
      <c r="X52" s="91"/>
    </row>
    <row r="53" spans="1:24" ht="15.75" x14ac:dyDescent="0.25">
      <c r="A53" s="92"/>
      <c r="B53" s="92"/>
      <c r="C53" s="92"/>
      <c r="D53" s="92"/>
      <c r="E53" s="92"/>
      <c r="F53" s="92"/>
      <c r="G53" s="92"/>
      <c r="H53" s="93"/>
      <c r="I53" s="92"/>
      <c r="J53" s="92"/>
      <c r="K53" s="92"/>
      <c r="L53" s="92"/>
      <c r="M53" s="92"/>
      <c r="N53" s="92"/>
      <c r="O53" s="92"/>
      <c r="P53" s="92"/>
      <c r="Q53" s="92"/>
      <c r="R53" s="92"/>
      <c r="S53" s="92"/>
      <c r="T53" s="92"/>
      <c r="U53" s="92"/>
      <c r="V53" s="92"/>
      <c r="W53" s="92"/>
      <c r="X53" s="91"/>
    </row>
    <row r="54" spans="1:24" ht="15.75" x14ac:dyDescent="0.25">
      <c r="A54" s="92"/>
      <c r="B54" s="92"/>
      <c r="C54" s="92"/>
      <c r="D54" s="92"/>
      <c r="E54" s="92"/>
      <c r="F54" s="92"/>
      <c r="G54" s="92"/>
      <c r="H54" s="93"/>
      <c r="I54" s="92"/>
      <c r="J54" s="92"/>
      <c r="K54" s="92"/>
      <c r="L54" s="92"/>
      <c r="M54" s="92"/>
      <c r="N54" s="92"/>
      <c r="O54" s="92"/>
      <c r="P54" s="92"/>
      <c r="Q54" s="92"/>
      <c r="R54" s="92"/>
      <c r="S54" s="92"/>
      <c r="T54" s="92"/>
      <c r="U54" s="92"/>
      <c r="V54" s="92"/>
      <c r="W54" s="92"/>
      <c r="X54" s="91"/>
    </row>
    <row r="55" spans="1:24" ht="15.75" x14ac:dyDescent="0.25">
      <c r="A55" s="92"/>
      <c r="B55" s="92"/>
      <c r="C55" s="92"/>
      <c r="D55" s="92"/>
      <c r="E55" s="92"/>
      <c r="F55" s="92"/>
      <c r="G55" s="92"/>
      <c r="H55" s="93"/>
      <c r="I55" s="92"/>
      <c r="J55" s="92"/>
      <c r="K55" s="92"/>
      <c r="L55" s="92"/>
      <c r="M55" s="92"/>
      <c r="N55" s="92"/>
      <c r="O55" s="92"/>
      <c r="P55" s="92"/>
      <c r="Q55" s="92"/>
      <c r="R55" s="92"/>
      <c r="S55" s="92"/>
      <c r="T55" s="92"/>
      <c r="U55" s="92"/>
      <c r="V55" s="92"/>
      <c r="W55" s="92"/>
      <c r="X55" s="91"/>
    </row>
    <row r="56" spans="1:24" ht="15.75" x14ac:dyDescent="0.25">
      <c r="A56" s="94" t="s">
        <v>130</v>
      </c>
      <c r="B56" s="92"/>
      <c r="C56" s="92"/>
      <c r="D56" s="92"/>
      <c r="E56" s="92"/>
      <c r="F56" s="92"/>
      <c r="H56" s="93"/>
      <c r="X56" s="90"/>
    </row>
    <row r="57" spans="1:24" ht="15.75" x14ac:dyDescent="0.25">
      <c r="A57" s="92"/>
      <c r="B57" s="92"/>
      <c r="C57" s="92"/>
      <c r="D57" s="92"/>
      <c r="E57" s="92"/>
      <c r="F57" s="92"/>
      <c r="H57" s="93"/>
      <c r="X57" s="90"/>
    </row>
    <row r="58" spans="1:24" ht="15.75" x14ac:dyDescent="0.25">
      <c r="A58" s="95" t="s">
        <v>131</v>
      </c>
      <c r="B58" s="95" t="s">
        <v>132</v>
      </c>
      <c r="C58" s="95" t="s">
        <v>133</v>
      </c>
      <c r="D58" s="95" t="s">
        <v>134</v>
      </c>
      <c r="E58" s="95" t="s">
        <v>135</v>
      </c>
      <c r="F58" s="95" t="s">
        <v>136</v>
      </c>
      <c r="H58" s="93" t="s">
        <v>137</v>
      </c>
      <c r="X58" s="90"/>
    </row>
    <row r="59" spans="1:24" ht="15.75" x14ac:dyDescent="0.25">
      <c r="A59" s="96">
        <v>17</v>
      </c>
      <c r="B59" s="224" t="s">
        <v>107</v>
      </c>
      <c r="C59" s="97" t="s">
        <v>106</v>
      </c>
      <c r="D59" s="225" t="s">
        <v>138</v>
      </c>
      <c r="E59" s="225" t="s">
        <v>138</v>
      </c>
      <c r="F59" s="98" t="s">
        <v>104</v>
      </c>
      <c r="H59" s="99" t="s">
        <v>139</v>
      </c>
      <c r="X59" s="90"/>
    </row>
    <row r="60" spans="1:24" ht="15.75" x14ac:dyDescent="0.25">
      <c r="A60" s="100">
        <v>18</v>
      </c>
      <c r="B60" s="224"/>
      <c r="C60" s="97" t="s">
        <v>140</v>
      </c>
      <c r="D60" s="225"/>
      <c r="E60" s="225"/>
      <c r="F60" s="98" t="s">
        <v>141</v>
      </c>
      <c r="H60" s="93" t="s">
        <v>142</v>
      </c>
      <c r="X60" s="90"/>
    </row>
    <row r="61" spans="1:24" ht="15.75" x14ac:dyDescent="0.25">
      <c r="A61" s="96">
        <v>19</v>
      </c>
      <c r="B61" s="224"/>
      <c r="C61" s="101"/>
      <c r="D61" s="225"/>
      <c r="E61" s="225"/>
      <c r="F61" s="102"/>
      <c r="H61" s="93" t="s">
        <v>143</v>
      </c>
      <c r="I61" s="92"/>
      <c r="X61" s="90"/>
    </row>
    <row r="62" spans="1:24" ht="15.75" x14ac:dyDescent="0.25">
      <c r="A62" s="100">
        <v>20</v>
      </c>
      <c r="B62" s="224"/>
      <c r="C62" s="98" t="s">
        <v>138</v>
      </c>
      <c r="D62" s="226" t="s">
        <v>104</v>
      </c>
      <c r="E62" s="98" t="s">
        <v>104</v>
      </c>
      <c r="F62" s="102"/>
      <c r="H62" s="93" t="s">
        <v>144</v>
      </c>
      <c r="X62" s="90"/>
    </row>
    <row r="63" spans="1:24" ht="15.75" x14ac:dyDescent="0.25">
      <c r="A63" s="96">
        <v>21</v>
      </c>
      <c r="B63" s="227" t="s">
        <v>106</v>
      </c>
      <c r="C63" s="98" t="s">
        <v>145</v>
      </c>
      <c r="D63" s="226"/>
      <c r="E63" s="98" t="s">
        <v>141</v>
      </c>
      <c r="F63" s="102"/>
      <c r="H63" s="93" t="s">
        <v>146</v>
      </c>
      <c r="X63" s="90"/>
    </row>
    <row r="64" spans="1:24" ht="15.75" x14ac:dyDescent="0.25">
      <c r="A64" s="100">
        <v>22</v>
      </c>
      <c r="B64" s="227"/>
      <c r="C64" s="102"/>
      <c r="D64" s="226"/>
      <c r="E64" s="102"/>
      <c r="F64" s="102"/>
      <c r="H64" s="93" t="s">
        <v>147</v>
      </c>
      <c r="X64" s="90"/>
    </row>
    <row r="65" spans="1:24" ht="15.75" x14ac:dyDescent="0.25">
      <c r="A65" s="96">
        <v>23</v>
      </c>
      <c r="B65" s="227"/>
      <c r="C65" s="102"/>
      <c r="D65" s="226"/>
      <c r="E65" s="102"/>
      <c r="F65" s="102"/>
      <c r="H65" s="93"/>
      <c r="X65" s="90"/>
    </row>
    <row r="66" spans="1:24" ht="15.75" x14ac:dyDescent="0.25">
      <c r="A66" s="100">
        <v>24</v>
      </c>
      <c r="B66" s="227"/>
      <c r="C66" s="102"/>
      <c r="D66" s="226"/>
      <c r="E66" s="102"/>
      <c r="F66" s="102"/>
      <c r="H66" s="93" t="s">
        <v>148</v>
      </c>
      <c r="X66" s="90"/>
    </row>
    <row r="67" spans="1:24" ht="15.75" x14ac:dyDescent="0.25">
      <c r="A67" s="96">
        <v>25</v>
      </c>
      <c r="B67" s="227"/>
      <c r="C67" s="102"/>
      <c r="D67" s="225" t="s">
        <v>138</v>
      </c>
      <c r="E67" s="102"/>
      <c r="F67" s="102"/>
      <c r="H67" s="93" t="s">
        <v>149</v>
      </c>
      <c r="X67" s="90"/>
    </row>
    <row r="68" spans="1:24" ht="15.75" x14ac:dyDescent="0.25">
      <c r="A68" s="100">
        <v>26</v>
      </c>
      <c r="B68" s="227"/>
      <c r="C68" s="225" t="s">
        <v>138</v>
      </c>
      <c r="D68" s="225"/>
      <c r="E68" s="102"/>
      <c r="F68" s="102"/>
      <c r="H68" s="93"/>
      <c r="X68" s="90"/>
    </row>
    <row r="69" spans="1:24" ht="15.75" x14ac:dyDescent="0.25">
      <c r="A69" s="96">
        <v>27</v>
      </c>
      <c r="B69" s="224" t="s">
        <v>107</v>
      </c>
      <c r="C69" s="225"/>
      <c r="D69" s="225"/>
      <c r="E69" s="102"/>
      <c r="F69" s="102"/>
      <c r="H69" s="93"/>
      <c r="X69" s="90"/>
    </row>
    <row r="70" spans="1:24" ht="15.75" x14ac:dyDescent="0.25">
      <c r="A70" s="100">
        <v>28</v>
      </c>
      <c r="B70" s="224"/>
      <c r="C70" s="227" t="s">
        <v>106</v>
      </c>
      <c r="D70" s="225"/>
      <c r="E70" s="102"/>
      <c r="F70" s="102"/>
      <c r="H70" s="93" t="s">
        <v>150</v>
      </c>
      <c r="X70" s="90"/>
    </row>
    <row r="71" spans="1:24" ht="15.75" x14ac:dyDescent="0.25">
      <c r="A71" s="96">
        <v>29</v>
      </c>
      <c r="B71" s="224"/>
      <c r="C71" s="227"/>
      <c r="D71" s="225"/>
      <c r="E71" s="102"/>
      <c r="F71" s="102"/>
      <c r="H71" s="93"/>
      <c r="X71" s="90"/>
    </row>
    <row r="72" spans="1:24" ht="15.75" x14ac:dyDescent="0.25">
      <c r="A72" s="100">
        <v>30</v>
      </c>
      <c r="B72" s="224"/>
      <c r="C72" s="227"/>
      <c r="D72" s="227" t="s">
        <v>106</v>
      </c>
      <c r="E72" s="102"/>
      <c r="F72" s="102"/>
      <c r="H72" s="93" t="s">
        <v>151</v>
      </c>
      <c r="X72" s="90"/>
    </row>
    <row r="73" spans="1:24" ht="15.75" x14ac:dyDescent="0.25">
      <c r="A73" s="96">
        <v>31</v>
      </c>
      <c r="B73" s="224"/>
      <c r="C73" s="227"/>
      <c r="D73" s="227"/>
      <c r="E73" s="98" t="s">
        <v>138</v>
      </c>
      <c r="F73" s="102"/>
      <c r="H73" s="93"/>
      <c r="X73" s="90"/>
    </row>
    <row r="74" spans="1:24" ht="15.75" x14ac:dyDescent="0.25">
      <c r="A74" s="100">
        <v>32</v>
      </c>
      <c r="B74" s="224"/>
      <c r="C74" s="227"/>
      <c r="D74" s="227"/>
      <c r="E74" s="98" t="s">
        <v>145</v>
      </c>
      <c r="F74" s="102"/>
      <c r="H74" s="93" t="s">
        <v>152</v>
      </c>
      <c r="X74" s="90"/>
    </row>
    <row r="75" spans="1:24" ht="15.75" x14ac:dyDescent="0.25">
      <c r="A75" s="96">
        <v>33</v>
      </c>
      <c r="B75" s="224"/>
      <c r="C75" s="224" t="s">
        <v>107</v>
      </c>
      <c r="D75" s="227"/>
      <c r="E75" s="97" t="s">
        <v>106</v>
      </c>
      <c r="F75" s="97" t="s">
        <v>106</v>
      </c>
      <c r="H75" s="93"/>
      <c r="X75" s="90"/>
    </row>
    <row r="76" spans="1:24" ht="15.75" x14ac:dyDescent="0.25">
      <c r="A76" s="100">
        <v>34</v>
      </c>
      <c r="B76" s="229" t="s">
        <v>153</v>
      </c>
      <c r="C76" s="224"/>
      <c r="D76" s="227"/>
      <c r="E76" s="97" t="s">
        <v>140</v>
      </c>
      <c r="F76" s="97" t="s">
        <v>140</v>
      </c>
      <c r="H76" s="93" t="s">
        <v>154</v>
      </c>
      <c r="X76" s="90"/>
    </row>
    <row r="77" spans="1:24" ht="15.75" x14ac:dyDescent="0.25">
      <c r="A77" s="96">
        <v>35</v>
      </c>
      <c r="B77" s="229"/>
      <c r="C77" s="229" t="s">
        <v>153</v>
      </c>
      <c r="D77" s="224" t="s">
        <v>107</v>
      </c>
      <c r="E77" s="224" t="s">
        <v>107</v>
      </c>
      <c r="F77" s="101"/>
      <c r="H77" s="93"/>
      <c r="X77" s="90"/>
    </row>
    <row r="78" spans="1:24" ht="15.75" x14ac:dyDescent="0.25">
      <c r="A78" s="100">
        <v>36</v>
      </c>
      <c r="B78" s="229"/>
      <c r="C78" s="229"/>
      <c r="D78" s="224"/>
      <c r="E78" s="224"/>
      <c r="F78" s="103" t="s">
        <v>107</v>
      </c>
      <c r="H78" s="93" t="s">
        <v>155</v>
      </c>
      <c r="X78" s="90"/>
    </row>
    <row r="79" spans="1:24" ht="15.75" x14ac:dyDescent="0.25">
      <c r="A79" s="228" t="s">
        <v>156</v>
      </c>
      <c r="B79" s="228"/>
      <c r="C79" s="228"/>
      <c r="D79" s="228"/>
      <c r="E79" s="228"/>
      <c r="F79" s="228"/>
      <c r="H79" s="93"/>
      <c r="X79" s="90"/>
    </row>
    <row r="80" spans="1:24" ht="15.75" x14ac:dyDescent="0.25">
      <c r="A80" s="92"/>
      <c r="B80" s="92"/>
      <c r="C80" s="92"/>
      <c r="D80" s="92"/>
      <c r="E80" s="92"/>
      <c r="F80" s="92"/>
      <c r="H80" s="93" t="s">
        <v>157</v>
      </c>
      <c r="X80" s="90"/>
    </row>
    <row r="81" spans="1:24" ht="15.75" x14ac:dyDescent="0.25">
      <c r="A81" s="92"/>
      <c r="B81" s="92"/>
      <c r="C81" s="92"/>
      <c r="D81" s="92"/>
      <c r="E81" s="92"/>
      <c r="F81" s="92"/>
      <c r="H81" s="93"/>
      <c r="X81" s="90"/>
    </row>
    <row r="82" spans="1:24" ht="15.75" x14ac:dyDescent="0.25">
      <c r="A82" s="92"/>
      <c r="B82" s="92"/>
      <c r="C82" s="92"/>
      <c r="D82" s="92"/>
      <c r="E82" s="92"/>
      <c r="F82" s="92"/>
      <c r="H82" s="93" t="s">
        <v>158</v>
      </c>
      <c r="X82" s="90"/>
    </row>
    <row r="83" spans="1:24" ht="15.75" x14ac:dyDescent="0.25">
      <c r="A83" s="92"/>
      <c r="B83" s="92"/>
      <c r="C83" s="92"/>
      <c r="D83" s="92"/>
      <c r="E83" s="92"/>
      <c r="F83" s="92"/>
      <c r="H83" s="93"/>
      <c r="X83" s="90"/>
    </row>
    <row r="84" spans="1:24" ht="15.75" x14ac:dyDescent="0.25">
      <c r="A84" t="s">
        <v>159</v>
      </c>
      <c r="B84" s="92"/>
      <c r="C84" s="92"/>
      <c r="D84" s="92"/>
      <c r="E84" s="92"/>
      <c r="F84" s="92"/>
      <c r="H84" s="93"/>
      <c r="X84" s="90"/>
    </row>
    <row r="85" spans="1:24" ht="15.75" x14ac:dyDescent="0.25">
      <c r="A85" t="s">
        <v>160</v>
      </c>
      <c r="B85" s="92"/>
      <c r="C85" s="92"/>
      <c r="D85" s="92"/>
      <c r="E85" s="92"/>
      <c r="F85" s="92"/>
      <c r="H85" s="93"/>
      <c r="X85" s="90"/>
    </row>
    <row r="86" spans="1:24" ht="15.75" x14ac:dyDescent="0.25">
      <c r="A86" s="92" t="s">
        <v>161</v>
      </c>
      <c r="B86" s="92"/>
      <c r="C86" s="92"/>
      <c r="D86" s="92"/>
      <c r="E86" s="92"/>
      <c r="F86" s="92"/>
      <c r="H86" s="93"/>
      <c r="X86" s="90"/>
    </row>
    <row r="87" spans="1:24" ht="15.75" x14ac:dyDescent="0.25">
      <c r="A87" s="92"/>
      <c r="B87" s="92"/>
      <c r="C87" s="92"/>
      <c r="D87" s="92"/>
      <c r="E87" s="92"/>
      <c r="F87" s="92"/>
      <c r="G87" s="92"/>
      <c r="H87" s="93"/>
      <c r="I87" s="92"/>
      <c r="J87" s="92"/>
      <c r="K87" s="92"/>
      <c r="L87" s="92"/>
      <c r="M87" s="92"/>
      <c r="N87" s="92"/>
      <c r="O87" s="92"/>
      <c r="P87" s="92"/>
      <c r="Q87" s="92"/>
      <c r="R87" s="92"/>
      <c r="S87" s="92"/>
      <c r="T87" s="92"/>
      <c r="U87" s="92"/>
      <c r="V87" s="92"/>
      <c r="W87" s="92"/>
      <c r="X87" s="91"/>
    </row>
    <row r="88" spans="1:24" ht="15.75" x14ac:dyDescent="0.25">
      <c r="A88" s="92"/>
      <c r="B88" s="92"/>
      <c r="C88" s="92"/>
      <c r="D88" s="92"/>
      <c r="E88" s="92"/>
      <c r="F88" s="92"/>
      <c r="G88" s="92"/>
      <c r="H88" s="93"/>
      <c r="I88" s="92"/>
      <c r="J88" s="92"/>
      <c r="K88" s="92"/>
      <c r="L88" s="92"/>
      <c r="M88" s="92"/>
      <c r="N88" s="92"/>
      <c r="O88" s="92"/>
      <c r="P88" s="92"/>
      <c r="Q88" s="92"/>
      <c r="R88" s="92"/>
      <c r="S88" s="92"/>
      <c r="T88" s="92"/>
      <c r="U88" s="92"/>
      <c r="V88" s="92"/>
      <c r="W88" s="92"/>
      <c r="X88" s="91"/>
    </row>
    <row r="89" spans="1:24" ht="15.75" x14ac:dyDescent="0.25">
      <c r="A89" s="92"/>
      <c r="B89" s="92"/>
      <c r="C89" s="92"/>
      <c r="D89" s="92"/>
      <c r="E89" s="92"/>
      <c r="F89" s="92"/>
      <c r="G89" s="92"/>
      <c r="H89" s="93"/>
      <c r="I89" s="92"/>
      <c r="J89" s="92"/>
      <c r="K89" s="92"/>
      <c r="L89" s="92"/>
      <c r="M89" s="92"/>
      <c r="N89" s="92"/>
      <c r="O89" s="92"/>
      <c r="P89" s="92"/>
      <c r="Q89" s="92"/>
      <c r="R89" s="92"/>
      <c r="S89" s="92"/>
      <c r="T89" s="92"/>
      <c r="U89" s="92"/>
      <c r="V89" s="92"/>
      <c r="W89" s="92"/>
      <c r="X89" s="91"/>
    </row>
    <row r="90" spans="1:24" ht="15.75" x14ac:dyDescent="0.25">
      <c r="A90" s="92"/>
      <c r="B90" s="92"/>
      <c r="C90" s="92"/>
      <c r="D90" s="92"/>
      <c r="E90" s="92"/>
      <c r="F90" s="92"/>
      <c r="G90" s="92"/>
      <c r="H90" s="93"/>
      <c r="I90" s="92"/>
      <c r="J90" s="92"/>
      <c r="K90" s="92"/>
      <c r="L90" s="92"/>
      <c r="M90" s="92"/>
      <c r="N90" s="92"/>
      <c r="O90" s="92"/>
      <c r="P90" s="92"/>
      <c r="Q90" s="92"/>
      <c r="R90" s="92"/>
      <c r="S90" s="92"/>
      <c r="T90" s="92"/>
      <c r="U90" s="92"/>
      <c r="V90" s="92"/>
      <c r="W90" s="92"/>
      <c r="X90" s="91"/>
    </row>
    <row r="91" spans="1:24" ht="15.75" x14ac:dyDescent="0.25">
      <c r="A91" s="92"/>
      <c r="B91" s="92"/>
      <c r="C91" s="92"/>
      <c r="D91" s="92"/>
      <c r="E91" s="92"/>
      <c r="F91" s="92"/>
      <c r="G91" s="92"/>
      <c r="H91" s="93"/>
      <c r="I91" s="92"/>
      <c r="J91" s="92"/>
      <c r="K91" s="92"/>
      <c r="L91" s="92"/>
      <c r="M91" s="92"/>
      <c r="N91" s="92"/>
      <c r="O91" s="92"/>
      <c r="P91" s="92"/>
      <c r="Q91" s="92"/>
      <c r="R91" s="92"/>
      <c r="S91" s="92"/>
      <c r="T91" s="92"/>
      <c r="U91" s="92"/>
      <c r="V91" s="92"/>
      <c r="W91" s="92"/>
      <c r="X91" s="91"/>
    </row>
    <row r="92" spans="1:24" ht="15.75" x14ac:dyDescent="0.25">
      <c r="A92" s="92"/>
      <c r="B92" s="92"/>
      <c r="C92" s="92"/>
      <c r="D92" s="92"/>
      <c r="E92" s="92"/>
      <c r="F92" s="92"/>
      <c r="G92" s="92"/>
      <c r="H92" s="93"/>
      <c r="I92" s="92"/>
      <c r="J92" s="92"/>
      <c r="K92" s="92"/>
      <c r="L92" s="92"/>
      <c r="M92" s="92"/>
      <c r="N92" s="92"/>
      <c r="O92" s="92"/>
      <c r="P92" s="92"/>
      <c r="Q92" s="92"/>
      <c r="R92" s="92"/>
      <c r="S92" s="92"/>
      <c r="T92" s="92"/>
      <c r="U92" s="92"/>
      <c r="V92" s="92"/>
      <c r="W92" s="92"/>
      <c r="X92" s="91"/>
    </row>
    <row r="93" spans="1:24" ht="15.75" x14ac:dyDescent="0.25">
      <c r="A93" s="92"/>
      <c r="B93" s="92"/>
      <c r="C93" s="92"/>
      <c r="D93" s="92"/>
      <c r="E93" s="92"/>
      <c r="F93" s="92"/>
      <c r="G93" s="92"/>
      <c r="H93" s="93"/>
      <c r="I93" s="92"/>
      <c r="J93" s="92"/>
      <c r="K93" s="92"/>
      <c r="L93" s="92"/>
      <c r="M93" s="92"/>
      <c r="N93" s="92"/>
      <c r="O93" s="92"/>
      <c r="P93" s="92"/>
      <c r="Q93" s="92"/>
      <c r="R93" s="92"/>
      <c r="S93" s="92"/>
      <c r="T93" s="92"/>
      <c r="U93" s="92"/>
      <c r="V93" s="92"/>
      <c r="W93" s="92"/>
      <c r="X93" s="91"/>
    </row>
    <row r="94" spans="1:24" ht="15.75" x14ac:dyDescent="0.25">
      <c r="A94" s="92"/>
      <c r="B94" s="92"/>
      <c r="C94" s="92"/>
      <c r="D94" s="92"/>
      <c r="E94" s="92"/>
      <c r="F94" s="92"/>
      <c r="G94" s="92"/>
      <c r="H94" s="93"/>
      <c r="I94" s="92"/>
      <c r="J94" s="92"/>
      <c r="K94" s="92"/>
      <c r="L94" s="92"/>
      <c r="M94" s="92"/>
      <c r="N94" s="92"/>
      <c r="O94" s="92"/>
      <c r="P94" s="92"/>
      <c r="Q94" s="92"/>
      <c r="R94" s="92"/>
      <c r="S94" s="92"/>
      <c r="T94" s="92"/>
      <c r="U94" s="92"/>
      <c r="V94" s="92"/>
      <c r="W94" s="92"/>
      <c r="X94" s="91"/>
    </row>
    <row r="95" spans="1:24" ht="15.75" x14ac:dyDescent="0.25">
      <c r="A95" s="92"/>
      <c r="B95" s="92"/>
      <c r="C95" s="92"/>
      <c r="D95" s="92"/>
      <c r="E95" s="92"/>
      <c r="F95" s="92"/>
      <c r="G95" s="92"/>
      <c r="H95" s="93"/>
      <c r="I95" s="92"/>
      <c r="J95" s="92"/>
      <c r="K95" s="92"/>
      <c r="L95" s="92"/>
      <c r="M95" s="92"/>
      <c r="N95" s="92"/>
      <c r="O95" s="92"/>
      <c r="P95" s="92"/>
      <c r="Q95" s="92"/>
      <c r="R95" s="92"/>
      <c r="S95" s="92"/>
      <c r="T95" s="92"/>
      <c r="U95" s="92"/>
      <c r="V95" s="92"/>
      <c r="W95" s="92"/>
      <c r="X95" s="91"/>
    </row>
    <row r="96" spans="1:24" ht="15.75" x14ac:dyDescent="0.25">
      <c r="A96" s="92"/>
      <c r="B96" s="92"/>
      <c r="C96" s="92"/>
      <c r="D96" s="92"/>
      <c r="E96" s="92"/>
      <c r="F96" s="92"/>
      <c r="G96" s="92"/>
      <c r="H96" s="93"/>
      <c r="I96" s="92"/>
      <c r="J96" s="92"/>
      <c r="K96" s="92"/>
      <c r="L96" s="92"/>
      <c r="M96" s="92"/>
      <c r="N96" s="92"/>
      <c r="O96" s="92"/>
      <c r="P96" s="92"/>
      <c r="Q96" s="92"/>
      <c r="R96" s="92"/>
      <c r="S96" s="92"/>
      <c r="T96" s="92"/>
      <c r="U96" s="92"/>
      <c r="V96" s="92"/>
      <c r="W96" s="92"/>
      <c r="X96" s="91"/>
    </row>
    <row r="97" spans="1:24" ht="15.75" x14ac:dyDescent="0.25">
      <c r="A97" s="92"/>
      <c r="B97" s="92"/>
      <c r="C97" s="92"/>
      <c r="D97" s="92"/>
      <c r="E97" s="92"/>
      <c r="F97" s="92"/>
      <c r="G97" s="92"/>
      <c r="H97" s="93"/>
      <c r="I97" s="92"/>
      <c r="J97" s="92"/>
      <c r="K97" s="92"/>
      <c r="L97" s="92"/>
      <c r="M97" s="92"/>
      <c r="N97" s="92"/>
      <c r="O97" s="92"/>
      <c r="P97" s="92"/>
      <c r="Q97" s="92"/>
      <c r="R97" s="92"/>
      <c r="S97" s="92"/>
      <c r="T97" s="92"/>
      <c r="U97" s="92"/>
      <c r="V97" s="92"/>
      <c r="W97" s="92"/>
      <c r="X97" s="91"/>
    </row>
    <row r="98" spans="1:24" ht="15.75" x14ac:dyDescent="0.25">
      <c r="A98" s="92"/>
      <c r="B98" s="92"/>
      <c r="C98" s="92"/>
      <c r="D98" s="92"/>
      <c r="E98" s="92"/>
      <c r="F98" s="92"/>
      <c r="G98" s="92"/>
      <c r="H98" s="93"/>
      <c r="I98" s="92"/>
      <c r="J98" s="92"/>
      <c r="K98" s="92"/>
      <c r="L98" s="92"/>
      <c r="M98" s="92"/>
      <c r="N98" s="92"/>
      <c r="O98" s="92"/>
      <c r="P98" s="92"/>
      <c r="Q98" s="92"/>
      <c r="R98" s="92"/>
      <c r="S98" s="92"/>
      <c r="T98" s="92"/>
      <c r="U98" s="92"/>
      <c r="V98" s="92"/>
      <c r="W98" s="92"/>
      <c r="X98" s="91"/>
    </row>
    <row r="99" spans="1:24" ht="15.75" x14ac:dyDescent="0.25">
      <c r="A99" s="92"/>
      <c r="B99" s="92"/>
      <c r="C99" s="92"/>
      <c r="D99" s="92"/>
      <c r="E99" s="92"/>
      <c r="F99" s="92"/>
      <c r="G99" s="92"/>
      <c r="H99" s="93"/>
      <c r="I99" s="92"/>
      <c r="J99" s="92"/>
      <c r="K99" s="92"/>
      <c r="L99" s="92"/>
      <c r="M99" s="92"/>
      <c r="N99" s="92"/>
      <c r="O99" s="92"/>
      <c r="P99" s="92"/>
      <c r="Q99" s="92"/>
      <c r="R99" s="92"/>
      <c r="S99" s="92"/>
      <c r="T99" s="92"/>
      <c r="U99" s="92"/>
      <c r="V99" s="92"/>
      <c r="W99" s="92"/>
      <c r="X99" s="91"/>
    </row>
    <row r="100" spans="1:24" ht="15.75" x14ac:dyDescent="0.25">
      <c r="A100" s="92"/>
      <c r="B100" s="92"/>
      <c r="C100" s="92"/>
      <c r="D100" s="92"/>
      <c r="E100" s="92"/>
      <c r="F100" s="92"/>
      <c r="G100" s="92"/>
      <c r="H100" s="93"/>
      <c r="I100" s="92"/>
      <c r="J100" s="92"/>
      <c r="K100" s="92"/>
      <c r="L100" s="92"/>
      <c r="M100" s="92"/>
      <c r="N100" s="92"/>
      <c r="O100" s="92"/>
      <c r="P100" s="92"/>
      <c r="Q100" s="92"/>
      <c r="R100" s="92"/>
      <c r="S100" s="92"/>
      <c r="T100" s="92"/>
      <c r="U100" s="92"/>
      <c r="V100" s="92"/>
      <c r="W100" s="92"/>
      <c r="X100" s="91"/>
    </row>
    <row r="101" spans="1:24" ht="15.75" x14ac:dyDescent="0.25">
      <c r="A101" s="92"/>
      <c r="B101" s="92"/>
      <c r="C101" s="92"/>
      <c r="D101" s="92"/>
      <c r="E101" s="92"/>
      <c r="F101" s="92"/>
      <c r="G101" s="92"/>
      <c r="H101" s="93"/>
      <c r="I101" s="92"/>
      <c r="J101" s="92"/>
      <c r="K101" s="92"/>
      <c r="L101" s="92"/>
      <c r="M101" s="92"/>
      <c r="N101" s="92"/>
      <c r="O101" s="92"/>
      <c r="P101" s="92"/>
      <c r="Q101" s="92"/>
      <c r="R101" s="92"/>
      <c r="S101" s="92"/>
      <c r="T101" s="92"/>
      <c r="U101" s="92"/>
      <c r="V101" s="92"/>
      <c r="W101" s="92"/>
      <c r="X101" s="91"/>
    </row>
    <row r="102" spans="1:24" ht="15.75" x14ac:dyDescent="0.25">
      <c r="A102" s="92"/>
      <c r="B102" s="92"/>
      <c r="C102" s="92"/>
      <c r="D102" s="92"/>
      <c r="E102" s="92"/>
      <c r="F102" s="92"/>
      <c r="G102" s="92"/>
      <c r="H102" s="93"/>
      <c r="I102" s="92"/>
      <c r="J102" s="92"/>
      <c r="K102" s="92"/>
      <c r="L102" s="92"/>
      <c r="M102" s="92"/>
      <c r="N102" s="92"/>
      <c r="O102" s="92"/>
      <c r="P102" s="92"/>
      <c r="Q102" s="92"/>
      <c r="R102" s="92"/>
      <c r="S102" s="92"/>
      <c r="T102" s="92"/>
      <c r="U102" s="92"/>
      <c r="V102" s="92"/>
      <c r="W102" s="92"/>
      <c r="X102" s="91"/>
    </row>
    <row r="103" spans="1:24" ht="15.75" x14ac:dyDescent="0.25">
      <c r="A103" s="92"/>
      <c r="B103" s="92"/>
      <c r="C103" s="92"/>
      <c r="D103" s="92"/>
      <c r="E103" s="92"/>
      <c r="F103" s="92"/>
      <c r="G103" s="92"/>
      <c r="H103" s="93"/>
      <c r="I103" s="92"/>
      <c r="J103" s="92"/>
      <c r="K103" s="92"/>
      <c r="L103" s="92"/>
      <c r="M103" s="92"/>
      <c r="N103" s="92"/>
      <c r="O103" s="92"/>
      <c r="P103" s="92"/>
      <c r="Q103" s="92"/>
      <c r="R103" s="92"/>
      <c r="S103" s="92"/>
      <c r="T103" s="92"/>
      <c r="U103" s="92"/>
      <c r="V103" s="92"/>
      <c r="W103" s="92"/>
      <c r="X103" s="91"/>
    </row>
    <row r="104" spans="1:24" ht="15.75" x14ac:dyDescent="0.25">
      <c r="A104" s="92"/>
      <c r="B104" s="92"/>
      <c r="C104" s="92"/>
      <c r="D104" s="92"/>
      <c r="E104" s="92"/>
      <c r="F104" s="92"/>
      <c r="G104" s="92"/>
      <c r="H104" s="93"/>
      <c r="I104" s="92"/>
      <c r="J104" s="92"/>
      <c r="K104" s="92"/>
      <c r="L104" s="92"/>
      <c r="M104" s="92"/>
      <c r="N104" s="92"/>
      <c r="O104" s="92"/>
      <c r="P104" s="92"/>
      <c r="Q104" s="92"/>
      <c r="R104" s="92"/>
      <c r="S104" s="92"/>
      <c r="T104" s="92"/>
      <c r="U104" s="92"/>
      <c r="V104" s="92"/>
      <c r="W104" s="92"/>
      <c r="X104" s="91"/>
    </row>
    <row r="105" spans="1:24" ht="15.75" x14ac:dyDescent="0.25">
      <c r="A105" s="92"/>
      <c r="B105" s="92"/>
      <c r="C105" s="92"/>
      <c r="D105" s="92"/>
      <c r="E105" s="92"/>
      <c r="F105" s="92"/>
      <c r="G105" s="92"/>
      <c r="H105" s="93"/>
      <c r="I105" s="92"/>
      <c r="J105" s="92"/>
      <c r="K105" s="92"/>
      <c r="L105" s="92"/>
      <c r="M105" s="92"/>
      <c r="N105" s="92"/>
      <c r="O105" s="92"/>
      <c r="P105" s="92"/>
      <c r="Q105" s="92"/>
      <c r="R105" s="92"/>
      <c r="S105" s="92"/>
      <c r="T105" s="92"/>
      <c r="U105" s="92"/>
      <c r="V105" s="92"/>
      <c r="W105" s="92"/>
      <c r="X105" s="91"/>
    </row>
    <row r="106" spans="1:24" ht="15.75" x14ac:dyDescent="0.25">
      <c r="A106" s="92"/>
      <c r="B106" s="92"/>
      <c r="C106" s="92"/>
      <c r="D106" s="92"/>
      <c r="E106" s="92"/>
      <c r="F106" s="92"/>
      <c r="G106" s="92"/>
      <c r="H106" s="93"/>
      <c r="I106" s="92"/>
      <c r="J106" s="92"/>
      <c r="K106" s="92"/>
      <c r="L106" s="92"/>
      <c r="M106" s="92"/>
      <c r="N106" s="92"/>
      <c r="O106" s="92"/>
      <c r="P106" s="92"/>
      <c r="Q106" s="92"/>
      <c r="R106" s="92"/>
      <c r="S106" s="92"/>
      <c r="T106" s="92"/>
      <c r="U106" s="92"/>
      <c r="V106" s="92"/>
      <c r="W106" s="92"/>
      <c r="X106" s="91"/>
    </row>
    <row r="107" spans="1:24" ht="15.75" x14ac:dyDescent="0.25">
      <c r="A107" s="92"/>
      <c r="B107" s="92"/>
      <c r="C107" s="92"/>
      <c r="D107" s="92"/>
      <c r="E107" s="92"/>
      <c r="F107" s="92"/>
      <c r="G107" s="92"/>
      <c r="H107" s="93"/>
      <c r="I107" s="92"/>
      <c r="J107" s="92"/>
      <c r="K107" s="92"/>
      <c r="L107" s="92"/>
      <c r="M107" s="92"/>
      <c r="N107" s="92"/>
      <c r="O107" s="92"/>
      <c r="P107" s="92"/>
      <c r="Q107" s="92"/>
      <c r="R107" s="92"/>
      <c r="S107" s="92"/>
      <c r="T107" s="92"/>
      <c r="U107" s="92"/>
      <c r="V107" s="92"/>
      <c r="W107" s="92"/>
      <c r="X107" s="91"/>
    </row>
    <row r="108" spans="1:24" ht="15.75" x14ac:dyDescent="0.25">
      <c r="A108" s="92"/>
      <c r="B108" s="92"/>
      <c r="C108" s="92"/>
      <c r="D108" s="92"/>
      <c r="E108" s="92"/>
      <c r="F108" s="92"/>
      <c r="G108" s="92"/>
      <c r="H108" s="93"/>
      <c r="I108" s="92"/>
      <c r="J108" s="92"/>
      <c r="K108" s="92"/>
      <c r="L108" s="92"/>
      <c r="M108" s="92"/>
      <c r="N108" s="92"/>
      <c r="O108" s="92"/>
      <c r="P108" s="92"/>
      <c r="Q108" s="92"/>
      <c r="R108" s="92"/>
      <c r="S108" s="92"/>
      <c r="T108" s="92"/>
      <c r="U108" s="92"/>
      <c r="V108" s="92"/>
      <c r="W108" s="92"/>
      <c r="X108" s="91"/>
    </row>
    <row r="109" spans="1:24" ht="15.75" x14ac:dyDescent="0.25">
      <c r="A109" s="92"/>
      <c r="B109" s="92"/>
      <c r="C109" s="92"/>
      <c r="D109" s="92"/>
      <c r="E109" s="92"/>
      <c r="F109" s="92"/>
      <c r="G109" s="92"/>
      <c r="H109" s="93"/>
      <c r="I109" s="92"/>
      <c r="J109" s="92"/>
      <c r="K109" s="92"/>
      <c r="L109" s="92"/>
      <c r="M109" s="92"/>
      <c r="N109" s="92"/>
      <c r="O109" s="92"/>
      <c r="P109" s="92"/>
      <c r="Q109" s="92"/>
      <c r="R109" s="92"/>
      <c r="S109" s="92"/>
      <c r="T109" s="92"/>
      <c r="U109" s="92"/>
      <c r="V109" s="92"/>
      <c r="W109" s="92"/>
      <c r="X109" s="91"/>
    </row>
    <row r="110" spans="1:24" ht="15.75" x14ac:dyDescent="0.25">
      <c r="A110" s="92"/>
      <c r="B110" s="92"/>
      <c r="C110" s="92"/>
      <c r="D110" s="92"/>
      <c r="E110" s="92"/>
      <c r="F110" s="92"/>
      <c r="G110" s="92"/>
      <c r="H110" s="93"/>
      <c r="I110" s="92"/>
      <c r="J110" s="92"/>
      <c r="K110" s="92"/>
      <c r="L110" s="92"/>
      <c r="M110" s="92"/>
      <c r="N110" s="92"/>
      <c r="O110" s="92"/>
      <c r="P110" s="92"/>
      <c r="Q110" s="92"/>
      <c r="R110" s="92"/>
      <c r="S110" s="92"/>
      <c r="T110" s="92"/>
      <c r="U110" s="92"/>
      <c r="V110" s="92"/>
      <c r="W110" s="92"/>
      <c r="X110" s="91"/>
    </row>
    <row r="111" spans="1:24" ht="15.75" x14ac:dyDescent="0.25">
      <c r="A111" s="92"/>
      <c r="B111" s="92"/>
      <c r="C111" s="92"/>
      <c r="D111" s="92"/>
      <c r="E111" s="92"/>
      <c r="F111" s="92"/>
      <c r="G111" s="92"/>
      <c r="H111" s="93"/>
      <c r="I111" s="92"/>
      <c r="J111" s="92"/>
      <c r="K111" s="92"/>
      <c r="L111" s="92"/>
      <c r="M111" s="92"/>
      <c r="N111" s="92"/>
      <c r="O111" s="92"/>
      <c r="P111" s="92"/>
      <c r="Q111" s="92"/>
      <c r="R111" s="92"/>
      <c r="S111" s="92"/>
      <c r="T111" s="92"/>
      <c r="U111" s="92"/>
      <c r="V111" s="92"/>
      <c r="W111" s="92"/>
      <c r="X111" s="91"/>
    </row>
    <row r="112" spans="1:24" ht="15.75" x14ac:dyDescent="0.25">
      <c r="A112" s="92"/>
      <c r="B112" s="92"/>
      <c r="C112" s="92"/>
      <c r="D112" s="92"/>
      <c r="E112" s="92"/>
      <c r="F112" s="92"/>
      <c r="G112" s="92"/>
      <c r="H112" s="93"/>
      <c r="I112" s="92"/>
      <c r="J112" s="92"/>
      <c r="K112" s="92"/>
      <c r="L112" s="92"/>
      <c r="M112" s="92"/>
      <c r="N112" s="92"/>
      <c r="O112" s="92"/>
      <c r="P112" s="92"/>
      <c r="Q112" s="92"/>
      <c r="R112" s="92"/>
      <c r="S112" s="92"/>
      <c r="T112" s="92"/>
      <c r="U112" s="92"/>
      <c r="V112" s="92"/>
      <c r="W112" s="92"/>
      <c r="X112" s="91"/>
    </row>
    <row r="113" spans="1:24" ht="15.75" x14ac:dyDescent="0.25">
      <c r="A113" s="92"/>
      <c r="B113" s="92"/>
      <c r="C113" s="92"/>
      <c r="D113" s="92"/>
      <c r="E113" s="92"/>
      <c r="F113" s="92"/>
      <c r="G113" s="92"/>
      <c r="H113" s="93"/>
      <c r="I113" s="92"/>
      <c r="J113" s="92"/>
      <c r="K113" s="92"/>
      <c r="L113" s="92"/>
      <c r="M113" s="92"/>
      <c r="N113" s="92"/>
      <c r="O113" s="92"/>
      <c r="P113" s="92"/>
      <c r="Q113" s="92"/>
      <c r="R113" s="92"/>
      <c r="S113" s="92"/>
      <c r="T113" s="92"/>
      <c r="U113" s="92"/>
      <c r="V113" s="92"/>
      <c r="W113" s="92"/>
      <c r="X113" s="91"/>
    </row>
    <row r="114" spans="1:24" ht="15.75" x14ac:dyDescent="0.25">
      <c r="A114" s="92"/>
      <c r="B114" s="92"/>
      <c r="C114" s="92"/>
      <c r="D114" s="92"/>
      <c r="E114" s="92"/>
      <c r="F114" s="92"/>
      <c r="G114" s="92"/>
      <c r="H114" s="93"/>
      <c r="I114" s="92"/>
      <c r="J114" s="92"/>
      <c r="K114" s="92"/>
      <c r="L114" s="92"/>
      <c r="M114" s="92"/>
      <c r="N114" s="92"/>
      <c r="O114" s="92"/>
      <c r="P114" s="92"/>
      <c r="Q114" s="92"/>
      <c r="R114" s="92"/>
      <c r="S114" s="92"/>
      <c r="T114" s="92"/>
      <c r="U114" s="92"/>
      <c r="V114" s="92"/>
      <c r="W114" s="92"/>
      <c r="X114" s="91"/>
    </row>
    <row r="115" spans="1:24" ht="15.75" x14ac:dyDescent="0.25">
      <c r="A115" s="92"/>
      <c r="B115" s="92"/>
      <c r="C115" s="92"/>
      <c r="D115" s="92"/>
      <c r="E115" s="92"/>
      <c r="F115" s="92"/>
      <c r="G115" s="92"/>
      <c r="H115" s="93"/>
      <c r="I115" s="92"/>
      <c r="J115" s="92"/>
      <c r="K115" s="92"/>
      <c r="L115" s="92"/>
      <c r="M115" s="92"/>
      <c r="N115" s="92"/>
      <c r="O115" s="92"/>
      <c r="P115" s="92"/>
      <c r="Q115" s="92"/>
      <c r="R115" s="92"/>
      <c r="S115" s="92"/>
      <c r="T115" s="92"/>
      <c r="U115" s="92"/>
      <c r="V115" s="92"/>
      <c r="W115" s="92"/>
      <c r="X115" s="91"/>
    </row>
    <row r="116" spans="1:24" ht="15.75" x14ac:dyDescent="0.25">
      <c r="A116" s="92"/>
      <c r="B116" s="92"/>
      <c r="C116" s="92"/>
      <c r="D116" s="92"/>
      <c r="E116" s="92"/>
      <c r="F116" s="92"/>
      <c r="G116" s="92"/>
      <c r="H116" s="93"/>
      <c r="I116" s="92"/>
      <c r="J116" s="92"/>
      <c r="K116" s="92"/>
      <c r="L116" s="92"/>
      <c r="M116" s="92"/>
      <c r="N116" s="92"/>
      <c r="O116" s="92"/>
      <c r="P116" s="92"/>
      <c r="Q116" s="92"/>
      <c r="R116" s="92"/>
      <c r="S116" s="92"/>
      <c r="T116" s="92"/>
      <c r="U116" s="92"/>
      <c r="V116" s="92"/>
      <c r="W116" s="92"/>
      <c r="X116" s="91"/>
    </row>
    <row r="117" spans="1:24" ht="15.75" x14ac:dyDescent="0.25">
      <c r="A117" s="92"/>
      <c r="B117" s="92"/>
      <c r="C117" s="92"/>
      <c r="D117" s="92"/>
      <c r="E117" s="92"/>
      <c r="F117" s="92"/>
      <c r="G117" s="92"/>
      <c r="H117" s="93"/>
      <c r="I117" s="92"/>
      <c r="J117" s="92"/>
      <c r="K117" s="92"/>
      <c r="L117" s="92"/>
      <c r="M117" s="92"/>
      <c r="N117" s="92"/>
      <c r="O117" s="92"/>
      <c r="P117" s="92"/>
      <c r="Q117" s="92"/>
      <c r="R117" s="92"/>
      <c r="S117" s="92"/>
      <c r="T117" s="92"/>
      <c r="U117" s="92"/>
      <c r="V117" s="92"/>
      <c r="W117" s="92"/>
      <c r="X117" s="91"/>
    </row>
    <row r="118" spans="1:24" ht="15.75" x14ac:dyDescent="0.25">
      <c r="A118" s="92"/>
      <c r="B118" s="92"/>
      <c r="C118" s="92"/>
      <c r="D118" s="92"/>
      <c r="E118" s="92"/>
      <c r="F118" s="92"/>
      <c r="G118" s="92"/>
      <c r="H118" s="93"/>
      <c r="I118" s="92"/>
      <c r="J118" s="92"/>
      <c r="K118" s="92"/>
      <c r="L118" s="92"/>
      <c r="M118" s="92"/>
      <c r="N118" s="92"/>
      <c r="O118" s="92"/>
      <c r="P118" s="92"/>
      <c r="Q118" s="92"/>
      <c r="R118" s="92"/>
      <c r="S118" s="92"/>
      <c r="T118" s="92"/>
      <c r="U118" s="92"/>
      <c r="V118" s="92"/>
      <c r="W118" s="92"/>
      <c r="X118" s="91"/>
    </row>
    <row r="119" spans="1:24" ht="15.75" x14ac:dyDescent="0.25">
      <c r="A119" s="92"/>
      <c r="B119" s="92"/>
      <c r="C119" s="92"/>
      <c r="D119" s="92"/>
      <c r="E119" s="92"/>
      <c r="F119" s="92"/>
      <c r="G119" s="92"/>
      <c r="H119" s="93"/>
      <c r="I119" s="92"/>
      <c r="J119" s="92"/>
      <c r="K119" s="92"/>
      <c r="L119" s="92"/>
      <c r="M119" s="92"/>
      <c r="N119" s="92"/>
      <c r="O119" s="92"/>
      <c r="P119" s="92"/>
      <c r="Q119" s="92"/>
      <c r="R119" s="92"/>
      <c r="S119" s="92"/>
      <c r="T119" s="92"/>
      <c r="U119" s="92"/>
      <c r="V119" s="92"/>
      <c r="W119" s="92"/>
      <c r="X119" s="91"/>
    </row>
    <row r="120" spans="1:24" ht="15.75" x14ac:dyDescent="0.25">
      <c r="A120" s="92"/>
      <c r="B120" s="92"/>
      <c r="C120" s="92"/>
      <c r="D120" s="92"/>
      <c r="E120" s="92"/>
      <c r="F120" s="92"/>
      <c r="G120" s="92"/>
      <c r="H120" s="93"/>
      <c r="I120" s="92"/>
      <c r="J120" s="92"/>
      <c r="K120" s="92"/>
      <c r="L120" s="92"/>
      <c r="M120" s="92"/>
      <c r="N120" s="92"/>
      <c r="O120" s="92"/>
      <c r="P120" s="92"/>
      <c r="Q120" s="92"/>
      <c r="R120" s="92"/>
      <c r="S120" s="92"/>
      <c r="T120" s="92"/>
      <c r="U120" s="92"/>
      <c r="V120" s="92"/>
      <c r="W120" s="92"/>
      <c r="X120" s="91"/>
    </row>
    <row r="121" spans="1:24" ht="15.75" x14ac:dyDescent="0.25">
      <c r="A121" s="92"/>
      <c r="B121" s="92"/>
      <c r="C121" s="92"/>
      <c r="D121" s="92"/>
      <c r="E121" s="92"/>
      <c r="F121" s="92"/>
      <c r="G121" s="92"/>
      <c r="H121" s="93"/>
      <c r="I121" s="92"/>
      <c r="J121" s="92"/>
      <c r="K121" s="92"/>
      <c r="L121" s="92"/>
      <c r="M121" s="92"/>
      <c r="N121" s="92"/>
      <c r="O121" s="92"/>
      <c r="P121" s="92"/>
      <c r="Q121" s="92"/>
      <c r="R121" s="92"/>
      <c r="S121" s="92"/>
      <c r="T121" s="92"/>
      <c r="U121" s="92"/>
      <c r="V121" s="92"/>
      <c r="W121" s="92"/>
      <c r="X121" s="91"/>
    </row>
    <row r="122" spans="1:24" ht="15.75" x14ac:dyDescent="0.25">
      <c r="A122" s="92"/>
      <c r="B122" s="92"/>
      <c r="C122" s="92"/>
      <c r="D122" s="92"/>
      <c r="E122" s="92"/>
      <c r="F122" s="92"/>
      <c r="G122" s="92"/>
      <c r="H122" s="93"/>
      <c r="I122" s="92"/>
      <c r="J122" s="92"/>
      <c r="K122" s="92"/>
      <c r="L122" s="92"/>
      <c r="M122" s="92"/>
      <c r="N122" s="92"/>
      <c r="O122" s="92"/>
      <c r="P122" s="92"/>
      <c r="Q122" s="92"/>
      <c r="R122" s="92"/>
      <c r="S122" s="92"/>
      <c r="T122" s="92"/>
      <c r="U122" s="92"/>
      <c r="V122" s="92"/>
      <c r="W122" s="92"/>
      <c r="X122" s="91"/>
    </row>
    <row r="123" spans="1:24" ht="15.75" x14ac:dyDescent="0.25">
      <c r="A123" s="92"/>
      <c r="B123" s="92"/>
      <c r="C123" s="92"/>
      <c r="D123" s="92"/>
      <c r="E123" s="92"/>
      <c r="F123" s="92"/>
      <c r="G123" s="92"/>
      <c r="H123" s="93"/>
      <c r="I123" s="92"/>
      <c r="J123" s="92"/>
      <c r="K123" s="92"/>
      <c r="L123" s="92"/>
      <c r="M123" s="92"/>
      <c r="N123" s="92"/>
      <c r="O123" s="92"/>
      <c r="P123" s="92"/>
      <c r="Q123" s="92"/>
      <c r="R123" s="92"/>
      <c r="S123" s="92"/>
      <c r="T123" s="92"/>
      <c r="U123" s="92"/>
      <c r="V123" s="92"/>
      <c r="W123" s="92"/>
      <c r="X123" s="91"/>
    </row>
    <row r="124" spans="1:24" ht="15.75" x14ac:dyDescent="0.25">
      <c r="A124" s="92"/>
      <c r="B124" s="92"/>
      <c r="C124" s="92"/>
      <c r="D124" s="92"/>
      <c r="E124" s="92"/>
      <c r="F124" s="92"/>
      <c r="G124" s="92"/>
      <c r="H124" s="93"/>
      <c r="I124" s="92"/>
      <c r="J124" s="92"/>
      <c r="K124" s="92"/>
      <c r="L124" s="92"/>
      <c r="M124" s="92"/>
      <c r="N124" s="92"/>
      <c r="O124" s="92"/>
      <c r="P124" s="92"/>
      <c r="Q124" s="92"/>
      <c r="R124" s="92"/>
      <c r="S124" s="92"/>
      <c r="T124" s="92"/>
      <c r="U124" s="92"/>
      <c r="V124" s="92"/>
      <c r="W124" s="92"/>
      <c r="X124" s="91"/>
    </row>
    <row r="125" spans="1:24" ht="15.75" x14ac:dyDescent="0.25">
      <c r="A125" s="92"/>
      <c r="B125" s="92"/>
      <c r="C125" s="92"/>
      <c r="D125" s="92"/>
      <c r="E125" s="92"/>
      <c r="F125" s="92"/>
      <c r="H125" s="93"/>
      <c r="X125" s="90"/>
    </row>
    <row r="126" spans="1:24" ht="15.75" x14ac:dyDescent="0.25">
      <c r="A126" s="92"/>
      <c r="B126" s="92"/>
      <c r="C126" s="92"/>
      <c r="D126" s="92"/>
      <c r="E126" s="92"/>
      <c r="F126" s="92"/>
      <c r="H126" s="93"/>
      <c r="X126" s="90"/>
    </row>
    <row r="127" spans="1:24" ht="15.75" x14ac:dyDescent="0.25">
      <c r="A127" s="92"/>
      <c r="B127" s="92"/>
      <c r="C127" s="92"/>
      <c r="D127" s="92"/>
      <c r="E127" s="92"/>
      <c r="F127" s="92"/>
      <c r="H127" s="93"/>
      <c r="X127" s="90"/>
    </row>
    <row r="128" spans="1:24" ht="15.75" x14ac:dyDescent="0.25">
      <c r="H128" s="93"/>
      <c r="X128" s="90"/>
    </row>
    <row r="129" spans="8:24" ht="15.75" x14ac:dyDescent="0.25">
      <c r="H129" s="93"/>
      <c r="X129" s="90"/>
    </row>
    <row r="130" spans="8:24" ht="15.75" x14ac:dyDescent="0.25">
      <c r="H130" s="93"/>
      <c r="X130" s="90"/>
    </row>
    <row r="131" spans="8:24" ht="15.75" x14ac:dyDescent="0.25">
      <c r="H131" s="93"/>
      <c r="X131" s="90"/>
    </row>
    <row r="132" spans="8:24" ht="15.75" x14ac:dyDescent="0.25">
      <c r="H132" s="93"/>
      <c r="X132" s="90"/>
    </row>
    <row r="133" spans="8:24" ht="15.75" x14ac:dyDescent="0.25">
      <c r="H133" s="93"/>
      <c r="X133" s="90"/>
    </row>
    <row r="134" spans="8:24" ht="15.75" x14ac:dyDescent="0.25">
      <c r="H134" s="93"/>
      <c r="X134" s="90"/>
    </row>
    <row r="135" spans="8:24" ht="15.75" x14ac:dyDescent="0.25">
      <c r="H135" s="93"/>
      <c r="X135" s="90"/>
    </row>
    <row r="136" spans="8:24" ht="15.75" x14ac:dyDescent="0.25">
      <c r="H136" s="93"/>
      <c r="X136" s="90"/>
    </row>
    <row r="137" spans="8:24" ht="15.75" x14ac:dyDescent="0.25">
      <c r="H137" s="93"/>
      <c r="X137" s="90"/>
    </row>
    <row r="138" spans="8:24" ht="15.75" x14ac:dyDescent="0.25">
      <c r="H138" s="93"/>
      <c r="X138" s="90"/>
    </row>
    <row r="139" spans="8:24" ht="15.75" x14ac:dyDescent="0.25">
      <c r="H139" s="93"/>
      <c r="X139" s="90"/>
    </row>
    <row r="140" spans="8:24" ht="15.75" x14ac:dyDescent="0.25">
      <c r="H140" s="93"/>
      <c r="X140" s="90"/>
    </row>
    <row r="141" spans="8:24" ht="15.75" x14ac:dyDescent="0.25">
      <c r="H141" s="93"/>
      <c r="X141" s="90"/>
    </row>
    <row r="142" spans="8:24" ht="15.75" x14ac:dyDescent="0.25">
      <c r="H142" s="93"/>
      <c r="X142" s="90"/>
    </row>
    <row r="143" spans="8:24" ht="15.75" x14ac:dyDescent="0.25">
      <c r="H143" s="93"/>
      <c r="X143" s="90"/>
    </row>
    <row r="144" spans="8:24" ht="15.75" x14ac:dyDescent="0.25">
      <c r="H144" s="93"/>
      <c r="X144" s="90"/>
    </row>
    <row r="145" spans="8:24" ht="15.75" x14ac:dyDescent="0.25">
      <c r="H145" s="93"/>
      <c r="X145" s="90"/>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1" priority="4" operator="lessThan">
      <formula>6</formula>
    </cfRule>
    <cfRule type="cellIs" dxfId="20" priority="5" operator="greaterThan">
      <formula>7</formula>
    </cfRule>
  </conditionalFormatting>
  <conditionalFormatting sqref="B23:W23">
    <cfRule type="cellIs" dxfId="19" priority="1" operator="lessThan">
      <formula>6</formula>
    </cfRule>
    <cfRule type="cellIs" dxfId="18"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C12" sqref="C12"/>
    </sheetView>
  </sheetViews>
  <sheetFormatPr baseColWidth="10"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1">
        <v>43088</v>
      </c>
      <c r="B1" t="s">
        <v>312</v>
      </c>
    </row>
    <row r="2" spans="1:5" x14ac:dyDescent="0.25">
      <c r="A2" t="s">
        <v>475</v>
      </c>
    </row>
    <row r="3" spans="1:5" s="53" customFormat="1" x14ac:dyDescent="0.25">
      <c r="A3" s="53" t="s">
        <v>450</v>
      </c>
      <c r="B3" s="53" t="s">
        <v>394</v>
      </c>
      <c r="C3" s="53" t="s">
        <v>395</v>
      </c>
      <c r="D3" s="53" t="s">
        <v>396</v>
      </c>
      <c r="E3" s="53" t="s">
        <v>397</v>
      </c>
    </row>
    <row r="4" spans="1:5" x14ac:dyDescent="0.25">
      <c r="A4" t="s">
        <v>401</v>
      </c>
      <c r="B4" t="s">
        <v>451</v>
      </c>
      <c r="C4">
        <v>2</v>
      </c>
      <c r="D4">
        <v>2</v>
      </c>
      <c r="E4" t="s">
        <v>452</v>
      </c>
    </row>
    <row r="5" spans="1:5" x14ac:dyDescent="0.25">
      <c r="A5" t="s">
        <v>404</v>
      </c>
      <c r="B5" t="s">
        <v>453</v>
      </c>
      <c r="C5">
        <v>4</v>
      </c>
      <c r="D5">
        <v>2</v>
      </c>
      <c r="E5" t="s">
        <v>454</v>
      </c>
    </row>
    <row r="6" spans="1:5" x14ac:dyDescent="0.25">
      <c r="A6" t="s">
        <v>407</v>
      </c>
      <c r="B6" t="s">
        <v>455</v>
      </c>
      <c r="C6">
        <v>6</v>
      </c>
      <c r="D6">
        <v>2</v>
      </c>
      <c r="E6" t="s">
        <v>456</v>
      </c>
    </row>
    <row r="7" spans="1:5" x14ac:dyDescent="0.25">
      <c r="A7" t="s">
        <v>410</v>
      </c>
      <c r="B7" t="s">
        <v>405</v>
      </c>
      <c r="C7">
        <v>8</v>
      </c>
      <c r="D7">
        <v>2</v>
      </c>
      <c r="E7" t="s">
        <v>406</v>
      </c>
    </row>
    <row r="8" spans="1:5" x14ac:dyDescent="0.25">
      <c r="A8" t="s">
        <v>413</v>
      </c>
      <c r="B8" t="s">
        <v>408</v>
      </c>
      <c r="C8">
        <v>11</v>
      </c>
      <c r="D8">
        <v>3</v>
      </c>
      <c r="E8" t="s">
        <v>409</v>
      </c>
    </row>
    <row r="9" spans="1:5" x14ac:dyDescent="0.25">
      <c r="A9" t="s">
        <v>416</v>
      </c>
      <c r="B9" t="s">
        <v>411</v>
      </c>
      <c r="C9">
        <v>14</v>
      </c>
      <c r="D9">
        <v>3</v>
      </c>
      <c r="E9" t="s">
        <v>412</v>
      </c>
    </row>
    <row r="10" spans="1:5" x14ac:dyDescent="0.25">
      <c r="A10" t="s">
        <v>419</v>
      </c>
      <c r="B10" t="s">
        <v>457</v>
      </c>
      <c r="C10">
        <v>18</v>
      </c>
      <c r="D10">
        <v>4</v>
      </c>
      <c r="E10" t="s">
        <v>458</v>
      </c>
    </row>
    <row r="11" spans="1:5" x14ac:dyDescent="0.25">
      <c r="A11" t="s">
        <v>422</v>
      </c>
      <c r="B11" t="s">
        <v>417</v>
      </c>
      <c r="C11">
        <v>23</v>
      </c>
      <c r="D11">
        <v>5</v>
      </c>
      <c r="E11" t="s">
        <v>418</v>
      </c>
    </row>
    <row r="12" spans="1:5" x14ac:dyDescent="0.25">
      <c r="A12" s="53" t="s">
        <v>425</v>
      </c>
      <c r="B12" s="53" t="s">
        <v>459</v>
      </c>
      <c r="C12" s="53">
        <v>28</v>
      </c>
      <c r="D12" s="53">
        <v>5</v>
      </c>
      <c r="E12" s="53" t="s">
        <v>460</v>
      </c>
    </row>
    <row r="13" spans="1:5" x14ac:dyDescent="0.25">
      <c r="A13" t="s">
        <v>428</v>
      </c>
      <c r="B13" t="s">
        <v>461</v>
      </c>
      <c r="C13">
        <v>33</v>
      </c>
      <c r="D13">
        <v>5</v>
      </c>
      <c r="E13" t="s">
        <v>462</v>
      </c>
    </row>
    <row r="14" spans="1:5" x14ac:dyDescent="0.25">
      <c r="A14" t="s">
        <v>431</v>
      </c>
      <c r="B14" t="s">
        <v>463</v>
      </c>
      <c r="C14">
        <v>40</v>
      </c>
      <c r="D14">
        <v>7</v>
      </c>
      <c r="E14" t="s">
        <v>464</v>
      </c>
    </row>
    <row r="15" spans="1:5" x14ac:dyDescent="0.25">
      <c r="A15" t="s">
        <v>434</v>
      </c>
      <c r="B15" t="s">
        <v>465</v>
      </c>
      <c r="C15">
        <v>47</v>
      </c>
      <c r="D15">
        <v>7</v>
      </c>
      <c r="E15" t="s">
        <v>466</v>
      </c>
    </row>
    <row r="16" spans="1:5" x14ac:dyDescent="0.25">
      <c r="A16" t="s">
        <v>437</v>
      </c>
      <c r="B16" t="s">
        <v>467</v>
      </c>
      <c r="C16">
        <v>56</v>
      </c>
      <c r="D16">
        <v>9</v>
      </c>
      <c r="E16" t="s">
        <v>468</v>
      </c>
    </row>
    <row r="17" spans="1:5" x14ac:dyDescent="0.25">
      <c r="A17" t="s">
        <v>440</v>
      </c>
      <c r="B17" t="s">
        <v>469</v>
      </c>
      <c r="C17">
        <v>66</v>
      </c>
      <c r="D17">
        <v>10</v>
      </c>
      <c r="E17" t="s">
        <v>470</v>
      </c>
    </row>
    <row r="18" spans="1:5" x14ac:dyDescent="0.25">
      <c r="A18" t="s">
        <v>443</v>
      </c>
      <c r="B18" t="s">
        <v>471</v>
      </c>
      <c r="C18">
        <v>79</v>
      </c>
      <c r="D18">
        <v>13</v>
      </c>
      <c r="E18" t="s">
        <v>472</v>
      </c>
    </row>
    <row r="19" spans="1:5" x14ac:dyDescent="0.25">
      <c r="A19" t="s">
        <v>446</v>
      </c>
      <c r="B19" t="s">
        <v>473</v>
      </c>
      <c r="C19">
        <v>96</v>
      </c>
      <c r="D19">
        <v>17</v>
      </c>
      <c r="E19" t="s">
        <v>474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20"/>
  <sheetViews>
    <sheetView workbookViewId="0">
      <selection activeCell="E10" sqref="E10"/>
    </sheetView>
  </sheetViews>
  <sheetFormatPr baseColWidth="10"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223">
        <v>43088</v>
      </c>
      <c r="B1" s="222" t="s">
        <v>312</v>
      </c>
      <c r="C1" s="222"/>
      <c r="D1" s="222"/>
      <c r="E1" s="222"/>
    </row>
    <row r="2" spans="1:5" s="53" customFormat="1" x14ac:dyDescent="0.25">
      <c r="A2" s="67" t="s">
        <v>449</v>
      </c>
      <c r="B2" s="67"/>
      <c r="C2" s="67"/>
      <c r="D2" s="67"/>
      <c r="E2" s="67"/>
    </row>
    <row r="3" spans="1:5" s="53" customFormat="1" x14ac:dyDescent="0.25">
      <c r="A3" s="67" t="s">
        <v>393</v>
      </c>
      <c r="B3" s="67" t="s">
        <v>394</v>
      </c>
      <c r="C3" s="67" t="s">
        <v>395</v>
      </c>
      <c r="D3" s="67" t="s">
        <v>396</v>
      </c>
      <c r="E3" s="67" t="s">
        <v>397</v>
      </c>
    </row>
    <row r="4" spans="1:5" x14ac:dyDescent="0.25">
      <c r="A4" s="222" t="s">
        <v>398</v>
      </c>
      <c r="B4" s="222" t="s">
        <v>399</v>
      </c>
      <c r="C4" s="222">
        <v>3</v>
      </c>
      <c r="D4" s="222">
        <v>3</v>
      </c>
      <c r="E4" s="222" t="s">
        <v>400</v>
      </c>
    </row>
    <row r="5" spans="1:5" x14ac:dyDescent="0.25">
      <c r="A5" s="222" t="s">
        <v>401</v>
      </c>
      <c r="B5" s="222" t="s">
        <v>402</v>
      </c>
      <c r="C5" s="222">
        <v>5</v>
      </c>
      <c r="D5" s="222">
        <v>2</v>
      </c>
      <c r="E5" s="222" t="s">
        <v>403</v>
      </c>
    </row>
    <row r="6" spans="1:5" x14ac:dyDescent="0.25">
      <c r="A6" s="222" t="s">
        <v>404</v>
      </c>
      <c r="B6" s="222" t="s">
        <v>405</v>
      </c>
      <c r="C6" s="222">
        <v>8</v>
      </c>
      <c r="D6" s="222">
        <v>3</v>
      </c>
      <c r="E6" s="222" t="s">
        <v>406</v>
      </c>
    </row>
    <row r="7" spans="1:5" x14ac:dyDescent="0.25">
      <c r="A7" s="222" t="s">
        <v>407</v>
      </c>
      <c r="B7" s="222" t="s">
        <v>408</v>
      </c>
      <c r="C7" s="222">
        <v>11</v>
      </c>
      <c r="D7" s="222">
        <v>3</v>
      </c>
      <c r="E7" s="222" t="s">
        <v>409</v>
      </c>
    </row>
    <row r="8" spans="1:5" x14ac:dyDescent="0.25">
      <c r="A8" s="222" t="s">
        <v>410</v>
      </c>
      <c r="B8" s="222" t="s">
        <v>411</v>
      </c>
      <c r="C8" s="222">
        <v>14</v>
      </c>
      <c r="D8" s="222">
        <v>3</v>
      </c>
      <c r="E8" s="222" t="s">
        <v>412</v>
      </c>
    </row>
    <row r="9" spans="1:5" s="53" customFormat="1" x14ac:dyDescent="0.25">
      <c r="A9" s="67" t="s">
        <v>413</v>
      </c>
      <c r="B9" s="67" t="s">
        <v>414</v>
      </c>
      <c r="C9" s="67">
        <v>19</v>
      </c>
      <c r="D9" s="67">
        <v>5</v>
      </c>
      <c r="E9" s="67" t="s">
        <v>415</v>
      </c>
    </row>
    <row r="10" spans="1:5" x14ac:dyDescent="0.25">
      <c r="A10" s="222" t="s">
        <v>416</v>
      </c>
      <c r="B10" s="222" t="s">
        <v>417</v>
      </c>
      <c r="C10" s="222">
        <v>23</v>
      </c>
      <c r="D10" s="222">
        <v>4</v>
      </c>
      <c r="E10" s="222" t="s">
        <v>418</v>
      </c>
    </row>
    <row r="11" spans="1:5" x14ac:dyDescent="0.25">
      <c r="A11" s="222" t="s">
        <v>419</v>
      </c>
      <c r="B11" s="222" t="s">
        <v>420</v>
      </c>
      <c r="C11" s="222">
        <v>29</v>
      </c>
      <c r="D11" s="222">
        <v>6</v>
      </c>
      <c r="E11" s="222" t="s">
        <v>421</v>
      </c>
    </row>
    <row r="12" spans="1:5" x14ac:dyDescent="0.25">
      <c r="A12" s="222" t="s">
        <v>422</v>
      </c>
      <c r="B12" s="222" t="s">
        <v>423</v>
      </c>
      <c r="C12" s="222">
        <v>36</v>
      </c>
      <c r="D12" s="222">
        <v>7</v>
      </c>
      <c r="E12" s="222" t="s">
        <v>424</v>
      </c>
    </row>
    <row r="13" spans="1:5" x14ac:dyDescent="0.25">
      <c r="A13" s="222" t="s">
        <v>425</v>
      </c>
      <c r="B13" s="222" t="s">
        <v>426</v>
      </c>
      <c r="C13" s="222">
        <v>43</v>
      </c>
      <c r="D13" s="222">
        <v>7</v>
      </c>
      <c r="E13" s="222" t="s">
        <v>427</v>
      </c>
    </row>
    <row r="14" spans="1:5" x14ac:dyDescent="0.25">
      <c r="A14" s="222" t="s">
        <v>428</v>
      </c>
      <c r="B14" s="222" t="s">
        <v>429</v>
      </c>
      <c r="C14" s="222">
        <v>52</v>
      </c>
      <c r="D14" s="222">
        <v>9</v>
      </c>
      <c r="E14" s="222" t="s">
        <v>430</v>
      </c>
    </row>
    <row r="15" spans="1:5" x14ac:dyDescent="0.25">
      <c r="A15" s="222" t="s">
        <v>431</v>
      </c>
      <c r="B15" s="222" t="s">
        <v>432</v>
      </c>
      <c r="C15" s="222">
        <v>62</v>
      </c>
      <c r="D15" s="222">
        <v>10</v>
      </c>
      <c r="E15" s="222" t="s">
        <v>433</v>
      </c>
    </row>
    <row r="16" spans="1:5" x14ac:dyDescent="0.25">
      <c r="A16" s="222" t="s">
        <v>434</v>
      </c>
      <c r="B16" s="222" t="s">
        <v>435</v>
      </c>
      <c r="C16" s="222">
        <v>73</v>
      </c>
      <c r="D16" s="222">
        <v>11</v>
      </c>
      <c r="E16" s="222" t="s">
        <v>436</v>
      </c>
    </row>
    <row r="17" spans="1:5" x14ac:dyDescent="0.25">
      <c r="A17" s="222" t="s">
        <v>437</v>
      </c>
      <c r="B17" s="222" t="s">
        <v>438</v>
      </c>
      <c r="C17" s="222">
        <v>87</v>
      </c>
      <c r="D17" s="222">
        <v>14</v>
      </c>
      <c r="E17" s="222" t="s">
        <v>439</v>
      </c>
    </row>
    <row r="18" spans="1:5" x14ac:dyDescent="0.25">
      <c r="A18" s="222" t="s">
        <v>440</v>
      </c>
      <c r="B18" s="222" t="s">
        <v>441</v>
      </c>
      <c r="C18" s="222">
        <v>104</v>
      </c>
      <c r="D18" s="222">
        <v>17</v>
      </c>
      <c r="E18" s="222" t="s">
        <v>442</v>
      </c>
    </row>
    <row r="19" spans="1:5" x14ac:dyDescent="0.25">
      <c r="A19" s="222" t="s">
        <v>443</v>
      </c>
      <c r="B19" s="222" t="s">
        <v>444</v>
      </c>
      <c r="C19" s="222">
        <v>126</v>
      </c>
      <c r="D19" s="222">
        <v>22</v>
      </c>
      <c r="E19" s="222" t="s">
        <v>445</v>
      </c>
    </row>
    <row r="20" spans="1:5" x14ac:dyDescent="0.25">
      <c r="A20" s="222" t="s">
        <v>446</v>
      </c>
      <c r="B20" s="222" t="s">
        <v>447</v>
      </c>
      <c r="C20" s="222">
        <v>164</v>
      </c>
      <c r="D20" s="222">
        <v>38</v>
      </c>
      <c r="E20" s="222" t="s">
        <v>448</v>
      </c>
    </row>
  </sheetData>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2" t="s">
        <v>52</v>
      </c>
    </row>
    <row r="2" spans="1:14" x14ac:dyDescent="0.25">
      <c r="A2" s="11" t="s">
        <v>16</v>
      </c>
      <c r="B2">
        <v>0</v>
      </c>
      <c r="C2">
        <v>0</v>
      </c>
      <c r="N2" s="32" t="s">
        <v>53</v>
      </c>
    </row>
    <row r="3" spans="1:14" x14ac:dyDescent="0.25">
      <c r="A3" s="11" t="s">
        <v>17</v>
      </c>
      <c r="B3">
        <v>22460</v>
      </c>
      <c r="C3">
        <v>32580</v>
      </c>
      <c r="D3">
        <v>32580</v>
      </c>
      <c r="N3" s="32" t="s">
        <v>54</v>
      </c>
    </row>
    <row r="4" spans="1:14" x14ac:dyDescent="0.25">
      <c r="A4" s="11" t="s">
        <v>18</v>
      </c>
      <c r="B4">
        <v>2235</v>
      </c>
      <c r="C4">
        <f>B4</f>
        <v>2235</v>
      </c>
      <c r="N4" s="32" t="s">
        <v>55</v>
      </c>
    </row>
    <row r="5" spans="1:14" x14ac:dyDescent="0.25">
      <c r="A5" s="11" t="s">
        <v>19</v>
      </c>
      <c r="B5">
        <v>515</v>
      </c>
      <c r="C5">
        <v>515</v>
      </c>
      <c r="N5" s="32" t="s">
        <v>56</v>
      </c>
    </row>
    <row r="6" spans="1:14" x14ac:dyDescent="0.25">
      <c r="A6" s="11" t="s">
        <v>20</v>
      </c>
      <c r="B6">
        <v>405</v>
      </c>
      <c r="C6">
        <v>405</v>
      </c>
      <c r="N6" s="32" t="s">
        <v>57</v>
      </c>
    </row>
    <row r="7" spans="1:14" x14ac:dyDescent="0.25">
      <c r="A7" s="35" t="s">
        <v>47</v>
      </c>
      <c r="B7" s="37">
        <v>8.0000000000000002E-3</v>
      </c>
      <c r="C7" s="119">
        <f>B7</f>
        <v>8.0000000000000002E-3</v>
      </c>
      <c r="N7" s="32" t="s">
        <v>58</v>
      </c>
    </row>
    <row r="8" spans="1:14" x14ac:dyDescent="0.25">
      <c r="N8" s="32" t="s">
        <v>59</v>
      </c>
    </row>
    <row r="9" spans="1:14" x14ac:dyDescent="0.25">
      <c r="A9" s="36" t="s">
        <v>69</v>
      </c>
      <c r="B9" s="34">
        <f>SUM(B1:B6)*(1+B7)</f>
        <v>25819.920000000002</v>
      </c>
      <c r="C9" s="34">
        <f>SUM(C1:C6)*(1+C7)</f>
        <v>36020.879999999997</v>
      </c>
      <c r="N9" s="32" t="s">
        <v>60</v>
      </c>
    </row>
    <row r="10" spans="1:14" x14ac:dyDescent="0.25">
      <c r="A10" s="36" t="s">
        <v>70</v>
      </c>
      <c r="B10" s="34">
        <f>B9*1.2</f>
        <v>30983.904000000002</v>
      </c>
      <c r="C10" s="34">
        <f>C9*1.2</f>
        <v>43225.055999999997</v>
      </c>
      <c r="N10" s="32" t="s">
        <v>61</v>
      </c>
    </row>
    <row r="11" spans="1:14" x14ac:dyDescent="0.25">
      <c r="N11" s="32" t="s">
        <v>62</v>
      </c>
    </row>
    <row r="12" spans="1:14" x14ac:dyDescent="0.25">
      <c r="N12" s="32" t="s">
        <v>63</v>
      </c>
    </row>
    <row r="13" spans="1:14" x14ac:dyDescent="0.25">
      <c r="N13" s="32" t="s">
        <v>64</v>
      </c>
    </row>
    <row r="14" spans="1:14" x14ac:dyDescent="0.25">
      <c r="C14" s="38">
        <f>D3-B3</f>
        <v>10120</v>
      </c>
      <c r="N14" s="32" t="s">
        <v>65</v>
      </c>
    </row>
    <row r="15" spans="1:14" x14ac:dyDescent="0.25">
      <c r="C15">
        <f>(C3-B3)</f>
        <v>10120</v>
      </c>
      <c r="N15" s="32" t="s">
        <v>66</v>
      </c>
    </row>
    <row r="16" spans="1:14" x14ac:dyDescent="0.25">
      <c r="C16" s="120">
        <f>C15/C14</f>
        <v>1</v>
      </c>
      <c r="N16" s="32" t="s">
        <v>67</v>
      </c>
    </row>
    <row r="17" spans="14:14" x14ac:dyDescent="0.25">
      <c r="N17" s="32" t="s">
        <v>68</v>
      </c>
    </row>
  </sheetData>
  <pageMargins left="0.7" right="0.7" top="0.75" bottom="0.75" header="0.3" footer="0.3"/>
  <pageSetup paperSize="9" scale="85" fitToWidth="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6" bestFit="1" customWidth="1"/>
    <col min="5" max="5" width="10.42578125" style="66" bestFit="1" customWidth="1"/>
    <col min="6" max="6" width="15" style="66" bestFit="1" customWidth="1"/>
    <col min="7" max="7" width="6.7109375" style="66" bestFit="1" customWidth="1"/>
    <col min="8" max="8" width="7.140625" style="66" bestFit="1" customWidth="1"/>
    <col min="9" max="9" width="7.7109375" style="66" bestFit="1" customWidth="1"/>
    <col min="10" max="10" width="9.28515625" style="66"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3" customFormat="1" x14ac:dyDescent="0.25">
      <c r="A1" s="54" t="s">
        <v>102</v>
      </c>
      <c r="B1" s="54" t="s">
        <v>103</v>
      </c>
      <c r="D1" s="67" t="s">
        <v>102</v>
      </c>
      <c r="E1" s="67" t="s">
        <v>116</v>
      </c>
      <c r="F1" s="67" t="s">
        <v>117</v>
      </c>
      <c r="G1" s="67" t="s">
        <v>118</v>
      </c>
      <c r="H1" s="67" t="s">
        <v>119</v>
      </c>
      <c r="I1" s="67" t="s">
        <v>173</v>
      </c>
      <c r="J1" s="67" t="s">
        <v>112</v>
      </c>
      <c r="K1" s="53" t="s">
        <v>174</v>
      </c>
      <c r="L1" s="53" t="s">
        <v>273</v>
      </c>
      <c r="M1" s="53" t="s">
        <v>274</v>
      </c>
      <c r="N1" s="53" t="s">
        <v>275</v>
      </c>
      <c r="P1" s="54" t="s">
        <v>110</v>
      </c>
      <c r="Q1" s="54" t="s">
        <v>111</v>
      </c>
      <c r="R1" s="54" t="s">
        <v>112</v>
      </c>
      <c r="S1" s="54" t="s">
        <v>113</v>
      </c>
      <c r="T1" s="54" t="s">
        <v>114</v>
      </c>
      <c r="U1" s="54" t="s">
        <v>115</v>
      </c>
    </row>
    <row r="2" spans="1:25" x14ac:dyDescent="0.25">
      <c r="A2" s="58" t="s">
        <v>104</v>
      </c>
      <c r="B2" s="59">
        <v>1.0529999999999999</v>
      </c>
      <c r="D2" s="176">
        <v>1</v>
      </c>
      <c r="E2" s="176">
        <v>1</v>
      </c>
      <c r="F2" s="176">
        <v>0</v>
      </c>
      <c r="G2" s="176">
        <v>0.3</v>
      </c>
      <c r="H2" s="177">
        <f t="shared" ref="H2:H9" si="0">D2+F2-G2</f>
        <v>0.7</v>
      </c>
      <c r="I2" s="128">
        <v>5</v>
      </c>
      <c r="J2" s="128">
        <f>40-37.5+0</f>
        <v>2.5</v>
      </c>
      <c r="K2" s="178">
        <f>16320*3</f>
        <v>48960</v>
      </c>
      <c r="L2" s="179">
        <f t="shared" ref="L2:L9" si="1">H2-$H$4</f>
        <v>-0.48799999999999999</v>
      </c>
      <c r="M2" s="180">
        <f t="shared" ref="M2:M9" si="2">L2*16</f>
        <v>-7.8079999999999998</v>
      </c>
      <c r="N2" s="181">
        <f t="shared" ref="N2:N9" si="3">M2*7</f>
        <v>-54.655999999999999</v>
      </c>
      <c r="O2" s="53"/>
      <c r="P2" s="55">
        <v>10</v>
      </c>
      <c r="Q2" s="56">
        <v>35</v>
      </c>
      <c r="R2" s="56">
        <v>25</v>
      </c>
      <c r="S2" s="57">
        <v>0.33333333333333331</v>
      </c>
      <c r="T2" s="62">
        <v>32640.000000000004</v>
      </c>
      <c r="U2" s="61">
        <v>3264.0000000000005</v>
      </c>
      <c r="W2" s="53"/>
      <c r="X2" s="53"/>
      <c r="Y2" s="53"/>
    </row>
    <row r="3" spans="1:25" x14ac:dyDescent="0.25">
      <c r="A3" s="58" t="s">
        <v>105</v>
      </c>
      <c r="B3" s="60">
        <v>1</v>
      </c>
      <c r="D3" s="169">
        <v>1.0529999999999999</v>
      </c>
      <c r="E3" s="166">
        <v>1</v>
      </c>
      <c r="F3" s="169">
        <v>0.17499999999999999</v>
      </c>
      <c r="G3" s="166">
        <v>0.3</v>
      </c>
      <c r="H3" s="172">
        <f t="shared" si="0"/>
        <v>0.92799999999999994</v>
      </c>
      <c r="I3" s="167">
        <v>5</v>
      </c>
      <c r="J3" s="167">
        <f>40-37.5+25</f>
        <v>27.5</v>
      </c>
      <c r="K3" s="168">
        <f t="shared" ref="K3:K12" si="4">16320*3</f>
        <v>48960</v>
      </c>
      <c r="L3" s="173">
        <f t="shared" si="1"/>
        <v>-0.26</v>
      </c>
      <c r="M3" s="174">
        <f t="shared" si="2"/>
        <v>-4.16</v>
      </c>
      <c r="N3" s="175">
        <f t="shared" si="3"/>
        <v>-29.12</v>
      </c>
      <c r="O3" s="53"/>
      <c r="P3" s="55">
        <v>9</v>
      </c>
      <c r="Q3" s="56">
        <v>31.5</v>
      </c>
      <c r="R3" s="56">
        <v>22.5</v>
      </c>
      <c r="S3" s="57">
        <v>0.3</v>
      </c>
      <c r="T3" s="62">
        <v>24480</v>
      </c>
      <c r="U3" s="61">
        <v>2720</v>
      </c>
      <c r="W3" s="53"/>
      <c r="X3" s="53"/>
      <c r="Y3" s="53"/>
    </row>
    <row r="4" spans="1:25" x14ac:dyDescent="0.25">
      <c r="A4" s="58" t="s">
        <v>106</v>
      </c>
      <c r="B4" s="59">
        <v>0.90900000000000003</v>
      </c>
      <c r="D4" s="182">
        <v>1</v>
      </c>
      <c r="E4" s="182">
        <v>1</v>
      </c>
      <c r="F4" s="183">
        <v>0.28799999999999998</v>
      </c>
      <c r="G4" s="182">
        <v>0.1</v>
      </c>
      <c r="H4" s="184">
        <f t="shared" si="0"/>
        <v>1.1879999999999999</v>
      </c>
      <c r="I4" s="185">
        <v>5</v>
      </c>
      <c r="J4" s="185">
        <f t="shared" ref="J4:J9" si="5">40-37.5+25</f>
        <v>27.5</v>
      </c>
      <c r="K4" s="186">
        <f t="shared" si="4"/>
        <v>48960</v>
      </c>
      <c r="L4" s="187">
        <f t="shared" si="1"/>
        <v>0</v>
      </c>
      <c r="M4" s="188">
        <f t="shared" si="2"/>
        <v>0</v>
      </c>
      <c r="N4" s="189">
        <f t="shared" si="3"/>
        <v>0</v>
      </c>
      <c r="O4" s="53"/>
      <c r="P4" s="55">
        <v>8</v>
      </c>
      <c r="Q4" s="56">
        <v>28</v>
      </c>
      <c r="R4" s="56">
        <v>20</v>
      </c>
      <c r="S4" s="57">
        <v>0.26666666666666666</v>
      </c>
      <c r="T4" s="62">
        <v>16320.000000000002</v>
      </c>
      <c r="U4" s="61">
        <v>2040.0000000000002</v>
      </c>
      <c r="W4" s="53"/>
      <c r="X4" s="53"/>
      <c r="Y4" s="53"/>
    </row>
    <row r="5" spans="1:25" x14ac:dyDescent="0.25">
      <c r="A5" s="58" t="s">
        <v>107</v>
      </c>
      <c r="B5" s="59">
        <v>0.83299999999999996</v>
      </c>
      <c r="D5" s="68">
        <v>1</v>
      </c>
      <c r="E5" s="68">
        <v>1</v>
      </c>
      <c r="F5" s="165">
        <v>0.17499999999999999</v>
      </c>
      <c r="G5" s="68">
        <v>0.3</v>
      </c>
      <c r="H5" s="170">
        <f t="shared" si="0"/>
        <v>0.875</v>
      </c>
      <c r="I5" s="164">
        <v>5</v>
      </c>
      <c r="J5" s="164">
        <f t="shared" si="5"/>
        <v>27.5</v>
      </c>
      <c r="K5" s="69">
        <f t="shared" si="4"/>
        <v>48960</v>
      </c>
      <c r="L5" s="171">
        <f t="shared" si="1"/>
        <v>-0.31299999999999994</v>
      </c>
      <c r="M5" s="38">
        <f t="shared" si="2"/>
        <v>-5.0079999999999991</v>
      </c>
      <c r="N5" s="33">
        <f t="shared" si="3"/>
        <v>-35.055999999999997</v>
      </c>
      <c r="O5" s="53"/>
      <c r="P5" s="55">
        <v>7</v>
      </c>
      <c r="Q5" s="56">
        <v>24.5</v>
      </c>
      <c r="R5" s="56">
        <v>17.5</v>
      </c>
      <c r="S5" s="57">
        <v>0.23333333333333334</v>
      </c>
      <c r="T5" s="62">
        <v>12240</v>
      </c>
      <c r="U5" s="61">
        <v>1748.5714285714287</v>
      </c>
      <c r="W5" s="53"/>
      <c r="X5" s="53"/>
      <c r="Y5" s="53"/>
    </row>
    <row r="6" spans="1:25" x14ac:dyDescent="0.25">
      <c r="A6" s="58" t="s">
        <v>108</v>
      </c>
      <c r="B6" s="59">
        <v>0.76900000000000002</v>
      </c>
      <c r="D6" s="165">
        <v>1.0529999999999999</v>
      </c>
      <c r="E6" s="68">
        <v>1</v>
      </c>
      <c r="F6" s="68">
        <v>0.35</v>
      </c>
      <c r="G6" s="68">
        <v>0.05</v>
      </c>
      <c r="H6" s="170">
        <f t="shared" si="0"/>
        <v>1.353</v>
      </c>
      <c r="I6" s="164">
        <v>5</v>
      </c>
      <c r="J6" s="164">
        <f t="shared" si="5"/>
        <v>27.5</v>
      </c>
      <c r="K6" s="69">
        <f t="shared" si="4"/>
        <v>48960</v>
      </c>
      <c r="L6" s="171">
        <f t="shared" si="1"/>
        <v>0.16500000000000004</v>
      </c>
      <c r="M6" s="38">
        <f t="shared" si="2"/>
        <v>2.6400000000000006</v>
      </c>
      <c r="N6" s="33">
        <f t="shared" si="3"/>
        <v>18.480000000000004</v>
      </c>
      <c r="O6" s="53"/>
      <c r="P6" s="55">
        <v>6</v>
      </c>
      <c r="Q6" s="56">
        <v>21</v>
      </c>
      <c r="R6" s="56">
        <v>15</v>
      </c>
      <c r="S6" s="57">
        <v>0.2</v>
      </c>
      <c r="T6" s="62">
        <v>8160.0000000000009</v>
      </c>
      <c r="U6" s="61">
        <v>1360.0000000000002</v>
      </c>
      <c r="W6" s="53"/>
      <c r="X6" s="53"/>
      <c r="Y6" s="53"/>
    </row>
    <row r="7" spans="1:25" x14ac:dyDescent="0.25">
      <c r="A7" s="58" t="s">
        <v>109</v>
      </c>
      <c r="B7" s="59">
        <v>0.71399999999999997</v>
      </c>
      <c r="D7" s="68">
        <v>1</v>
      </c>
      <c r="E7" s="68">
        <v>1</v>
      </c>
      <c r="F7" s="68">
        <v>0.35</v>
      </c>
      <c r="G7" s="68">
        <v>0.1</v>
      </c>
      <c r="H7" s="170">
        <f t="shared" si="0"/>
        <v>1.25</v>
      </c>
      <c r="I7" s="164">
        <v>5</v>
      </c>
      <c r="J7" s="164">
        <f t="shared" si="5"/>
        <v>27.5</v>
      </c>
      <c r="K7" s="69">
        <f t="shared" si="4"/>
        <v>48960</v>
      </c>
      <c r="L7" s="171">
        <f t="shared" si="1"/>
        <v>6.2000000000000055E-2</v>
      </c>
      <c r="M7" s="38">
        <f t="shared" si="2"/>
        <v>0.99200000000000088</v>
      </c>
      <c r="N7" s="33">
        <f t="shared" si="3"/>
        <v>6.9440000000000062</v>
      </c>
      <c r="O7" s="53"/>
      <c r="P7" s="55">
        <v>5</v>
      </c>
      <c r="Q7" s="56">
        <v>17.5</v>
      </c>
      <c r="R7" s="56">
        <v>12.5</v>
      </c>
      <c r="S7" s="57">
        <v>0.16666666666666666</v>
      </c>
      <c r="T7" s="62">
        <v>16320.000000000002</v>
      </c>
      <c r="U7" s="61">
        <v>3264.0000000000005</v>
      </c>
      <c r="W7" s="53"/>
      <c r="X7" s="53"/>
      <c r="Y7" s="53"/>
    </row>
    <row r="8" spans="1:25" x14ac:dyDescent="0.25">
      <c r="D8" s="165">
        <v>1.0529999999999999</v>
      </c>
      <c r="E8" s="68">
        <v>1</v>
      </c>
      <c r="F8" s="68">
        <v>0.35</v>
      </c>
      <c r="G8" s="68">
        <v>0.1</v>
      </c>
      <c r="H8" s="170">
        <f t="shared" si="0"/>
        <v>1.3029999999999999</v>
      </c>
      <c r="I8" s="164">
        <v>5</v>
      </c>
      <c r="J8" s="164">
        <f t="shared" si="5"/>
        <v>27.5</v>
      </c>
      <c r="K8" s="69">
        <f t="shared" si="4"/>
        <v>48960</v>
      </c>
      <c r="L8" s="171">
        <f t="shared" si="1"/>
        <v>0.11499999999999999</v>
      </c>
      <c r="M8" s="38">
        <f t="shared" si="2"/>
        <v>1.8399999999999999</v>
      </c>
      <c r="N8" s="33">
        <f t="shared" si="3"/>
        <v>12.879999999999999</v>
      </c>
      <c r="O8" s="53"/>
      <c r="P8" s="55">
        <v>4</v>
      </c>
      <c r="Q8" s="56">
        <v>14</v>
      </c>
      <c r="R8" s="56">
        <v>10</v>
      </c>
      <c r="S8" s="57">
        <v>0.13333333333333333</v>
      </c>
      <c r="T8" s="62">
        <v>8160.0000000000009</v>
      </c>
      <c r="U8" s="61">
        <v>2040.0000000000002</v>
      </c>
      <c r="W8" s="53"/>
      <c r="X8" s="53"/>
      <c r="Y8" s="53"/>
    </row>
    <row r="9" spans="1:25" x14ac:dyDescent="0.25">
      <c r="D9" s="68">
        <v>1</v>
      </c>
      <c r="E9" s="68">
        <v>1</v>
      </c>
      <c r="F9" s="68">
        <v>0.35</v>
      </c>
      <c r="G9" s="68">
        <v>0.05</v>
      </c>
      <c r="H9" s="170">
        <f t="shared" si="0"/>
        <v>1.3</v>
      </c>
      <c r="I9" s="190">
        <v>5</v>
      </c>
      <c r="J9" s="190">
        <f t="shared" si="5"/>
        <v>27.5</v>
      </c>
      <c r="K9" s="69">
        <f t="shared" si="4"/>
        <v>48960</v>
      </c>
      <c r="L9" s="171">
        <f t="shared" si="1"/>
        <v>0.1120000000000001</v>
      </c>
      <c r="M9" s="38">
        <f t="shared" si="2"/>
        <v>1.7920000000000016</v>
      </c>
      <c r="N9" s="33">
        <f t="shared" si="3"/>
        <v>12.544000000000011</v>
      </c>
      <c r="O9" s="53"/>
      <c r="P9" s="55">
        <v>3</v>
      </c>
      <c r="Q9" s="56">
        <v>10.5</v>
      </c>
      <c r="R9" s="56">
        <v>7.5</v>
      </c>
      <c r="S9" s="57">
        <v>0.1</v>
      </c>
      <c r="T9" s="62">
        <v>4080.0000000000005</v>
      </c>
      <c r="U9" s="61">
        <v>1360.0000000000002</v>
      </c>
      <c r="W9" s="53"/>
      <c r="X9" s="53"/>
      <c r="Y9" s="53"/>
    </row>
    <row r="10" spans="1:25" x14ac:dyDescent="0.25">
      <c r="D10" s="164"/>
      <c r="E10" s="68"/>
      <c r="F10" s="164"/>
      <c r="G10" s="68"/>
      <c r="H10" s="170"/>
      <c r="I10" s="164">
        <v>5</v>
      </c>
      <c r="J10" s="164">
        <f>40-37.5+25</f>
        <v>27.5</v>
      </c>
      <c r="K10" s="69">
        <f t="shared" si="4"/>
        <v>48960</v>
      </c>
      <c r="P10" s="55">
        <v>2</v>
      </c>
      <c r="Q10" s="56">
        <v>7</v>
      </c>
      <c r="R10" s="56">
        <v>5</v>
      </c>
      <c r="S10" s="57">
        <v>6.6666666666666666E-2</v>
      </c>
      <c r="T10" s="62">
        <v>2040.0000000000002</v>
      </c>
      <c r="U10" s="61">
        <v>1020.0000000000001</v>
      </c>
    </row>
    <row r="11" spans="1:25" x14ac:dyDescent="0.25">
      <c r="D11" s="164"/>
      <c r="E11" s="68"/>
      <c r="F11" s="164"/>
      <c r="G11" s="68"/>
      <c r="H11" s="170"/>
      <c r="I11" s="164">
        <v>5</v>
      </c>
      <c r="J11" s="164">
        <f>40-37.5+25</f>
        <v>27.5</v>
      </c>
      <c r="K11" s="69">
        <f t="shared" si="4"/>
        <v>48960</v>
      </c>
      <c r="P11" s="55">
        <v>1</v>
      </c>
      <c r="Q11" s="56">
        <v>3.5</v>
      </c>
      <c r="R11" s="56">
        <v>2.5</v>
      </c>
      <c r="S11" s="57">
        <v>3.3333333333333333E-2</v>
      </c>
      <c r="T11" s="62">
        <v>1020.0000000000001</v>
      </c>
      <c r="U11" s="61">
        <v>1020.0000000000001</v>
      </c>
    </row>
    <row r="12" spans="1:25" x14ac:dyDescent="0.25">
      <c r="D12" s="164"/>
      <c r="E12" s="68"/>
      <c r="F12" s="164"/>
      <c r="G12" s="68"/>
      <c r="H12" s="170"/>
      <c r="I12" s="164">
        <v>5</v>
      </c>
      <c r="J12" s="164">
        <f>40-37.5+25</f>
        <v>27.5</v>
      </c>
      <c r="K12" s="69">
        <f t="shared" si="4"/>
        <v>48960</v>
      </c>
    </row>
    <row r="14" spans="1:25" x14ac:dyDescent="0.25">
      <c r="H14" s="40"/>
      <c r="P14" s="54" t="s">
        <v>110</v>
      </c>
      <c r="Q14" s="54" t="s">
        <v>111</v>
      </c>
      <c r="R14" s="54" t="s">
        <v>112</v>
      </c>
      <c r="S14" s="54" t="s">
        <v>113</v>
      </c>
      <c r="T14" s="54" t="s">
        <v>114</v>
      </c>
      <c r="U14" s="54" t="s">
        <v>115</v>
      </c>
    </row>
    <row r="15" spans="1:25" x14ac:dyDescent="0.25">
      <c r="G15" s="47"/>
      <c r="P15" s="58">
        <v>15</v>
      </c>
      <c r="Q15" s="63">
        <v>48</v>
      </c>
      <c r="R15" s="63">
        <v>37.5</v>
      </c>
      <c r="S15" s="64">
        <v>0.5</v>
      </c>
      <c r="T15" s="65">
        <v>72000</v>
      </c>
      <c r="U15" s="65">
        <v>4800</v>
      </c>
    </row>
    <row r="16" spans="1:25" x14ac:dyDescent="0.25">
      <c r="H16" s="40"/>
      <c r="J16" s="40"/>
      <c r="K16" s="40"/>
      <c r="P16" s="58">
        <v>12</v>
      </c>
      <c r="Q16" s="63">
        <v>38.400000000000006</v>
      </c>
      <c r="R16" s="63">
        <v>30</v>
      </c>
      <c r="S16" s="64">
        <v>0.4</v>
      </c>
      <c r="T16" s="65">
        <v>36000</v>
      </c>
      <c r="U16" s="65">
        <v>3000</v>
      </c>
    </row>
    <row r="17" spans="2:21" x14ac:dyDescent="0.25">
      <c r="G17" s="164"/>
      <c r="H17" s="40"/>
      <c r="I17" s="164"/>
      <c r="J17" s="40"/>
      <c r="K17" s="40"/>
      <c r="P17" s="58">
        <v>10</v>
      </c>
      <c r="Q17" s="58">
        <f>3.2*10</f>
        <v>32</v>
      </c>
      <c r="R17" s="63">
        <f>30/12*10</f>
        <v>25</v>
      </c>
      <c r="S17" s="64">
        <f>0.4/12*10</f>
        <v>0.33333333333333331</v>
      </c>
      <c r="T17" s="65">
        <v>48000</v>
      </c>
      <c r="U17" s="65">
        <f>T17/P17</f>
        <v>4800</v>
      </c>
    </row>
    <row r="18" spans="2:21" x14ac:dyDescent="0.25">
      <c r="G18" s="164"/>
      <c r="H18" s="40"/>
      <c r="I18" s="164"/>
      <c r="J18" s="40"/>
      <c r="K18" s="40"/>
      <c r="P18" s="58">
        <v>8</v>
      </c>
      <c r="Q18" s="58">
        <f>3.2*8</f>
        <v>25.6</v>
      </c>
      <c r="R18" s="63">
        <f>30/12*8</f>
        <v>20</v>
      </c>
      <c r="S18" s="64">
        <f>0.4/12*8</f>
        <v>0.26666666666666666</v>
      </c>
      <c r="T18" s="65">
        <v>24000</v>
      </c>
      <c r="U18" s="65">
        <f>T18/P18</f>
        <v>3000</v>
      </c>
    </row>
    <row r="19" spans="2:21" x14ac:dyDescent="0.25">
      <c r="G19" s="164"/>
      <c r="H19" s="40"/>
      <c r="I19" s="164"/>
      <c r="J19" s="40"/>
      <c r="K19" s="40"/>
    </row>
    <row r="20" spans="2:21" x14ac:dyDescent="0.25">
      <c r="G20" s="164"/>
      <c r="H20" s="40"/>
      <c r="I20" s="164"/>
      <c r="J20" s="40"/>
      <c r="K20" s="40"/>
    </row>
    <row r="23" spans="2:21" x14ac:dyDescent="0.25">
      <c r="J23" s="164"/>
    </row>
    <row r="24" spans="2:21" x14ac:dyDescent="0.25">
      <c r="B24" s="38"/>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6" customWidth="1"/>
    <col min="2" max="2" width="11.5703125" style="66"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314</v>
      </c>
      <c r="B1"/>
    </row>
    <row r="2" spans="1:40" x14ac:dyDescent="0.25">
      <c r="A2"/>
      <c r="B2" t="s">
        <v>315</v>
      </c>
    </row>
    <row r="3" spans="1:40" x14ac:dyDescent="0.25">
      <c r="A3" t="s">
        <v>316</v>
      </c>
      <c r="B3"/>
    </row>
    <row r="4" spans="1:40" x14ac:dyDescent="0.25">
      <c r="A4"/>
      <c r="B4" t="s">
        <v>317</v>
      </c>
    </row>
    <row r="5" spans="1:40" x14ac:dyDescent="0.25">
      <c r="A5"/>
      <c r="B5" t="s">
        <v>318</v>
      </c>
    </row>
    <row r="6" spans="1:40" x14ac:dyDescent="0.25">
      <c r="A6" t="s">
        <v>319</v>
      </c>
      <c r="B6"/>
    </row>
    <row r="7" spans="1:40" x14ac:dyDescent="0.25">
      <c r="A7"/>
      <c r="B7" t="s">
        <v>320</v>
      </c>
      <c r="X7">
        <f>X8-112</f>
        <v>80.5</v>
      </c>
    </row>
    <row r="8" spans="1:40" x14ac:dyDescent="0.25">
      <c r="A8" t="s">
        <v>321</v>
      </c>
      <c r="B8"/>
      <c r="X8">
        <f>(X9+X10)*7</f>
        <v>192.5</v>
      </c>
    </row>
    <row r="9" spans="1:40" x14ac:dyDescent="0.25">
      <c r="A9"/>
      <c r="B9" t="s">
        <v>322</v>
      </c>
      <c r="W9" s="199" t="s">
        <v>195</v>
      </c>
      <c r="X9" s="200">
        <v>13.5</v>
      </c>
    </row>
    <row r="10" spans="1:40" x14ac:dyDescent="0.25">
      <c r="A10"/>
      <c r="B10"/>
      <c r="W10" s="199" t="s">
        <v>323</v>
      </c>
      <c r="X10" s="199">
        <v>14</v>
      </c>
    </row>
    <row r="11" spans="1:40" x14ac:dyDescent="0.25">
      <c r="A11"/>
      <c r="B11"/>
      <c r="F11" s="195"/>
      <c r="G11" s="195"/>
      <c r="H11" s="195"/>
      <c r="I11" s="195"/>
      <c r="J11" s="195"/>
      <c r="K11" s="195"/>
      <c r="L11" s="195"/>
      <c r="M11" s="196">
        <f>SUM(M13:M27)</f>
        <v>970</v>
      </c>
      <c r="N11" s="195"/>
      <c r="O11" s="195"/>
      <c r="P11" s="195"/>
      <c r="Q11" s="195"/>
      <c r="R11" s="195"/>
      <c r="S11" s="195"/>
      <c r="T11" s="195"/>
      <c r="U11" s="195"/>
      <c r="Y11" s="195"/>
      <c r="Z11" s="195"/>
      <c r="AA11" s="195"/>
      <c r="AB11" s="195"/>
      <c r="AC11" s="195"/>
      <c r="AD11" s="195"/>
      <c r="AE11" s="195"/>
      <c r="AF11" s="196">
        <f>SUM(AF13:AF27)</f>
        <v>5644.4400000000005</v>
      </c>
      <c r="AG11" s="195"/>
      <c r="AH11" s="195"/>
      <c r="AI11" s="195"/>
      <c r="AJ11" s="195"/>
      <c r="AK11" s="195"/>
      <c r="AL11" s="195"/>
      <c r="AM11" s="195"/>
      <c r="AN11" s="195"/>
    </row>
    <row r="12" spans="1:40" x14ac:dyDescent="0.25">
      <c r="A12" s="11" t="s">
        <v>171</v>
      </c>
      <c r="B12" s="11" t="s">
        <v>324</v>
      </c>
      <c r="C12" s="11" t="s">
        <v>85</v>
      </c>
      <c r="D12" s="11" t="s">
        <v>325</v>
      </c>
      <c r="E12" s="11" t="s">
        <v>326</v>
      </c>
      <c r="F12" s="11" t="s">
        <v>15</v>
      </c>
      <c r="G12" s="11" t="s">
        <v>16</v>
      </c>
      <c r="H12" s="11" t="s">
        <v>17</v>
      </c>
      <c r="I12" s="11" t="s">
        <v>18</v>
      </c>
      <c r="J12" s="11" t="s">
        <v>19</v>
      </c>
      <c r="K12" s="11" t="s">
        <v>20</v>
      </c>
      <c r="L12" s="11" t="s">
        <v>6</v>
      </c>
      <c r="M12" s="11" t="s">
        <v>69</v>
      </c>
      <c r="N12" s="11" t="s">
        <v>327</v>
      </c>
      <c r="O12" s="11" t="s">
        <v>328</v>
      </c>
      <c r="P12" s="11" t="s">
        <v>329</v>
      </c>
      <c r="Q12" s="11" t="s">
        <v>330</v>
      </c>
      <c r="R12" s="11" t="s">
        <v>331</v>
      </c>
      <c r="S12" s="11" t="s">
        <v>332</v>
      </c>
      <c r="T12" s="11" t="s">
        <v>333</v>
      </c>
      <c r="U12" s="11" t="s">
        <v>334</v>
      </c>
      <c r="W12" s="11" t="s">
        <v>325</v>
      </c>
      <c r="X12" s="11" t="s">
        <v>326</v>
      </c>
      <c r="Y12" s="11" t="s">
        <v>15</v>
      </c>
      <c r="Z12" s="11" t="s">
        <v>16</v>
      </c>
      <c r="AA12" s="11" t="s">
        <v>17</v>
      </c>
      <c r="AB12" s="11" t="s">
        <v>18</v>
      </c>
      <c r="AC12" s="11" t="s">
        <v>19</v>
      </c>
      <c r="AD12" s="11" t="s">
        <v>20</v>
      </c>
      <c r="AE12" s="11" t="s">
        <v>6</v>
      </c>
      <c r="AF12" s="11" t="s">
        <v>69</v>
      </c>
      <c r="AG12" s="11" t="s">
        <v>327</v>
      </c>
      <c r="AH12" s="11" t="s">
        <v>328</v>
      </c>
      <c r="AI12" s="11" t="s">
        <v>329</v>
      </c>
      <c r="AJ12" s="11" t="s">
        <v>330</v>
      </c>
      <c r="AK12" s="11" t="s">
        <v>331</v>
      </c>
      <c r="AL12" s="11" t="s">
        <v>332</v>
      </c>
      <c r="AM12" s="11" t="s">
        <v>333</v>
      </c>
      <c r="AN12" s="11" t="s">
        <v>334</v>
      </c>
    </row>
    <row r="13" spans="1:40" x14ac:dyDescent="0.25">
      <c r="A13" t="s">
        <v>29</v>
      </c>
      <c r="B13" s="16"/>
      <c r="C13" s="19"/>
      <c r="D13" s="19"/>
      <c r="E13" s="19"/>
      <c r="F13" s="112">
        <v>2</v>
      </c>
      <c r="G13" s="20">
        <v>2</v>
      </c>
      <c r="H13" s="112">
        <v>0</v>
      </c>
      <c r="I13" s="20">
        <v>0</v>
      </c>
      <c r="J13" s="112">
        <v>0</v>
      </c>
      <c r="K13" s="20">
        <v>0</v>
      </c>
      <c r="L13" s="112">
        <v>2</v>
      </c>
      <c r="M13" s="48"/>
      <c r="N13" s="195">
        <v>0</v>
      </c>
      <c r="O13" s="195">
        <v>0</v>
      </c>
      <c r="P13" s="195">
        <v>0</v>
      </c>
      <c r="Q13" s="197">
        <v>0</v>
      </c>
      <c r="R13" s="197">
        <v>0</v>
      </c>
      <c r="S13" s="197">
        <v>0</v>
      </c>
      <c r="T13" s="197">
        <v>0</v>
      </c>
      <c r="U13" s="67">
        <f>SUM(N13:T13)</f>
        <v>0</v>
      </c>
      <c r="Y13" s="112">
        <f>F13</f>
        <v>2</v>
      </c>
      <c r="Z13" s="112">
        <f t="shared" ref="Z13:AE28" si="0">G13</f>
        <v>2</v>
      </c>
      <c r="AA13" s="112">
        <f t="shared" si="0"/>
        <v>0</v>
      </c>
      <c r="AB13" s="112">
        <f t="shared" si="0"/>
        <v>0</v>
      </c>
      <c r="AC13" s="112">
        <f t="shared" si="0"/>
        <v>0</v>
      </c>
      <c r="AD13" s="112">
        <f t="shared" si="0"/>
        <v>0</v>
      </c>
      <c r="AE13" s="112">
        <f t="shared" si="0"/>
        <v>2</v>
      </c>
      <c r="AF13" s="48"/>
      <c r="AG13" s="195">
        <v>0</v>
      </c>
      <c r="AH13" s="195">
        <v>0</v>
      </c>
      <c r="AI13" s="195">
        <v>0</v>
      </c>
      <c r="AJ13" s="197">
        <v>0</v>
      </c>
      <c r="AK13" s="197">
        <v>0</v>
      </c>
      <c r="AL13" s="197">
        <v>0</v>
      </c>
      <c r="AM13" s="197">
        <v>0</v>
      </c>
      <c r="AN13" s="67">
        <f>SUM(AG13:AM13)</f>
        <v>0</v>
      </c>
    </row>
    <row r="14" spans="1:40" x14ac:dyDescent="0.25">
      <c r="A14" t="s">
        <v>32</v>
      </c>
      <c r="B14" s="16"/>
      <c r="C14" s="4"/>
      <c r="D14" s="4"/>
      <c r="E14" s="4"/>
      <c r="F14" s="113">
        <v>0</v>
      </c>
      <c r="G14" s="26">
        <v>2</v>
      </c>
      <c r="H14" s="113">
        <v>2</v>
      </c>
      <c r="I14" s="26">
        <v>2</v>
      </c>
      <c r="J14" s="113">
        <v>2</v>
      </c>
      <c r="K14" s="26">
        <v>2</v>
      </c>
      <c r="L14" s="113">
        <v>2</v>
      </c>
      <c r="M14" s="48"/>
      <c r="N14" s="195">
        <v>0</v>
      </c>
      <c r="O14" s="195">
        <v>0</v>
      </c>
      <c r="P14" s="195">
        <v>0</v>
      </c>
      <c r="Q14" s="195">
        <v>0</v>
      </c>
      <c r="R14" s="195">
        <v>0</v>
      </c>
      <c r="S14" s="195">
        <v>0</v>
      </c>
      <c r="T14" s="195">
        <v>0</v>
      </c>
      <c r="U14" s="67">
        <f>SUM(N14:T14)</f>
        <v>0</v>
      </c>
      <c r="Y14" s="112">
        <f t="shared" ref="Y14:Y28" si="1">F14</f>
        <v>0</v>
      </c>
      <c r="Z14" s="112">
        <f t="shared" si="0"/>
        <v>2</v>
      </c>
      <c r="AA14" s="112">
        <f t="shared" si="0"/>
        <v>2</v>
      </c>
      <c r="AB14" s="112">
        <f t="shared" si="0"/>
        <v>2</v>
      </c>
      <c r="AC14" s="112">
        <f t="shared" si="0"/>
        <v>2</v>
      </c>
      <c r="AD14" s="112">
        <f t="shared" si="0"/>
        <v>2</v>
      </c>
      <c r="AE14" s="112">
        <f t="shared" si="0"/>
        <v>2</v>
      </c>
      <c r="AF14" s="48"/>
      <c r="AG14" s="195">
        <v>0</v>
      </c>
      <c r="AH14" s="195">
        <v>0</v>
      </c>
      <c r="AI14" s="195">
        <v>0</v>
      </c>
      <c r="AJ14" s="195">
        <v>0</v>
      </c>
      <c r="AK14" s="195">
        <v>0</v>
      </c>
      <c r="AL14" s="195">
        <v>0</v>
      </c>
      <c r="AM14" s="195">
        <v>0</v>
      </c>
      <c r="AN14" s="67">
        <f>SUM(AG14:AM14)</f>
        <v>0</v>
      </c>
    </row>
    <row r="15" spans="1:40" x14ac:dyDescent="0.25">
      <c r="A15" t="s">
        <v>33</v>
      </c>
      <c r="B15" s="16"/>
      <c r="C15" s="4"/>
      <c r="D15" s="4"/>
      <c r="E15" s="4"/>
      <c r="F15" s="113">
        <v>0</v>
      </c>
      <c r="G15" s="26">
        <v>2</v>
      </c>
      <c r="H15" s="113">
        <v>2</v>
      </c>
      <c r="I15" s="26">
        <v>2</v>
      </c>
      <c r="J15" s="113">
        <v>2</v>
      </c>
      <c r="K15" s="26">
        <v>2</v>
      </c>
      <c r="L15" s="113">
        <v>2</v>
      </c>
      <c r="M15" s="48"/>
      <c r="N15" s="195">
        <v>0</v>
      </c>
      <c r="O15" s="195">
        <v>0</v>
      </c>
      <c r="P15" s="195">
        <v>0</v>
      </c>
      <c r="Q15" s="195">
        <v>0</v>
      </c>
      <c r="R15" s="195">
        <v>0</v>
      </c>
      <c r="S15" s="195">
        <v>0</v>
      </c>
      <c r="T15" s="195">
        <v>0</v>
      </c>
      <c r="U15" s="67">
        <f>SUM(N15:T15)</f>
        <v>0</v>
      </c>
      <c r="Y15" s="112">
        <f t="shared" si="1"/>
        <v>0</v>
      </c>
      <c r="Z15" s="112">
        <f t="shared" si="0"/>
        <v>2</v>
      </c>
      <c r="AA15" s="112">
        <f t="shared" si="0"/>
        <v>2</v>
      </c>
      <c r="AB15" s="112">
        <f t="shared" si="0"/>
        <v>2</v>
      </c>
      <c r="AC15" s="112">
        <f t="shared" si="0"/>
        <v>2</v>
      </c>
      <c r="AD15" s="112">
        <f t="shared" si="0"/>
        <v>2</v>
      </c>
      <c r="AE15" s="112">
        <f t="shared" si="0"/>
        <v>2</v>
      </c>
      <c r="AF15" s="48"/>
      <c r="AG15" s="195">
        <v>0</v>
      </c>
      <c r="AH15" s="195">
        <v>0</v>
      </c>
      <c r="AI15" s="195">
        <v>0</v>
      </c>
      <c r="AJ15" s="195">
        <v>0</v>
      </c>
      <c r="AK15" s="195">
        <v>0</v>
      </c>
      <c r="AL15" s="195">
        <v>0</v>
      </c>
      <c r="AM15" s="195">
        <v>0</v>
      </c>
      <c r="AN15" s="67">
        <f>SUM(AG15:AM15)</f>
        <v>0</v>
      </c>
    </row>
    <row r="16" spans="1:40" x14ac:dyDescent="0.25">
      <c r="A16" t="s">
        <v>39</v>
      </c>
      <c r="B16" s="16"/>
      <c r="C16" s="4"/>
      <c r="D16" s="4"/>
      <c r="E16" s="4"/>
      <c r="F16" s="113">
        <v>0</v>
      </c>
      <c r="G16" s="26">
        <v>2</v>
      </c>
      <c r="H16" s="113">
        <v>2</v>
      </c>
      <c r="I16" s="26">
        <v>2</v>
      </c>
      <c r="J16" s="113">
        <v>2</v>
      </c>
      <c r="K16" s="26">
        <v>2</v>
      </c>
      <c r="L16" s="113">
        <v>2</v>
      </c>
      <c r="M16" s="48"/>
      <c r="N16" s="195">
        <v>0</v>
      </c>
      <c r="O16" s="195">
        <v>0</v>
      </c>
      <c r="P16" s="195">
        <v>0</v>
      </c>
      <c r="Q16" s="195">
        <v>0</v>
      </c>
      <c r="R16" s="195">
        <v>0</v>
      </c>
      <c r="S16" s="195">
        <v>0</v>
      </c>
      <c r="T16" s="195">
        <v>0</v>
      </c>
      <c r="U16" s="67">
        <f>SUM(N16:T16)</f>
        <v>0</v>
      </c>
      <c r="Y16" s="112">
        <f t="shared" si="1"/>
        <v>0</v>
      </c>
      <c r="Z16" s="112">
        <f t="shared" si="0"/>
        <v>2</v>
      </c>
      <c r="AA16" s="112">
        <f t="shared" si="0"/>
        <v>2</v>
      </c>
      <c r="AB16" s="112">
        <f t="shared" si="0"/>
        <v>2</v>
      </c>
      <c r="AC16" s="112">
        <f t="shared" si="0"/>
        <v>2</v>
      </c>
      <c r="AD16" s="112">
        <f t="shared" si="0"/>
        <v>2</v>
      </c>
      <c r="AE16" s="112">
        <f t="shared" si="0"/>
        <v>2</v>
      </c>
      <c r="AF16" s="48"/>
      <c r="AG16" s="195">
        <v>0</v>
      </c>
      <c r="AH16" s="195">
        <v>0</v>
      </c>
      <c r="AI16" s="195">
        <v>0</v>
      </c>
      <c r="AJ16" s="195">
        <v>0</v>
      </c>
      <c r="AK16" s="195">
        <v>0</v>
      </c>
      <c r="AL16" s="195">
        <v>0</v>
      </c>
      <c r="AM16" s="195">
        <v>0</v>
      </c>
      <c r="AN16" s="67">
        <f>SUM(AG16:AM16)</f>
        <v>0</v>
      </c>
    </row>
    <row r="17" spans="1:40" x14ac:dyDescent="0.25">
      <c r="A17" t="s">
        <v>41</v>
      </c>
      <c r="B17" s="16"/>
      <c r="C17" s="4"/>
      <c r="D17" s="4"/>
      <c r="E17" s="4"/>
      <c r="F17" s="113">
        <v>0</v>
      </c>
      <c r="G17" s="26">
        <v>2</v>
      </c>
      <c r="H17" s="113">
        <v>2</v>
      </c>
      <c r="I17" s="26">
        <v>2</v>
      </c>
      <c r="J17" s="113">
        <v>2</v>
      </c>
      <c r="K17" s="26">
        <v>2</v>
      </c>
      <c r="L17" s="113">
        <v>2</v>
      </c>
      <c r="M17" s="48"/>
      <c r="N17" s="195">
        <v>0</v>
      </c>
      <c r="O17" s="195">
        <v>0</v>
      </c>
      <c r="P17" s="195">
        <v>0</v>
      </c>
      <c r="Q17" s="195">
        <v>0</v>
      </c>
      <c r="R17" s="195">
        <v>0</v>
      </c>
      <c r="S17" s="195">
        <v>0</v>
      </c>
      <c r="T17" s="195">
        <v>0</v>
      </c>
      <c r="U17" s="67">
        <f t="shared" ref="U17:U24" si="2">SUM(N17:T17)</f>
        <v>0</v>
      </c>
      <c r="Y17" s="112">
        <f t="shared" si="1"/>
        <v>0</v>
      </c>
      <c r="Z17" s="112">
        <f t="shared" si="0"/>
        <v>2</v>
      </c>
      <c r="AA17" s="112">
        <f t="shared" si="0"/>
        <v>2</v>
      </c>
      <c r="AB17" s="112">
        <f t="shared" si="0"/>
        <v>2</v>
      </c>
      <c r="AC17" s="112">
        <f t="shared" si="0"/>
        <v>2</v>
      </c>
      <c r="AD17" s="112">
        <f t="shared" si="0"/>
        <v>2</v>
      </c>
      <c r="AE17" s="112">
        <f t="shared" si="0"/>
        <v>2</v>
      </c>
      <c r="AF17" s="48"/>
      <c r="AG17" s="195">
        <v>0</v>
      </c>
      <c r="AH17" s="195">
        <v>0</v>
      </c>
      <c r="AI17" s="195">
        <v>0</v>
      </c>
      <c r="AJ17" s="195">
        <v>0</v>
      </c>
      <c r="AK17" s="195">
        <v>0</v>
      </c>
      <c r="AL17" s="195">
        <v>0</v>
      </c>
      <c r="AM17" s="195">
        <v>0</v>
      </c>
      <c r="AN17" s="67">
        <f t="shared" ref="AN17:AN24" si="3">SUM(AG17:AM17)</f>
        <v>0</v>
      </c>
    </row>
    <row r="18" spans="1:40" x14ac:dyDescent="0.25">
      <c r="A18" t="s">
        <v>38</v>
      </c>
      <c r="B18" s="16"/>
      <c r="C18" s="4"/>
      <c r="D18" s="4"/>
      <c r="E18" s="4"/>
      <c r="F18" s="113">
        <v>0</v>
      </c>
      <c r="G18" s="26">
        <v>2</v>
      </c>
      <c r="H18" s="113">
        <v>2</v>
      </c>
      <c r="I18" s="26">
        <v>2</v>
      </c>
      <c r="J18" s="113">
        <v>2</v>
      </c>
      <c r="K18" s="26">
        <v>2</v>
      </c>
      <c r="L18" s="113">
        <v>2</v>
      </c>
      <c r="M18" s="48"/>
      <c r="N18" s="195">
        <v>0</v>
      </c>
      <c r="O18" s="195">
        <v>0</v>
      </c>
      <c r="P18" s="195">
        <v>0</v>
      </c>
      <c r="Q18" s="195">
        <v>0</v>
      </c>
      <c r="R18" s="195">
        <v>0</v>
      </c>
      <c r="S18" s="195">
        <v>0</v>
      </c>
      <c r="T18" s="195">
        <v>0</v>
      </c>
      <c r="U18" s="67">
        <f t="shared" si="2"/>
        <v>0</v>
      </c>
      <c r="Y18" s="112">
        <f t="shared" si="1"/>
        <v>0</v>
      </c>
      <c r="Z18" s="112">
        <f t="shared" si="0"/>
        <v>2</v>
      </c>
      <c r="AA18" s="112">
        <f t="shared" si="0"/>
        <v>2</v>
      </c>
      <c r="AB18" s="112">
        <f t="shared" si="0"/>
        <v>2</v>
      </c>
      <c r="AC18" s="112">
        <f t="shared" si="0"/>
        <v>2</v>
      </c>
      <c r="AD18" s="112">
        <f t="shared" si="0"/>
        <v>2</v>
      </c>
      <c r="AE18" s="112">
        <f t="shared" si="0"/>
        <v>2</v>
      </c>
      <c r="AF18" s="48"/>
      <c r="AG18" s="195">
        <v>0</v>
      </c>
      <c r="AH18" s="195">
        <v>0</v>
      </c>
      <c r="AI18" s="195">
        <v>0</v>
      </c>
      <c r="AJ18" s="195">
        <v>0</v>
      </c>
      <c r="AK18" s="195">
        <v>0</v>
      </c>
      <c r="AL18" s="195">
        <v>0</v>
      </c>
      <c r="AM18" s="195">
        <v>0</v>
      </c>
      <c r="AN18" s="67">
        <f t="shared" si="3"/>
        <v>0</v>
      </c>
    </row>
    <row r="19" spans="1:40" x14ac:dyDescent="0.25">
      <c r="A19" t="s">
        <v>35</v>
      </c>
      <c r="B19" s="16"/>
      <c r="C19" s="4"/>
      <c r="D19" s="4"/>
      <c r="E19" s="4"/>
      <c r="F19" s="113">
        <v>0</v>
      </c>
      <c r="G19" s="26">
        <v>2</v>
      </c>
      <c r="H19" s="113">
        <v>2</v>
      </c>
      <c r="I19" s="26">
        <v>2</v>
      </c>
      <c r="J19" s="113">
        <v>2</v>
      </c>
      <c r="K19" s="26">
        <v>2</v>
      </c>
      <c r="L19" s="113">
        <v>2</v>
      </c>
      <c r="M19" s="48"/>
      <c r="N19" s="195">
        <v>0</v>
      </c>
      <c r="O19" s="195">
        <v>0</v>
      </c>
      <c r="P19" s="195">
        <v>0</v>
      </c>
      <c r="Q19" s="195">
        <v>0</v>
      </c>
      <c r="R19" s="195">
        <v>0</v>
      </c>
      <c r="S19" s="195">
        <v>0</v>
      </c>
      <c r="T19" s="195">
        <v>0</v>
      </c>
      <c r="U19" s="67">
        <f t="shared" si="2"/>
        <v>0</v>
      </c>
      <c r="Y19" s="112">
        <f t="shared" si="1"/>
        <v>0</v>
      </c>
      <c r="Z19" s="112">
        <f t="shared" si="0"/>
        <v>2</v>
      </c>
      <c r="AA19" s="112">
        <f t="shared" si="0"/>
        <v>2</v>
      </c>
      <c r="AB19" s="112">
        <f t="shared" si="0"/>
        <v>2</v>
      </c>
      <c r="AC19" s="112">
        <f t="shared" si="0"/>
        <v>2</v>
      </c>
      <c r="AD19" s="112">
        <f t="shared" si="0"/>
        <v>2</v>
      </c>
      <c r="AE19" s="112">
        <f t="shared" si="0"/>
        <v>2</v>
      </c>
      <c r="AF19" s="48"/>
      <c r="AG19" s="195">
        <v>0</v>
      </c>
      <c r="AH19" s="195">
        <v>0</v>
      </c>
      <c r="AI19" s="195">
        <v>0</v>
      </c>
      <c r="AJ19" s="195">
        <v>0</v>
      </c>
      <c r="AK19" s="195">
        <v>0</v>
      </c>
      <c r="AL19" s="195">
        <v>0</v>
      </c>
      <c r="AM19" s="195">
        <v>0</v>
      </c>
      <c r="AN19" s="67">
        <f t="shared" si="3"/>
        <v>0</v>
      </c>
    </row>
    <row r="20" spans="1:40" x14ac:dyDescent="0.25">
      <c r="A20" t="s">
        <v>31</v>
      </c>
      <c r="B20" s="16"/>
      <c r="C20" s="4"/>
      <c r="D20" s="4"/>
      <c r="E20" s="4"/>
      <c r="F20" s="113">
        <v>0</v>
      </c>
      <c r="G20" s="26">
        <v>2</v>
      </c>
      <c r="H20" s="113">
        <v>2</v>
      </c>
      <c r="I20" s="26">
        <v>2</v>
      </c>
      <c r="J20" s="113">
        <v>2</v>
      </c>
      <c r="K20" s="26">
        <v>2</v>
      </c>
      <c r="L20" s="113">
        <v>2</v>
      </c>
      <c r="M20" s="48"/>
      <c r="N20" s="195">
        <v>0</v>
      </c>
      <c r="O20" s="195">
        <v>0</v>
      </c>
      <c r="P20" s="195">
        <v>0</v>
      </c>
      <c r="Q20" s="195">
        <v>0</v>
      </c>
      <c r="R20" s="195">
        <v>0</v>
      </c>
      <c r="S20" s="195">
        <v>0</v>
      </c>
      <c r="T20" s="195">
        <v>0</v>
      </c>
      <c r="U20" s="67">
        <f t="shared" si="2"/>
        <v>0</v>
      </c>
      <c r="Y20" s="112">
        <f t="shared" si="1"/>
        <v>0</v>
      </c>
      <c r="Z20" s="112">
        <f t="shared" si="0"/>
        <v>2</v>
      </c>
      <c r="AA20" s="112">
        <f t="shared" si="0"/>
        <v>2</v>
      </c>
      <c r="AB20" s="112">
        <f t="shared" si="0"/>
        <v>2</v>
      </c>
      <c r="AC20" s="112">
        <f t="shared" si="0"/>
        <v>2</v>
      </c>
      <c r="AD20" s="112">
        <f t="shared" si="0"/>
        <v>2</v>
      </c>
      <c r="AE20" s="112">
        <f t="shared" si="0"/>
        <v>2</v>
      </c>
      <c r="AF20" s="48"/>
      <c r="AG20" s="195">
        <v>0</v>
      </c>
      <c r="AH20" s="195">
        <v>0</v>
      </c>
      <c r="AI20" s="195">
        <v>0</v>
      </c>
      <c r="AJ20" s="195">
        <v>0</v>
      </c>
      <c r="AK20" s="195">
        <v>0</v>
      </c>
      <c r="AL20" s="195">
        <v>0</v>
      </c>
      <c r="AM20" s="195">
        <v>0</v>
      </c>
      <c r="AN20" s="67">
        <f t="shared" si="3"/>
        <v>0</v>
      </c>
    </row>
    <row r="21" spans="1:40" x14ac:dyDescent="0.25">
      <c r="A21" t="s">
        <v>43</v>
      </c>
      <c r="B21" s="16"/>
      <c r="C21" s="4"/>
      <c r="D21" s="4"/>
      <c r="E21" s="4"/>
      <c r="F21" s="113">
        <v>0</v>
      </c>
      <c r="G21" s="26">
        <v>2</v>
      </c>
      <c r="H21" s="113">
        <v>2</v>
      </c>
      <c r="I21" s="26">
        <v>2</v>
      </c>
      <c r="J21" s="113">
        <v>2</v>
      </c>
      <c r="K21" s="26">
        <v>2</v>
      </c>
      <c r="L21" s="113">
        <v>2</v>
      </c>
      <c r="M21" s="48"/>
      <c r="N21" s="195">
        <v>0</v>
      </c>
      <c r="O21" s="195">
        <v>0</v>
      </c>
      <c r="P21" s="195">
        <v>0</v>
      </c>
      <c r="Q21" s="195">
        <v>0</v>
      </c>
      <c r="R21" s="195">
        <v>0</v>
      </c>
      <c r="S21" s="195">
        <v>0</v>
      </c>
      <c r="T21" s="195">
        <v>0</v>
      </c>
      <c r="U21" s="67">
        <f t="shared" si="2"/>
        <v>0</v>
      </c>
      <c r="Y21" s="112">
        <f t="shared" si="1"/>
        <v>0</v>
      </c>
      <c r="Z21" s="112">
        <f t="shared" si="0"/>
        <v>2</v>
      </c>
      <c r="AA21" s="112">
        <f t="shared" si="0"/>
        <v>2</v>
      </c>
      <c r="AB21" s="112">
        <f t="shared" si="0"/>
        <v>2</v>
      </c>
      <c r="AC21" s="112">
        <f t="shared" si="0"/>
        <v>2</v>
      </c>
      <c r="AD21" s="112">
        <f t="shared" si="0"/>
        <v>2</v>
      </c>
      <c r="AE21" s="112">
        <f t="shared" si="0"/>
        <v>2</v>
      </c>
      <c r="AF21" s="48"/>
      <c r="AG21" s="195">
        <v>0</v>
      </c>
      <c r="AH21" s="195">
        <v>0</v>
      </c>
      <c r="AI21" s="195">
        <v>0</v>
      </c>
      <c r="AJ21" s="195">
        <v>0</v>
      </c>
      <c r="AK21" s="195">
        <v>0</v>
      </c>
      <c r="AL21" s="195">
        <v>0</v>
      </c>
      <c r="AM21" s="195">
        <v>0</v>
      </c>
      <c r="AN21" s="67">
        <f t="shared" si="3"/>
        <v>0</v>
      </c>
    </row>
    <row r="22" spans="1:40" x14ac:dyDescent="0.25">
      <c r="A22" t="s">
        <v>37</v>
      </c>
      <c r="B22" s="16"/>
      <c r="C22" s="4"/>
      <c r="D22" s="4"/>
      <c r="E22" s="4"/>
      <c r="F22" s="113">
        <v>0</v>
      </c>
      <c r="G22" s="26">
        <v>2</v>
      </c>
      <c r="H22" s="113">
        <v>2</v>
      </c>
      <c r="I22" s="26">
        <v>2</v>
      </c>
      <c r="J22" s="113">
        <v>2</v>
      </c>
      <c r="K22" s="26">
        <v>2</v>
      </c>
      <c r="L22" s="113">
        <v>2</v>
      </c>
      <c r="M22" s="48"/>
      <c r="N22" s="195">
        <v>0</v>
      </c>
      <c r="O22" s="195">
        <v>0</v>
      </c>
      <c r="P22" s="195">
        <v>0</v>
      </c>
      <c r="Q22" s="195">
        <v>0</v>
      </c>
      <c r="R22" s="195">
        <v>0</v>
      </c>
      <c r="S22" s="195">
        <v>0</v>
      </c>
      <c r="T22" s="195">
        <v>0</v>
      </c>
      <c r="U22" s="67">
        <f t="shared" si="2"/>
        <v>0</v>
      </c>
      <c r="Y22" s="112">
        <f t="shared" si="1"/>
        <v>0</v>
      </c>
      <c r="Z22" s="112">
        <f t="shared" si="0"/>
        <v>2</v>
      </c>
      <c r="AA22" s="112">
        <f t="shared" si="0"/>
        <v>2</v>
      </c>
      <c r="AB22" s="112">
        <f t="shared" si="0"/>
        <v>2</v>
      </c>
      <c r="AC22" s="112">
        <f t="shared" si="0"/>
        <v>2</v>
      </c>
      <c r="AD22" s="112">
        <f t="shared" si="0"/>
        <v>2</v>
      </c>
      <c r="AE22" s="112">
        <f t="shared" si="0"/>
        <v>2</v>
      </c>
      <c r="AF22" s="48"/>
      <c r="AG22" s="195">
        <v>0</v>
      </c>
      <c r="AH22" s="195">
        <v>0</v>
      </c>
      <c r="AI22" s="195">
        <v>0</v>
      </c>
      <c r="AJ22" s="195">
        <v>0</v>
      </c>
      <c r="AK22" s="195">
        <v>0</v>
      </c>
      <c r="AL22" s="195">
        <v>0</v>
      </c>
      <c r="AM22" s="195">
        <v>0</v>
      </c>
      <c r="AN22" s="67">
        <f t="shared" si="3"/>
        <v>0</v>
      </c>
    </row>
    <row r="23" spans="1:40" x14ac:dyDescent="0.25">
      <c r="A23" t="s">
        <v>36</v>
      </c>
      <c r="B23" s="16"/>
      <c r="C23" s="4"/>
      <c r="D23" s="4"/>
      <c r="E23" s="4"/>
      <c r="F23" s="113">
        <v>0</v>
      </c>
      <c r="G23" s="26">
        <v>2</v>
      </c>
      <c r="H23" s="113">
        <v>2</v>
      </c>
      <c r="I23" s="26">
        <v>2</v>
      </c>
      <c r="J23" s="113">
        <v>2</v>
      </c>
      <c r="K23" s="26">
        <v>2</v>
      </c>
      <c r="L23" s="113">
        <v>2</v>
      </c>
      <c r="M23" s="48"/>
      <c r="N23" s="195">
        <v>0</v>
      </c>
      <c r="O23" s="195">
        <v>0</v>
      </c>
      <c r="P23" s="195">
        <v>0</v>
      </c>
      <c r="Q23" s="195">
        <v>0</v>
      </c>
      <c r="R23" s="195">
        <v>0</v>
      </c>
      <c r="S23" s="195">
        <v>0</v>
      </c>
      <c r="T23" s="195">
        <v>0</v>
      </c>
      <c r="U23" s="67">
        <f t="shared" si="2"/>
        <v>0</v>
      </c>
      <c r="Y23" s="112">
        <f t="shared" si="1"/>
        <v>0</v>
      </c>
      <c r="Z23" s="112">
        <f t="shared" si="0"/>
        <v>2</v>
      </c>
      <c r="AA23" s="112">
        <f t="shared" si="0"/>
        <v>2</v>
      </c>
      <c r="AB23" s="112">
        <f t="shared" si="0"/>
        <v>2</v>
      </c>
      <c r="AC23" s="112">
        <f t="shared" si="0"/>
        <v>2</v>
      </c>
      <c r="AD23" s="112">
        <f t="shared" si="0"/>
        <v>2</v>
      </c>
      <c r="AE23" s="112">
        <f t="shared" si="0"/>
        <v>2</v>
      </c>
      <c r="AF23" s="48"/>
      <c r="AG23" s="195">
        <v>0</v>
      </c>
      <c r="AH23" s="195">
        <v>0</v>
      </c>
      <c r="AI23" s="195">
        <v>0</v>
      </c>
      <c r="AJ23" s="195">
        <v>0</v>
      </c>
      <c r="AK23" s="195">
        <v>0</v>
      </c>
      <c r="AL23" s="195">
        <v>0</v>
      </c>
      <c r="AM23" s="195">
        <v>0</v>
      </c>
      <c r="AN23" s="67">
        <f t="shared" si="3"/>
        <v>0</v>
      </c>
    </row>
    <row r="24" spans="1:40" x14ac:dyDescent="0.25">
      <c r="A24" t="s">
        <v>40</v>
      </c>
      <c r="B24" s="16" t="s">
        <v>335</v>
      </c>
      <c r="C24" s="4" t="s">
        <v>45</v>
      </c>
      <c r="D24" s="4">
        <v>17</v>
      </c>
      <c r="E24" s="4">
        <v>15</v>
      </c>
      <c r="F24" s="113">
        <v>0</v>
      </c>
      <c r="G24" s="26">
        <v>2</v>
      </c>
      <c r="H24" s="113">
        <v>5.7</v>
      </c>
      <c r="I24" s="26">
        <v>5.5</v>
      </c>
      <c r="J24" s="113">
        <v>5</v>
      </c>
      <c r="K24" s="26">
        <v>3</v>
      </c>
      <c r="L24" s="113">
        <v>2</v>
      </c>
      <c r="M24" s="48">
        <v>350</v>
      </c>
      <c r="N24" s="195">
        <v>0</v>
      </c>
      <c r="O24" s="195">
        <v>0</v>
      </c>
      <c r="P24" s="195">
        <v>11</v>
      </c>
      <c r="Q24" s="195">
        <f>5.5+1.5</f>
        <v>7</v>
      </c>
      <c r="R24" s="195">
        <v>7</v>
      </c>
      <c r="S24" s="195">
        <v>2</v>
      </c>
      <c r="T24" s="195">
        <v>0</v>
      </c>
      <c r="U24" s="67">
        <f t="shared" si="2"/>
        <v>27</v>
      </c>
      <c r="W24">
        <f>D24+1</f>
        <v>18</v>
      </c>
      <c r="X24">
        <f>E24+$X$7</f>
        <v>95.5</v>
      </c>
      <c r="Y24" s="112">
        <f t="shared" si="1"/>
        <v>0</v>
      </c>
      <c r="Z24" s="112">
        <f t="shared" si="0"/>
        <v>2</v>
      </c>
      <c r="AA24" s="112">
        <f t="shared" si="0"/>
        <v>5.7</v>
      </c>
      <c r="AB24" s="112">
        <v>9.5</v>
      </c>
      <c r="AC24" s="112">
        <f>8+3/5</f>
        <v>8.6</v>
      </c>
      <c r="AD24" s="112">
        <f t="shared" si="0"/>
        <v>3</v>
      </c>
      <c r="AE24" s="112">
        <f t="shared" si="0"/>
        <v>2</v>
      </c>
      <c r="AF24" s="48">
        <f>(2140+140+150)*1.008</f>
        <v>2449.44</v>
      </c>
      <c r="AG24" s="195">
        <f>N24</f>
        <v>0</v>
      </c>
      <c r="AH24" s="195">
        <f t="shared" ref="AH24:AM26" si="4">O24</f>
        <v>0</v>
      </c>
      <c r="AI24" s="195">
        <f t="shared" si="4"/>
        <v>11</v>
      </c>
      <c r="AJ24" s="40">
        <f>Q24+X9</f>
        <v>20.5</v>
      </c>
      <c r="AK24" s="195">
        <f>R24+X10</f>
        <v>21</v>
      </c>
      <c r="AL24" s="195">
        <f t="shared" si="4"/>
        <v>2</v>
      </c>
      <c r="AM24" s="195">
        <f t="shared" si="4"/>
        <v>0</v>
      </c>
      <c r="AN24" s="67">
        <f t="shared" si="3"/>
        <v>54.5</v>
      </c>
    </row>
    <row r="25" spans="1:40" x14ac:dyDescent="0.25">
      <c r="A25" t="s">
        <v>34</v>
      </c>
      <c r="B25" s="16" t="s">
        <v>336</v>
      </c>
      <c r="C25" s="4" t="s">
        <v>300</v>
      </c>
      <c r="D25" s="4">
        <v>17</v>
      </c>
      <c r="E25" s="4">
        <v>19</v>
      </c>
      <c r="F25" s="113">
        <v>0</v>
      </c>
      <c r="G25" s="26">
        <v>6</v>
      </c>
      <c r="H25" s="113">
        <v>3</v>
      </c>
      <c r="I25" s="26">
        <v>3</v>
      </c>
      <c r="J25" s="113">
        <v>5</v>
      </c>
      <c r="K25" s="26">
        <v>2</v>
      </c>
      <c r="L25" s="113">
        <v>0</v>
      </c>
      <c r="M25" s="48">
        <v>330</v>
      </c>
      <c r="N25" s="195">
        <v>0</v>
      </c>
      <c r="O25" s="195">
        <v>14</v>
      </c>
      <c r="P25" s="195">
        <v>3</v>
      </c>
      <c r="Q25" s="195">
        <v>1.5</v>
      </c>
      <c r="R25" s="195">
        <v>7</v>
      </c>
      <c r="S25" s="195">
        <v>0</v>
      </c>
      <c r="T25" s="195">
        <v>-2</v>
      </c>
      <c r="U25" s="67">
        <f>SUM(N25:T25)</f>
        <v>23.5</v>
      </c>
      <c r="W25">
        <f>D25+1</f>
        <v>18</v>
      </c>
      <c r="X25">
        <f>E25+$X$7</f>
        <v>99.5</v>
      </c>
      <c r="Y25" s="112">
        <f t="shared" si="1"/>
        <v>0</v>
      </c>
      <c r="Z25" s="112">
        <f t="shared" si="0"/>
        <v>6</v>
      </c>
      <c r="AA25" s="112">
        <f t="shared" si="0"/>
        <v>3</v>
      </c>
      <c r="AB25" s="112">
        <v>8</v>
      </c>
      <c r="AC25" s="112">
        <f>8+3/5</f>
        <v>8.6</v>
      </c>
      <c r="AD25" s="112">
        <f t="shared" si="0"/>
        <v>2</v>
      </c>
      <c r="AE25" s="112">
        <f t="shared" si="0"/>
        <v>0</v>
      </c>
      <c r="AF25" s="48">
        <f>(830+455+165)*1</f>
        <v>1450</v>
      </c>
      <c r="AG25" s="195">
        <f>N25</f>
        <v>0</v>
      </c>
      <c r="AH25" s="195">
        <f t="shared" si="4"/>
        <v>14</v>
      </c>
      <c r="AI25" s="195">
        <f t="shared" si="4"/>
        <v>3</v>
      </c>
      <c r="AJ25" s="40">
        <f>Q25+X9</f>
        <v>15</v>
      </c>
      <c r="AK25" s="195">
        <f>R25+X10</f>
        <v>21</v>
      </c>
      <c r="AL25" s="195">
        <f t="shared" si="4"/>
        <v>0</v>
      </c>
      <c r="AM25" s="195">
        <f t="shared" si="4"/>
        <v>-2</v>
      </c>
      <c r="AN25" s="67">
        <f>SUM(AG25:AM25)</f>
        <v>51</v>
      </c>
    </row>
    <row r="26" spans="1:40" x14ac:dyDescent="0.25">
      <c r="A26" t="s">
        <v>42</v>
      </c>
      <c r="B26" s="16" t="s">
        <v>337</v>
      </c>
      <c r="C26" s="4" t="s">
        <v>300</v>
      </c>
      <c r="D26" s="4">
        <v>17</v>
      </c>
      <c r="E26" s="4">
        <v>15</v>
      </c>
      <c r="F26" s="113">
        <v>0</v>
      </c>
      <c r="G26" s="26">
        <v>3</v>
      </c>
      <c r="H26" s="113">
        <v>5</v>
      </c>
      <c r="I26" s="26">
        <v>4</v>
      </c>
      <c r="J26" s="113">
        <v>4</v>
      </c>
      <c r="K26" s="26">
        <v>3</v>
      </c>
      <c r="L26" s="113">
        <v>0</v>
      </c>
      <c r="M26" s="48">
        <v>290</v>
      </c>
      <c r="N26" s="195">
        <v>0</v>
      </c>
      <c r="O26" s="195">
        <v>3</v>
      </c>
      <c r="P26" s="195">
        <v>9</v>
      </c>
      <c r="Q26" s="195">
        <v>3.5</v>
      </c>
      <c r="R26" s="195">
        <v>4</v>
      </c>
      <c r="S26" s="195">
        <v>2</v>
      </c>
      <c r="T26" s="195">
        <v>-2</v>
      </c>
      <c r="U26" s="67">
        <f>SUM(N26:T26)</f>
        <v>19.5</v>
      </c>
      <c r="W26">
        <f>D26+1</f>
        <v>18</v>
      </c>
      <c r="X26">
        <f>E26+$X$7</f>
        <v>95.5</v>
      </c>
      <c r="Y26" s="112">
        <f t="shared" si="1"/>
        <v>0</v>
      </c>
      <c r="Z26" s="112">
        <f t="shared" si="0"/>
        <v>3</v>
      </c>
      <c r="AA26" s="112">
        <f t="shared" si="0"/>
        <v>5</v>
      </c>
      <c r="AB26" s="112">
        <f>8+2.5/3</f>
        <v>8.8333333333333339</v>
      </c>
      <c r="AC26" s="112">
        <v>8</v>
      </c>
      <c r="AD26" s="112">
        <f t="shared" si="0"/>
        <v>3</v>
      </c>
      <c r="AE26" s="112">
        <f t="shared" si="0"/>
        <v>0</v>
      </c>
      <c r="AF26" s="48">
        <f>(1475+135+135)*1</f>
        <v>1745</v>
      </c>
      <c r="AG26" s="195">
        <f>N26</f>
        <v>0</v>
      </c>
      <c r="AH26" s="195">
        <f t="shared" si="4"/>
        <v>3</v>
      </c>
      <c r="AI26" s="195">
        <f t="shared" si="4"/>
        <v>9</v>
      </c>
      <c r="AJ26" s="195">
        <f>Q26+X10</f>
        <v>17.5</v>
      </c>
      <c r="AK26" s="195">
        <f>R26+X10</f>
        <v>18</v>
      </c>
      <c r="AL26" s="195">
        <f t="shared" si="4"/>
        <v>2</v>
      </c>
      <c r="AM26" s="195">
        <f t="shared" si="4"/>
        <v>-2</v>
      </c>
      <c r="AN26" s="67">
        <f>SUM(AG26:AM26)</f>
        <v>47.5</v>
      </c>
    </row>
    <row r="27" spans="1:40" x14ac:dyDescent="0.25">
      <c r="A27" t="s">
        <v>46</v>
      </c>
      <c r="B27" s="16"/>
      <c r="C27" s="4"/>
      <c r="D27" s="4"/>
      <c r="E27" s="4"/>
      <c r="F27" s="113">
        <v>0</v>
      </c>
      <c r="G27" s="26">
        <v>2</v>
      </c>
      <c r="H27" s="113">
        <v>2</v>
      </c>
      <c r="I27" s="26">
        <v>2</v>
      </c>
      <c r="J27" s="113">
        <v>2</v>
      </c>
      <c r="K27" s="26">
        <v>2</v>
      </c>
      <c r="L27" s="113">
        <v>2</v>
      </c>
      <c r="M27" s="48"/>
      <c r="N27" s="195">
        <v>0</v>
      </c>
      <c r="O27" s="195">
        <v>0</v>
      </c>
      <c r="P27" s="195">
        <v>0</v>
      </c>
      <c r="Q27" s="195">
        <v>0</v>
      </c>
      <c r="R27" s="195">
        <v>0</v>
      </c>
      <c r="S27" s="195">
        <v>0</v>
      </c>
      <c r="T27" s="195">
        <v>0</v>
      </c>
      <c r="U27" s="67">
        <f>SUM(N27:T27)</f>
        <v>0</v>
      </c>
      <c r="Y27" s="112">
        <f t="shared" si="1"/>
        <v>0</v>
      </c>
      <c r="Z27" s="112">
        <f t="shared" si="0"/>
        <v>2</v>
      </c>
      <c r="AA27" s="112">
        <f t="shared" si="0"/>
        <v>2</v>
      </c>
      <c r="AB27" s="112">
        <f t="shared" si="0"/>
        <v>2</v>
      </c>
      <c r="AC27" s="112">
        <f t="shared" si="0"/>
        <v>2</v>
      </c>
      <c r="AD27" s="112">
        <f t="shared" si="0"/>
        <v>2</v>
      </c>
      <c r="AE27" s="112">
        <f t="shared" si="0"/>
        <v>2</v>
      </c>
      <c r="AF27" s="48"/>
      <c r="AG27" s="195">
        <v>0</v>
      </c>
      <c r="AH27" s="195">
        <v>0</v>
      </c>
      <c r="AI27" s="195">
        <v>0</v>
      </c>
      <c r="AJ27" s="195">
        <v>0</v>
      </c>
      <c r="AK27" s="195">
        <v>0</v>
      </c>
      <c r="AL27" s="195">
        <v>0</v>
      </c>
      <c r="AM27" s="195">
        <v>0</v>
      </c>
      <c r="AN27" s="67">
        <f>SUM(AG27:AM27)</f>
        <v>0</v>
      </c>
    </row>
    <row r="28" spans="1:40" x14ac:dyDescent="0.25">
      <c r="A28" t="s">
        <v>338</v>
      </c>
      <c r="B28" s="16"/>
      <c r="C28" s="4"/>
      <c r="D28" s="4"/>
      <c r="E28" s="4"/>
      <c r="F28" s="113">
        <v>0</v>
      </c>
      <c r="G28" s="26">
        <v>2</v>
      </c>
      <c r="H28" s="113">
        <v>2</v>
      </c>
      <c r="I28" s="26">
        <v>2</v>
      </c>
      <c r="J28" s="113">
        <v>2</v>
      </c>
      <c r="K28" s="26">
        <v>2</v>
      </c>
      <c r="L28" s="113">
        <v>2</v>
      </c>
      <c r="M28" s="48"/>
      <c r="N28" s="195">
        <v>0</v>
      </c>
      <c r="O28" s="195">
        <v>0</v>
      </c>
      <c r="P28" s="195">
        <v>0</v>
      </c>
      <c r="Q28" s="195">
        <v>0</v>
      </c>
      <c r="R28" s="195">
        <v>0</v>
      </c>
      <c r="S28" s="195">
        <v>0</v>
      </c>
      <c r="T28" s="195">
        <v>0</v>
      </c>
      <c r="U28" s="67">
        <f>SUM(N28:T28)</f>
        <v>0</v>
      </c>
      <c r="Y28" s="112">
        <f t="shared" si="1"/>
        <v>0</v>
      </c>
      <c r="Z28" s="112">
        <f t="shared" si="0"/>
        <v>2</v>
      </c>
      <c r="AA28" s="112">
        <f t="shared" si="0"/>
        <v>2</v>
      </c>
      <c r="AB28" s="112">
        <f t="shared" si="0"/>
        <v>2</v>
      </c>
      <c r="AC28" s="112">
        <f t="shared" si="0"/>
        <v>2</v>
      </c>
      <c r="AD28" s="112">
        <f t="shared" si="0"/>
        <v>2</v>
      </c>
      <c r="AE28" s="112">
        <f t="shared" si="0"/>
        <v>2</v>
      </c>
      <c r="AF28" s="48"/>
      <c r="AG28" s="195">
        <v>0</v>
      </c>
      <c r="AH28" s="195">
        <v>0</v>
      </c>
      <c r="AI28" s="195">
        <v>0</v>
      </c>
      <c r="AJ28" s="195">
        <v>0</v>
      </c>
      <c r="AK28" s="195">
        <v>0</v>
      </c>
      <c r="AL28" s="195">
        <v>0</v>
      </c>
      <c r="AM28" s="195">
        <v>0</v>
      </c>
      <c r="AN28" s="67">
        <f>SUM(AG28:AM28)</f>
        <v>0</v>
      </c>
    </row>
    <row r="29" spans="1:40" x14ac:dyDescent="0.25">
      <c r="A29"/>
      <c r="B29"/>
      <c r="F29" s="195"/>
      <c r="G29" s="195"/>
      <c r="H29" s="195"/>
      <c r="I29" s="195"/>
      <c r="J29" s="195"/>
      <c r="K29" s="195"/>
      <c r="L29" s="195"/>
      <c r="M29" s="196">
        <f>SUM(M31:M45)</f>
        <v>15124.68</v>
      </c>
      <c r="N29" s="195"/>
      <c r="O29" s="195"/>
      <c r="P29" s="195"/>
      <c r="Q29" s="195"/>
      <c r="R29" s="195"/>
      <c r="S29" s="195"/>
      <c r="T29" s="195"/>
      <c r="U29" s="195"/>
      <c r="Y29" s="195"/>
      <c r="Z29" s="195"/>
      <c r="AA29" s="195"/>
      <c r="AB29" s="195"/>
      <c r="AC29" s="195"/>
      <c r="AD29" s="195"/>
      <c r="AE29" s="195"/>
      <c r="AF29" s="196">
        <f>SUM(AF31:AF45)</f>
        <v>42675.44</v>
      </c>
      <c r="AG29" s="195"/>
      <c r="AH29" s="195"/>
      <c r="AI29" s="195"/>
      <c r="AJ29" s="195"/>
      <c r="AK29" s="195"/>
      <c r="AL29" s="195"/>
      <c r="AM29" s="195"/>
      <c r="AN29" s="195"/>
    </row>
    <row r="30" spans="1:40" x14ac:dyDescent="0.25">
      <c r="A30" s="11" t="s">
        <v>171</v>
      </c>
      <c r="B30" s="11" t="s">
        <v>2</v>
      </c>
      <c r="C30" s="11" t="s">
        <v>85</v>
      </c>
      <c r="D30" s="11" t="s">
        <v>325</v>
      </c>
      <c r="E30" s="11" t="s">
        <v>326</v>
      </c>
      <c r="F30" s="11" t="s">
        <v>15</v>
      </c>
      <c r="G30" s="11" t="s">
        <v>16</v>
      </c>
      <c r="H30" s="11" t="s">
        <v>17</v>
      </c>
      <c r="I30" s="11" t="s">
        <v>18</v>
      </c>
      <c r="J30" s="11" t="s">
        <v>19</v>
      </c>
      <c r="K30" s="11" t="s">
        <v>20</v>
      </c>
      <c r="L30" s="11" t="s">
        <v>6</v>
      </c>
      <c r="M30" s="11" t="s">
        <v>69</v>
      </c>
      <c r="N30" s="11" t="s">
        <v>327</v>
      </c>
      <c r="O30" s="11" t="s">
        <v>328</v>
      </c>
      <c r="P30" s="11" t="s">
        <v>329</v>
      </c>
      <c r="Q30" s="11" t="s">
        <v>330</v>
      </c>
      <c r="R30" s="11" t="s">
        <v>331</v>
      </c>
      <c r="S30" s="11" t="s">
        <v>332</v>
      </c>
      <c r="T30" s="11" t="s">
        <v>333</v>
      </c>
      <c r="U30" s="11" t="s">
        <v>334</v>
      </c>
      <c r="W30" s="11" t="s">
        <v>325</v>
      </c>
      <c r="X30" s="11" t="s">
        <v>326</v>
      </c>
      <c r="Y30" s="11" t="s">
        <v>15</v>
      </c>
      <c r="Z30" s="11" t="s">
        <v>16</v>
      </c>
      <c r="AA30" s="11" t="s">
        <v>17</v>
      </c>
      <c r="AB30" s="11" t="s">
        <v>18</v>
      </c>
      <c r="AC30" s="11" t="s">
        <v>19</v>
      </c>
      <c r="AD30" s="11" t="s">
        <v>20</v>
      </c>
      <c r="AE30" s="11" t="s">
        <v>6</v>
      </c>
      <c r="AF30" s="11" t="s">
        <v>69</v>
      </c>
      <c r="AG30" s="11" t="s">
        <v>327</v>
      </c>
      <c r="AH30" s="11" t="s">
        <v>328</v>
      </c>
      <c r="AI30" s="11" t="s">
        <v>329</v>
      </c>
      <c r="AJ30" s="11" t="s">
        <v>330</v>
      </c>
      <c r="AK30" s="11" t="s">
        <v>331</v>
      </c>
      <c r="AL30" s="11" t="s">
        <v>332</v>
      </c>
      <c r="AM30" s="11" t="s">
        <v>333</v>
      </c>
      <c r="AN30" s="11" t="s">
        <v>334</v>
      </c>
    </row>
    <row r="31" spans="1:40" x14ac:dyDescent="0.25">
      <c r="A31" t="s">
        <v>29</v>
      </c>
      <c r="B31" s="16"/>
      <c r="C31" s="19"/>
      <c r="D31" s="19"/>
      <c r="E31" s="19"/>
      <c r="F31" s="112">
        <f>Y13</f>
        <v>2</v>
      </c>
      <c r="G31" s="112">
        <f t="shared" ref="G31:M46" si="5">Z13</f>
        <v>2</v>
      </c>
      <c r="H31" s="112">
        <f t="shared" si="5"/>
        <v>0</v>
      </c>
      <c r="I31" s="112">
        <f t="shared" si="5"/>
        <v>0</v>
      </c>
      <c r="J31" s="112">
        <f t="shared" si="5"/>
        <v>0</v>
      </c>
      <c r="K31" s="112">
        <f t="shared" si="5"/>
        <v>0</v>
      </c>
      <c r="L31" s="112">
        <f t="shared" si="5"/>
        <v>2</v>
      </c>
      <c r="M31" s="48"/>
      <c r="N31" s="195">
        <f>AG13</f>
        <v>0</v>
      </c>
      <c r="O31" s="195">
        <f t="shared" ref="O31:T46" si="6">AH13</f>
        <v>0</v>
      </c>
      <c r="P31" s="195">
        <f t="shared" si="6"/>
        <v>0</v>
      </c>
      <c r="Q31" s="195">
        <f t="shared" si="6"/>
        <v>0</v>
      </c>
      <c r="R31" s="195">
        <f t="shared" si="6"/>
        <v>0</v>
      </c>
      <c r="S31" s="195">
        <f t="shared" si="6"/>
        <v>0</v>
      </c>
      <c r="T31" s="195">
        <f t="shared" si="6"/>
        <v>0</v>
      </c>
      <c r="U31" s="67">
        <f>SUM(N31:T31)</f>
        <v>0</v>
      </c>
      <c r="Y31" s="112">
        <f>F31</f>
        <v>2</v>
      </c>
      <c r="Z31" s="112">
        <f t="shared" ref="Z31:AE46" si="7">G31</f>
        <v>2</v>
      </c>
      <c r="AA31" s="112">
        <f t="shared" si="7"/>
        <v>0</v>
      </c>
      <c r="AB31" s="112">
        <f t="shared" si="7"/>
        <v>0</v>
      </c>
      <c r="AC31" s="112">
        <f t="shared" si="7"/>
        <v>0</v>
      </c>
      <c r="AD31" s="112">
        <f t="shared" si="7"/>
        <v>0</v>
      </c>
      <c r="AE31" s="112">
        <f t="shared" si="7"/>
        <v>2</v>
      </c>
      <c r="AF31" s="48"/>
      <c r="AG31" s="195">
        <f>N31</f>
        <v>0</v>
      </c>
      <c r="AH31" s="195">
        <f t="shared" ref="AH31:AM46" si="8">O31</f>
        <v>0</v>
      </c>
      <c r="AI31" s="195">
        <f t="shared" si="8"/>
        <v>0</v>
      </c>
      <c r="AJ31" s="195">
        <f t="shared" si="8"/>
        <v>0</v>
      </c>
      <c r="AK31" s="195">
        <f t="shared" si="8"/>
        <v>0</v>
      </c>
      <c r="AL31" s="195">
        <f t="shared" si="8"/>
        <v>0</v>
      </c>
      <c r="AM31" s="195">
        <f t="shared" si="8"/>
        <v>0</v>
      </c>
      <c r="AN31" s="67">
        <f>SUM(AG31:AM31)</f>
        <v>0</v>
      </c>
    </row>
    <row r="32" spans="1:40" x14ac:dyDescent="0.25">
      <c r="A32" t="s">
        <v>32</v>
      </c>
      <c r="B32" s="16"/>
      <c r="C32" s="4"/>
      <c r="D32" s="4"/>
      <c r="E32" s="4"/>
      <c r="F32" s="112">
        <f t="shared" ref="F32:F46" si="9">Y14</f>
        <v>0</v>
      </c>
      <c r="G32" s="112">
        <f t="shared" si="5"/>
        <v>2</v>
      </c>
      <c r="H32" s="112">
        <f t="shared" si="5"/>
        <v>2</v>
      </c>
      <c r="I32" s="112">
        <f t="shared" si="5"/>
        <v>2</v>
      </c>
      <c r="J32" s="112">
        <f t="shared" si="5"/>
        <v>2</v>
      </c>
      <c r="K32" s="112">
        <f t="shared" si="5"/>
        <v>2</v>
      </c>
      <c r="L32" s="112">
        <f t="shared" si="5"/>
        <v>2</v>
      </c>
      <c r="M32" s="48"/>
      <c r="N32" s="195">
        <f t="shared" ref="N32:N46" si="10">AG14</f>
        <v>0</v>
      </c>
      <c r="O32" s="195">
        <f t="shared" si="6"/>
        <v>0</v>
      </c>
      <c r="P32" s="195">
        <f t="shared" si="6"/>
        <v>0</v>
      </c>
      <c r="Q32" s="195">
        <f t="shared" si="6"/>
        <v>0</v>
      </c>
      <c r="R32" s="195">
        <f t="shared" si="6"/>
        <v>0</v>
      </c>
      <c r="S32" s="195">
        <f t="shared" si="6"/>
        <v>0</v>
      </c>
      <c r="T32" s="195">
        <f t="shared" si="6"/>
        <v>0</v>
      </c>
      <c r="U32" s="67">
        <f>SUM(N32:T32)</f>
        <v>0</v>
      </c>
      <c r="Y32" s="112">
        <f t="shared" ref="Y32:Y46" si="11">F32</f>
        <v>0</v>
      </c>
      <c r="Z32" s="112">
        <f t="shared" si="7"/>
        <v>2</v>
      </c>
      <c r="AA32" s="112">
        <f t="shared" si="7"/>
        <v>2</v>
      </c>
      <c r="AB32" s="112">
        <f t="shared" si="7"/>
        <v>2</v>
      </c>
      <c r="AC32" s="112">
        <f t="shared" si="7"/>
        <v>2</v>
      </c>
      <c r="AD32" s="112">
        <f t="shared" si="7"/>
        <v>2</v>
      </c>
      <c r="AE32" s="112">
        <f t="shared" si="7"/>
        <v>2</v>
      </c>
      <c r="AF32" s="48"/>
      <c r="AG32" s="195">
        <f t="shared" ref="AG32:AG46" si="12">N32</f>
        <v>0</v>
      </c>
      <c r="AH32" s="195">
        <f t="shared" si="8"/>
        <v>0</v>
      </c>
      <c r="AI32" s="195">
        <f t="shared" si="8"/>
        <v>0</v>
      </c>
      <c r="AJ32" s="195">
        <f t="shared" si="8"/>
        <v>0</v>
      </c>
      <c r="AK32" s="195">
        <f t="shared" si="8"/>
        <v>0</v>
      </c>
      <c r="AL32" s="195">
        <f t="shared" si="8"/>
        <v>0</v>
      </c>
      <c r="AM32" s="195">
        <f t="shared" si="8"/>
        <v>0</v>
      </c>
      <c r="AN32" s="67">
        <f>SUM(AG32:AM32)</f>
        <v>0</v>
      </c>
    </row>
    <row r="33" spans="1:46" x14ac:dyDescent="0.25">
      <c r="A33" t="s">
        <v>33</v>
      </c>
      <c r="B33" s="16"/>
      <c r="C33" s="4"/>
      <c r="D33" s="4"/>
      <c r="E33" s="4"/>
      <c r="F33" s="112">
        <f t="shared" si="9"/>
        <v>0</v>
      </c>
      <c r="G33" s="112">
        <f t="shared" si="5"/>
        <v>2</v>
      </c>
      <c r="H33" s="112">
        <f t="shared" si="5"/>
        <v>2</v>
      </c>
      <c r="I33" s="112">
        <f t="shared" si="5"/>
        <v>2</v>
      </c>
      <c r="J33" s="112">
        <f t="shared" si="5"/>
        <v>2</v>
      </c>
      <c r="K33" s="112">
        <f t="shared" si="5"/>
        <v>2</v>
      </c>
      <c r="L33" s="112">
        <f t="shared" si="5"/>
        <v>2</v>
      </c>
      <c r="M33" s="48"/>
      <c r="N33" s="195">
        <f t="shared" si="10"/>
        <v>0</v>
      </c>
      <c r="O33" s="195">
        <f t="shared" si="6"/>
        <v>0</v>
      </c>
      <c r="P33" s="195">
        <f t="shared" si="6"/>
        <v>0</v>
      </c>
      <c r="Q33" s="195">
        <f t="shared" si="6"/>
        <v>0</v>
      </c>
      <c r="R33" s="195">
        <f t="shared" si="6"/>
        <v>0</v>
      </c>
      <c r="S33" s="195">
        <f t="shared" si="6"/>
        <v>0</v>
      </c>
      <c r="T33" s="195">
        <f t="shared" si="6"/>
        <v>0</v>
      </c>
      <c r="U33" s="67">
        <f>SUM(N33:T33)</f>
        <v>0</v>
      </c>
      <c r="Y33" s="112">
        <f t="shared" si="11"/>
        <v>0</v>
      </c>
      <c r="Z33" s="112">
        <f t="shared" si="7"/>
        <v>2</v>
      </c>
      <c r="AA33" s="112">
        <f t="shared" si="7"/>
        <v>2</v>
      </c>
      <c r="AB33" s="112">
        <f t="shared" si="7"/>
        <v>2</v>
      </c>
      <c r="AC33" s="112">
        <f t="shared" si="7"/>
        <v>2</v>
      </c>
      <c r="AD33" s="112">
        <f t="shared" si="7"/>
        <v>2</v>
      </c>
      <c r="AE33" s="112">
        <f t="shared" si="7"/>
        <v>2</v>
      </c>
      <c r="AF33" s="48"/>
      <c r="AG33" s="195">
        <f t="shared" si="12"/>
        <v>0</v>
      </c>
      <c r="AH33" s="195">
        <f t="shared" si="8"/>
        <v>0</v>
      </c>
      <c r="AI33" s="195">
        <f t="shared" si="8"/>
        <v>0</v>
      </c>
      <c r="AJ33" s="195">
        <f t="shared" si="8"/>
        <v>0</v>
      </c>
      <c r="AK33" s="195">
        <f t="shared" si="8"/>
        <v>0</v>
      </c>
      <c r="AL33" s="195">
        <f t="shared" si="8"/>
        <v>0</v>
      </c>
      <c r="AM33" s="195">
        <f t="shared" si="8"/>
        <v>0</v>
      </c>
      <c r="AN33" s="67">
        <f>SUM(AG33:AM33)</f>
        <v>0</v>
      </c>
    </row>
    <row r="34" spans="1:46" x14ac:dyDescent="0.25">
      <c r="A34" t="s">
        <v>39</v>
      </c>
      <c r="B34" s="16"/>
      <c r="C34" s="4"/>
      <c r="D34" s="4"/>
      <c r="E34" s="4"/>
      <c r="F34" s="112">
        <f t="shared" si="9"/>
        <v>0</v>
      </c>
      <c r="G34" s="112">
        <f t="shared" si="5"/>
        <v>2</v>
      </c>
      <c r="H34" s="112">
        <f t="shared" si="5"/>
        <v>2</v>
      </c>
      <c r="I34" s="112">
        <f t="shared" si="5"/>
        <v>2</v>
      </c>
      <c r="J34" s="112">
        <f t="shared" si="5"/>
        <v>2</v>
      </c>
      <c r="K34" s="112">
        <f t="shared" si="5"/>
        <v>2</v>
      </c>
      <c r="L34" s="112">
        <f t="shared" si="5"/>
        <v>2</v>
      </c>
      <c r="M34" s="48"/>
      <c r="N34" s="195">
        <f t="shared" si="10"/>
        <v>0</v>
      </c>
      <c r="O34" s="195">
        <f t="shared" si="6"/>
        <v>0</v>
      </c>
      <c r="P34" s="195">
        <f t="shared" si="6"/>
        <v>0</v>
      </c>
      <c r="Q34" s="195">
        <f t="shared" si="6"/>
        <v>0</v>
      </c>
      <c r="R34" s="195">
        <f t="shared" si="6"/>
        <v>0</v>
      </c>
      <c r="S34" s="195">
        <f t="shared" si="6"/>
        <v>0</v>
      </c>
      <c r="T34" s="195">
        <f t="shared" si="6"/>
        <v>0</v>
      </c>
      <c r="U34" s="67">
        <f>SUM(N34:T34)</f>
        <v>0</v>
      </c>
      <c r="Y34" s="112">
        <f t="shared" si="11"/>
        <v>0</v>
      </c>
      <c r="Z34" s="112">
        <f t="shared" si="7"/>
        <v>2</v>
      </c>
      <c r="AA34" s="112">
        <f t="shared" si="7"/>
        <v>2</v>
      </c>
      <c r="AB34" s="112">
        <f t="shared" si="7"/>
        <v>2</v>
      </c>
      <c r="AC34" s="112">
        <f t="shared" si="7"/>
        <v>2</v>
      </c>
      <c r="AD34" s="112">
        <f t="shared" si="7"/>
        <v>2</v>
      </c>
      <c r="AE34" s="112">
        <f t="shared" si="7"/>
        <v>2</v>
      </c>
      <c r="AF34" s="48"/>
      <c r="AG34" s="195">
        <f t="shared" si="12"/>
        <v>0</v>
      </c>
      <c r="AH34" s="195">
        <f t="shared" si="8"/>
        <v>0</v>
      </c>
      <c r="AI34" s="195">
        <f t="shared" si="8"/>
        <v>0</v>
      </c>
      <c r="AJ34" s="195">
        <f t="shared" si="8"/>
        <v>0</v>
      </c>
      <c r="AK34" s="195">
        <f t="shared" si="8"/>
        <v>0</v>
      </c>
      <c r="AL34" s="195">
        <f t="shared" si="8"/>
        <v>0</v>
      </c>
      <c r="AM34" s="195">
        <f t="shared" si="8"/>
        <v>0</v>
      </c>
      <c r="AN34" s="67">
        <f>SUM(AG34:AM34)</f>
        <v>0</v>
      </c>
    </row>
    <row r="35" spans="1:46" x14ac:dyDescent="0.25">
      <c r="A35" t="s">
        <v>41</v>
      </c>
      <c r="B35" s="16"/>
      <c r="C35" s="4"/>
      <c r="D35" s="4"/>
      <c r="E35" s="4"/>
      <c r="F35" s="112">
        <f t="shared" si="9"/>
        <v>0</v>
      </c>
      <c r="G35" s="112">
        <f t="shared" si="5"/>
        <v>2</v>
      </c>
      <c r="H35" s="112">
        <f t="shared" si="5"/>
        <v>2</v>
      </c>
      <c r="I35" s="112">
        <f t="shared" si="5"/>
        <v>2</v>
      </c>
      <c r="J35" s="112">
        <f t="shared" si="5"/>
        <v>2</v>
      </c>
      <c r="K35" s="112">
        <f t="shared" si="5"/>
        <v>2</v>
      </c>
      <c r="L35" s="112">
        <f t="shared" si="5"/>
        <v>2</v>
      </c>
      <c r="M35" s="48"/>
      <c r="N35" s="195">
        <f t="shared" si="10"/>
        <v>0</v>
      </c>
      <c r="O35" s="195">
        <f t="shared" si="6"/>
        <v>0</v>
      </c>
      <c r="P35" s="195">
        <f t="shared" si="6"/>
        <v>0</v>
      </c>
      <c r="Q35" s="195">
        <f t="shared" si="6"/>
        <v>0</v>
      </c>
      <c r="R35" s="195">
        <f t="shared" si="6"/>
        <v>0</v>
      </c>
      <c r="S35" s="195">
        <f t="shared" si="6"/>
        <v>0</v>
      </c>
      <c r="T35" s="195">
        <f t="shared" si="6"/>
        <v>0</v>
      </c>
      <c r="U35" s="67">
        <f t="shared" ref="U35:U42" si="13">SUM(N35:T35)</f>
        <v>0</v>
      </c>
      <c r="Y35" s="112">
        <f t="shared" si="11"/>
        <v>0</v>
      </c>
      <c r="Z35" s="112">
        <f t="shared" si="7"/>
        <v>2</v>
      </c>
      <c r="AA35" s="112">
        <f t="shared" si="7"/>
        <v>2</v>
      </c>
      <c r="AB35" s="112">
        <f t="shared" si="7"/>
        <v>2</v>
      </c>
      <c r="AC35" s="112">
        <f t="shared" si="7"/>
        <v>2</v>
      </c>
      <c r="AD35" s="112">
        <f t="shared" si="7"/>
        <v>2</v>
      </c>
      <c r="AE35" s="112">
        <f t="shared" si="7"/>
        <v>2</v>
      </c>
      <c r="AF35" s="48"/>
      <c r="AG35" s="195">
        <f t="shared" si="12"/>
        <v>0</v>
      </c>
      <c r="AH35" s="195">
        <f t="shared" si="8"/>
        <v>0</v>
      </c>
      <c r="AI35" s="195">
        <f t="shared" si="8"/>
        <v>0</v>
      </c>
      <c r="AJ35" s="195">
        <f t="shared" si="8"/>
        <v>0</v>
      </c>
      <c r="AK35" s="195">
        <f t="shared" si="8"/>
        <v>0</v>
      </c>
      <c r="AL35" s="195">
        <f t="shared" si="8"/>
        <v>0</v>
      </c>
      <c r="AM35" s="195">
        <f t="shared" si="8"/>
        <v>0</v>
      </c>
      <c r="AN35" s="67">
        <f t="shared" ref="AN35:AN42" si="14">SUM(AG35:AM35)</f>
        <v>0</v>
      </c>
    </row>
    <row r="36" spans="1:46" x14ac:dyDescent="0.25">
      <c r="A36" t="s">
        <v>38</v>
      </c>
      <c r="B36" s="16"/>
      <c r="C36" s="4"/>
      <c r="D36" s="4"/>
      <c r="E36" s="4"/>
      <c r="F36" s="112">
        <f t="shared" si="9"/>
        <v>0</v>
      </c>
      <c r="G36" s="112">
        <f t="shared" si="5"/>
        <v>2</v>
      </c>
      <c r="H36" s="112">
        <f t="shared" si="5"/>
        <v>2</v>
      </c>
      <c r="I36" s="112">
        <f t="shared" si="5"/>
        <v>2</v>
      </c>
      <c r="J36" s="112">
        <f t="shared" si="5"/>
        <v>2</v>
      </c>
      <c r="K36" s="112">
        <f t="shared" si="5"/>
        <v>2</v>
      </c>
      <c r="L36" s="112">
        <f t="shared" si="5"/>
        <v>2</v>
      </c>
      <c r="M36" s="48"/>
      <c r="N36" s="195">
        <f t="shared" si="10"/>
        <v>0</v>
      </c>
      <c r="O36" s="195">
        <f t="shared" si="6"/>
        <v>0</v>
      </c>
      <c r="P36" s="195">
        <f t="shared" si="6"/>
        <v>0</v>
      </c>
      <c r="Q36" s="195">
        <f t="shared" si="6"/>
        <v>0</v>
      </c>
      <c r="R36" s="195">
        <f t="shared" si="6"/>
        <v>0</v>
      </c>
      <c r="S36" s="195">
        <f t="shared" si="6"/>
        <v>0</v>
      </c>
      <c r="T36" s="195">
        <f t="shared" si="6"/>
        <v>0</v>
      </c>
      <c r="U36" s="67">
        <f t="shared" si="13"/>
        <v>0</v>
      </c>
      <c r="Y36" s="112">
        <f t="shared" si="11"/>
        <v>0</v>
      </c>
      <c r="Z36" s="112">
        <f t="shared" si="7"/>
        <v>2</v>
      </c>
      <c r="AA36" s="112">
        <f t="shared" si="7"/>
        <v>2</v>
      </c>
      <c r="AB36" s="112">
        <f t="shared" si="7"/>
        <v>2</v>
      </c>
      <c r="AC36" s="112">
        <f t="shared" si="7"/>
        <v>2</v>
      </c>
      <c r="AD36" s="112">
        <f t="shared" si="7"/>
        <v>2</v>
      </c>
      <c r="AE36" s="112">
        <f t="shared" si="7"/>
        <v>2</v>
      </c>
      <c r="AF36" s="48"/>
      <c r="AG36" s="195">
        <f t="shared" si="12"/>
        <v>0</v>
      </c>
      <c r="AH36" s="195">
        <f t="shared" si="8"/>
        <v>0</v>
      </c>
      <c r="AI36" s="195">
        <f t="shared" si="8"/>
        <v>0</v>
      </c>
      <c r="AJ36" s="195">
        <f t="shared" si="8"/>
        <v>0</v>
      </c>
      <c r="AK36" s="195">
        <f t="shared" si="8"/>
        <v>0</v>
      </c>
      <c r="AL36" s="195">
        <f t="shared" si="8"/>
        <v>0</v>
      </c>
      <c r="AM36" s="195">
        <f t="shared" si="8"/>
        <v>0</v>
      </c>
      <c r="AN36" s="67">
        <f t="shared" si="14"/>
        <v>0</v>
      </c>
    </row>
    <row r="37" spans="1:46" x14ac:dyDescent="0.25">
      <c r="A37" t="s">
        <v>35</v>
      </c>
      <c r="B37" s="16"/>
      <c r="C37" s="4"/>
      <c r="D37" s="4"/>
      <c r="E37" s="4"/>
      <c r="F37" s="112">
        <f t="shared" si="9"/>
        <v>0</v>
      </c>
      <c r="G37" s="112">
        <f t="shared" si="5"/>
        <v>2</v>
      </c>
      <c r="H37" s="112">
        <f t="shared" si="5"/>
        <v>2</v>
      </c>
      <c r="I37" s="112">
        <f t="shared" si="5"/>
        <v>2</v>
      </c>
      <c r="J37" s="112">
        <f t="shared" si="5"/>
        <v>2</v>
      </c>
      <c r="K37" s="112">
        <f t="shared" si="5"/>
        <v>2</v>
      </c>
      <c r="L37" s="112">
        <f t="shared" si="5"/>
        <v>2</v>
      </c>
      <c r="M37" s="48"/>
      <c r="N37" s="195">
        <f t="shared" si="10"/>
        <v>0</v>
      </c>
      <c r="O37" s="195">
        <f t="shared" si="6"/>
        <v>0</v>
      </c>
      <c r="P37" s="195">
        <f t="shared" si="6"/>
        <v>0</v>
      </c>
      <c r="Q37" s="195">
        <f t="shared" si="6"/>
        <v>0</v>
      </c>
      <c r="R37" s="195">
        <f t="shared" si="6"/>
        <v>0</v>
      </c>
      <c r="S37" s="195">
        <f t="shared" si="6"/>
        <v>0</v>
      </c>
      <c r="T37" s="195">
        <f t="shared" si="6"/>
        <v>0</v>
      </c>
      <c r="U37" s="67">
        <f t="shared" si="13"/>
        <v>0</v>
      </c>
      <c r="Y37" s="112">
        <f t="shared" si="11"/>
        <v>0</v>
      </c>
      <c r="Z37" s="112">
        <f t="shared" si="7"/>
        <v>2</v>
      </c>
      <c r="AA37" s="112">
        <f t="shared" si="7"/>
        <v>2</v>
      </c>
      <c r="AB37" s="112">
        <f t="shared" si="7"/>
        <v>2</v>
      </c>
      <c r="AC37" s="112">
        <f t="shared" si="7"/>
        <v>2</v>
      </c>
      <c r="AD37" s="112">
        <f t="shared" si="7"/>
        <v>2</v>
      </c>
      <c r="AE37" s="112">
        <f t="shared" si="7"/>
        <v>2</v>
      </c>
      <c r="AF37" s="48"/>
      <c r="AG37" s="195">
        <f t="shared" si="12"/>
        <v>0</v>
      </c>
      <c r="AH37" s="195">
        <f t="shared" si="8"/>
        <v>0</v>
      </c>
      <c r="AI37" s="195">
        <f t="shared" si="8"/>
        <v>0</v>
      </c>
      <c r="AJ37" s="195">
        <f t="shared" si="8"/>
        <v>0</v>
      </c>
      <c r="AK37" s="195">
        <f t="shared" si="8"/>
        <v>0</v>
      </c>
      <c r="AL37" s="195">
        <f t="shared" si="8"/>
        <v>0</v>
      </c>
      <c r="AM37" s="195">
        <f t="shared" si="8"/>
        <v>0</v>
      </c>
      <c r="AN37" s="67">
        <f t="shared" si="14"/>
        <v>0</v>
      </c>
      <c r="AP37" s="199" t="s">
        <v>91</v>
      </c>
      <c r="AQ37" s="199">
        <v>33</v>
      </c>
      <c r="AR37" s="199" t="s">
        <v>89</v>
      </c>
      <c r="AS37" s="199">
        <v>15</v>
      </c>
    </row>
    <row r="38" spans="1:46" x14ac:dyDescent="0.25">
      <c r="A38" t="s">
        <v>31</v>
      </c>
      <c r="B38" s="16"/>
      <c r="C38" s="4"/>
      <c r="D38" s="4"/>
      <c r="E38" s="4"/>
      <c r="F38" s="112">
        <f t="shared" si="9"/>
        <v>0</v>
      </c>
      <c r="G38" s="112">
        <f t="shared" si="5"/>
        <v>2</v>
      </c>
      <c r="H38" s="112">
        <f t="shared" si="5"/>
        <v>2</v>
      </c>
      <c r="I38" s="112">
        <f t="shared" si="5"/>
        <v>2</v>
      </c>
      <c r="J38" s="112">
        <f t="shared" si="5"/>
        <v>2</v>
      </c>
      <c r="K38" s="112">
        <f t="shared" si="5"/>
        <v>2</v>
      </c>
      <c r="L38" s="112">
        <f t="shared" si="5"/>
        <v>2</v>
      </c>
      <c r="M38" s="48"/>
      <c r="N38" s="195">
        <f t="shared" si="10"/>
        <v>0</v>
      </c>
      <c r="O38" s="195">
        <f t="shared" si="6"/>
        <v>0</v>
      </c>
      <c r="P38" s="195">
        <f t="shared" si="6"/>
        <v>0</v>
      </c>
      <c r="Q38" s="195">
        <f t="shared" si="6"/>
        <v>0</v>
      </c>
      <c r="R38" s="195">
        <f t="shared" si="6"/>
        <v>0</v>
      </c>
      <c r="S38" s="195">
        <f t="shared" si="6"/>
        <v>0</v>
      </c>
      <c r="T38" s="195">
        <f t="shared" si="6"/>
        <v>0</v>
      </c>
      <c r="U38" s="67">
        <f t="shared" si="13"/>
        <v>0</v>
      </c>
      <c r="Y38" s="112">
        <f t="shared" si="11"/>
        <v>0</v>
      </c>
      <c r="Z38" s="112">
        <f t="shared" si="7"/>
        <v>2</v>
      </c>
      <c r="AA38" s="112">
        <f t="shared" si="7"/>
        <v>2</v>
      </c>
      <c r="AB38" s="112">
        <f t="shared" si="7"/>
        <v>2</v>
      </c>
      <c r="AC38" s="112">
        <f t="shared" si="7"/>
        <v>2</v>
      </c>
      <c r="AD38" s="112">
        <f t="shared" si="7"/>
        <v>2</v>
      </c>
      <c r="AE38" s="112">
        <f t="shared" si="7"/>
        <v>2</v>
      </c>
      <c r="AF38" s="48"/>
      <c r="AG38" s="195">
        <f t="shared" si="12"/>
        <v>0</v>
      </c>
      <c r="AH38" s="195">
        <f t="shared" si="8"/>
        <v>0</v>
      </c>
      <c r="AI38" s="195">
        <f t="shared" si="8"/>
        <v>0</v>
      </c>
      <c r="AJ38" s="195">
        <f t="shared" si="8"/>
        <v>0</v>
      </c>
      <c r="AK38" s="195">
        <f t="shared" si="8"/>
        <v>0</v>
      </c>
      <c r="AL38" s="195">
        <f t="shared" si="8"/>
        <v>0</v>
      </c>
      <c r="AM38" s="195">
        <f t="shared" si="8"/>
        <v>0</v>
      </c>
      <c r="AN38" s="67">
        <f t="shared" si="14"/>
        <v>0</v>
      </c>
      <c r="AQ38">
        <f>AQ37*7</f>
        <v>231</v>
      </c>
      <c r="AS38">
        <f>AS37*7</f>
        <v>105</v>
      </c>
      <c r="AT38">
        <f>AQ38+AS38</f>
        <v>336</v>
      </c>
    </row>
    <row r="39" spans="1:46" x14ac:dyDescent="0.25">
      <c r="A39" t="s">
        <v>43</v>
      </c>
      <c r="B39" s="16" t="s">
        <v>339</v>
      </c>
      <c r="C39" s="4" t="s">
        <v>0</v>
      </c>
      <c r="D39" s="4">
        <v>18</v>
      </c>
      <c r="E39" s="4">
        <v>80</v>
      </c>
      <c r="F39" s="112">
        <f t="shared" si="9"/>
        <v>0</v>
      </c>
      <c r="G39" s="112">
        <v>7</v>
      </c>
      <c r="H39" s="112">
        <v>10</v>
      </c>
      <c r="I39" s="112">
        <f t="shared" si="5"/>
        <v>2</v>
      </c>
      <c r="J39" s="112">
        <f t="shared" si="5"/>
        <v>2</v>
      </c>
      <c r="K39" s="112">
        <f t="shared" si="5"/>
        <v>2</v>
      </c>
      <c r="L39" s="112">
        <f t="shared" si="5"/>
        <v>2</v>
      </c>
      <c r="M39" s="48">
        <f>(2910+225)*1.008</f>
        <v>3160.08</v>
      </c>
      <c r="N39" s="195">
        <f t="shared" si="10"/>
        <v>0</v>
      </c>
      <c r="O39" s="195">
        <v>18</v>
      </c>
      <c r="P39" s="195">
        <v>33</v>
      </c>
      <c r="Q39" s="195">
        <f t="shared" si="6"/>
        <v>0</v>
      </c>
      <c r="R39" s="195">
        <f t="shared" si="6"/>
        <v>0</v>
      </c>
      <c r="S39" s="195">
        <f t="shared" si="6"/>
        <v>0</v>
      </c>
      <c r="T39" s="195">
        <f t="shared" si="6"/>
        <v>0</v>
      </c>
      <c r="U39" s="67">
        <f t="shared" si="13"/>
        <v>51</v>
      </c>
      <c r="W39">
        <f t="shared" ref="W39:W44" si="15">D39+3</f>
        <v>21</v>
      </c>
      <c r="X39">
        <f t="shared" ref="X39:X44" si="16">E39+$AT$41</f>
        <v>80</v>
      </c>
      <c r="Y39" s="112">
        <f t="shared" si="11"/>
        <v>0</v>
      </c>
      <c r="Z39" s="112">
        <f t="shared" si="7"/>
        <v>7</v>
      </c>
      <c r="AA39" s="112">
        <v>12</v>
      </c>
      <c r="AB39" s="112">
        <f t="shared" si="7"/>
        <v>2</v>
      </c>
      <c r="AC39" s="112">
        <f t="shared" si="7"/>
        <v>2</v>
      </c>
      <c r="AD39" s="112">
        <v>10</v>
      </c>
      <c r="AE39" s="112">
        <f t="shared" si="7"/>
        <v>2</v>
      </c>
      <c r="AF39" s="48">
        <f>(8670+1315+225)*1.008</f>
        <v>10291.68</v>
      </c>
      <c r="AG39" s="195">
        <f t="shared" si="12"/>
        <v>0</v>
      </c>
      <c r="AH39" s="195">
        <f t="shared" si="8"/>
        <v>18</v>
      </c>
      <c r="AI39" s="195">
        <v>48</v>
      </c>
      <c r="AJ39" s="195">
        <f t="shared" si="8"/>
        <v>0</v>
      </c>
      <c r="AK39" s="195">
        <f t="shared" si="8"/>
        <v>0</v>
      </c>
      <c r="AL39" s="195">
        <v>33</v>
      </c>
      <c r="AM39" s="195">
        <f t="shared" si="8"/>
        <v>0</v>
      </c>
      <c r="AN39" s="67">
        <f t="shared" si="14"/>
        <v>99</v>
      </c>
      <c r="AQ39">
        <f>AQ38-112</f>
        <v>119</v>
      </c>
      <c r="AT39">
        <f>AT38-112</f>
        <v>224</v>
      </c>
    </row>
    <row r="40" spans="1:46" x14ac:dyDescent="0.25">
      <c r="A40" t="s">
        <v>37</v>
      </c>
      <c r="B40" s="16" t="s">
        <v>339</v>
      </c>
      <c r="C40" s="4" t="s">
        <v>0</v>
      </c>
      <c r="D40" s="4">
        <v>18</v>
      </c>
      <c r="E40" s="4">
        <v>80</v>
      </c>
      <c r="F40" s="112">
        <f t="shared" si="9"/>
        <v>0</v>
      </c>
      <c r="G40" s="112">
        <v>7</v>
      </c>
      <c r="H40" s="112">
        <v>10</v>
      </c>
      <c r="I40" s="112">
        <f t="shared" si="5"/>
        <v>2</v>
      </c>
      <c r="J40" s="112">
        <f t="shared" si="5"/>
        <v>2</v>
      </c>
      <c r="K40" s="112">
        <f t="shared" si="5"/>
        <v>2</v>
      </c>
      <c r="L40" s="112">
        <f t="shared" si="5"/>
        <v>2</v>
      </c>
      <c r="M40" s="48">
        <f>(2910+225)*1.008</f>
        <v>3160.08</v>
      </c>
      <c r="N40" s="195">
        <f t="shared" si="10"/>
        <v>0</v>
      </c>
      <c r="O40" s="195">
        <v>18</v>
      </c>
      <c r="P40" s="195">
        <v>33</v>
      </c>
      <c r="Q40" s="195">
        <f t="shared" si="6"/>
        <v>0</v>
      </c>
      <c r="R40" s="195">
        <f t="shared" si="6"/>
        <v>0</v>
      </c>
      <c r="S40" s="195">
        <f t="shared" si="6"/>
        <v>0</v>
      </c>
      <c r="T40" s="195">
        <f t="shared" si="6"/>
        <v>0</v>
      </c>
      <c r="U40" s="67">
        <f t="shared" si="13"/>
        <v>51</v>
      </c>
      <c r="W40">
        <f t="shared" si="15"/>
        <v>21</v>
      </c>
      <c r="X40">
        <f t="shared" si="16"/>
        <v>80</v>
      </c>
      <c r="Y40" s="112">
        <f t="shared" si="11"/>
        <v>0</v>
      </c>
      <c r="Z40" s="112">
        <f t="shared" si="7"/>
        <v>7</v>
      </c>
      <c r="AA40" s="112">
        <v>12</v>
      </c>
      <c r="AB40" s="112">
        <f t="shared" si="7"/>
        <v>2</v>
      </c>
      <c r="AC40" s="112">
        <f t="shared" si="7"/>
        <v>2</v>
      </c>
      <c r="AD40" s="112">
        <v>10</v>
      </c>
      <c r="AE40" s="112">
        <f t="shared" si="7"/>
        <v>2</v>
      </c>
      <c r="AF40" s="48">
        <f>AF39</f>
        <v>10291.68</v>
      </c>
      <c r="AG40" s="195">
        <f t="shared" si="12"/>
        <v>0</v>
      </c>
      <c r="AH40" s="195">
        <f t="shared" si="8"/>
        <v>18</v>
      </c>
      <c r="AI40" s="195">
        <v>48</v>
      </c>
      <c r="AJ40" s="195">
        <f t="shared" si="8"/>
        <v>0</v>
      </c>
      <c r="AK40" s="195">
        <f t="shared" si="8"/>
        <v>0</v>
      </c>
      <c r="AL40" s="195">
        <v>33</v>
      </c>
      <c r="AM40" s="195">
        <f t="shared" si="8"/>
        <v>0</v>
      </c>
      <c r="AN40" s="67">
        <f t="shared" si="14"/>
        <v>99</v>
      </c>
      <c r="AQ40">
        <f>AQ39-112</f>
        <v>7</v>
      </c>
      <c r="AT40">
        <f>AT39-112</f>
        <v>112</v>
      </c>
    </row>
    <row r="41" spans="1:46" x14ac:dyDescent="0.25">
      <c r="A41" t="s">
        <v>36</v>
      </c>
      <c r="B41" s="16" t="s">
        <v>339</v>
      </c>
      <c r="C41" s="4" t="s">
        <v>0</v>
      </c>
      <c r="D41" s="4">
        <v>18</v>
      </c>
      <c r="E41" s="4">
        <v>80</v>
      </c>
      <c r="F41" s="112">
        <f t="shared" si="9"/>
        <v>0</v>
      </c>
      <c r="G41" s="112">
        <v>7</v>
      </c>
      <c r="H41" s="112">
        <v>10</v>
      </c>
      <c r="I41" s="112">
        <f t="shared" si="5"/>
        <v>2</v>
      </c>
      <c r="J41" s="112">
        <f t="shared" si="5"/>
        <v>2</v>
      </c>
      <c r="K41" s="112">
        <f t="shared" si="5"/>
        <v>2</v>
      </c>
      <c r="L41" s="112">
        <f t="shared" si="5"/>
        <v>2</v>
      </c>
      <c r="M41" s="48">
        <f>(2910+225)*1.008</f>
        <v>3160.08</v>
      </c>
      <c r="N41" s="195">
        <f t="shared" si="10"/>
        <v>0</v>
      </c>
      <c r="O41" s="195">
        <v>18</v>
      </c>
      <c r="P41" s="195">
        <v>33</v>
      </c>
      <c r="Q41" s="195">
        <f t="shared" si="6"/>
        <v>0</v>
      </c>
      <c r="R41" s="195">
        <f t="shared" si="6"/>
        <v>0</v>
      </c>
      <c r="S41" s="195">
        <f t="shared" si="6"/>
        <v>0</v>
      </c>
      <c r="T41" s="195">
        <f t="shared" si="6"/>
        <v>0</v>
      </c>
      <c r="U41" s="67">
        <f t="shared" si="13"/>
        <v>51</v>
      </c>
      <c r="W41">
        <f t="shared" si="15"/>
        <v>21</v>
      </c>
      <c r="X41">
        <f t="shared" si="16"/>
        <v>80</v>
      </c>
      <c r="Y41" s="112">
        <f t="shared" si="11"/>
        <v>0</v>
      </c>
      <c r="Z41" s="112">
        <f t="shared" si="7"/>
        <v>7</v>
      </c>
      <c r="AA41" s="112">
        <v>12</v>
      </c>
      <c r="AB41" s="112">
        <f t="shared" si="7"/>
        <v>2</v>
      </c>
      <c r="AC41" s="112">
        <f t="shared" si="7"/>
        <v>2</v>
      </c>
      <c r="AD41" s="112">
        <v>10</v>
      </c>
      <c r="AE41" s="112">
        <f t="shared" si="7"/>
        <v>2</v>
      </c>
      <c r="AF41" s="48">
        <f>AF40</f>
        <v>10291.68</v>
      </c>
      <c r="AG41" s="195">
        <f t="shared" si="12"/>
        <v>0</v>
      </c>
      <c r="AH41" s="195">
        <f t="shared" si="8"/>
        <v>18</v>
      </c>
      <c r="AI41" s="195">
        <v>48</v>
      </c>
      <c r="AJ41" s="195">
        <f t="shared" si="8"/>
        <v>0</v>
      </c>
      <c r="AK41" s="195">
        <f t="shared" si="8"/>
        <v>0</v>
      </c>
      <c r="AL41" s="195">
        <v>33</v>
      </c>
      <c r="AM41" s="195">
        <f t="shared" si="8"/>
        <v>0</v>
      </c>
      <c r="AN41" s="67">
        <f t="shared" si="14"/>
        <v>99</v>
      </c>
      <c r="AT41">
        <f>AT40-112</f>
        <v>0</v>
      </c>
    </row>
    <row r="42" spans="1:46" x14ac:dyDescent="0.25">
      <c r="A42" t="s">
        <v>40</v>
      </c>
      <c r="B42" s="16" t="str">
        <f t="shared" ref="B42:C44" si="17">B24</f>
        <v>E. Cubas</v>
      </c>
      <c r="C42" s="4" t="str">
        <f t="shared" si="17"/>
        <v>RAP</v>
      </c>
      <c r="D42" s="4">
        <f t="shared" ref="D42:E44" si="18">W24</f>
        <v>18</v>
      </c>
      <c r="E42" s="4">
        <f t="shared" si="18"/>
        <v>95.5</v>
      </c>
      <c r="F42" s="112">
        <f t="shared" si="9"/>
        <v>0</v>
      </c>
      <c r="G42" s="112">
        <f t="shared" si="5"/>
        <v>2</v>
      </c>
      <c r="H42" s="112">
        <f t="shared" si="5"/>
        <v>5.7</v>
      </c>
      <c r="I42" s="112">
        <f t="shared" si="5"/>
        <v>9.5</v>
      </c>
      <c r="J42" s="112">
        <f t="shared" si="5"/>
        <v>8.6</v>
      </c>
      <c r="K42" s="112">
        <f t="shared" si="5"/>
        <v>3</v>
      </c>
      <c r="L42" s="112">
        <f t="shared" si="5"/>
        <v>2</v>
      </c>
      <c r="M42" s="48">
        <f>AF24</f>
        <v>2449.44</v>
      </c>
      <c r="N42" s="195">
        <f t="shared" si="10"/>
        <v>0</v>
      </c>
      <c r="O42" s="195">
        <f t="shared" si="6"/>
        <v>0</v>
      </c>
      <c r="P42" s="195">
        <f t="shared" si="6"/>
        <v>11</v>
      </c>
      <c r="Q42" s="195">
        <f t="shared" si="6"/>
        <v>20.5</v>
      </c>
      <c r="R42" s="195">
        <f t="shared" si="6"/>
        <v>21</v>
      </c>
      <c r="S42" s="195">
        <f t="shared" si="6"/>
        <v>2</v>
      </c>
      <c r="T42" s="195">
        <f t="shared" si="6"/>
        <v>0</v>
      </c>
      <c r="U42" s="67">
        <f t="shared" si="13"/>
        <v>54.5</v>
      </c>
      <c r="W42">
        <f t="shared" si="15"/>
        <v>21</v>
      </c>
      <c r="X42">
        <f t="shared" si="16"/>
        <v>95.5</v>
      </c>
      <c r="Y42" s="112">
        <f t="shared" si="11"/>
        <v>0</v>
      </c>
      <c r="Z42" s="112">
        <f t="shared" si="7"/>
        <v>2</v>
      </c>
      <c r="AA42" s="112">
        <v>9</v>
      </c>
      <c r="AB42" s="112">
        <f t="shared" si="7"/>
        <v>9.5</v>
      </c>
      <c r="AC42" s="112">
        <f t="shared" si="7"/>
        <v>8.6</v>
      </c>
      <c r="AD42" s="112">
        <f>10+2/7</f>
        <v>10.285714285714286</v>
      </c>
      <c r="AE42" s="112">
        <f t="shared" si="7"/>
        <v>2</v>
      </c>
      <c r="AF42" s="48">
        <f>(2850+620+170+785)*1.008</f>
        <v>4460.3999999999996</v>
      </c>
      <c r="AG42" s="195">
        <f t="shared" si="12"/>
        <v>0</v>
      </c>
      <c r="AH42" s="195">
        <f t="shared" si="8"/>
        <v>0</v>
      </c>
      <c r="AI42" s="195">
        <f>P42+15</f>
        <v>26</v>
      </c>
      <c r="AJ42" s="195">
        <f t="shared" si="8"/>
        <v>20.5</v>
      </c>
      <c r="AK42" s="195">
        <f t="shared" si="8"/>
        <v>21</v>
      </c>
      <c r="AL42" s="195">
        <f>2+33</f>
        <v>35</v>
      </c>
      <c r="AM42" s="195">
        <f t="shared" si="8"/>
        <v>0</v>
      </c>
      <c r="AN42" s="67">
        <f t="shared" si="14"/>
        <v>102.5</v>
      </c>
    </row>
    <row r="43" spans="1:46" x14ac:dyDescent="0.25">
      <c r="A43" t="s">
        <v>34</v>
      </c>
      <c r="B43" s="16" t="str">
        <f t="shared" si="17"/>
        <v>V. Gomis</v>
      </c>
      <c r="C43" s="4" t="str">
        <f t="shared" si="17"/>
        <v>IMP</v>
      </c>
      <c r="D43" s="4">
        <f t="shared" si="18"/>
        <v>18</v>
      </c>
      <c r="E43" s="4">
        <f t="shared" si="18"/>
        <v>99.5</v>
      </c>
      <c r="F43" s="112">
        <f t="shared" si="9"/>
        <v>0</v>
      </c>
      <c r="G43" s="112">
        <f t="shared" si="5"/>
        <v>6</v>
      </c>
      <c r="H43" s="112">
        <f t="shared" si="5"/>
        <v>3</v>
      </c>
      <c r="I43" s="112">
        <f t="shared" si="5"/>
        <v>8</v>
      </c>
      <c r="J43" s="112">
        <f t="shared" si="5"/>
        <v>8.6</v>
      </c>
      <c r="K43" s="112">
        <f t="shared" si="5"/>
        <v>2</v>
      </c>
      <c r="L43" s="112">
        <f t="shared" si="5"/>
        <v>0</v>
      </c>
      <c r="M43" s="48">
        <f t="shared" si="5"/>
        <v>1450</v>
      </c>
      <c r="N43" s="195">
        <f t="shared" si="10"/>
        <v>0</v>
      </c>
      <c r="O43" s="195">
        <f t="shared" si="6"/>
        <v>14</v>
      </c>
      <c r="P43" s="195">
        <f t="shared" si="6"/>
        <v>3</v>
      </c>
      <c r="Q43" s="195">
        <f t="shared" si="6"/>
        <v>15</v>
      </c>
      <c r="R43" s="195">
        <f t="shared" si="6"/>
        <v>21</v>
      </c>
      <c r="S43" s="195">
        <f t="shared" si="6"/>
        <v>0</v>
      </c>
      <c r="T43" s="195">
        <f t="shared" si="6"/>
        <v>-2</v>
      </c>
      <c r="U43" s="67">
        <f>SUM(N43:T43)</f>
        <v>51</v>
      </c>
      <c r="W43">
        <f t="shared" si="15"/>
        <v>21</v>
      </c>
      <c r="X43">
        <f t="shared" si="16"/>
        <v>99.5</v>
      </c>
      <c r="Y43" s="112">
        <f t="shared" si="11"/>
        <v>0</v>
      </c>
      <c r="Z43" s="112">
        <f t="shared" si="7"/>
        <v>6</v>
      </c>
      <c r="AA43" s="112">
        <v>7.5</v>
      </c>
      <c r="AB43" s="112">
        <f t="shared" si="7"/>
        <v>8</v>
      </c>
      <c r="AC43" s="112">
        <f t="shared" si="7"/>
        <v>8.6</v>
      </c>
      <c r="AD43" s="112">
        <v>10</v>
      </c>
      <c r="AE43" s="112">
        <f t="shared" si="7"/>
        <v>0</v>
      </c>
      <c r="AF43" s="48">
        <f>(2630+140+275+165+330)*1</f>
        <v>3540</v>
      </c>
      <c r="AG43" s="195">
        <f t="shared" si="12"/>
        <v>0</v>
      </c>
      <c r="AH43" s="195">
        <f t="shared" si="8"/>
        <v>14</v>
      </c>
      <c r="AI43" s="195">
        <f>P43+15</f>
        <v>18</v>
      </c>
      <c r="AJ43" s="195">
        <f t="shared" si="8"/>
        <v>15</v>
      </c>
      <c r="AK43" s="195">
        <f t="shared" si="8"/>
        <v>21</v>
      </c>
      <c r="AL43" s="195">
        <v>33</v>
      </c>
      <c r="AM43" s="195">
        <f t="shared" si="8"/>
        <v>-2</v>
      </c>
      <c r="AN43" s="67">
        <f>SUM(AG43:AM43)</f>
        <v>99</v>
      </c>
    </row>
    <row r="44" spans="1:46" x14ac:dyDescent="0.25">
      <c r="A44" t="s">
        <v>42</v>
      </c>
      <c r="B44" s="16" t="str">
        <f t="shared" si="17"/>
        <v>J.G. Peñuela</v>
      </c>
      <c r="C44" s="4" t="str">
        <f t="shared" si="17"/>
        <v>IMP</v>
      </c>
      <c r="D44" s="4">
        <f t="shared" si="18"/>
        <v>18</v>
      </c>
      <c r="E44" s="4">
        <f t="shared" si="18"/>
        <v>95.5</v>
      </c>
      <c r="F44" s="112">
        <f t="shared" si="9"/>
        <v>0</v>
      </c>
      <c r="G44" s="112">
        <f t="shared" si="5"/>
        <v>3</v>
      </c>
      <c r="H44" s="112">
        <f t="shared" si="5"/>
        <v>5</v>
      </c>
      <c r="I44" s="112">
        <f t="shared" si="5"/>
        <v>8.8333333333333339</v>
      </c>
      <c r="J44" s="112">
        <f t="shared" si="5"/>
        <v>8</v>
      </c>
      <c r="K44" s="112">
        <f t="shared" si="5"/>
        <v>3</v>
      </c>
      <c r="L44" s="112">
        <f t="shared" si="5"/>
        <v>0</v>
      </c>
      <c r="M44" s="48">
        <f t="shared" si="5"/>
        <v>1745</v>
      </c>
      <c r="N44" s="195">
        <f t="shared" si="10"/>
        <v>0</v>
      </c>
      <c r="O44" s="195">
        <f t="shared" si="6"/>
        <v>3</v>
      </c>
      <c r="P44" s="195">
        <f t="shared" si="6"/>
        <v>9</v>
      </c>
      <c r="Q44" s="195">
        <f t="shared" si="6"/>
        <v>17.5</v>
      </c>
      <c r="R44" s="195">
        <f t="shared" si="6"/>
        <v>18</v>
      </c>
      <c r="S44" s="195">
        <f t="shared" si="6"/>
        <v>2</v>
      </c>
      <c r="T44" s="195">
        <f t="shared" si="6"/>
        <v>-2</v>
      </c>
      <c r="U44" s="67">
        <f>SUM(N44:T44)</f>
        <v>47.5</v>
      </c>
      <c r="W44">
        <f t="shared" si="15"/>
        <v>21</v>
      </c>
      <c r="X44">
        <f t="shared" si="16"/>
        <v>95.5</v>
      </c>
      <c r="Y44" s="112">
        <f t="shared" si="11"/>
        <v>0</v>
      </c>
      <c r="Z44" s="112">
        <f t="shared" si="7"/>
        <v>3</v>
      </c>
      <c r="AA44" s="112">
        <f>8+3/5</f>
        <v>8.6</v>
      </c>
      <c r="AB44" s="112">
        <f t="shared" si="7"/>
        <v>8.8333333333333339</v>
      </c>
      <c r="AC44" s="112">
        <f t="shared" si="7"/>
        <v>8</v>
      </c>
      <c r="AD44" s="112">
        <f>AD42</f>
        <v>10.285714285714286</v>
      </c>
      <c r="AE44" s="112">
        <f t="shared" si="7"/>
        <v>0</v>
      </c>
      <c r="AF44" s="48">
        <f>(2630+135+420+615)*1</f>
        <v>3800</v>
      </c>
      <c r="AG44" s="195">
        <f t="shared" si="12"/>
        <v>0</v>
      </c>
      <c r="AH44" s="195">
        <f t="shared" si="8"/>
        <v>3</v>
      </c>
      <c r="AI44" s="195">
        <f>P44+15</f>
        <v>24</v>
      </c>
      <c r="AJ44" s="195">
        <f t="shared" si="8"/>
        <v>17.5</v>
      </c>
      <c r="AK44" s="195">
        <f t="shared" si="8"/>
        <v>18</v>
      </c>
      <c r="AL44" s="195">
        <f>2+33</f>
        <v>35</v>
      </c>
      <c r="AM44" s="195">
        <f t="shared" si="8"/>
        <v>-2</v>
      </c>
      <c r="AN44" s="67">
        <f>SUM(AG44:AM44)</f>
        <v>95.5</v>
      </c>
    </row>
    <row r="45" spans="1:46" x14ac:dyDescent="0.25">
      <c r="A45" t="s">
        <v>46</v>
      </c>
      <c r="B45" s="16"/>
      <c r="C45" s="4"/>
      <c r="D45" s="4"/>
      <c r="E45" s="4"/>
      <c r="F45" s="112">
        <f t="shared" si="9"/>
        <v>0</v>
      </c>
      <c r="G45" s="112">
        <f t="shared" si="5"/>
        <v>2</v>
      </c>
      <c r="H45" s="112">
        <f t="shared" si="5"/>
        <v>2</v>
      </c>
      <c r="I45" s="112">
        <f t="shared" si="5"/>
        <v>2</v>
      </c>
      <c r="J45" s="112">
        <f t="shared" si="5"/>
        <v>2</v>
      </c>
      <c r="K45" s="112">
        <f t="shared" si="5"/>
        <v>2</v>
      </c>
      <c r="L45" s="112">
        <f t="shared" si="5"/>
        <v>2</v>
      </c>
      <c r="M45" s="48"/>
      <c r="N45" s="195">
        <f t="shared" si="10"/>
        <v>0</v>
      </c>
      <c r="O45" s="195">
        <f t="shared" si="6"/>
        <v>0</v>
      </c>
      <c r="P45" s="195">
        <f t="shared" si="6"/>
        <v>0</v>
      </c>
      <c r="Q45" s="195">
        <f t="shared" si="6"/>
        <v>0</v>
      </c>
      <c r="R45" s="195">
        <f t="shared" si="6"/>
        <v>0</v>
      </c>
      <c r="S45" s="195">
        <f t="shared" si="6"/>
        <v>0</v>
      </c>
      <c r="T45" s="195">
        <f t="shared" si="6"/>
        <v>0</v>
      </c>
      <c r="U45" s="67">
        <f>SUM(N45:T45)</f>
        <v>0</v>
      </c>
      <c r="Y45" s="112">
        <f t="shared" si="11"/>
        <v>0</v>
      </c>
      <c r="Z45" s="112">
        <f t="shared" si="7"/>
        <v>2</v>
      </c>
      <c r="AA45" s="112">
        <f t="shared" si="7"/>
        <v>2</v>
      </c>
      <c r="AB45" s="112">
        <f t="shared" si="7"/>
        <v>2</v>
      </c>
      <c r="AC45" s="112">
        <f t="shared" si="7"/>
        <v>2</v>
      </c>
      <c r="AD45" s="112">
        <f t="shared" si="7"/>
        <v>2</v>
      </c>
      <c r="AE45" s="112">
        <f t="shared" si="7"/>
        <v>2</v>
      </c>
      <c r="AF45" s="48"/>
      <c r="AG45" s="195">
        <f t="shared" si="12"/>
        <v>0</v>
      </c>
      <c r="AH45" s="195">
        <f t="shared" si="8"/>
        <v>0</v>
      </c>
      <c r="AI45" s="195">
        <f t="shared" si="8"/>
        <v>0</v>
      </c>
      <c r="AJ45" s="195">
        <f t="shared" si="8"/>
        <v>0</v>
      </c>
      <c r="AK45" s="195">
        <f t="shared" si="8"/>
        <v>0</v>
      </c>
      <c r="AL45" s="195">
        <f t="shared" si="8"/>
        <v>0</v>
      </c>
      <c r="AM45" s="195">
        <f t="shared" si="8"/>
        <v>0</v>
      </c>
      <c r="AN45" s="67">
        <f>SUM(AG45:AM45)</f>
        <v>0</v>
      </c>
    </row>
    <row r="46" spans="1:46" x14ac:dyDescent="0.25">
      <c r="A46" t="s">
        <v>338</v>
      </c>
      <c r="B46" s="16"/>
      <c r="C46" s="4"/>
      <c r="D46" s="4"/>
      <c r="E46" s="4"/>
      <c r="F46" s="112">
        <f t="shared" si="9"/>
        <v>0</v>
      </c>
      <c r="G46" s="112">
        <f t="shared" si="5"/>
        <v>2</v>
      </c>
      <c r="H46" s="112">
        <f t="shared" si="5"/>
        <v>2</v>
      </c>
      <c r="I46" s="112">
        <f t="shared" si="5"/>
        <v>2</v>
      </c>
      <c r="J46" s="112">
        <f t="shared" si="5"/>
        <v>2</v>
      </c>
      <c r="K46" s="112">
        <f t="shared" si="5"/>
        <v>2</v>
      </c>
      <c r="L46" s="112">
        <f t="shared" si="5"/>
        <v>2</v>
      </c>
      <c r="M46" s="48"/>
      <c r="N46" s="195">
        <f t="shared" si="10"/>
        <v>0</v>
      </c>
      <c r="O46" s="195">
        <f t="shared" si="6"/>
        <v>0</v>
      </c>
      <c r="P46" s="195">
        <f t="shared" si="6"/>
        <v>0</v>
      </c>
      <c r="Q46" s="195">
        <f t="shared" si="6"/>
        <v>0</v>
      </c>
      <c r="R46" s="195">
        <f t="shared" si="6"/>
        <v>0</v>
      </c>
      <c r="S46" s="195">
        <f t="shared" si="6"/>
        <v>0</v>
      </c>
      <c r="T46" s="195">
        <f t="shared" si="6"/>
        <v>0</v>
      </c>
      <c r="U46" s="67">
        <f>SUM(N46:T46)</f>
        <v>0</v>
      </c>
      <c r="Y46" s="112">
        <f t="shared" si="11"/>
        <v>0</v>
      </c>
      <c r="Z46" s="112">
        <f t="shared" si="7"/>
        <v>2</v>
      </c>
      <c r="AA46" s="112">
        <f t="shared" si="7"/>
        <v>2</v>
      </c>
      <c r="AB46" s="112">
        <f t="shared" si="7"/>
        <v>2</v>
      </c>
      <c r="AC46" s="112">
        <f t="shared" si="7"/>
        <v>2</v>
      </c>
      <c r="AD46" s="112">
        <f t="shared" si="7"/>
        <v>2</v>
      </c>
      <c r="AE46" s="112">
        <f t="shared" si="7"/>
        <v>2</v>
      </c>
      <c r="AF46" s="48"/>
      <c r="AG46" s="195">
        <f t="shared" si="12"/>
        <v>0</v>
      </c>
      <c r="AH46" s="195">
        <f t="shared" si="8"/>
        <v>0</v>
      </c>
      <c r="AI46" s="195">
        <f t="shared" si="8"/>
        <v>0</v>
      </c>
      <c r="AJ46" s="195">
        <f t="shared" si="8"/>
        <v>0</v>
      </c>
      <c r="AK46" s="195">
        <f t="shared" si="8"/>
        <v>0</v>
      </c>
      <c r="AL46" s="195">
        <f t="shared" si="8"/>
        <v>0</v>
      </c>
      <c r="AM46" s="195">
        <f t="shared" si="8"/>
        <v>0</v>
      </c>
      <c r="AN46" s="67">
        <f>SUM(AG46:AM46)</f>
        <v>0</v>
      </c>
    </row>
    <row r="47" spans="1:46" x14ac:dyDescent="0.25">
      <c r="A47"/>
      <c r="B47"/>
      <c r="F47" s="195"/>
      <c r="G47" s="195"/>
      <c r="H47" s="195"/>
      <c r="I47" s="195"/>
      <c r="J47" s="195"/>
      <c r="K47" s="195"/>
      <c r="L47" s="195"/>
      <c r="M47" s="196">
        <f>SUM(M49:M63)</f>
        <v>64407.92</v>
      </c>
      <c r="N47" s="195"/>
      <c r="O47" s="195"/>
      <c r="P47" s="195"/>
      <c r="Q47" s="195"/>
      <c r="R47" s="195"/>
      <c r="S47" s="195"/>
      <c r="T47" s="195"/>
      <c r="U47" s="195"/>
      <c r="Y47" s="195"/>
      <c r="Z47" s="195"/>
      <c r="AA47" s="195"/>
      <c r="AB47" s="195"/>
      <c r="AC47" s="195"/>
      <c r="AD47" s="195"/>
      <c r="AE47" s="195"/>
      <c r="AF47" s="196">
        <f>SUM(AF49:AF63)</f>
        <v>89732.88</v>
      </c>
      <c r="AG47" s="195"/>
      <c r="AH47" s="195"/>
      <c r="AI47" s="195"/>
      <c r="AJ47" s="195"/>
      <c r="AK47" s="195"/>
      <c r="AL47" s="195"/>
      <c r="AM47" s="195"/>
      <c r="AN47" s="195"/>
    </row>
    <row r="48" spans="1:46" x14ac:dyDescent="0.25">
      <c r="A48" s="11" t="s">
        <v>171</v>
      </c>
      <c r="B48" s="11" t="s">
        <v>2</v>
      </c>
      <c r="C48" s="11" t="s">
        <v>85</v>
      </c>
      <c r="D48" s="11" t="s">
        <v>325</v>
      </c>
      <c r="E48" s="11" t="s">
        <v>326</v>
      </c>
      <c r="F48" s="11" t="s">
        <v>15</v>
      </c>
      <c r="G48" s="11" t="s">
        <v>16</v>
      </c>
      <c r="H48" s="11" t="s">
        <v>17</v>
      </c>
      <c r="I48" s="11" t="s">
        <v>18</v>
      </c>
      <c r="J48" s="11" t="s">
        <v>19</v>
      </c>
      <c r="K48" s="11" t="s">
        <v>20</v>
      </c>
      <c r="L48" s="11" t="s">
        <v>6</v>
      </c>
      <c r="M48" s="11" t="s">
        <v>69</v>
      </c>
      <c r="N48" s="11" t="s">
        <v>327</v>
      </c>
      <c r="O48" s="11" t="s">
        <v>328</v>
      </c>
      <c r="P48" s="11" t="s">
        <v>329</v>
      </c>
      <c r="Q48" s="11" t="s">
        <v>330</v>
      </c>
      <c r="R48" s="11" t="s">
        <v>331</v>
      </c>
      <c r="S48" s="11" t="s">
        <v>332</v>
      </c>
      <c r="T48" s="11" t="s">
        <v>333</v>
      </c>
      <c r="U48" s="11" t="s">
        <v>334</v>
      </c>
      <c r="W48" s="11" t="s">
        <v>325</v>
      </c>
      <c r="X48" s="11" t="s">
        <v>326</v>
      </c>
      <c r="Y48" s="11" t="s">
        <v>15</v>
      </c>
      <c r="Z48" s="11" t="s">
        <v>16</v>
      </c>
      <c r="AA48" s="11" t="s">
        <v>17</v>
      </c>
      <c r="AB48" s="11" t="s">
        <v>18</v>
      </c>
      <c r="AC48" s="11" t="s">
        <v>19</v>
      </c>
      <c r="AD48" s="11" t="s">
        <v>20</v>
      </c>
      <c r="AE48" s="11" t="s">
        <v>6</v>
      </c>
      <c r="AF48" s="11" t="s">
        <v>69</v>
      </c>
      <c r="AG48" s="11" t="s">
        <v>327</v>
      </c>
      <c r="AH48" s="11" t="s">
        <v>328</v>
      </c>
      <c r="AI48" s="11" t="s">
        <v>329</v>
      </c>
      <c r="AJ48" s="11" t="s">
        <v>330</v>
      </c>
      <c r="AK48" s="11" t="s">
        <v>331</v>
      </c>
      <c r="AL48" s="11" t="s">
        <v>332</v>
      </c>
      <c r="AM48" s="11" t="s">
        <v>333</v>
      </c>
      <c r="AN48" s="11" t="s">
        <v>334</v>
      </c>
    </row>
    <row r="49" spans="1:43" x14ac:dyDescent="0.25">
      <c r="A49" t="s">
        <v>29</v>
      </c>
      <c r="B49" s="16"/>
      <c r="C49" s="19"/>
      <c r="D49" s="19"/>
      <c r="E49" s="19"/>
      <c r="F49" s="112">
        <f>Y31</f>
        <v>2</v>
      </c>
      <c r="G49" s="112">
        <f t="shared" ref="G49:N64" si="19">Z31</f>
        <v>2</v>
      </c>
      <c r="H49" s="112">
        <f t="shared" si="19"/>
        <v>0</v>
      </c>
      <c r="I49" s="112">
        <f t="shared" si="19"/>
        <v>0</v>
      </c>
      <c r="J49" s="112">
        <f t="shared" si="19"/>
        <v>0</v>
      </c>
      <c r="K49" s="112">
        <f t="shared" si="19"/>
        <v>0</v>
      </c>
      <c r="L49" s="112">
        <f t="shared" si="19"/>
        <v>2</v>
      </c>
      <c r="M49" s="48"/>
      <c r="N49" s="195">
        <f>AG31</f>
        <v>0</v>
      </c>
      <c r="O49" s="195">
        <f t="shared" ref="O49:T64" si="20">AH31</f>
        <v>0</v>
      </c>
      <c r="P49" s="195">
        <f t="shared" si="20"/>
        <v>0</v>
      </c>
      <c r="Q49" s="195">
        <f t="shared" si="20"/>
        <v>0</v>
      </c>
      <c r="R49" s="195">
        <f t="shared" si="20"/>
        <v>0</v>
      </c>
      <c r="S49" s="195">
        <f t="shared" si="20"/>
        <v>0</v>
      </c>
      <c r="T49" s="195">
        <f t="shared" si="20"/>
        <v>0</v>
      </c>
      <c r="U49" s="67">
        <f>SUM(N49:T49)</f>
        <v>0</v>
      </c>
      <c r="Y49" s="112">
        <f>F49</f>
        <v>2</v>
      </c>
      <c r="Z49" s="112">
        <f t="shared" ref="Z49:AE64" si="21">G49</f>
        <v>2</v>
      </c>
      <c r="AA49" s="112">
        <f t="shared" si="21"/>
        <v>0</v>
      </c>
      <c r="AB49" s="112">
        <f t="shared" si="21"/>
        <v>0</v>
      </c>
      <c r="AC49" s="112">
        <f t="shared" si="21"/>
        <v>0</v>
      </c>
      <c r="AD49" s="112">
        <f t="shared" si="21"/>
        <v>0</v>
      </c>
      <c r="AE49" s="112">
        <f t="shared" si="21"/>
        <v>2</v>
      </c>
      <c r="AF49" s="48"/>
      <c r="AG49" s="195">
        <f>N49</f>
        <v>0</v>
      </c>
      <c r="AH49" s="195">
        <f t="shared" ref="AH49:AM64" si="22">O49</f>
        <v>0</v>
      </c>
      <c r="AI49" s="195">
        <f t="shared" si="22"/>
        <v>0</v>
      </c>
      <c r="AJ49" s="195">
        <f t="shared" si="22"/>
        <v>0</v>
      </c>
      <c r="AK49" s="195">
        <f t="shared" si="22"/>
        <v>0</v>
      </c>
      <c r="AL49" s="195">
        <f t="shared" si="22"/>
        <v>0</v>
      </c>
      <c r="AM49" s="195">
        <f t="shared" si="22"/>
        <v>0</v>
      </c>
      <c r="AN49" s="67">
        <f>SUM(AG49:AM49)</f>
        <v>0</v>
      </c>
    </row>
    <row r="50" spans="1:43" x14ac:dyDescent="0.25">
      <c r="A50" t="s">
        <v>32</v>
      </c>
      <c r="B50" s="16"/>
      <c r="C50" s="4"/>
      <c r="D50" s="4"/>
      <c r="E50" s="4"/>
      <c r="F50" s="112">
        <f t="shared" ref="F50:F64" si="23">Y32</f>
        <v>0</v>
      </c>
      <c r="G50" s="112">
        <f t="shared" si="19"/>
        <v>2</v>
      </c>
      <c r="H50" s="112">
        <f t="shared" si="19"/>
        <v>2</v>
      </c>
      <c r="I50" s="112">
        <f t="shared" si="19"/>
        <v>2</v>
      </c>
      <c r="J50" s="112">
        <f t="shared" si="19"/>
        <v>2</v>
      </c>
      <c r="K50" s="112">
        <f t="shared" si="19"/>
        <v>2</v>
      </c>
      <c r="L50" s="112">
        <f t="shared" si="19"/>
        <v>2</v>
      </c>
      <c r="M50" s="48"/>
      <c r="N50" s="195">
        <f t="shared" si="19"/>
        <v>0</v>
      </c>
      <c r="O50" s="195">
        <f t="shared" si="20"/>
        <v>0</v>
      </c>
      <c r="P50" s="195">
        <f t="shared" si="20"/>
        <v>0</v>
      </c>
      <c r="Q50" s="195">
        <f t="shared" si="20"/>
        <v>0</v>
      </c>
      <c r="R50" s="195">
        <f t="shared" si="20"/>
        <v>0</v>
      </c>
      <c r="S50" s="195">
        <f t="shared" si="20"/>
        <v>0</v>
      </c>
      <c r="T50" s="195">
        <f t="shared" si="20"/>
        <v>0</v>
      </c>
      <c r="U50" s="67">
        <f>SUM(N50:T50)</f>
        <v>0</v>
      </c>
      <c r="Y50" s="112">
        <f t="shared" ref="Y50:Y64" si="24">F50</f>
        <v>0</v>
      </c>
      <c r="Z50" s="112">
        <f t="shared" si="21"/>
        <v>2</v>
      </c>
      <c r="AA50" s="112">
        <f t="shared" si="21"/>
        <v>2</v>
      </c>
      <c r="AB50" s="112">
        <f t="shared" si="21"/>
        <v>2</v>
      </c>
      <c r="AC50" s="112">
        <f t="shared" si="21"/>
        <v>2</v>
      </c>
      <c r="AD50" s="112">
        <f t="shared" si="21"/>
        <v>2</v>
      </c>
      <c r="AE50" s="112">
        <f t="shared" si="21"/>
        <v>2</v>
      </c>
      <c r="AF50" s="48"/>
      <c r="AG50" s="195">
        <f t="shared" ref="AG50:AG64" si="25">N50</f>
        <v>0</v>
      </c>
      <c r="AH50" s="195">
        <f t="shared" si="22"/>
        <v>0</v>
      </c>
      <c r="AI50" s="195">
        <f t="shared" si="22"/>
        <v>0</v>
      </c>
      <c r="AJ50" s="195">
        <f t="shared" si="22"/>
        <v>0</v>
      </c>
      <c r="AK50" s="195">
        <f t="shared" si="22"/>
        <v>0</v>
      </c>
      <c r="AL50" s="195">
        <f t="shared" si="22"/>
        <v>0</v>
      </c>
      <c r="AM50" s="195">
        <f t="shared" si="22"/>
        <v>0</v>
      </c>
      <c r="AN50" s="67">
        <f>SUM(AG50:AM50)</f>
        <v>0</v>
      </c>
    </row>
    <row r="51" spans="1:43" x14ac:dyDescent="0.25">
      <c r="A51" t="s">
        <v>33</v>
      </c>
      <c r="B51" s="16"/>
      <c r="C51" s="4"/>
      <c r="D51" s="4"/>
      <c r="E51" s="4"/>
      <c r="F51" s="112">
        <f t="shared" si="23"/>
        <v>0</v>
      </c>
      <c r="G51" s="112">
        <f t="shared" si="19"/>
        <v>2</v>
      </c>
      <c r="H51" s="112">
        <f t="shared" si="19"/>
        <v>2</v>
      </c>
      <c r="I51" s="112">
        <f t="shared" si="19"/>
        <v>2</v>
      </c>
      <c r="J51" s="112">
        <f t="shared" si="19"/>
        <v>2</v>
      </c>
      <c r="K51" s="112">
        <f t="shared" si="19"/>
        <v>2</v>
      </c>
      <c r="L51" s="112">
        <f t="shared" si="19"/>
        <v>2</v>
      </c>
      <c r="M51" s="48"/>
      <c r="N51" s="195">
        <f t="shared" si="19"/>
        <v>0</v>
      </c>
      <c r="O51" s="195">
        <f t="shared" si="20"/>
        <v>0</v>
      </c>
      <c r="P51" s="195">
        <f t="shared" si="20"/>
        <v>0</v>
      </c>
      <c r="Q51" s="195">
        <f t="shared" si="20"/>
        <v>0</v>
      </c>
      <c r="R51" s="195">
        <f t="shared" si="20"/>
        <v>0</v>
      </c>
      <c r="S51" s="195">
        <f t="shared" si="20"/>
        <v>0</v>
      </c>
      <c r="T51" s="195">
        <f t="shared" si="20"/>
        <v>0</v>
      </c>
      <c r="U51" s="67">
        <f>SUM(N51:T51)</f>
        <v>0</v>
      </c>
      <c r="Y51" s="112">
        <f t="shared" si="24"/>
        <v>0</v>
      </c>
      <c r="Z51" s="112">
        <f t="shared" si="21"/>
        <v>2</v>
      </c>
      <c r="AA51" s="112">
        <f t="shared" si="21"/>
        <v>2</v>
      </c>
      <c r="AB51" s="112">
        <f t="shared" si="21"/>
        <v>2</v>
      </c>
      <c r="AC51" s="112">
        <f t="shared" si="21"/>
        <v>2</v>
      </c>
      <c r="AD51" s="112">
        <f t="shared" si="21"/>
        <v>2</v>
      </c>
      <c r="AE51" s="112">
        <f t="shared" si="21"/>
        <v>2</v>
      </c>
      <c r="AF51" s="48"/>
      <c r="AG51" s="195">
        <f t="shared" si="25"/>
        <v>0</v>
      </c>
      <c r="AH51" s="195">
        <f t="shared" si="22"/>
        <v>0</v>
      </c>
      <c r="AI51" s="195">
        <f t="shared" si="22"/>
        <v>0</v>
      </c>
      <c r="AJ51" s="195">
        <f t="shared" si="22"/>
        <v>0</v>
      </c>
      <c r="AK51" s="195">
        <f t="shared" si="22"/>
        <v>0</v>
      </c>
      <c r="AL51" s="195">
        <f t="shared" si="22"/>
        <v>0</v>
      </c>
      <c r="AM51" s="195">
        <f t="shared" si="22"/>
        <v>0</v>
      </c>
      <c r="AN51" s="67">
        <f>SUM(AG51:AM51)</f>
        <v>0</v>
      </c>
    </row>
    <row r="52" spans="1:43" x14ac:dyDescent="0.25">
      <c r="A52" t="s">
        <v>39</v>
      </c>
      <c r="B52" s="16"/>
      <c r="C52" s="4"/>
      <c r="D52" s="4"/>
      <c r="E52" s="4"/>
      <c r="F52" s="112">
        <f t="shared" si="23"/>
        <v>0</v>
      </c>
      <c r="G52" s="112">
        <f t="shared" si="19"/>
        <v>2</v>
      </c>
      <c r="H52" s="112">
        <f t="shared" si="19"/>
        <v>2</v>
      </c>
      <c r="I52" s="112">
        <f t="shared" si="19"/>
        <v>2</v>
      </c>
      <c r="J52" s="112">
        <f t="shared" si="19"/>
        <v>2</v>
      </c>
      <c r="K52" s="112">
        <f t="shared" si="19"/>
        <v>2</v>
      </c>
      <c r="L52" s="112">
        <f t="shared" si="19"/>
        <v>2</v>
      </c>
      <c r="M52" s="48"/>
      <c r="N52" s="195">
        <f t="shared" si="19"/>
        <v>0</v>
      </c>
      <c r="O52" s="195">
        <f t="shared" si="20"/>
        <v>0</v>
      </c>
      <c r="P52" s="195">
        <f t="shared" si="20"/>
        <v>0</v>
      </c>
      <c r="Q52" s="195">
        <f t="shared" si="20"/>
        <v>0</v>
      </c>
      <c r="R52" s="195">
        <f t="shared" si="20"/>
        <v>0</v>
      </c>
      <c r="S52" s="195">
        <f t="shared" si="20"/>
        <v>0</v>
      </c>
      <c r="T52" s="195">
        <f t="shared" si="20"/>
        <v>0</v>
      </c>
      <c r="U52" s="67">
        <f>SUM(N52:T52)</f>
        <v>0</v>
      </c>
      <c r="Y52" s="112">
        <f t="shared" si="24"/>
        <v>0</v>
      </c>
      <c r="Z52" s="112">
        <f t="shared" si="21"/>
        <v>2</v>
      </c>
      <c r="AA52" s="112">
        <f t="shared" si="21"/>
        <v>2</v>
      </c>
      <c r="AB52" s="112">
        <f t="shared" si="21"/>
        <v>2</v>
      </c>
      <c r="AC52" s="112">
        <f t="shared" si="21"/>
        <v>2</v>
      </c>
      <c r="AD52" s="112">
        <f t="shared" si="21"/>
        <v>2</v>
      </c>
      <c r="AE52" s="112">
        <f t="shared" si="21"/>
        <v>2</v>
      </c>
      <c r="AF52" s="48"/>
      <c r="AG52" s="195">
        <f t="shared" si="25"/>
        <v>0</v>
      </c>
      <c r="AH52" s="195">
        <f t="shared" si="22"/>
        <v>0</v>
      </c>
      <c r="AI52" s="195">
        <f t="shared" si="22"/>
        <v>0</v>
      </c>
      <c r="AJ52" s="195">
        <f t="shared" si="22"/>
        <v>0</v>
      </c>
      <c r="AK52" s="195">
        <f t="shared" si="22"/>
        <v>0</v>
      </c>
      <c r="AL52" s="195">
        <f t="shared" si="22"/>
        <v>0</v>
      </c>
      <c r="AM52" s="195">
        <f t="shared" si="22"/>
        <v>0</v>
      </c>
      <c r="AN52" s="67">
        <f>SUM(AG52:AM52)</f>
        <v>0</v>
      </c>
    </row>
    <row r="53" spans="1:43" x14ac:dyDescent="0.25">
      <c r="A53" t="s">
        <v>41</v>
      </c>
      <c r="B53" s="16" t="s">
        <v>340</v>
      </c>
      <c r="C53" s="4" t="s">
        <v>178</v>
      </c>
      <c r="D53" s="4">
        <v>21</v>
      </c>
      <c r="E53" s="4">
        <v>70</v>
      </c>
      <c r="F53" s="112">
        <f t="shared" si="23"/>
        <v>0</v>
      </c>
      <c r="G53" s="112">
        <v>9</v>
      </c>
      <c r="H53" s="112">
        <v>10</v>
      </c>
      <c r="I53" s="112">
        <f t="shared" si="19"/>
        <v>2</v>
      </c>
      <c r="J53" s="112">
        <f t="shared" si="19"/>
        <v>2</v>
      </c>
      <c r="K53" s="112">
        <v>10</v>
      </c>
      <c r="L53" s="112">
        <f t="shared" si="19"/>
        <v>2</v>
      </c>
      <c r="M53" s="48">
        <f>(2910+1315+1165)*1.008</f>
        <v>5433.12</v>
      </c>
      <c r="N53" s="195">
        <f t="shared" si="19"/>
        <v>0</v>
      </c>
      <c r="O53" s="195">
        <v>30</v>
      </c>
      <c r="P53" s="195">
        <v>33</v>
      </c>
      <c r="Q53" s="195">
        <f t="shared" si="20"/>
        <v>0</v>
      </c>
      <c r="R53" s="195">
        <f t="shared" si="20"/>
        <v>0</v>
      </c>
      <c r="S53" s="195">
        <v>33</v>
      </c>
      <c r="T53" s="195">
        <f t="shared" si="20"/>
        <v>0</v>
      </c>
      <c r="U53" s="67">
        <f t="shared" ref="U53:U60" si="26">SUM(N53:T53)</f>
        <v>96</v>
      </c>
      <c r="W53">
        <f>D53+2</f>
        <v>23</v>
      </c>
      <c r="X53">
        <f>E53+$AQ$56-112</f>
        <v>28</v>
      </c>
      <c r="Y53" s="112">
        <f t="shared" si="24"/>
        <v>0</v>
      </c>
      <c r="Z53" s="112">
        <v>12</v>
      </c>
      <c r="AA53" s="112">
        <f t="shared" si="21"/>
        <v>10</v>
      </c>
      <c r="AB53" s="112">
        <f t="shared" si="21"/>
        <v>2</v>
      </c>
      <c r="AC53" s="112">
        <f t="shared" si="21"/>
        <v>2</v>
      </c>
      <c r="AD53" s="112">
        <f t="shared" si="21"/>
        <v>10</v>
      </c>
      <c r="AE53" s="112">
        <f t="shared" si="21"/>
        <v>2</v>
      </c>
      <c r="AF53" s="48">
        <f>(7010+1455+1315)*1.008</f>
        <v>9858.24</v>
      </c>
      <c r="AG53" s="195">
        <f t="shared" si="25"/>
        <v>0</v>
      </c>
      <c r="AH53" s="195">
        <f>O53+$AQ$54</f>
        <v>56</v>
      </c>
      <c r="AI53" s="195">
        <f t="shared" si="22"/>
        <v>33</v>
      </c>
      <c r="AJ53" s="195">
        <f t="shared" si="22"/>
        <v>0</v>
      </c>
      <c r="AK53" s="195">
        <f t="shared" si="22"/>
        <v>0</v>
      </c>
      <c r="AL53" s="195">
        <f t="shared" si="22"/>
        <v>33</v>
      </c>
      <c r="AM53" s="195">
        <f t="shared" si="22"/>
        <v>0</v>
      </c>
      <c r="AN53" s="67">
        <f t="shared" ref="AN53:AN60" si="27">SUM(AG53:AM53)</f>
        <v>122</v>
      </c>
    </row>
    <row r="54" spans="1:43" x14ac:dyDescent="0.25">
      <c r="A54" t="s">
        <v>38</v>
      </c>
      <c r="B54" s="16" t="s">
        <v>340</v>
      </c>
      <c r="C54" s="4" t="s">
        <v>178</v>
      </c>
      <c r="D54" s="4">
        <v>21</v>
      </c>
      <c r="E54" s="4">
        <v>70</v>
      </c>
      <c r="F54" s="112">
        <f t="shared" si="23"/>
        <v>0</v>
      </c>
      <c r="G54" s="112">
        <v>9</v>
      </c>
      <c r="H54" s="112">
        <v>10</v>
      </c>
      <c r="I54" s="112">
        <f t="shared" si="19"/>
        <v>2</v>
      </c>
      <c r="J54" s="112">
        <f t="shared" si="19"/>
        <v>2</v>
      </c>
      <c r="K54" s="112">
        <v>10</v>
      </c>
      <c r="L54" s="112">
        <f t="shared" si="19"/>
        <v>2</v>
      </c>
      <c r="M54" s="48">
        <f>(2910+1315+1165)*1.008</f>
        <v>5433.12</v>
      </c>
      <c r="N54" s="195">
        <f t="shared" si="19"/>
        <v>0</v>
      </c>
      <c r="O54" s="195">
        <v>30</v>
      </c>
      <c r="P54" s="195">
        <v>33</v>
      </c>
      <c r="Q54" s="195">
        <f t="shared" si="20"/>
        <v>0</v>
      </c>
      <c r="R54" s="195">
        <f t="shared" si="20"/>
        <v>0</v>
      </c>
      <c r="S54" s="195">
        <v>33</v>
      </c>
      <c r="T54" s="195">
        <f t="shared" si="20"/>
        <v>0</v>
      </c>
      <c r="U54" s="67">
        <f t="shared" si="26"/>
        <v>96</v>
      </c>
      <c r="W54">
        <f t="shared" ref="W54:W59" si="28">D54+2</f>
        <v>23</v>
      </c>
      <c r="X54">
        <f t="shared" ref="X54:X59" si="29">E54+$AQ$56-112</f>
        <v>28</v>
      </c>
      <c r="Y54" s="112">
        <f t="shared" si="24"/>
        <v>0</v>
      </c>
      <c r="Z54" s="112">
        <v>12</v>
      </c>
      <c r="AA54" s="112">
        <f t="shared" si="21"/>
        <v>10</v>
      </c>
      <c r="AB54" s="112">
        <f t="shared" si="21"/>
        <v>2</v>
      </c>
      <c r="AC54" s="112">
        <f t="shared" si="21"/>
        <v>2</v>
      </c>
      <c r="AD54" s="112">
        <f t="shared" si="21"/>
        <v>10</v>
      </c>
      <c r="AE54" s="112">
        <f t="shared" si="21"/>
        <v>2</v>
      </c>
      <c r="AF54" s="48">
        <f>(7010+1455+1315)*1.008</f>
        <v>9858.24</v>
      </c>
      <c r="AG54" s="195">
        <f t="shared" si="25"/>
        <v>0</v>
      </c>
      <c r="AH54" s="195">
        <f t="shared" ref="AH54:AH62" si="30">O54+$AQ$54</f>
        <v>56</v>
      </c>
      <c r="AI54" s="195">
        <f t="shared" si="22"/>
        <v>33</v>
      </c>
      <c r="AJ54" s="195">
        <f t="shared" si="22"/>
        <v>0</v>
      </c>
      <c r="AK54" s="195">
        <f t="shared" si="22"/>
        <v>0</v>
      </c>
      <c r="AL54" s="195">
        <f t="shared" si="22"/>
        <v>33</v>
      </c>
      <c r="AM54" s="195">
        <f t="shared" si="22"/>
        <v>0</v>
      </c>
      <c r="AN54" s="67">
        <f t="shared" si="27"/>
        <v>122</v>
      </c>
      <c r="AP54" s="199" t="s">
        <v>30</v>
      </c>
      <c r="AQ54" s="199">
        <v>26</v>
      </c>
    </row>
    <row r="55" spans="1:43" x14ac:dyDescent="0.25">
      <c r="A55" t="s">
        <v>35</v>
      </c>
      <c r="B55" s="16" t="s">
        <v>340</v>
      </c>
      <c r="C55" s="4" t="s">
        <v>300</v>
      </c>
      <c r="D55" s="4">
        <v>21</v>
      </c>
      <c r="E55" s="4">
        <v>70</v>
      </c>
      <c r="F55" s="112">
        <f t="shared" si="23"/>
        <v>0</v>
      </c>
      <c r="G55" s="112">
        <v>9</v>
      </c>
      <c r="H55" s="112">
        <v>10</v>
      </c>
      <c r="I55" s="112">
        <f t="shared" si="19"/>
        <v>2</v>
      </c>
      <c r="J55" s="112">
        <f t="shared" si="19"/>
        <v>2</v>
      </c>
      <c r="K55" s="112">
        <v>10</v>
      </c>
      <c r="L55" s="112">
        <f t="shared" si="19"/>
        <v>2</v>
      </c>
      <c r="M55" s="48">
        <f>(2910+1315+1165)*1.008</f>
        <v>5433.12</v>
      </c>
      <c r="N55" s="195">
        <f t="shared" si="19"/>
        <v>0</v>
      </c>
      <c r="O55" s="195">
        <v>30</v>
      </c>
      <c r="P55" s="195">
        <v>33</v>
      </c>
      <c r="Q55" s="195">
        <f t="shared" si="20"/>
        <v>0</v>
      </c>
      <c r="R55" s="195">
        <f t="shared" si="20"/>
        <v>0</v>
      </c>
      <c r="S55" s="195">
        <v>33</v>
      </c>
      <c r="T55" s="195">
        <f t="shared" si="20"/>
        <v>0</v>
      </c>
      <c r="U55" s="67">
        <f t="shared" si="26"/>
        <v>96</v>
      </c>
      <c r="W55">
        <f t="shared" si="28"/>
        <v>23</v>
      </c>
      <c r="X55">
        <f t="shared" si="29"/>
        <v>28</v>
      </c>
      <c r="Y55" s="112">
        <f t="shared" si="24"/>
        <v>0</v>
      </c>
      <c r="Z55" s="112">
        <v>12</v>
      </c>
      <c r="AA55" s="112">
        <f t="shared" si="21"/>
        <v>10</v>
      </c>
      <c r="AB55" s="112">
        <f t="shared" si="21"/>
        <v>2</v>
      </c>
      <c r="AC55" s="112">
        <f t="shared" si="21"/>
        <v>2</v>
      </c>
      <c r="AD55" s="112">
        <f t="shared" si="21"/>
        <v>10</v>
      </c>
      <c r="AE55" s="112">
        <f t="shared" si="21"/>
        <v>2</v>
      </c>
      <c r="AF55" s="48">
        <f>(7010+1455+1315)*1.008</f>
        <v>9858.24</v>
      </c>
      <c r="AG55" s="195">
        <f t="shared" si="25"/>
        <v>0</v>
      </c>
      <c r="AH55" s="195">
        <f t="shared" si="30"/>
        <v>56</v>
      </c>
      <c r="AI55" s="195">
        <f t="shared" si="22"/>
        <v>33</v>
      </c>
      <c r="AJ55" s="195">
        <f t="shared" si="22"/>
        <v>0</v>
      </c>
      <c r="AK55" s="195">
        <f t="shared" si="22"/>
        <v>0</v>
      </c>
      <c r="AL55" s="195">
        <f t="shared" si="22"/>
        <v>33</v>
      </c>
      <c r="AM55" s="195">
        <f t="shared" si="22"/>
        <v>0</v>
      </c>
      <c r="AN55" s="67">
        <f t="shared" si="27"/>
        <v>122</v>
      </c>
      <c r="AQ55">
        <f>AQ54*7</f>
        <v>182</v>
      </c>
    </row>
    <row r="56" spans="1:43" x14ac:dyDescent="0.25">
      <c r="A56" t="s">
        <v>31</v>
      </c>
      <c r="B56" s="16" t="s">
        <v>340</v>
      </c>
      <c r="C56" s="4" t="s">
        <v>300</v>
      </c>
      <c r="D56" s="4">
        <v>21</v>
      </c>
      <c r="E56" s="4">
        <v>70</v>
      </c>
      <c r="F56" s="112">
        <f t="shared" si="23"/>
        <v>0</v>
      </c>
      <c r="G56" s="112">
        <v>9</v>
      </c>
      <c r="H56" s="112">
        <v>10</v>
      </c>
      <c r="I56" s="112">
        <f t="shared" si="19"/>
        <v>2</v>
      </c>
      <c r="J56" s="112">
        <f t="shared" si="19"/>
        <v>2</v>
      </c>
      <c r="K56" s="112">
        <v>10</v>
      </c>
      <c r="L56" s="112">
        <f t="shared" si="19"/>
        <v>2</v>
      </c>
      <c r="M56" s="48">
        <f>(2910+1315+1165)*1.008</f>
        <v>5433.12</v>
      </c>
      <c r="N56" s="195">
        <f t="shared" si="19"/>
        <v>0</v>
      </c>
      <c r="O56" s="195">
        <v>30</v>
      </c>
      <c r="P56" s="195">
        <v>33</v>
      </c>
      <c r="Q56" s="195">
        <f t="shared" si="20"/>
        <v>0</v>
      </c>
      <c r="R56" s="195">
        <f t="shared" si="20"/>
        <v>0</v>
      </c>
      <c r="S56" s="195">
        <v>33</v>
      </c>
      <c r="T56" s="195">
        <f t="shared" si="20"/>
        <v>0</v>
      </c>
      <c r="U56" s="67">
        <f t="shared" si="26"/>
        <v>96</v>
      </c>
      <c r="W56">
        <f t="shared" si="28"/>
        <v>23</v>
      </c>
      <c r="X56">
        <f t="shared" si="29"/>
        <v>28</v>
      </c>
      <c r="Y56" s="112">
        <f t="shared" si="24"/>
        <v>0</v>
      </c>
      <c r="Z56" s="112">
        <v>12</v>
      </c>
      <c r="AA56" s="112">
        <f t="shared" si="21"/>
        <v>10</v>
      </c>
      <c r="AB56" s="112">
        <f t="shared" si="21"/>
        <v>2</v>
      </c>
      <c r="AC56" s="112">
        <f t="shared" si="21"/>
        <v>2</v>
      </c>
      <c r="AD56" s="112">
        <f t="shared" si="21"/>
        <v>10</v>
      </c>
      <c r="AE56" s="112">
        <f t="shared" si="21"/>
        <v>2</v>
      </c>
      <c r="AF56" s="48">
        <f>(7010+1455+1315)*1.008</f>
        <v>9858.24</v>
      </c>
      <c r="AG56" s="195">
        <f t="shared" si="25"/>
        <v>0</v>
      </c>
      <c r="AH56" s="195">
        <f t="shared" si="30"/>
        <v>56</v>
      </c>
      <c r="AI56" s="195">
        <f t="shared" si="22"/>
        <v>33</v>
      </c>
      <c r="AJ56" s="195">
        <f t="shared" si="22"/>
        <v>0</v>
      </c>
      <c r="AK56" s="195">
        <f t="shared" si="22"/>
        <v>0</v>
      </c>
      <c r="AL56" s="195">
        <f t="shared" si="22"/>
        <v>33</v>
      </c>
      <c r="AM56" s="195">
        <f t="shared" si="22"/>
        <v>0</v>
      </c>
      <c r="AN56" s="67">
        <f t="shared" si="27"/>
        <v>122</v>
      </c>
      <c r="AQ56">
        <f>AQ55-112</f>
        <v>70</v>
      </c>
    </row>
    <row r="57" spans="1:43" x14ac:dyDescent="0.25">
      <c r="A57" t="s">
        <v>43</v>
      </c>
      <c r="B57" s="16" t="str">
        <f>B39</f>
        <v>Inner</v>
      </c>
      <c r="C57" s="4" t="str">
        <f>C39</f>
        <v>CAB</v>
      </c>
      <c r="D57" s="4">
        <f>W39</f>
        <v>21</v>
      </c>
      <c r="E57" s="4">
        <f>X39</f>
        <v>80</v>
      </c>
      <c r="F57" s="112">
        <f t="shared" si="23"/>
        <v>0</v>
      </c>
      <c r="G57" s="112">
        <f t="shared" si="19"/>
        <v>7</v>
      </c>
      <c r="H57" s="112">
        <f t="shared" si="19"/>
        <v>12</v>
      </c>
      <c r="I57" s="112">
        <f t="shared" si="19"/>
        <v>2</v>
      </c>
      <c r="J57" s="112">
        <f t="shared" si="19"/>
        <v>2</v>
      </c>
      <c r="K57" s="112">
        <f t="shared" si="19"/>
        <v>10</v>
      </c>
      <c r="L57" s="112">
        <f t="shared" si="19"/>
        <v>2</v>
      </c>
      <c r="M57" s="48">
        <f t="shared" si="19"/>
        <v>10291.68</v>
      </c>
      <c r="N57" s="195">
        <f t="shared" si="19"/>
        <v>0</v>
      </c>
      <c r="O57" s="195">
        <f t="shared" si="20"/>
        <v>18</v>
      </c>
      <c r="P57" s="195">
        <f t="shared" si="20"/>
        <v>48</v>
      </c>
      <c r="Q57" s="195">
        <f t="shared" si="20"/>
        <v>0</v>
      </c>
      <c r="R57" s="195">
        <f t="shared" si="20"/>
        <v>0</v>
      </c>
      <c r="S57" s="195">
        <f t="shared" si="20"/>
        <v>33</v>
      </c>
      <c r="T57" s="195">
        <f t="shared" si="20"/>
        <v>0</v>
      </c>
      <c r="U57" s="67">
        <f t="shared" si="26"/>
        <v>99</v>
      </c>
      <c r="W57">
        <f t="shared" si="28"/>
        <v>23</v>
      </c>
      <c r="X57">
        <f t="shared" si="29"/>
        <v>38</v>
      </c>
      <c r="Y57" s="112">
        <f t="shared" si="24"/>
        <v>0</v>
      </c>
      <c r="Z57" s="112">
        <f>10+7/9</f>
        <v>10.777777777777779</v>
      </c>
      <c r="AA57" s="112">
        <f t="shared" si="21"/>
        <v>12</v>
      </c>
      <c r="AB57" s="112">
        <f t="shared" si="21"/>
        <v>2</v>
      </c>
      <c r="AC57" s="112">
        <f t="shared" si="21"/>
        <v>2</v>
      </c>
      <c r="AD57" s="112">
        <f t="shared" si="21"/>
        <v>10</v>
      </c>
      <c r="AE57" s="112">
        <f t="shared" si="21"/>
        <v>2</v>
      </c>
      <c r="AF57" s="48">
        <f>(8670+1900+1315)*1.008</f>
        <v>11980.08</v>
      </c>
      <c r="AG57" s="195">
        <f t="shared" si="25"/>
        <v>0</v>
      </c>
      <c r="AH57" s="195">
        <f t="shared" si="30"/>
        <v>44</v>
      </c>
      <c r="AI57" s="195">
        <f t="shared" si="22"/>
        <v>48</v>
      </c>
      <c r="AJ57" s="195">
        <f t="shared" si="22"/>
        <v>0</v>
      </c>
      <c r="AK57" s="195">
        <f t="shared" si="22"/>
        <v>0</v>
      </c>
      <c r="AL57" s="195">
        <f t="shared" si="22"/>
        <v>33</v>
      </c>
      <c r="AM57" s="195">
        <f t="shared" si="22"/>
        <v>0</v>
      </c>
      <c r="AN57" s="67">
        <f t="shared" si="27"/>
        <v>125</v>
      </c>
    </row>
    <row r="58" spans="1:43" x14ac:dyDescent="0.25">
      <c r="A58" t="s">
        <v>37</v>
      </c>
      <c r="B58" s="16" t="str">
        <f t="shared" ref="B58:C62" si="31">B40</f>
        <v>Inner</v>
      </c>
      <c r="C58" s="4" t="str">
        <f t="shared" si="31"/>
        <v>CAB</v>
      </c>
      <c r="D58" s="4">
        <f t="shared" ref="D58:E62" si="32">W40</f>
        <v>21</v>
      </c>
      <c r="E58" s="4">
        <f t="shared" si="32"/>
        <v>80</v>
      </c>
      <c r="F58" s="112">
        <f t="shared" si="23"/>
        <v>0</v>
      </c>
      <c r="G58" s="112">
        <f t="shared" si="19"/>
        <v>7</v>
      </c>
      <c r="H58" s="112">
        <f t="shared" si="19"/>
        <v>12</v>
      </c>
      <c r="I58" s="112">
        <f t="shared" si="19"/>
        <v>2</v>
      </c>
      <c r="J58" s="112">
        <f t="shared" si="19"/>
        <v>2</v>
      </c>
      <c r="K58" s="112">
        <f t="shared" si="19"/>
        <v>10</v>
      </c>
      <c r="L58" s="112">
        <f t="shared" si="19"/>
        <v>2</v>
      </c>
      <c r="M58" s="48">
        <f t="shared" si="19"/>
        <v>10291.68</v>
      </c>
      <c r="N58" s="195">
        <f t="shared" si="19"/>
        <v>0</v>
      </c>
      <c r="O58" s="195">
        <f t="shared" si="20"/>
        <v>18</v>
      </c>
      <c r="P58" s="195">
        <f t="shared" si="20"/>
        <v>48</v>
      </c>
      <c r="Q58" s="195">
        <f t="shared" si="20"/>
        <v>0</v>
      </c>
      <c r="R58" s="195">
        <f t="shared" si="20"/>
        <v>0</v>
      </c>
      <c r="S58" s="195">
        <f t="shared" si="20"/>
        <v>33</v>
      </c>
      <c r="T58" s="195">
        <f t="shared" si="20"/>
        <v>0</v>
      </c>
      <c r="U58" s="67">
        <f t="shared" si="26"/>
        <v>99</v>
      </c>
      <c r="W58">
        <f t="shared" si="28"/>
        <v>23</v>
      </c>
      <c r="X58">
        <f t="shared" si="29"/>
        <v>38</v>
      </c>
      <c r="Y58" s="112">
        <f t="shared" si="24"/>
        <v>0</v>
      </c>
      <c r="Z58" s="112">
        <f>10+7/9</f>
        <v>10.777777777777779</v>
      </c>
      <c r="AA58" s="112">
        <f t="shared" si="21"/>
        <v>12</v>
      </c>
      <c r="AB58" s="112">
        <f t="shared" si="21"/>
        <v>2</v>
      </c>
      <c r="AC58" s="112">
        <f t="shared" si="21"/>
        <v>2</v>
      </c>
      <c r="AD58" s="112">
        <f t="shared" si="21"/>
        <v>10</v>
      </c>
      <c r="AE58" s="112">
        <f t="shared" si="21"/>
        <v>2</v>
      </c>
      <c r="AF58" s="48">
        <f>(8670+1900+1315)*1.008</f>
        <v>11980.08</v>
      </c>
      <c r="AG58" s="195">
        <f t="shared" si="25"/>
        <v>0</v>
      </c>
      <c r="AH58" s="195">
        <f t="shared" si="30"/>
        <v>44</v>
      </c>
      <c r="AI58" s="195">
        <f t="shared" si="22"/>
        <v>48</v>
      </c>
      <c r="AJ58" s="195">
        <f t="shared" si="22"/>
        <v>0</v>
      </c>
      <c r="AK58" s="195">
        <f t="shared" si="22"/>
        <v>0</v>
      </c>
      <c r="AL58" s="195">
        <f t="shared" si="22"/>
        <v>33</v>
      </c>
      <c r="AM58" s="195">
        <f t="shared" si="22"/>
        <v>0</v>
      </c>
      <c r="AN58" s="67">
        <f t="shared" si="27"/>
        <v>125</v>
      </c>
    </row>
    <row r="59" spans="1:43" x14ac:dyDescent="0.25">
      <c r="A59" t="s">
        <v>36</v>
      </c>
      <c r="B59" s="16" t="str">
        <f t="shared" si="31"/>
        <v>Inner</v>
      </c>
      <c r="C59" s="4" t="str">
        <f t="shared" si="31"/>
        <v>CAB</v>
      </c>
      <c r="D59" s="4">
        <f t="shared" si="32"/>
        <v>21</v>
      </c>
      <c r="E59" s="4">
        <f t="shared" si="32"/>
        <v>80</v>
      </c>
      <c r="F59" s="112">
        <f t="shared" si="23"/>
        <v>0</v>
      </c>
      <c r="G59" s="112">
        <f t="shared" si="19"/>
        <v>7</v>
      </c>
      <c r="H59" s="112">
        <f t="shared" si="19"/>
        <v>12</v>
      </c>
      <c r="I59" s="112">
        <f t="shared" si="19"/>
        <v>2</v>
      </c>
      <c r="J59" s="112">
        <f t="shared" si="19"/>
        <v>2</v>
      </c>
      <c r="K59" s="112">
        <f t="shared" si="19"/>
        <v>10</v>
      </c>
      <c r="L59" s="112">
        <f t="shared" si="19"/>
        <v>2</v>
      </c>
      <c r="M59" s="48">
        <f t="shared" si="19"/>
        <v>10291.68</v>
      </c>
      <c r="N59" s="195">
        <f t="shared" si="19"/>
        <v>0</v>
      </c>
      <c r="O59" s="195">
        <f t="shared" si="20"/>
        <v>18</v>
      </c>
      <c r="P59" s="195">
        <f t="shared" si="20"/>
        <v>48</v>
      </c>
      <c r="Q59" s="195">
        <f t="shared" si="20"/>
        <v>0</v>
      </c>
      <c r="R59" s="195">
        <f t="shared" si="20"/>
        <v>0</v>
      </c>
      <c r="S59" s="195">
        <f t="shared" si="20"/>
        <v>33</v>
      </c>
      <c r="T59" s="195">
        <f t="shared" si="20"/>
        <v>0</v>
      </c>
      <c r="U59" s="67">
        <f t="shared" si="26"/>
        <v>99</v>
      </c>
      <c r="W59">
        <f t="shared" si="28"/>
        <v>23</v>
      </c>
      <c r="X59">
        <f t="shared" si="29"/>
        <v>38</v>
      </c>
      <c r="Y59" s="112">
        <f t="shared" si="24"/>
        <v>0</v>
      </c>
      <c r="Z59" s="112">
        <f>10+7/9</f>
        <v>10.777777777777779</v>
      </c>
      <c r="AA59" s="112">
        <f t="shared" si="21"/>
        <v>12</v>
      </c>
      <c r="AB59" s="112">
        <f t="shared" si="21"/>
        <v>2</v>
      </c>
      <c r="AC59" s="112">
        <f t="shared" si="21"/>
        <v>2</v>
      </c>
      <c r="AD59" s="112">
        <f t="shared" si="21"/>
        <v>10</v>
      </c>
      <c r="AE59" s="112">
        <f t="shared" si="21"/>
        <v>2</v>
      </c>
      <c r="AF59" s="48">
        <f>(8670+1900+1315)*1.008</f>
        <v>11980.08</v>
      </c>
      <c r="AG59" s="195">
        <f t="shared" si="25"/>
        <v>0</v>
      </c>
      <c r="AH59" s="195">
        <f t="shared" si="30"/>
        <v>44</v>
      </c>
      <c r="AI59" s="195">
        <f t="shared" si="22"/>
        <v>48</v>
      </c>
      <c r="AJ59" s="195">
        <f t="shared" si="22"/>
        <v>0</v>
      </c>
      <c r="AK59" s="195">
        <f t="shared" si="22"/>
        <v>0</v>
      </c>
      <c r="AL59" s="195">
        <f t="shared" si="22"/>
        <v>33</v>
      </c>
      <c r="AM59" s="195">
        <f t="shared" si="22"/>
        <v>0</v>
      </c>
      <c r="AN59" s="67">
        <f t="shared" si="27"/>
        <v>125</v>
      </c>
    </row>
    <row r="60" spans="1:43" x14ac:dyDescent="0.25">
      <c r="A60" t="s">
        <v>40</v>
      </c>
      <c r="B60" s="16" t="str">
        <f t="shared" si="31"/>
        <v>E. Cubas</v>
      </c>
      <c r="C60" s="4" t="str">
        <f t="shared" si="31"/>
        <v>RAP</v>
      </c>
      <c r="D60" s="4">
        <f t="shared" si="32"/>
        <v>21</v>
      </c>
      <c r="E60" s="4">
        <f t="shared" si="32"/>
        <v>95.5</v>
      </c>
      <c r="F60" s="112">
        <f t="shared" si="23"/>
        <v>0</v>
      </c>
      <c r="G60" s="112">
        <f t="shared" si="19"/>
        <v>2</v>
      </c>
      <c r="H60" s="112">
        <f t="shared" si="19"/>
        <v>9</v>
      </c>
      <c r="I60" s="112">
        <f t="shared" si="19"/>
        <v>9.5</v>
      </c>
      <c r="J60" s="112">
        <f t="shared" si="19"/>
        <v>8.6</v>
      </c>
      <c r="K60" s="112">
        <f t="shared" si="19"/>
        <v>10.285714285714286</v>
      </c>
      <c r="L60" s="112">
        <f t="shared" si="19"/>
        <v>2</v>
      </c>
      <c r="M60" s="48">
        <f t="shared" si="19"/>
        <v>4460.3999999999996</v>
      </c>
      <c r="N60" s="195">
        <f t="shared" si="19"/>
        <v>0</v>
      </c>
      <c r="O60" s="195">
        <f t="shared" si="20"/>
        <v>0</v>
      </c>
      <c r="P60" s="195">
        <f t="shared" si="20"/>
        <v>26</v>
      </c>
      <c r="Q60" s="195">
        <f t="shared" si="20"/>
        <v>20.5</v>
      </c>
      <c r="R60" s="195">
        <f t="shared" si="20"/>
        <v>21</v>
      </c>
      <c r="S60" s="195">
        <f t="shared" si="20"/>
        <v>35</v>
      </c>
      <c r="T60" s="195">
        <f t="shared" si="20"/>
        <v>0</v>
      </c>
      <c r="U60" s="67">
        <f t="shared" si="26"/>
        <v>102.5</v>
      </c>
      <c r="W60">
        <f>D60+1+1</f>
        <v>23</v>
      </c>
      <c r="X60">
        <f>E60+$AQ$56-112</f>
        <v>53.5</v>
      </c>
      <c r="Y60" s="112">
        <f t="shared" si="24"/>
        <v>0</v>
      </c>
      <c r="Z60" s="112">
        <f>8+2/6</f>
        <v>8.3333333333333339</v>
      </c>
      <c r="AA60" s="112">
        <f t="shared" si="21"/>
        <v>9</v>
      </c>
      <c r="AB60" s="112">
        <f t="shared" si="21"/>
        <v>9.5</v>
      </c>
      <c r="AC60" s="112">
        <f t="shared" si="21"/>
        <v>8.6</v>
      </c>
      <c r="AD60" s="112">
        <f t="shared" si="21"/>
        <v>10.285714285714286</v>
      </c>
      <c r="AE60" s="112">
        <f t="shared" si="21"/>
        <v>2</v>
      </c>
      <c r="AF60" s="48">
        <f>(2900+140+620+785+515)*1.008</f>
        <v>4999.68</v>
      </c>
      <c r="AG60" s="195">
        <f t="shared" si="25"/>
        <v>0</v>
      </c>
      <c r="AH60" s="195">
        <f t="shared" si="30"/>
        <v>26</v>
      </c>
      <c r="AI60" s="195">
        <f t="shared" si="22"/>
        <v>26</v>
      </c>
      <c r="AJ60" s="195">
        <f t="shared" si="22"/>
        <v>20.5</v>
      </c>
      <c r="AK60" s="195">
        <f t="shared" si="22"/>
        <v>21</v>
      </c>
      <c r="AL60" s="195">
        <f t="shared" si="22"/>
        <v>35</v>
      </c>
      <c r="AM60" s="195">
        <f t="shared" si="22"/>
        <v>0</v>
      </c>
      <c r="AN60" s="67">
        <f t="shared" si="27"/>
        <v>128.5</v>
      </c>
    </row>
    <row r="61" spans="1:43" x14ac:dyDescent="0.25">
      <c r="A61" t="s">
        <v>34</v>
      </c>
      <c r="B61" s="16" t="str">
        <f t="shared" si="31"/>
        <v>V. Gomis</v>
      </c>
      <c r="C61" s="4" t="str">
        <f t="shared" si="31"/>
        <v>IMP</v>
      </c>
      <c r="D61" s="4">
        <f t="shared" si="32"/>
        <v>21</v>
      </c>
      <c r="E61" s="4">
        <f t="shared" si="32"/>
        <v>99.5</v>
      </c>
      <c r="F61" s="112">
        <f t="shared" si="23"/>
        <v>0</v>
      </c>
      <c r="G61" s="112">
        <f t="shared" si="19"/>
        <v>6</v>
      </c>
      <c r="H61" s="112">
        <f t="shared" si="19"/>
        <v>7.5</v>
      </c>
      <c r="I61" s="112">
        <f t="shared" si="19"/>
        <v>8</v>
      </c>
      <c r="J61" s="112">
        <f t="shared" si="19"/>
        <v>8.6</v>
      </c>
      <c r="K61" s="112">
        <f t="shared" si="19"/>
        <v>10</v>
      </c>
      <c r="L61" s="112">
        <f t="shared" si="19"/>
        <v>0</v>
      </c>
      <c r="M61" s="48">
        <f t="shared" si="19"/>
        <v>3540</v>
      </c>
      <c r="N61" s="195">
        <f t="shared" si="19"/>
        <v>0</v>
      </c>
      <c r="O61" s="195">
        <f t="shared" si="20"/>
        <v>14</v>
      </c>
      <c r="P61" s="195">
        <f t="shared" si="20"/>
        <v>18</v>
      </c>
      <c r="Q61" s="195">
        <f t="shared" si="20"/>
        <v>15</v>
      </c>
      <c r="R61" s="195">
        <f t="shared" si="20"/>
        <v>21</v>
      </c>
      <c r="S61" s="195">
        <f t="shared" si="20"/>
        <v>33</v>
      </c>
      <c r="T61" s="195">
        <f t="shared" si="20"/>
        <v>-2</v>
      </c>
      <c r="U61" s="67">
        <f>SUM(N61:T61)</f>
        <v>99</v>
      </c>
      <c r="W61">
        <f>D61+1+1</f>
        <v>23</v>
      </c>
      <c r="X61">
        <f>E61+$AQ$56-112</f>
        <v>57.5</v>
      </c>
      <c r="Y61" s="112">
        <f t="shared" si="24"/>
        <v>0</v>
      </c>
      <c r="Z61" s="112">
        <f>10+3/9</f>
        <v>10.333333333333334</v>
      </c>
      <c r="AA61" s="112">
        <f t="shared" si="21"/>
        <v>7.5</v>
      </c>
      <c r="AB61" s="112">
        <f t="shared" si="21"/>
        <v>8</v>
      </c>
      <c r="AC61" s="112">
        <f t="shared" si="21"/>
        <v>8.6</v>
      </c>
      <c r="AD61" s="112">
        <f t="shared" si="21"/>
        <v>10</v>
      </c>
      <c r="AE61" s="112">
        <f t="shared" si="21"/>
        <v>0</v>
      </c>
      <c r="AF61" s="48">
        <f>(2600+1315+140+275+330)*1</f>
        <v>4660</v>
      </c>
      <c r="AG61" s="195">
        <f t="shared" si="25"/>
        <v>0</v>
      </c>
      <c r="AH61" s="195">
        <f t="shared" si="30"/>
        <v>40</v>
      </c>
      <c r="AI61" s="195">
        <f t="shared" si="22"/>
        <v>18</v>
      </c>
      <c r="AJ61" s="195">
        <f t="shared" si="22"/>
        <v>15</v>
      </c>
      <c r="AK61" s="195">
        <f t="shared" si="22"/>
        <v>21</v>
      </c>
      <c r="AL61" s="195">
        <f t="shared" si="22"/>
        <v>33</v>
      </c>
      <c r="AM61" s="195">
        <f t="shared" si="22"/>
        <v>-2</v>
      </c>
      <c r="AN61" s="67">
        <f>SUM(AG61:AM61)</f>
        <v>125</v>
      </c>
    </row>
    <row r="62" spans="1:43" x14ac:dyDescent="0.25">
      <c r="A62" t="s">
        <v>42</v>
      </c>
      <c r="B62" s="16" t="str">
        <f t="shared" si="31"/>
        <v>J.G. Peñuela</v>
      </c>
      <c r="C62" s="4" t="str">
        <f t="shared" si="31"/>
        <v>IMP</v>
      </c>
      <c r="D62" s="4">
        <f t="shared" si="32"/>
        <v>21</v>
      </c>
      <c r="E62" s="4">
        <f t="shared" si="32"/>
        <v>95.5</v>
      </c>
      <c r="F62" s="112">
        <f t="shared" si="23"/>
        <v>0</v>
      </c>
      <c r="G62" s="112">
        <f t="shared" si="19"/>
        <v>3</v>
      </c>
      <c r="H62" s="112">
        <f t="shared" si="19"/>
        <v>8.6</v>
      </c>
      <c r="I62" s="112">
        <f t="shared" si="19"/>
        <v>8.8333333333333339</v>
      </c>
      <c r="J62" s="112">
        <f t="shared" si="19"/>
        <v>8</v>
      </c>
      <c r="K62" s="112">
        <f t="shared" si="19"/>
        <v>10.285714285714286</v>
      </c>
      <c r="L62" s="112">
        <f t="shared" si="19"/>
        <v>0</v>
      </c>
      <c r="M62" s="48">
        <f t="shared" si="19"/>
        <v>3800</v>
      </c>
      <c r="N62" s="195">
        <f t="shared" si="19"/>
        <v>0</v>
      </c>
      <c r="O62" s="195">
        <f t="shared" si="20"/>
        <v>3</v>
      </c>
      <c r="P62" s="195">
        <f t="shared" si="20"/>
        <v>24</v>
      </c>
      <c r="Q62" s="195">
        <f t="shared" si="20"/>
        <v>17.5</v>
      </c>
      <c r="R62" s="195">
        <f t="shared" si="20"/>
        <v>18</v>
      </c>
      <c r="S62" s="195">
        <f t="shared" si="20"/>
        <v>35</v>
      </c>
      <c r="T62" s="195">
        <f t="shared" si="20"/>
        <v>-2</v>
      </c>
      <c r="U62" s="67">
        <f>SUM(N62:T62)</f>
        <v>95.5</v>
      </c>
      <c r="W62">
        <f>D62+1+1</f>
        <v>23</v>
      </c>
      <c r="X62">
        <f>E62+$AQ$56-112</f>
        <v>53.5</v>
      </c>
      <c r="Y62" s="112">
        <f t="shared" si="24"/>
        <v>0</v>
      </c>
      <c r="Z62" s="112">
        <f>8+5/6</f>
        <v>8.8333333333333339</v>
      </c>
      <c r="AA62" s="112">
        <f t="shared" si="21"/>
        <v>8.6</v>
      </c>
      <c r="AB62" s="112">
        <f t="shared" si="21"/>
        <v>8.8333333333333339</v>
      </c>
      <c r="AC62" s="112">
        <f t="shared" si="21"/>
        <v>8</v>
      </c>
      <c r="AD62" s="112">
        <f t="shared" si="21"/>
        <v>10.285714285714286</v>
      </c>
      <c r="AE62" s="112">
        <f t="shared" si="21"/>
        <v>0</v>
      </c>
      <c r="AF62" s="48">
        <f>(2900+135+430+615+620)*1</f>
        <v>4700</v>
      </c>
      <c r="AG62" s="195">
        <f t="shared" si="25"/>
        <v>0</v>
      </c>
      <c r="AH62" s="195">
        <f t="shared" si="30"/>
        <v>29</v>
      </c>
      <c r="AI62" s="195">
        <f t="shared" si="22"/>
        <v>24</v>
      </c>
      <c r="AJ62" s="195">
        <f t="shared" si="22"/>
        <v>17.5</v>
      </c>
      <c r="AK62" s="195">
        <f t="shared" si="22"/>
        <v>18</v>
      </c>
      <c r="AL62" s="195">
        <f t="shared" si="22"/>
        <v>35</v>
      </c>
      <c r="AM62" s="195">
        <f t="shared" si="22"/>
        <v>-2</v>
      </c>
      <c r="AN62" s="67">
        <f>SUM(AG62:AM62)</f>
        <v>121.5</v>
      </c>
    </row>
    <row r="63" spans="1:43" x14ac:dyDescent="0.25">
      <c r="A63" t="s">
        <v>46</v>
      </c>
      <c r="B63" s="16"/>
      <c r="C63" s="4"/>
      <c r="D63" s="4"/>
      <c r="E63" s="4"/>
      <c r="F63" s="112">
        <f t="shared" si="23"/>
        <v>0</v>
      </c>
      <c r="G63" s="112">
        <f t="shared" si="19"/>
        <v>2</v>
      </c>
      <c r="H63" s="112">
        <f t="shared" si="19"/>
        <v>2</v>
      </c>
      <c r="I63" s="112">
        <f t="shared" si="19"/>
        <v>2</v>
      </c>
      <c r="J63" s="112">
        <f t="shared" si="19"/>
        <v>2</v>
      </c>
      <c r="K63" s="112">
        <f t="shared" si="19"/>
        <v>2</v>
      </c>
      <c r="L63" s="112">
        <f t="shared" si="19"/>
        <v>2</v>
      </c>
      <c r="M63" s="48"/>
      <c r="N63" s="195">
        <f t="shared" si="19"/>
        <v>0</v>
      </c>
      <c r="O63" s="195">
        <f t="shared" si="20"/>
        <v>0</v>
      </c>
      <c r="P63" s="195">
        <f t="shared" si="20"/>
        <v>0</v>
      </c>
      <c r="Q63" s="195">
        <f t="shared" si="20"/>
        <v>0</v>
      </c>
      <c r="R63" s="195">
        <f t="shared" si="20"/>
        <v>0</v>
      </c>
      <c r="S63" s="195">
        <f t="shared" si="20"/>
        <v>0</v>
      </c>
      <c r="T63" s="195">
        <f t="shared" si="20"/>
        <v>0</v>
      </c>
      <c r="U63" s="67">
        <f>SUM(N63:T63)</f>
        <v>0</v>
      </c>
      <c r="Y63" s="112">
        <f t="shared" si="24"/>
        <v>0</v>
      </c>
      <c r="Z63" s="112">
        <f t="shared" si="21"/>
        <v>2</v>
      </c>
      <c r="AA63" s="112">
        <f t="shared" si="21"/>
        <v>2</v>
      </c>
      <c r="AB63" s="112">
        <f t="shared" si="21"/>
        <v>2</v>
      </c>
      <c r="AC63" s="112">
        <f t="shared" si="21"/>
        <v>2</v>
      </c>
      <c r="AD63" s="112">
        <f t="shared" si="21"/>
        <v>2</v>
      </c>
      <c r="AE63" s="112">
        <f t="shared" si="21"/>
        <v>2</v>
      </c>
      <c r="AF63" s="48"/>
      <c r="AG63" s="195">
        <f t="shared" si="25"/>
        <v>0</v>
      </c>
      <c r="AH63" s="195">
        <f t="shared" si="22"/>
        <v>0</v>
      </c>
      <c r="AI63" s="195">
        <f t="shared" si="22"/>
        <v>0</v>
      </c>
      <c r="AJ63" s="195">
        <f t="shared" si="22"/>
        <v>0</v>
      </c>
      <c r="AK63" s="195">
        <f t="shared" si="22"/>
        <v>0</v>
      </c>
      <c r="AL63" s="195">
        <f t="shared" si="22"/>
        <v>0</v>
      </c>
      <c r="AM63" s="195">
        <f t="shared" si="22"/>
        <v>0</v>
      </c>
      <c r="AN63" s="67">
        <f>SUM(AG63:AM63)</f>
        <v>0</v>
      </c>
    </row>
    <row r="64" spans="1:43" x14ac:dyDescent="0.25">
      <c r="A64" t="s">
        <v>338</v>
      </c>
      <c r="B64" s="16"/>
      <c r="C64" s="4"/>
      <c r="D64" s="4"/>
      <c r="E64" s="4"/>
      <c r="F64" s="112">
        <f t="shared" si="23"/>
        <v>0</v>
      </c>
      <c r="G64" s="112">
        <f t="shared" si="19"/>
        <v>2</v>
      </c>
      <c r="H64" s="112">
        <f t="shared" si="19"/>
        <v>2</v>
      </c>
      <c r="I64" s="112">
        <f t="shared" si="19"/>
        <v>2</v>
      </c>
      <c r="J64" s="112">
        <f t="shared" si="19"/>
        <v>2</v>
      </c>
      <c r="K64" s="112">
        <f t="shared" si="19"/>
        <v>2</v>
      </c>
      <c r="L64" s="112">
        <f t="shared" si="19"/>
        <v>2</v>
      </c>
      <c r="M64" s="48"/>
      <c r="N64" s="195">
        <f t="shared" si="19"/>
        <v>0</v>
      </c>
      <c r="O64" s="195">
        <f t="shared" si="20"/>
        <v>0</v>
      </c>
      <c r="P64" s="195">
        <f t="shared" si="20"/>
        <v>0</v>
      </c>
      <c r="Q64" s="195">
        <f t="shared" si="20"/>
        <v>0</v>
      </c>
      <c r="R64" s="195">
        <f t="shared" si="20"/>
        <v>0</v>
      </c>
      <c r="S64" s="195">
        <f t="shared" si="20"/>
        <v>0</v>
      </c>
      <c r="T64" s="195">
        <f t="shared" si="20"/>
        <v>0</v>
      </c>
      <c r="U64" s="67">
        <f>SUM(N64:T64)</f>
        <v>0</v>
      </c>
      <c r="Y64" s="112">
        <f t="shared" si="24"/>
        <v>0</v>
      </c>
      <c r="Z64" s="112">
        <f t="shared" si="21"/>
        <v>2</v>
      </c>
      <c r="AA64" s="112">
        <f t="shared" si="21"/>
        <v>2</v>
      </c>
      <c r="AB64" s="112">
        <f t="shared" si="21"/>
        <v>2</v>
      </c>
      <c r="AC64" s="112">
        <f t="shared" si="21"/>
        <v>2</v>
      </c>
      <c r="AD64" s="112">
        <f t="shared" si="21"/>
        <v>2</v>
      </c>
      <c r="AE64" s="112">
        <f t="shared" si="21"/>
        <v>2</v>
      </c>
      <c r="AF64" s="48"/>
      <c r="AG64" s="195">
        <f t="shared" si="25"/>
        <v>0</v>
      </c>
      <c r="AH64" s="195">
        <f t="shared" si="22"/>
        <v>0</v>
      </c>
      <c r="AI64" s="195">
        <f t="shared" si="22"/>
        <v>0</v>
      </c>
      <c r="AJ64" s="195">
        <f t="shared" si="22"/>
        <v>0</v>
      </c>
      <c r="AK64" s="195">
        <f t="shared" si="22"/>
        <v>0</v>
      </c>
      <c r="AL64" s="195">
        <f t="shared" si="22"/>
        <v>0</v>
      </c>
      <c r="AM64" s="195">
        <f t="shared" si="22"/>
        <v>0</v>
      </c>
      <c r="AN64" s="67">
        <f>SUM(AG64:AM64)</f>
        <v>0</v>
      </c>
    </row>
    <row r="65" spans="1:43" x14ac:dyDescent="0.25">
      <c r="A65"/>
      <c r="B65"/>
      <c r="F65" s="195"/>
      <c r="G65" s="195"/>
      <c r="H65" s="195"/>
      <c r="I65" s="195"/>
      <c r="J65" s="195"/>
      <c r="K65" s="195"/>
      <c r="L65" s="195"/>
      <c r="M65" s="196">
        <f>SUM(M67:M81)</f>
        <v>151807.20000000001</v>
      </c>
      <c r="N65" s="195"/>
      <c r="O65" s="195"/>
      <c r="P65" s="195"/>
      <c r="Q65" s="195"/>
      <c r="R65" s="195"/>
      <c r="S65" s="195"/>
      <c r="T65" s="195"/>
      <c r="U65" s="195"/>
      <c r="Y65" s="195"/>
      <c r="Z65" s="195"/>
      <c r="AA65" s="195"/>
      <c r="AB65" s="195"/>
      <c r="AC65" s="195"/>
      <c r="AD65" s="195"/>
      <c r="AE65" s="195"/>
      <c r="AF65" s="196">
        <f>SUM(AF67:AF81)</f>
        <v>157600.34499999997</v>
      </c>
      <c r="AG65" s="195"/>
      <c r="AH65" s="195"/>
      <c r="AI65" s="195"/>
      <c r="AJ65" s="195"/>
      <c r="AK65" s="195"/>
      <c r="AL65" s="195"/>
      <c r="AM65" s="195"/>
      <c r="AN65" s="195"/>
    </row>
    <row r="66" spans="1:43" x14ac:dyDescent="0.25">
      <c r="A66" s="11" t="s">
        <v>171</v>
      </c>
      <c r="B66" s="11" t="s">
        <v>2</v>
      </c>
      <c r="C66" s="11" t="s">
        <v>85</v>
      </c>
      <c r="D66" s="11" t="s">
        <v>325</v>
      </c>
      <c r="E66" s="11" t="s">
        <v>326</v>
      </c>
      <c r="F66" s="11" t="s">
        <v>15</v>
      </c>
      <c r="G66" s="11" t="s">
        <v>16</v>
      </c>
      <c r="H66" s="11" t="s">
        <v>17</v>
      </c>
      <c r="I66" s="11" t="s">
        <v>18</v>
      </c>
      <c r="J66" s="11" t="s">
        <v>19</v>
      </c>
      <c r="K66" s="11" t="s">
        <v>20</v>
      </c>
      <c r="L66" s="11" t="s">
        <v>6</v>
      </c>
      <c r="M66" s="11" t="s">
        <v>69</v>
      </c>
      <c r="N66" s="11" t="s">
        <v>327</v>
      </c>
      <c r="O66" s="11" t="s">
        <v>328</v>
      </c>
      <c r="P66" s="11" t="s">
        <v>329</v>
      </c>
      <c r="Q66" s="11" t="s">
        <v>330</v>
      </c>
      <c r="R66" s="11" t="s">
        <v>331</v>
      </c>
      <c r="S66" s="11" t="s">
        <v>332</v>
      </c>
      <c r="T66" s="11" t="s">
        <v>333</v>
      </c>
      <c r="U66" s="11" t="s">
        <v>334</v>
      </c>
      <c r="W66" s="11" t="s">
        <v>325</v>
      </c>
      <c r="X66" s="11" t="s">
        <v>326</v>
      </c>
      <c r="Y66" s="11" t="s">
        <v>15</v>
      </c>
      <c r="Z66" s="11" t="s">
        <v>16</v>
      </c>
      <c r="AA66" s="11" t="s">
        <v>17</v>
      </c>
      <c r="AB66" s="11" t="s">
        <v>18</v>
      </c>
      <c r="AC66" s="11" t="s">
        <v>19</v>
      </c>
      <c r="AD66" s="11" t="s">
        <v>20</v>
      </c>
      <c r="AE66" s="11" t="s">
        <v>6</v>
      </c>
      <c r="AF66" s="11" t="s">
        <v>69</v>
      </c>
      <c r="AG66" s="11" t="s">
        <v>327</v>
      </c>
      <c r="AH66" s="11" t="s">
        <v>328</v>
      </c>
      <c r="AI66" s="11" t="s">
        <v>329</v>
      </c>
      <c r="AJ66" s="11" t="s">
        <v>330</v>
      </c>
      <c r="AK66" s="11" t="s">
        <v>331</v>
      </c>
      <c r="AL66" s="11" t="s">
        <v>332</v>
      </c>
      <c r="AM66" s="11" t="s">
        <v>333</v>
      </c>
      <c r="AN66" s="11" t="s">
        <v>334</v>
      </c>
    </row>
    <row r="67" spans="1:43" x14ac:dyDescent="0.25">
      <c r="A67" t="s">
        <v>29</v>
      </c>
      <c r="B67" s="16" t="s">
        <v>73</v>
      </c>
      <c r="C67" s="19"/>
      <c r="D67" s="19">
        <v>22</v>
      </c>
      <c r="E67" s="19">
        <v>0</v>
      </c>
      <c r="F67" s="112">
        <v>16</v>
      </c>
      <c r="G67" s="112">
        <v>10</v>
      </c>
      <c r="H67" s="112">
        <f t="shared" ref="H67:K82" si="33">AA49</f>
        <v>0</v>
      </c>
      <c r="I67" s="112">
        <f t="shared" si="33"/>
        <v>0</v>
      </c>
      <c r="J67" s="112">
        <f t="shared" si="33"/>
        <v>0</v>
      </c>
      <c r="K67" s="112">
        <f t="shared" si="33"/>
        <v>0</v>
      </c>
      <c r="L67" s="112">
        <v>7</v>
      </c>
      <c r="M67" s="48">
        <f>(24270+1165)*1.02</f>
        <v>25943.7</v>
      </c>
      <c r="N67" s="195">
        <v>52</v>
      </c>
      <c r="O67" s="195">
        <v>37</v>
      </c>
      <c r="P67" s="195">
        <f t="shared" ref="P67:S82" si="34">AI49</f>
        <v>0</v>
      </c>
      <c r="Q67" s="195">
        <f t="shared" si="34"/>
        <v>0</v>
      </c>
      <c r="R67" s="195">
        <f t="shared" si="34"/>
        <v>0</v>
      </c>
      <c r="S67" s="195">
        <f t="shared" si="34"/>
        <v>0</v>
      </c>
      <c r="T67" s="195">
        <v>5</v>
      </c>
      <c r="U67" s="67">
        <f>SUM(N67:T67)</f>
        <v>94</v>
      </c>
      <c r="W67">
        <f>D67+1</f>
        <v>23</v>
      </c>
      <c r="X67">
        <f>E67+$AQ$76</f>
        <v>63</v>
      </c>
      <c r="Y67" s="112">
        <f>F67</f>
        <v>16</v>
      </c>
      <c r="Z67" s="112">
        <f t="shared" ref="Z67:AD82" si="35">G67</f>
        <v>10</v>
      </c>
      <c r="AA67" s="112">
        <f t="shared" si="35"/>
        <v>0</v>
      </c>
      <c r="AB67" s="112">
        <f t="shared" si="35"/>
        <v>0</v>
      </c>
      <c r="AC67" s="112">
        <f t="shared" si="35"/>
        <v>0</v>
      </c>
      <c r="AD67" s="112">
        <f t="shared" si="35"/>
        <v>0</v>
      </c>
      <c r="AE67" s="112">
        <f>18+1/4</f>
        <v>18.25</v>
      </c>
      <c r="AF67" s="48">
        <f>(24270+1165)*1.055</f>
        <v>26833.924999999999</v>
      </c>
      <c r="AG67" s="195">
        <f>N67</f>
        <v>52</v>
      </c>
      <c r="AH67" s="195">
        <f t="shared" ref="AH67:AL82" si="36">O67</f>
        <v>37</v>
      </c>
      <c r="AI67" s="195">
        <f t="shared" si="36"/>
        <v>0</v>
      </c>
      <c r="AJ67" s="195">
        <f t="shared" si="36"/>
        <v>0</v>
      </c>
      <c r="AK67" s="195">
        <f t="shared" si="36"/>
        <v>0</v>
      </c>
      <c r="AL67" s="195">
        <f t="shared" si="36"/>
        <v>0</v>
      </c>
      <c r="AM67" s="195">
        <f>T67+$AQ$74</f>
        <v>30</v>
      </c>
      <c r="AN67" s="67">
        <f>SUM(AG67:AM67)</f>
        <v>119</v>
      </c>
    </row>
    <row r="68" spans="1:43" x14ac:dyDescent="0.25">
      <c r="A68" t="s">
        <v>32</v>
      </c>
      <c r="B68" s="16" t="s">
        <v>340</v>
      </c>
      <c r="C68" s="19" t="s">
        <v>0</v>
      </c>
      <c r="D68" s="19">
        <v>22</v>
      </c>
      <c r="E68" s="19">
        <v>50</v>
      </c>
      <c r="F68" s="112">
        <f>Y50</f>
        <v>0</v>
      </c>
      <c r="G68" s="112">
        <v>12</v>
      </c>
      <c r="H68" s="112">
        <v>7</v>
      </c>
      <c r="I68" s="112">
        <f t="shared" si="33"/>
        <v>2</v>
      </c>
      <c r="J68" s="112">
        <f t="shared" si="33"/>
        <v>2</v>
      </c>
      <c r="K68" s="112">
        <v>10</v>
      </c>
      <c r="L68" s="112">
        <f t="shared" ref="L68:P82" si="37">AE50</f>
        <v>2</v>
      </c>
      <c r="M68" s="48">
        <f>(7010+255+1315)*1.008</f>
        <v>8648.64</v>
      </c>
      <c r="N68" s="195">
        <f t="shared" si="37"/>
        <v>0</v>
      </c>
      <c r="O68" s="195">
        <v>56</v>
      </c>
      <c r="P68" s="195">
        <v>16</v>
      </c>
      <c r="Q68" s="195">
        <f t="shared" si="34"/>
        <v>0</v>
      </c>
      <c r="R68" s="195">
        <f t="shared" si="34"/>
        <v>0</v>
      </c>
      <c r="S68" s="195">
        <v>33</v>
      </c>
      <c r="T68" s="195">
        <f t="shared" ref="T68:T80" si="38">AM50</f>
        <v>0</v>
      </c>
      <c r="U68" s="67">
        <f>SUM(N68:T68)</f>
        <v>105</v>
      </c>
      <c r="W68">
        <f>D68+1+1</f>
        <v>24</v>
      </c>
      <c r="X68">
        <f>E68+$AQ$76-112</f>
        <v>1</v>
      </c>
      <c r="Y68" s="112">
        <f t="shared" ref="Y68:Y82" si="39">F68</f>
        <v>0</v>
      </c>
      <c r="Z68" s="112">
        <f t="shared" si="35"/>
        <v>12</v>
      </c>
      <c r="AA68" s="112">
        <f t="shared" si="35"/>
        <v>7</v>
      </c>
      <c r="AB68" s="112">
        <f t="shared" si="35"/>
        <v>2</v>
      </c>
      <c r="AC68" s="112">
        <f t="shared" si="35"/>
        <v>2</v>
      </c>
      <c r="AD68" s="112">
        <f t="shared" si="35"/>
        <v>10</v>
      </c>
      <c r="AE68" s="112">
        <v>17</v>
      </c>
      <c r="AF68" s="48">
        <f>(7010+255+1315)*1.047</f>
        <v>8983.26</v>
      </c>
      <c r="AG68" s="195">
        <f t="shared" ref="AG68:AG82" si="40">N68</f>
        <v>0</v>
      </c>
      <c r="AH68" s="195">
        <f t="shared" si="36"/>
        <v>56</v>
      </c>
      <c r="AI68" s="195">
        <f t="shared" si="36"/>
        <v>16</v>
      </c>
      <c r="AJ68" s="195">
        <f t="shared" si="36"/>
        <v>0</v>
      </c>
      <c r="AK68" s="195">
        <f t="shared" si="36"/>
        <v>0</v>
      </c>
      <c r="AL68" s="195">
        <f t="shared" si="36"/>
        <v>33</v>
      </c>
      <c r="AM68" s="195">
        <f t="shared" ref="AM68:AM82" si="41">T68+$AQ$74</f>
        <v>25</v>
      </c>
      <c r="AN68" s="67">
        <f>SUM(AG68:AM68)</f>
        <v>130</v>
      </c>
    </row>
    <row r="69" spans="1:43" x14ac:dyDescent="0.25">
      <c r="A69" t="s">
        <v>33</v>
      </c>
      <c r="B69" s="16" t="s">
        <v>340</v>
      </c>
      <c r="C69" s="19" t="s">
        <v>0</v>
      </c>
      <c r="D69" s="19">
        <v>22</v>
      </c>
      <c r="E69" s="19">
        <v>50</v>
      </c>
      <c r="F69" s="112">
        <f>Y51</f>
        <v>0</v>
      </c>
      <c r="G69" s="112">
        <v>12</v>
      </c>
      <c r="H69" s="112">
        <v>7</v>
      </c>
      <c r="I69" s="112">
        <f t="shared" si="33"/>
        <v>2</v>
      </c>
      <c r="J69" s="112">
        <f t="shared" si="33"/>
        <v>2</v>
      </c>
      <c r="K69" s="112">
        <v>10</v>
      </c>
      <c r="L69" s="112">
        <f t="shared" si="37"/>
        <v>2</v>
      </c>
      <c r="M69" s="48">
        <f>(7010+255+1315)*1.008</f>
        <v>8648.64</v>
      </c>
      <c r="N69" s="195">
        <f t="shared" si="37"/>
        <v>0</v>
      </c>
      <c r="O69" s="195">
        <v>56</v>
      </c>
      <c r="P69" s="195">
        <v>16</v>
      </c>
      <c r="Q69" s="195">
        <f t="shared" si="34"/>
        <v>0</v>
      </c>
      <c r="R69" s="195">
        <f t="shared" si="34"/>
        <v>0</v>
      </c>
      <c r="S69" s="195">
        <v>33</v>
      </c>
      <c r="T69" s="195">
        <f t="shared" si="38"/>
        <v>0</v>
      </c>
      <c r="U69" s="67">
        <f>SUM(N69:T69)</f>
        <v>105</v>
      </c>
      <c r="W69">
        <f>D69+1+1</f>
        <v>24</v>
      </c>
      <c r="X69">
        <f>E69+$AQ$76-112</f>
        <v>1</v>
      </c>
      <c r="Y69" s="112">
        <f t="shared" si="39"/>
        <v>0</v>
      </c>
      <c r="Z69" s="112">
        <f t="shared" si="35"/>
        <v>12</v>
      </c>
      <c r="AA69" s="112">
        <f t="shared" si="35"/>
        <v>7</v>
      </c>
      <c r="AB69" s="112">
        <f t="shared" si="35"/>
        <v>2</v>
      </c>
      <c r="AC69" s="112">
        <f t="shared" si="35"/>
        <v>2</v>
      </c>
      <c r="AD69" s="112">
        <f t="shared" si="35"/>
        <v>10</v>
      </c>
      <c r="AE69" s="112">
        <v>17</v>
      </c>
      <c r="AF69" s="48">
        <f>(7010+255+1315)*1.047</f>
        <v>8983.26</v>
      </c>
      <c r="AG69" s="195">
        <f t="shared" si="40"/>
        <v>0</v>
      </c>
      <c r="AH69" s="195">
        <f t="shared" si="36"/>
        <v>56</v>
      </c>
      <c r="AI69" s="195">
        <f t="shared" si="36"/>
        <v>16</v>
      </c>
      <c r="AJ69" s="195">
        <f t="shared" si="36"/>
        <v>0</v>
      </c>
      <c r="AK69" s="195">
        <f t="shared" si="36"/>
        <v>0</v>
      </c>
      <c r="AL69" s="195">
        <f t="shared" si="36"/>
        <v>33</v>
      </c>
      <c r="AM69" s="195">
        <f t="shared" si="41"/>
        <v>25</v>
      </c>
      <c r="AN69" s="67">
        <f>SUM(AG69:AM69)</f>
        <v>130</v>
      </c>
    </row>
    <row r="70" spans="1:43" x14ac:dyDescent="0.25">
      <c r="A70" t="s">
        <v>39</v>
      </c>
      <c r="B70" s="16" t="s">
        <v>340</v>
      </c>
      <c r="C70" s="19" t="s">
        <v>0</v>
      </c>
      <c r="D70" s="19">
        <v>22</v>
      </c>
      <c r="E70" s="19">
        <v>50</v>
      </c>
      <c r="F70" s="112">
        <f>Y52</f>
        <v>0</v>
      </c>
      <c r="G70" s="112">
        <v>12</v>
      </c>
      <c r="H70" s="112">
        <v>7</v>
      </c>
      <c r="I70" s="112">
        <f t="shared" si="33"/>
        <v>2</v>
      </c>
      <c r="J70" s="112">
        <f t="shared" si="33"/>
        <v>2</v>
      </c>
      <c r="K70" s="112">
        <v>10</v>
      </c>
      <c r="L70" s="112">
        <f t="shared" si="37"/>
        <v>2</v>
      </c>
      <c r="M70" s="48">
        <f>(7010+255+1315)*1.008</f>
        <v>8648.64</v>
      </c>
      <c r="N70" s="195">
        <f t="shared" si="37"/>
        <v>0</v>
      </c>
      <c r="O70" s="195">
        <v>56</v>
      </c>
      <c r="P70" s="195">
        <v>16</v>
      </c>
      <c r="Q70" s="195">
        <f t="shared" si="34"/>
        <v>0</v>
      </c>
      <c r="R70" s="195">
        <f t="shared" si="34"/>
        <v>0</v>
      </c>
      <c r="S70" s="195">
        <v>33</v>
      </c>
      <c r="T70" s="195">
        <f t="shared" si="38"/>
        <v>0</v>
      </c>
      <c r="U70" s="67">
        <f>SUM(N70:T70)</f>
        <v>105</v>
      </c>
      <c r="W70">
        <f>D70+1+1</f>
        <v>24</v>
      </c>
      <c r="X70">
        <f>E70+$AQ$76-112</f>
        <v>1</v>
      </c>
      <c r="Y70" s="112">
        <f t="shared" si="39"/>
        <v>0</v>
      </c>
      <c r="Z70" s="112">
        <f t="shared" si="35"/>
        <v>12</v>
      </c>
      <c r="AA70" s="112">
        <f t="shared" si="35"/>
        <v>7</v>
      </c>
      <c r="AB70" s="112">
        <f t="shared" si="35"/>
        <v>2</v>
      </c>
      <c r="AC70" s="112">
        <f t="shared" si="35"/>
        <v>2</v>
      </c>
      <c r="AD70" s="112">
        <f t="shared" si="35"/>
        <v>10</v>
      </c>
      <c r="AE70" s="112">
        <v>17</v>
      </c>
      <c r="AF70" s="48">
        <f>(7010+255+1315)*1.047</f>
        <v>8983.26</v>
      </c>
      <c r="AG70" s="195">
        <f t="shared" si="40"/>
        <v>0</v>
      </c>
      <c r="AH70" s="195">
        <f t="shared" si="36"/>
        <v>56</v>
      </c>
      <c r="AI70" s="195">
        <f t="shared" si="36"/>
        <v>16</v>
      </c>
      <c r="AJ70" s="195">
        <f t="shared" si="36"/>
        <v>0</v>
      </c>
      <c r="AK70" s="195">
        <f t="shared" si="36"/>
        <v>0</v>
      </c>
      <c r="AL70" s="195">
        <f t="shared" si="36"/>
        <v>33</v>
      </c>
      <c r="AM70" s="195">
        <f t="shared" si="41"/>
        <v>25</v>
      </c>
      <c r="AN70" s="67">
        <f>SUM(AG70:AM70)</f>
        <v>130</v>
      </c>
    </row>
    <row r="71" spans="1:43" x14ac:dyDescent="0.25">
      <c r="A71" t="s">
        <v>41</v>
      </c>
      <c r="B71" s="16" t="str">
        <f t="shared" ref="B71:C80" si="42">B53</f>
        <v>Defensa</v>
      </c>
      <c r="C71" s="19" t="str">
        <f t="shared" si="42"/>
        <v>POT</v>
      </c>
      <c r="D71" s="19">
        <f t="shared" ref="D71:H82" si="43">W53</f>
        <v>23</v>
      </c>
      <c r="E71" s="19">
        <f t="shared" si="43"/>
        <v>28</v>
      </c>
      <c r="F71" s="112">
        <f t="shared" si="43"/>
        <v>0</v>
      </c>
      <c r="G71" s="112">
        <f t="shared" si="43"/>
        <v>12</v>
      </c>
      <c r="H71" s="112">
        <f t="shared" si="43"/>
        <v>10</v>
      </c>
      <c r="I71" s="112">
        <f t="shared" si="33"/>
        <v>2</v>
      </c>
      <c r="J71" s="112">
        <f t="shared" si="33"/>
        <v>2</v>
      </c>
      <c r="K71" s="112">
        <f t="shared" si="33"/>
        <v>10</v>
      </c>
      <c r="L71" s="112">
        <f t="shared" si="37"/>
        <v>2</v>
      </c>
      <c r="M71" s="48">
        <f t="shared" si="37"/>
        <v>9858.24</v>
      </c>
      <c r="N71" s="195">
        <f t="shared" si="37"/>
        <v>0</v>
      </c>
      <c r="O71" s="195">
        <f t="shared" si="37"/>
        <v>56</v>
      </c>
      <c r="P71" s="195">
        <f t="shared" si="37"/>
        <v>33</v>
      </c>
      <c r="Q71" s="195">
        <f t="shared" si="34"/>
        <v>0</v>
      </c>
      <c r="R71" s="195">
        <f t="shared" si="34"/>
        <v>0</v>
      </c>
      <c r="S71" s="195">
        <f t="shared" si="34"/>
        <v>33</v>
      </c>
      <c r="T71" s="195">
        <f t="shared" si="38"/>
        <v>0</v>
      </c>
      <c r="U71" s="67">
        <f t="shared" ref="U71:U78" si="44">SUM(N71:T71)</f>
        <v>122</v>
      </c>
      <c r="W71">
        <f t="shared" ref="W71:W77" si="45">D71+1</f>
        <v>24</v>
      </c>
      <c r="X71">
        <f t="shared" ref="X71:X77" si="46">E71+$AQ$76</f>
        <v>91</v>
      </c>
      <c r="Y71" s="112">
        <f t="shared" si="39"/>
        <v>0</v>
      </c>
      <c r="Z71" s="112">
        <f t="shared" si="35"/>
        <v>12</v>
      </c>
      <c r="AA71" s="112">
        <f t="shared" si="35"/>
        <v>10</v>
      </c>
      <c r="AB71" s="112">
        <f t="shared" si="35"/>
        <v>2</v>
      </c>
      <c r="AC71" s="112">
        <f t="shared" si="35"/>
        <v>2</v>
      </c>
      <c r="AD71" s="112">
        <f t="shared" si="35"/>
        <v>10</v>
      </c>
      <c r="AE71" s="112">
        <v>17</v>
      </c>
      <c r="AF71" s="48">
        <f>(7010+1455+1315)*1.047</f>
        <v>10239.66</v>
      </c>
      <c r="AG71" s="195">
        <f t="shared" si="40"/>
        <v>0</v>
      </c>
      <c r="AH71" s="195">
        <f t="shared" si="36"/>
        <v>56</v>
      </c>
      <c r="AI71" s="195">
        <f t="shared" si="36"/>
        <v>33</v>
      </c>
      <c r="AJ71" s="195">
        <f t="shared" si="36"/>
        <v>0</v>
      </c>
      <c r="AK71" s="195">
        <f t="shared" si="36"/>
        <v>0</v>
      </c>
      <c r="AL71" s="195">
        <f t="shared" si="36"/>
        <v>33</v>
      </c>
      <c r="AM71" s="195">
        <f t="shared" si="41"/>
        <v>25</v>
      </c>
      <c r="AN71" s="67">
        <f t="shared" ref="AN71:AN78" si="47">SUM(AG71:AM71)</f>
        <v>147</v>
      </c>
    </row>
    <row r="72" spans="1:43" x14ac:dyDescent="0.25">
      <c r="A72" t="s">
        <v>38</v>
      </c>
      <c r="B72" s="16" t="str">
        <f t="shared" si="42"/>
        <v>Defensa</v>
      </c>
      <c r="C72" s="19" t="str">
        <f t="shared" si="42"/>
        <v>POT</v>
      </c>
      <c r="D72" s="19">
        <f t="shared" si="43"/>
        <v>23</v>
      </c>
      <c r="E72" s="19">
        <f t="shared" si="43"/>
        <v>28</v>
      </c>
      <c r="F72" s="112">
        <f t="shared" si="43"/>
        <v>0</v>
      </c>
      <c r="G72" s="112">
        <f t="shared" si="43"/>
        <v>12</v>
      </c>
      <c r="H72" s="112">
        <f t="shared" si="43"/>
        <v>10</v>
      </c>
      <c r="I72" s="112">
        <f t="shared" si="33"/>
        <v>2</v>
      </c>
      <c r="J72" s="112">
        <f t="shared" si="33"/>
        <v>2</v>
      </c>
      <c r="K72" s="112">
        <f t="shared" si="33"/>
        <v>10</v>
      </c>
      <c r="L72" s="112">
        <f t="shared" si="37"/>
        <v>2</v>
      </c>
      <c r="M72" s="48">
        <f t="shared" si="37"/>
        <v>9858.24</v>
      </c>
      <c r="N72" s="195">
        <f t="shared" si="37"/>
        <v>0</v>
      </c>
      <c r="O72" s="195">
        <f t="shared" si="37"/>
        <v>56</v>
      </c>
      <c r="P72" s="195">
        <f t="shared" si="37"/>
        <v>33</v>
      </c>
      <c r="Q72" s="195">
        <f t="shared" si="34"/>
        <v>0</v>
      </c>
      <c r="R72" s="195">
        <f t="shared" si="34"/>
        <v>0</v>
      </c>
      <c r="S72" s="195">
        <f t="shared" si="34"/>
        <v>33</v>
      </c>
      <c r="T72" s="195">
        <f t="shared" si="38"/>
        <v>0</v>
      </c>
      <c r="U72" s="67">
        <f t="shared" si="44"/>
        <v>122</v>
      </c>
      <c r="W72">
        <f t="shared" si="45"/>
        <v>24</v>
      </c>
      <c r="X72">
        <f t="shared" si="46"/>
        <v>91</v>
      </c>
      <c r="Y72" s="112">
        <f t="shared" si="39"/>
        <v>0</v>
      </c>
      <c r="Z72" s="112">
        <f t="shared" si="35"/>
        <v>12</v>
      </c>
      <c r="AA72" s="112">
        <f t="shared" si="35"/>
        <v>10</v>
      </c>
      <c r="AB72" s="112">
        <f t="shared" si="35"/>
        <v>2</v>
      </c>
      <c r="AC72" s="112">
        <f t="shared" si="35"/>
        <v>2</v>
      </c>
      <c r="AD72" s="112">
        <f t="shared" si="35"/>
        <v>10</v>
      </c>
      <c r="AE72" s="112">
        <v>17</v>
      </c>
      <c r="AF72" s="48">
        <f>(7010+1455+1315)*1.047</f>
        <v>10239.66</v>
      </c>
      <c r="AG72" s="195">
        <f t="shared" si="40"/>
        <v>0</v>
      </c>
      <c r="AH72" s="195">
        <f t="shared" si="36"/>
        <v>56</v>
      </c>
      <c r="AI72" s="195">
        <f t="shared" si="36"/>
        <v>33</v>
      </c>
      <c r="AJ72" s="195">
        <f t="shared" si="36"/>
        <v>0</v>
      </c>
      <c r="AK72" s="195">
        <f t="shared" si="36"/>
        <v>0</v>
      </c>
      <c r="AL72" s="195">
        <f t="shared" si="36"/>
        <v>33</v>
      </c>
      <c r="AM72" s="195">
        <f t="shared" si="41"/>
        <v>25</v>
      </c>
      <c r="AN72" s="67">
        <f t="shared" si="47"/>
        <v>147</v>
      </c>
    </row>
    <row r="73" spans="1:43" x14ac:dyDescent="0.25">
      <c r="A73" t="s">
        <v>35</v>
      </c>
      <c r="B73" s="16" t="str">
        <f t="shared" si="42"/>
        <v>Defensa</v>
      </c>
      <c r="C73" s="19" t="str">
        <f t="shared" si="42"/>
        <v>IMP</v>
      </c>
      <c r="D73" s="19">
        <f t="shared" si="43"/>
        <v>23</v>
      </c>
      <c r="E73" s="19">
        <f t="shared" si="43"/>
        <v>28</v>
      </c>
      <c r="F73" s="112">
        <f t="shared" si="43"/>
        <v>0</v>
      </c>
      <c r="G73" s="112">
        <f t="shared" si="43"/>
        <v>12</v>
      </c>
      <c r="H73" s="112">
        <f t="shared" si="43"/>
        <v>10</v>
      </c>
      <c r="I73" s="112">
        <f t="shared" si="33"/>
        <v>2</v>
      </c>
      <c r="J73" s="112">
        <f t="shared" si="33"/>
        <v>2</v>
      </c>
      <c r="K73" s="112">
        <f t="shared" si="33"/>
        <v>10</v>
      </c>
      <c r="L73" s="112">
        <f t="shared" si="37"/>
        <v>2</v>
      </c>
      <c r="M73" s="48">
        <f t="shared" si="37"/>
        <v>9858.24</v>
      </c>
      <c r="N73" s="195">
        <f t="shared" si="37"/>
        <v>0</v>
      </c>
      <c r="O73" s="195">
        <f t="shared" si="37"/>
        <v>56</v>
      </c>
      <c r="P73" s="195">
        <f t="shared" si="37"/>
        <v>33</v>
      </c>
      <c r="Q73" s="195">
        <f t="shared" si="34"/>
        <v>0</v>
      </c>
      <c r="R73" s="195">
        <f t="shared" si="34"/>
        <v>0</v>
      </c>
      <c r="S73" s="195">
        <f t="shared" si="34"/>
        <v>33</v>
      </c>
      <c r="T73" s="195">
        <f t="shared" si="38"/>
        <v>0</v>
      </c>
      <c r="U73" s="67">
        <f t="shared" si="44"/>
        <v>122</v>
      </c>
      <c r="W73">
        <f t="shared" si="45"/>
        <v>24</v>
      </c>
      <c r="X73">
        <f t="shared" si="46"/>
        <v>91</v>
      </c>
      <c r="Y73" s="112">
        <f t="shared" si="39"/>
        <v>0</v>
      </c>
      <c r="Z73" s="112">
        <f t="shared" si="35"/>
        <v>12</v>
      </c>
      <c r="AA73" s="112">
        <f t="shared" si="35"/>
        <v>10</v>
      </c>
      <c r="AB73" s="112">
        <f t="shared" si="35"/>
        <v>2</v>
      </c>
      <c r="AC73" s="112">
        <f t="shared" si="35"/>
        <v>2</v>
      </c>
      <c r="AD73" s="112">
        <f t="shared" si="35"/>
        <v>10</v>
      </c>
      <c r="AE73" s="112">
        <v>17</v>
      </c>
      <c r="AF73" s="48">
        <f>(7010+1455+1315)*1.047</f>
        <v>10239.66</v>
      </c>
      <c r="AG73" s="195">
        <f t="shared" si="40"/>
        <v>0</v>
      </c>
      <c r="AH73" s="195">
        <f t="shared" si="36"/>
        <v>56</v>
      </c>
      <c r="AI73" s="195">
        <f t="shared" si="36"/>
        <v>33</v>
      </c>
      <c r="AJ73" s="195">
        <f t="shared" si="36"/>
        <v>0</v>
      </c>
      <c r="AK73" s="195">
        <f t="shared" si="36"/>
        <v>0</v>
      </c>
      <c r="AL73" s="195">
        <f t="shared" si="36"/>
        <v>33</v>
      </c>
      <c r="AM73" s="195">
        <f t="shared" si="41"/>
        <v>25</v>
      </c>
      <c r="AN73" s="67">
        <f t="shared" si="47"/>
        <v>147</v>
      </c>
    </row>
    <row r="74" spans="1:43" x14ac:dyDescent="0.25">
      <c r="A74" t="s">
        <v>31</v>
      </c>
      <c r="B74" s="16" t="str">
        <f t="shared" si="42"/>
        <v>Defensa</v>
      </c>
      <c r="C74" s="19" t="str">
        <f t="shared" si="42"/>
        <v>IMP</v>
      </c>
      <c r="D74" s="19">
        <f t="shared" si="43"/>
        <v>23</v>
      </c>
      <c r="E74" s="19">
        <f t="shared" si="43"/>
        <v>28</v>
      </c>
      <c r="F74" s="112">
        <f t="shared" si="43"/>
        <v>0</v>
      </c>
      <c r="G74" s="112">
        <f t="shared" si="43"/>
        <v>12</v>
      </c>
      <c r="H74" s="112">
        <f t="shared" si="43"/>
        <v>10</v>
      </c>
      <c r="I74" s="112">
        <f t="shared" si="33"/>
        <v>2</v>
      </c>
      <c r="J74" s="112">
        <f t="shared" si="33"/>
        <v>2</v>
      </c>
      <c r="K74" s="112">
        <f t="shared" si="33"/>
        <v>10</v>
      </c>
      <c r="L74" s="112">
        <f t="shared" si="37"/>
        <v>2</v>
      </c>
      <c r="M74" s="48">
        <f t="shared" si="37"/>
        <v>9858.24</v>
      </c>
      <c r="N74" s="195">
        <f t="shared" si="37"/>
        <v>0</v>
      </c>
      <c r="O74" s="195">
        <f t="shared" si="37"/>
        <v>56</v>
      </c>
      <c r="P74" s="195">
        <f t="shared" si="37"/>
        <v>33</v>
      </c>
      <c r="Q74" s="195">
        <f t="shared" si="34"/>
        <v>0</v>
      </c>
      <c r="R74" s="195">
        <f t="shared" si="34"/>
        <v>0</v>
      </c>
      <c r="S74" s="195">
        <f t="shared" si="34"/>
        <v>33</v>
      </c>
      <c r="T74" s="195">
        <f t="shared" si="38"/>
        <v>0</v>
      </c>
      <c r="U74" s="67">
        <f t="shared" si="44"/>
        <v>122</v>
      </c>
      <c r="W74">
        <f t="shared" si="45"/>
        <v>24</v>
      </c>
      <c r="X74">
        <f t="shared" si="46"/>
        <v>91</v>
      </c>
      <c r="Y74" s="112">
        <f t="shared" si="39"/>
        <v>0</v>
      </c>
      <c r="Z74" s="112">
        <f t="shared" si="35"/>
        <v>12</v>
      </c>
      <c r="AA74" s="112">
        <f t="shared" si="35"/>
        <v>10</v>
      </c>
      <c r="AB74" s="112">
        <f t="shared" si="35"/>
        <v>2</v>
      </c>
      <c r="AC74" s="112">
        <f t="shared" si="35"/>
        <v>2</v>
      </c>
      <c r="AD74" s="112">
        <f t="shared" si="35"/>
        <v>10</v>
      </c>
      <c r="AE74" s="112">
        <v>17</v>
      </c>
      <c r="AF74" s="48">
        <f>(7010+1455+1315)*1.047</f>
        <v>10239.66</v>
      </c>
      <c r="AG74" s="195">
        <f t="shared" si="40"/>
        <v>0</v>
      </c>
      <c r="AH74" s="195">
        <f t="shared" si="36"/>
        <v>56</v>
      </c>
      <c r="AI74" s="195">
        <f t="shared" si="36"/>
        <v>33</v>
      </c>
      <c r="AJ74" s="195">
        <f t="shared" si="36"/>
        <v>0</v>
      </c>
      <c r="AK74" s="195">
        <f t="shared" si="36"/>
        <v>0</v>
      </c>
      <c r="AL74" s="195">
        <f t="shared" si="36"/>
        <v>33</v>
      </c>
      <c r="AM74" s="195">
        <f t="shared" si="41"/>
        <v>25</v>
      </c>
      <c r="AN74" s="67">
        <f t="shared" si="47"/>
        <v>147</v>
      </c>
      <c r="AP74" s="199" t="s">
        <v>47</v>
      </c>
      <c r="AQ74" s="199">
        <v>25</v>
      </c>
    </row>
    <row r="75" spans="1:43" x14ac:dyDescent="0.25">
      <c r="A75" t="s">
        <v>43</v>
      </c>
      <c r="B75" s="16" t="str">
        <f t="shared" si="42"/>
        <v>Inner</v>
      </c>
      <c r="C75" s="19" t="str">
        <f t="shared" si="42"/>
        <v>CAB</v>
      </c>
      <c r="D75" s="19">
        <f t="shared" si="43"/>
        <v>23</v>
      </c>
      <c r="E75" s="19">
        <f t="shared" si="43"/>
        <v>38</v>
      </c>
      <c r="F75" s="112">
        <f t="shared" si="43"/>
        <v>0</v>
      </c>
      <c r="G75" s="112">
        <f t="shared" si="43"/>
        <v>10.777777777777779</v>
      </c>
      <c r="H75" s="112">
        <f t="shared" si="43"/>
        <v>12</v>
      </c>
      <c r="I75" s="112">
        <f t="shared" si="33"/>
        <v>2</v>
      </c>
      <c r="J75" s="112">
        <f t="shared" si="33"/>
        <v>2</v>
      </c>
      <c r="K75" s="112">
        <f t="shared" si="33"/>
        <v>10</v>
      </c>
      <c r="L75" s="112">
        <f t="shared" si="37"/>
        <v>2</v>
      </c>
      <c r="M75" s="48">
        <f t="shared" si="37"/>
        <v>11980.08</v>
      </c>
      <c r="N75" s="195">
        <f t="shared" si="37"/>
        <v>0</v>
      </c>
      <c r="O75" s="195">
        <f t="shared" si="37"/>
        <v>44</v>
      </c>
      <c r="P75" s="195">
        <f t="shared" si="37"/>
        <v>48</v>
      </c>
      <c r="Q75" s="195">
        <f t="shared" si="34"/>
        <v>0</v>
      </c>
      <c r="R75" s="195">
        <f t="shared" si="34"/>
        <v>0</v>
      </c>
      <c r="S75" s="195">
        <f t="shared" si="34"/>
        <v>33</v>
      </c>
      <c r="T75" s="195">
        <f t="shared" si="38"/>
        <v>0</v>
      </c>
      <c r="U75" s="67">
        <f t="shared" si="44"/>
        <v>125</v>
      </c>
      <c r="W75">
        <f t="shared" si="45"/>
        <v>24</v>
      </c>
      <c r="X75">
        <f t="shared" si="46"/>
        <v>101</v>
      </c>
      <c r="Y75" s="112">
        <f t="shared" si="39"/>
        <v>0</v>
      </c>
      <c r="Z75" s="112">
        <f t="shared" si="35"/>
        <v>10.777777777777779</v>
      </c>
      <c r="AA75" s="112">
        <f t="shared" si="35"/>
        <v>12</v>
      </c>
      <c r="AB75" s="112">
        <f t="shared" si="35"/>
        <v>2</v>
      </c>
      <c r="AC75" s="112">
        <f t="shared" si="35"/>
        <v>2</v>
      </c>
      <c r="AD75" s="112">
        <f t="shared" si="35"/>
        <v>10</v>
      </c>
      <c r="AE75" s="112">
        <v>17</v>
      </c>
      <c r="AF75" s="48">
        <f>(8670+1900+1315)*1.047</f>
        <v>12443.594999999999</v>
      </c>
      <c r="AG75" s="195">
        <f t="shared" si="40"/>
        <v>0</v>
      </c>
      <c r="AH75" s="195">
        <f t="shared" si="36"/>
        <v>44</v>
      </c>
      <c r="AI75" s="195">
        <f t="shared" si="36"/>
        <v>48</v>
      </c>
      <c r="AJ75" s="195">
        <f t="shared" si="36"/>
        <v>0</v>
      </c>
      <c r="AK75" s="195">
        <f t="shared" si="36"/>
        <v>0</v>
      </c>
      <c r="AL75" s="195">
        <f t="shared" si="36"/>
        <v>33</v>
      </c>
      <c r="AM75" s="195">
        <f t="shared" si="41"/>
        <v>25</v>
      </c>
      <c r="AN75" s="67">
        <f t="shared" si="47"/>
        <v>150</v>
      </c>
      <c r="AQ75">
        <f>AQ74*7</f>
        <v>175</v>
      </c>
    </row>
    <row r="76" spans="1:43" x14ac:dyDescent="0.25">
      <c r="A76" t="s">
        <v>37</v>
      </c>
      <c r="B76" s="16" t="str">
        <f t="shared" si="42"/>
        <v>Inner</v>
      </c>
      <c r="C76" s="19" t="str">
        <f t="shared" si="42"/>
        <v>CAB</v>
      </c>
      <c r="D76" s="19">
        <f t="shared" si="43"/>
        <v>23</v>
      </c>
      <c r="E76" s="19">
        <f t="shared" si="43"/>
        <v>38</v>
      </c>
      <c r="F76" s="112">
        <f t="shared" si="43"/>
        <v>0</v>
      </c>
      <c r="G76" s="112">
        <f t="shared" si="43"/>
        <v>10.777777777777779</v>
      </c>
      <c r="H76" s="112">
        <f t="shared" si="43"/>
        <v>12</v>
      </c>
      <c r="I76" s="112">
        <f t="shared" si="33"/>
        <v>2</v>
      </c>
      <c r="J76" s="112">
        <f t="shared" si="33"/>
        <v>2</v>
      </c>
      <c r="K76" s="112">
        <f t="shared" si="33"/>
        <v>10</v>
      </c>
      <c r="L76" s="112">
        <f t="shared" si="37"/>
        <v>2</v>
      </c>
      <c r="M76" s="48">
        <f t="shared" si="37"/>
        <v>11980.08</v>
      </c>
      <c r="N76" s="195">
        <f t="shared" si="37"/>
        <v>0</v>
      </c>
      <c r="O76" s="195">
        <f t="shared" si="37"/>
        <v>44</v>
      </c>
      <c r="P76" s="195">
        <f t="shared" si="37"/>
        <v>48</v>
      </c>
      <c r="Q76" s="195">
        <f t="shared" si="34"/>
        <v>0</v>
      </c>
      <c r="R76" s="195">
        <f t="shared" si="34"/>
        <v>0</v>
      </c>
      <c r="S76" s="195">
        <f t="shared" si="34"/>
        <v>33</v>
      </c>
      <c r="T76" s="195">
        <f t="shared" si="38"/>
        <v>0</v>
      </c>
      <c r="U76" s="67">
        <f t="shared" si="44"/>
        <v>125</v>
      </c>
      <c r="W76">
        <f t="shared" si="45"/>
        <v>24</v>
      </c>
      <c r="X76">
        <f t="shared" si="46"/>
        <v>101</v>
      </c>
      <c r="Y76" s="112">
        <f t="shared" si="39"/>
        <v>0</v>
      </c>
      <c r="Z76" s="112">
        <f t="shared" si="35"/>
        <v>10.777777777777779</v>
      </c>
      <c r="AA76" s="112">
        <f t="shared" si="35"/>
        <v>12</v>
      </c>
      <c r="AB76" s="112">
        <f t="shared" si="35"/>
        <v>2</v>
      </c>
      <c r="AC76" s="112">
        <f t="shared" si="35"/>
        <v>2</v>
      </c>
      <c r="AD76" s="112">
        <f t="shared" si="35"/>
        <v>10</v>
      </c>
      <c r="AE76" s="112">
        <v>17</v>
      </c>
      <c r="AF76" s="48">
        <f>(8670+1900+1315)*1.047</f>
        <v>12443.594999999999</v>
      </c>
      <c r="AG76" s="195">
        <f t="shared" si="40"/>
        <v>0</v>
      </c>
      <c r="AH76" s="195">
        <f t="shared" si="36"/>
        <v>44</v>
      </c>
      <c r="AI76" s="195">
        <f t="shared" si="36"/>
        <v>48</v>
      </c>
      <c r="AJ76" s="195">
        <f t="shared" si="36"/>
        <v>0</v>
      </c>
      <c r="AK76" s="195">
        <f t="shared" si="36"/>
        <v>0</v>
      </c>
      <c r="AL76" s="195">
        <f t="shared" si="36"/>
        <v>33</v>
      </c>
      <c r="AM76" s="195">
        <f t="shared" si="41"/>
        <v>25</v>
      </c>
      <c r="AN76" s="67">
        <f t="shared" si="47"/>
        <v>150</v>
      </c>
      <c r="AQ76">
        <f>AQ75-112</f>
        <v>63</v>
      </c>
    </row>
    <row r="77" spans="1:43" x14ac:dyDescent="0.25">
      <c r="A77" t="s">
        <v>36</v>
      </c>
      <c r="B77" s="16" t="str">
        <f t="shared" si="42"/>
        <v>Inner</v>
      </c>
      <c r="C77" s="19" t="str">
        <f t="shared" si="42"/>
        <v>CAB</v>
      </c>
      <c r="D77" s="19">
        <f t="shared" si="43"/>
        <v>23</v>
      </c>
      <c r="E77" s="19">
        <f t="shared" si="43"/>
        <v>38</v>
      </c>
      <c r="F77" s="112">
        <f t="shared" si="43"/>
        <v>0</v>
      </c>
      <c r="G77" s="112">
        <f t="shared" si="43"/>
        <v>10.777777777777779</v>
      </c>
      <c r="H77" s="112">
        <f t="shared" si="43"/>
        <v>12</v>
      </c>
      <c r="I77" s="112">
        <f t="shared" si="33"/>
        <v>2</v>
      </c>
      <c r="J77" s="112">
        <f t="shared" si="33"/>
        <v>2</v>
      </c>
      <c r="K77" s="112">
        <f t="shared" si="33"/>
        <v>10</v>
      </c>
      <c r="L77" s="112">
        <f t="shared" si="37"/>
        <v>2</v>
      </c>
      <c r="M77" s="48">
        <f t="shared" si="37"/>
        <v>11980.08</v>
      </c>
      <c r="N77" s="195">
        <f t="shared" si="37"/>
        <v>0</v>
      </c>
      <c r="O77" s="195">
        <f t="shared" si="37"/>
        <v>44</v>
      </c>
      <c r="P77" s="195">
        <f t="shared" si="37"/>
        <v>48</v>
      </c>
      <c r="Q77" s="195">
        <f t="shared" si="34"/>
        <v>0</v>
      </c>
      <c r="R77" s="195">
        <f t="shared" si="34"/>
        <v>0</v>
      </c>
      <c r="S77" s="195">
        <f t="shared" si="34"/>
        <v>33</v>
      </c>
      <c r="T77" s="195">
        <f t="shared" si="38"/>
        <v>0</v>
      </c>
      <c r="U77" s="67">
        <f t="shared" si="44"/>
        <v>125</v>
      </c>
      <c r="W77">
        <f t="shared" si="45"/>
        <v>24</v>
      </c>
      <c r="X77">
        <f t="shared" si="46"/>
        <v>101</v>
      </c>
      <c r="Y77" s="112">
        <f t="shared" si="39"/>
        <v>0</v>
      </c>
      <c r="Z77" s="112">
        <f t="shared" si="35"/>
        <v>10.777777777777779</v>
      </c>
      <c r="AA77" s="112">
        <f t="shared" si="35"/>
        <v>12</v>
      </c>
      <c r="AB77" s="112">
        <f t="shared" si="35"/>
        <v>2</v>
      </c>
      <c r="AC77" s="112">
        <f t="shared" si="35"/>
        <v>2</v>
      </c>
      <c r="AD77" s="112">
        <f t="shared" si="35"/>
        <v>10</v>
      </c>
      <c r="AE77" s="112">
        <v>17</v>
      </c>
      <c r="AF77" s="48">
        <f>(8670+1900+1315)*1.047</f>
        <v>12443.594999999999</v>
      </c>
      <c r="AG77" s="195">
        <f t="shared" si="40"/>
        <v>0</v>
      </c>
      <c r="AH77" s="195">
        <f t="shared" si="36"/>
        <v>44</v>
      </c>
      <c r="AI77" s="195">
        <f t="shared" si="36"/>
        <v>48</v>
      </c>
      <c r="AJ77" s="195">
        <f t="shared" si="36"/>
        <v>0</v>
      </c>
      <c r="AK77" s="195">
        <f t="shared" si="36"/>
        <v>0</v>
      </c>
      <c r="AL77" s="195">
        <f t="shared" si="36"/>
        <v>33</v>
      </c>
      <c r="AM77" s="195">
        <f t="shared" si="41"/>
        <v>25</v>
      </c>
      <c r="AN77" s="67">
        <f t="shared" si="47"/>
        <v>150</v>
      </c>
    </row>
    <row r="78" spans="1:43" x14ac:dyDescent="0.25">
      <c r="A78" t="s">
        <v>40</v>
      </c>
      <c r="B78" s="16" t="str">
        <f t="shared" si="42"/>
        <v>E. Cubas</v>
      </c>
      <c r="C78" s="19" t="str">
        <f t="shared" si="42"/>
        <v>RAP</v>
      </c>
      <c r="D78" s="19">
        <f t="shared" si="43"/>
        <v>23</v>
      </c>
      <c r="E78" s="19">
        <f t="shared" si="43"/>
        <v>53.5</v>
      </c>
      <c r="F78" s="112">
        <f t="shared" si="43"/>
        <v>0</v>
      </c>
      <c r="G78" s="112">
        <f t="shared" si="43"/>
        <v>8.3333333333333339</v>
      </c>
      <c r="H78" s="112">
        <f t="shared" si="43"/>
        <v>9</v>
      </c>
      <c r="I78" s="112">
        <f t="shared" si="33"/>
        <v>9.5</v>
      </c>
      <c r="J78" s="112">
        <f t="shared" si="33"/>
        <v>8.6</v>
      </c>
      <c r="K78" s="112">
        <f t="shared" si="33"/>
        <v>10.285714285714286</v>
      </c>
      <c r="L78" s="112">
        <f t="shared" si="37"/>
        <v>2</v>
      </c>
      <c r="M78" s="48">
        <f t="shared" si="37"/>
        <v>4999.68</v>
      </c>
      <c r="N78" s="195">
        <f t="shared" si="37"/>
        <v>0</v>
      </c>
      <c r="O78" s="195">
        <f t="shared" si="37"/>
        <v>26</v>
      </c>
      <c r="P78" s="195">
        <f t="shared" si="37"/>
        <v>26</v>
      </c>
      <c r="Q78" s="195">
        <f t="shared" si="34"/>
        <v>20.5</v>
      </c>
      <c r="R78" s="195">
        <f t="shared" si="34"/>
        <v>21</v>
      </c>
      <c r="S78" s="195">
        <f t="shared" si="34"/>
        <v>35</v>
      </c>
      <c r="T78" s="195">
        <f t="shared" si="38"/>
        <v>0</v>
      </c>
      <c r="U78" s="67">
        <f t="shared" si="44"/>
        <v>128.5</v>
      </c>
      <c r="W78">
        <v>25</v>
      </c>
      <c r="X78">
        <v>5</v>
      </c>
      <c r="Y78" s="112">
        <f t="shared" si="39"/>
        <v>0</v>
      </c>
      <c r="Z78" s="112">
        <f t="shared" si="35"/>
        <v>8.3333333333333339</v>
      </c>
      <c r="AA78" s="112">
        <f t="shared" si="35"/>
        <v>9</v>
      </c>
      <c r="AB78" s="112">
        <f t="shared" si="35"/>
        <v>9.5</v>
      </c>
      <c r="AC78" s="112">
        <f t="shared" si="35"/>
        <v>8.6</v>
      </c>
      <c r="AD78" s="112">
        <f t="shared" si="35"/>
        <v>10.285714285714286</v>
      </c>
      <c r="AE78" s="112">
        <v>17</v>
      </c>
      <c r="AF78" s="48">
        <f>(2900+140+620+785+515)*1.047</f>
        <v>5193.12</v>
      </c>
      <c r="AG78" s="195">
        <f t="shared" si="40"/>
        <v>0</v>
      </c>
      <c r="AH78" s="195">
        <f t="shared" si="36"/>
        <v>26</v>
      </c>
      <c r="AI78" s="195">
        <f t="shared" si="36"/>
        <v>26</v>
      </c>
      <c r="AJ78" s="195">
        <f t="shared" si="36"/>
        <v>20.5</v>
      </c>
      <c r="AK78" s="195">
        <f t="shared" si="36"/>
        <v>21</v>
      </c>
      <c r="AL78" s="195">
        <f t="shared" si="36"/>
        <v>35</v>
      </c>
      <c r="AM78" s="195">
        <f t="shared" si="41"/>
        <v>25</v>
      </c>
      <c r="AN78" s="67">
        <f t="shared" si="47"/>
        <v>153.5</v>
      </c>
    </row>
    <row r="79" spans="1:43" x14ac:dyDescent="0.25">
      <c r="A79" t="s">
        <v>34</v>
      </c>
      <c r="B79" s="16" t="str">
        <f t="shared" si="42"/>
        <v>V. Gomis</v>
      </c>
      <c r="C79" s="19" t="str">
        <f t="shared" si="42"/>
        <v>IMP</v>
      </c>
      <c r="D79" s="19">
        <f t="shared" si="43"/>
        <v>23</v>
      </c>
      <c r="E79" s="19">
        <f t="shared" si="43"/>
        <v>57.5</v>
      </c>
      <c r="F79" s="112">
        <f t="shared" si="43"/>
        <v>0</v>
      </c>
      <c r="G79" s="112">
        <f t="shared" si="43"/>
        <v>10.333333333333334</v>
      </c>
      <c r="H79" s="112">
        <f t="shared" si="43"/>
        <v>7.5</v>
      </c>
      <c r="I79" s="112">
        <f t="shared" si="33"/>
        <v>8</v>
      </c>
      <c r="J79" s="112">
        <f t="shared" si="33"/>
        <v>8.6</v>
      </c>
      <c r="K79" s="112">
        <f t="shared" si="33"/>
        <v>10</v>
      </c>
      <c r="L79" s="112">
        <f t="shared" si="37"/>
        <v>0</v>
      </c>
      <c r="M79" s="48">
        <f t="shared" si="37"/>
        <v>4660</v>
      </c>
      <c r="N79" s="195">
        <f t="shared" si="37"/>
        <v>0</v>
      </c>
      <c r="O79" s="195">
        <f t="shared" si="37"/>
        <v>40</v>
      </c>
      <c r="P79" s="195">
        <f t="shared" si="37"/>
        <v>18</v>
      </c>
      <c r="Q79" s="195">
        <f t="shared" si="34"/>
        <v>15</v>
      </c>
      <c r="R79" s="195">
        <f t="shared" si="34"/>
        <v>21</v>
      </c>
      <c r="S79" s="195">
        <f t="shared" si="34"/>
        <v>33</v>
      </c>
      <c r="T79" s="195">
        <f t="shared" si="38"/>
        <v>-2</v>
      </c>
      <c r="U79" s="67">
        <f>SUM(N79:T79)</f>
        <v>125</v>
      </c>
      <c r="W79">
        <v>25</v>
      </c>
      <c r="X79">
        <v>9</v>
      </c>
      <c r="Y79" s="112">
        <f t="shared" si="39"/>
        <v>0</v>
      </c>
      <c r="Z79" s="112">
        <f t="shared" si="35"/>
        <v>10.333333333333334</v>
      </c>
      <c r="AA79" s="112">
        <f t="shared" si="35"/>
        <v>7.5</v>
      </c>
      <c r="AB79" s="112">
        <f t="shared" si="35"/>
        <v>8</v>
      </c>
      <c r="AC79" s="112">
        <f t="shared" si="35"/>
        <v>8.6</v>
      </c>
      <c r="AD79" s="112">
        <f t="shared" si="35"/>
        <v>10</v>
      </c>
      <c r="AE79" s="112">
        <f>16+2/4</f>
        <v>16.5</v>
      </c>
      <c r="AF79" s="48">
        <f>(2600+1315+140+275+330)*1.047</f>
        <v>4879.0199999999995</v>
      </c>
      <c r="AG79" s="195">
        <f t="shared" si="40"/>
        <v>0</v>
      </c>
      <c r="AH79" s="195">
        <f t="shared" si="36"/>
        <v>40</v>
      </c>
      <c r="AI79" s="195">
        <f t="shared" si="36"/>
        <v>18</v>
      </c>
      <c r="AJ79" s="195">
        <f t="shared" si="36"/>
        <v>15</v>
      </c>
      <c r="AK79" s="195">
        <f t="shared" si="36"/>
        <v>21</v>
      </c>
      <c r="AL79" s="195">
        <f t="shared" si="36"/>
        <v>33</v>
      </c>
      <c r="AM79" s="195">
        <f t="shared" si="41"/>
        <v>23</v>
      </c>
      <c r="AN79" s="67">
        <f>SUM(AG79:AM79)</f>
        <v>150</v>
      </c>
    </row>
    <row r="80" spans="1:43" x14ac:dyDescent="0.25">
      <c r="A80" t="s">
        <v>42</v>
      </c>
      <c r="B80" s="16" t="str">
        <f t="shared" si="42"/>
        <v>J.G. Peñuela</v>
      </c>
      <c r="C80" s="19" t="str">
        <f t="shared" si="42"/>
        <v>IMP</v>
      </c>
      <c r="D80" s="19">
        <f t="shared" si="43"/>
        <v>23</v>
      </c>
      <c r="E80" s="19">
        <f t="shared" si="43"/>
        <v>53.5</v>
      </c>
      <c r="F80" s="112">
        <f t="shared" si="43"/>
        <v>0</v>
      </c>
      <c r="G80" s="112">
        <f t="shared" si="43"/>
        <v>8.8333333333333339</v>
      </c>
      <c r="H80" s="112">
        <f t="shared" si="43"/>
        <v>8.6</v>
      </c>
      <c r="I80" s="112">
        <f t="shared" si="33"/>
        <v>8.8333333333333339</v>
      </c>
      <c r="J80" s="112">
        <f t="shared" si="33"/>
        <v>8</v>
      </c>
      <c r="K80" s="112">
        <f t="shared" si="33"/>
        <v>10.285714285714286</v>
      </c>
      <c r="L80" s="112">
        <f t="shared" si="37"/>
        <v>0</v>
      </c>
      <c r="M80" s="48">
        <f t="shared" si="37"/>
        <v>4700</v>
      </c>
      <c r="N80" s="195">
        <f t="shared" si="37"/>
        <v>0</v>
      </c>
      <c r="O80" s="195">
        <f t="shared" si="37"/>
        <v>29</v>
      </c>
      <c r="P80" s="195">
        <f t="shared" si="37"/>
        <v>24</v>
      </c>
      <c r="Q80" s="195">
        <f t="shared" si="34"/>
        <v>17.5</v>
      </c>
      <c r="R80" s="195">
        <f t="shared" si="34"/>
        <v>18</v>
      </c>
      <c r="S80" s="195">
        <f t="shared" si="34"/>
        <v>35</v>
      </c>
      <c r="T80" s="195">
        <f t="shared" si="38"/>
        <v>-2</v>
      </c>
      <c r="U80" s="67">
        <f>SUM(N80:T80)</f>
        <v>121.5</v>
      </c>
      <c r="W80">
        <v>25</v>
      </c>
      <c r="X80">
        <v>5</v>
      </c>
      <c r="Y80" s="112">
        <f t="shared" si="39"/>
        <v>0</v>
      </c>
      <c r="Z80" s="112">
        <f t="shared" si="35"/>
        <v>8.8333333333333339</v>
      </c>
      <c r="AA80" s="112">
        <f t="shared" si="35"/>
        <v>8.6</v>
      </c>
      <c r="AB80" s="112">
        <f t="shared" si="35"/>
        <v>8.8333333333333339</v>
      </c>
      <c r="AC80" s="112">
        <f t="shared" si="35"/>
        <v>8</v>
      </c>
      <c r="AD80" s="112">
        <f t="shared" si="35"/>
        <v>10.285714285714286</v>
      </c>
      <c r="AE80" s="112">
        <f>AE79</f>
        <v>16.5</v>
      </c>
      <c r="AF80" s="48">
        <f>(2900+135+430+615+620)*1.047</f>
        <v>4920.8999999999996</v>
      </c>
      <c r="AG80" s="195">
        <f t="shared" si="40"/>
        <v>0</v>
      </c>
      <c r="AH80" s="195">
        <f t="shared" si="36"/>
        <v>29</v>
      </c>
      <c r="AI80" s="195">
        <f t="shared" si="36"/>
        <v>24</v>
      </c>
      <c r="AJ80" s="195">
        <f t="shared" si="36"/>
        <v>17.5</v>
      </c>
      <c r="AK80" s="195">
        <f t="shared" si="36"/>
        <v>18</v>
      </c>
      <c r="AL80" s="195">
        <f t="shared" si="36"/>
        <v>35</v>
      </c>
      <c r="AM80" s="195">
        <f t="shared" si="41"/>
        <v>23</v>
      </c>
      <c r="AN80" s="67">
        <f>SUM(AG80:AM80)</f>
        <v>146.5</v>
      </c>
    </row>
    <row r="81" spans="1:40" x14ac:dyDescent="0.25">
      <c r="A81" t="s">
        <v>46</v>
      </c>
      <c r="B81" s="16" t="s">
        <v>341</v>
      </c>
      <c r="C81" s="19" t="s">
        <v>0</v>
      </c>
      <c r="D81" s="19">
        <v>22</v>
      </c>
      <c r="E81" s="19">
        <v>50</v>
      </c>
      <c r="F81" s="112">
        <f t="shared" si="43"/>
        <v>0</v>
      </c>
      <c r="G81" s="112">
        <f t="shared" si="43"/>
        <v>2</v>
      </c>
      <c r="H81" s="112">
        <v>12</v>
      </c>
      <c r="I81" s="112">
        <f t="shared" si="33"/>
        <v>2</v>
      </c>
      <c r="J81" s="112">
        <f t="shared" si="33"/>
        <v>2</v>
      </c>
      <c r="K81" s="112">
        <v>10</v>
      </c>
      <c r="L81" s="112">
        <v>7</v>
      </c>
      <c r="M81" s="48">
        <f>(8670+1315)*1.02</f>
        <v>10184.700000000001</v>
      </c>
      <c r="N81" s="195">
        <f t="shared" si="37"/>
        <v>0</v>
      </c>
      <c r="O81" s="195">
        <f t="shared" si="37"/>
        <v>0</v>
      </c>
      <c r="P81" s="195">
        <v>48</v>
      </c>
      <c r="Q81" s="195">
        <f t="shared" si="34"/>
        <v>0</v>
      </c>
      <c r="R81" s="195">
        <f t="shared" si="34"/>
        <v>0</v>
      </c>
      <c r="S81" s="195">
        <v>33</v>
      </c>
      <c r="T81" s="195">
        <v>5</v>
      </c>
      <c r="U81" s="67">
        <f>SUM(N81:T81)</f>
        <v>86</v>
      </c>
      <c r="W81">
        <v>24</v>
      </c>
      <c r="X81">
        <v>1</v>
      </c>
      <c r="Y81" s="112">
        <f t="shared" si="39"/>
        <v>0</v>
      </c>
      <c r="Z81" s="112">
        <f t="shared" si="35"/>
        <v>2</v>
      </c>
      <c r="AA81" s="112">
        <f t="shared" si="35"/>
        <v>12</v>
      </c>
      <c r="AB81" s="112">
        <f t="shared" si="35"/>
        <v>2</v>
      </c>
      <c r="AC81" s="112">
        <f t="shared" si="35"/>
        <v>2</v>
      </c>
      <c r="AD81" s="112">
        <f t="shared" si="35"/>
        <v>10</v>
      </c>
      <c r="AE81" s="112">
        <f>AE67</f>
        <v>18.25</v>
      </c>
      <c r="AF81" s="48">
        <f>(8670+1315)*1.055</f>
        <v>10534.174999999999</v>
      </c>
      <c r="AG81" s="195">
        <f t="shared" si="40"/>
        <v>0</v>
      </c>
      <c r="AH81" s="195">
        <f t="shared" si="36"/>
        <v>0</v>
      </c>
      <c r="AI81" s="195">
        <f t="shared" si="36"/>
        <v>48</v>
      </c>
      <c r="AJ81" s="195">
        <f t="shared" si="36"/>
        <v>0</v>
      </c>
      <c r="AK81" s="195">
        <f t="shared" si="36"/>
        <v>0</v>
      </c>
      <c r="AL81" s="195">
        <f t="shared" si="36"/>
        <v>33</v>
      </c>
      <c r="AM81" s="195">
        <f t="shared" si="41"/>
        <v>30</v>
      </c>
      <c r="AN81" s="67">
        <f>SUM(AG81:AM81)</f>
        <v>111</v>
      </c>
    </row>
    <row r="82" spans="1:40" x14ac:dyDescent="0.25">
      <c r="A82" t="s">
        <v>338</v>
      </c>
      <c r="B82" s="16" t="s">
        <v>341</v>
      </c>
      <c r="C82" s="19" t="s">
        <v>45</v>
      </c>
      <c r="D82" s="19">
        <v>22</v>
      </c>
      <c r="E82" s="19">
        <v>50</v>
      </c>
      <c r="F82" s="112">
        <f t="shared" si="43"/>
        <v>0</v>
      </c>
      <c r="G82" s="112">
        <f t="shared" si="43"/>
        <v>2</v>
      </c>
      <c r="H82" s="112">
        <v>12</v>
      </c>
      <c r="I82" s="112">
        <f t="shared" si="33"/>
        <v>2</v>
      </c>
      <c r="J82" s="112">
        <f t="shared" si="33"/>
        <v>2</v>
      </c>
      <c r="K82" s="112">
        <v>10</v>
      </c>
      <c r="L82" s="112">
        <v>7</v>
      </c>
      <c r="M82" s="48">
        <f>(8670+1315)*1.02</f>
        <v>10184.700000000001</v>
      </c>
      <c r="N82" s="195">
        <f t="shared" si="37"/>
        <v>0</v>
      </c>
      <c r="O82" s="195">
        <f t="shared" si="37"/>
        <v>0</v>
      </c>
      <c r="P82" s="195">
        <v>48</v>
      </c>
      <c r="Q82" s="195">
        <f t="shared" si="34"/>
        <v>0</v>
      </c>
      <c r="R82" s="195">
        <f t="shared" si="34"/>
        <v>0</v>
      </c>
      <c r="S82" s="195">
        <v>33</v>
      </c>
      <c r="T82" s="195">
        <v>5</v>
      </c>
      <c r="U82" s="67">
        <f>SUM(N82:T82)</f>
        <v>86</v>
      </c>
      <c r="W82">
        <v>24</v>
      </c>
      <c r="X82">
        <v>1</v>
      </c>
      <c r="Y82" s="112">
        <f t="shared" si="39"/>
        <v>0</v>
      </c>
      <c r="Z82" s="112">
        <f t="shared" si="35"/>
        <v>2</v>
      </c>
      <c r="AA82" s="112">
        <f t="shared" si="35"/>
        <v>12</v>
      </c>
      <c r="AB82" s="112">
        <f t="shared" si="35"/>
        <v>2</v>
      </c>
      <c r="AC82" s="112">
        <f t="shared" si="35"/>
        <v>2</v>
      </c>
      <c r="AD82" s="112">
        <f t="shared" si="35"/>
        <v>10</v>
      </c>
      <c r="AE82" s="112">
        <f>AE81</f>
        <v>18.25</v>
      </c>
      <c r="AF82" s="48">
        <f>(8670+1315)*1.055</f>
        <v>10534.174999999999</v>
      </c>
      <c r="AG82" s="195">
        <f t="shared" si="40"/>
        <v>0</v>
      </c>
      <c r="AH82" s="195">
        <f t="shared" si="36"/>
        <v>0</v>
      </c>
      <c r="AI82" s="195">
        <f t="shared" si="36"/>
        <v>48</v>
      </c>
      <c r="AJ82" s="195">
        <f t="shared" si="36"/>
        <v>0</v>
      </c>
      <c r="AK82" s="195">
        <f t="shared" si="36"/>
        <v>0</v>
      </c>
      <c r="AL82" s="195">
        <f t="shared" si="36"/>
        <v>33</v>
      </c>
      <c r="AM82" s="195">
        <f t="shared" si="41"/>
        <v>30</v>
      </c>
      <c r="AN82" s="67">
        <f>SUM(AG82:AM82)</f>
        <v>111</v>
      </c>
    </row>
    <row r="83" spans="1:40" x14ac:dyDescent="0.25">
      <c r="A83"/>
      <c r="B83"/>
      <c r="M83" s="198"/>
    </row>
    <row r="84" spans="1:40" x14ac:dyDescent="0.25">
      <c r="A84"/>
      <c r="B84"/>
      <c r="M84" s="198"/>
    </row>
    <row r="85" spans="1:40" x14ac:dyDescent="0.25">
      <c r="A85"/>
      <c r="B85"/>
      <c r="M85" s="198"/>
    </row>
    <row r="86" spans="1:40" x14ac:dyDescent="0.25">
      <c r="A86"/>
      <c r="B86"/>
      <c r="M86" s="198"/>
    </row>
    <row r="87" spans="1:40" x14ac:dyDescent="0.25">
      <c r="A87"/>
      <c r="B87"/>
      <c r="M87" s="198"/>
    </row>
    <row r="88" spans="1:40" x14ac:dyDescent="0.25">
      <c r="A88"/>
      <c r="B88"/>
      <c r="M88" s="198"/>
    </row>
    <row r="89" spans="1:40" x14ac:dyDescent="0.25">
      <c r="A89"/>
      <c r="B89"/>
      <c r="M89" s="198"/>
    </row>
    <row r="90" spans="1:40" x14ac:dyDescent="0.25">
      <c r="A90"/>
      <c r="B90"/>
      <c r="M90" s="198"/>
    </row>
    <row r="91" spans="1:40" x14ac:dyDescent="0.25">
      <c r="A91"/>
      <c r="B91"/>
      <c r="M91" s="198"/>
    </row>
    <row r="92" spans="1:40" x14ac:dyDescent="0.25">
      <c r="A92"/>
      <c r="B92"/>
      <c r="M92" s="198"/>
    </row>
    <row r="93" spans="1:40" x14ac:dyDescent="0.25">
      <c r="A93"/>
      <c r="B93"/>
      <c r="M93" s="198"/>
    </row>
    <row r="94" spans="1:40" x14ac:dyDescent="0.25">
      <c r="A94"/>
      <c r="B94"/>
      <c r="M94" s="198"/>
    </row>
    <row r="95" spans="1:40" x14ac:dyDescent="0.25">
      <c r="A95"/>
      <c r="B95"/>
      <c r="M95" s="198"/>
    </row>
    <row r="96" spans="1:40" x14ac:dyDescent="0.25">
      <c r="A96"/>
      <c r="B96"/>
      <c r="R96" s="198"/>
    </row>
    <row r="97" spans="1:18" x14ac:dyDescent="0.25">
      <c r="A97"/>
      <c r="B97"/>
      <c r="R97" s="198"/>
    </row>
    <row r="98" spans="1:18" x14ac:dyDescent="0.25">
      <c r="A98"/>
      <c r="B98"/>
      <c r="R98" s="198"/>
    </row>
    <row r="99" spans="1:18" x14ac:dyDescent="0.25">
      <c r="A99"/>
      <c r="B99"/>
      <c r="R99" s="198"/>
    </row>
    <row r="100" spans="1:18" x14ac:dyDescent="0.25">
      <c r="A100"/>
      <c r="B100"/>
      <c r="R100" s="198"/>
    </row>
    <row r="101" spans="1:18" x14ac:dyDescent="0.25">
      <c r="A101"/>
      <c r="B101"/>
      <c r="R101" s="198"/>
    </row>
    <row r="102" spans="1:18" x14ac:dyDescent="0.25">
      <c r="A102"/>
      <c r="B102"/>
      <c r="R102" s="198"/>
    </row>
    <row r="103" spans="1:18" x14ac:dyDescent="0.25">
      <c r="A103"/>
      <c r="B103"/>
      <c r="R103" s="198"/>
    </row>
    <row r="104" spans="1:18" x14ac:dyDescent="0.25">
      <c r="A104"/>
      <c r="B104"/>
      <c r="R104" s="198"/>
    </row>
    <row r="105" spans="1:18" x14ac:dyDescent="0.25">
      <c r="A105"/>
      <c r="B105"/>
      <c r="R105" s="198"/>
    </row>
    <row r="106" spans="1:18" x14ac:dyDescent="0.25">
      <c r="A106"/>
      <c r="B106"/>
      <c r="R106" s="198"/>
    </row>
    <row r="107" spans="1:18" x14ac:dyDescent="0.25">
      <c r="A107"/>
      <c r="B107"/>
      <c r="R107" s="198"/>
    </row>
    <row r="108" spans="1:18" x14ac:dyDescent="0.25">
      <c r="A108"/>
      <c r="B108"/>
      <c r="R108" s="198"/>
    </row>
    <row r="109" spans="1:18" x14ac:dyDescent="0.25">
      <c r="A109"/>
      <c r="B109"/>
      <c r="R109" s="198"/>
    </row>
    <row r="110" spans="1:18" x14ac:dyDescent="0.25">
      <c r="A110"/>
      <c r="B110"/>
      <c r="R110" s="198"/>
    </row>
    <row r="111" spans="1:18" x14ac:dyDescent="0.25">
      <c r="A111"/>
      <c r="B111"/>
      <c r="R111" s="198"/>
    </row>
    <row r="112" spans="1:18" x14ac:dyDescent="0.25">
      <c r="A112"/>
      <c r="B112"/>
      <c r="R112" s="198"/>
    </row>
    <row r="113" spans="1:18" x14ac:dyDescent="0.25">
      <c r="A113"/>
      <c r="B113"/>
      <c r="R113" s="198"/>
    </row>
    <row r="114" spans="1:18" x14ac:dyDescent="0.25">
      <c r="A114"/>
      <c r="B114"/>
      <c r="R114" s="198"/>
    </row>
    <row r="115" spans="1:18" x14ac:dyDescent="0.25">
      <c r="A115"/>
      <c r="B115"/>
      <c r="R115" s="198"/>
    </row>
    <row r="116" spans="1:18" x14ac:dyDescent="0.25">
      <c r="A116"/>
      <c r="B116"/>
      <c r="R116" s="198"/>
    </row>
    <row r="117" spans="1:18" x14ac:dyDescent="0.25">
      <c r="A117"/>
      <c r="B117"/>
      <c r="R117" s="198"/>
    </row>
    <row r="118" spans="1:18" x14ac:dyDescent="0.25">
      <c r="A118"/>
      <c r="B118"/>
      <c r="R118" s="198"/>
    </row>
    <row r="119" spans="1:18" x14ac:dyDescent="0.25">
      <c r="A119"/>
      <c r="B119"/>
      <c r="R119" s="198"/>
    </row>
    <row r="120" spans="1:18" x14ac:dyDescent="0.25">
      <c r="A120"/>
      <c r="B120"/>
      <c r="R120" s="198"/>
    </row>
    <row r="121" spans="1:18" x14ac:dyDescent="0.25">
      <c r="A121"/>
      <c r="B121"/>
      <c r="R121" s="198"/>
    </row>
    <row r="122" spans="1:18" x14ac:dyDescent="0.25">
      <c r="A122"/>
      <c r="B122"/>
      <c r="R122" s="198"/>
    </row>
    <row r="123" spans="1:18" x14ac:dyDescent="0.25">
      <c r="A123"/>
      <c r="B123"/>
      <c r="R123" s="198"/>
    </row>
    <row r="124" spans="1:18" x14ac:dyDescent="0.25">
      <c r="A124"/>
      <c r="B124"/>
      <c r="R124" s="198"/>
    </row>
    <row r="125" spans="1:18" x14ac:dyDescent="0.25">
      <c r="A125"/>
      <c r="B125"/>
      <c r="R125" s="198"/>
    </row>
    <row r="126" spans="1:18" x14ac:dyDescent="0.25">
      <c r="A126"/>
      <c r="B126"/>
      <c r="R126" s="198"/>
    </row>
    <row r="127" spans="1:18" x14ac:dyDescent="0.25">
      <c r="A127"/>
      <c r="B127"/>
      <c r="R127" s="198"/>
    </row>
    <row r="128" spans="1:18" x14ac:dyDescent="0.25">
      <c r="A128"/>
      <c r="B128"/>
      <c r="R128" s="198"/>
    </row>
    <row r="129" spans="1:18" x14ac:dyDescent="0.25">
      <c r="A129"/>
      <c r="B129"/>
      <c r="R129" s="198"/>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D22" sqref="AD22"/>
    </sheetView>
  </sheetViews>
  <sheetFormatPr baseColWidth="10"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381</v>
      </c>
      <c r="AQ1" s="111"/>
    </row>
    <row r="2" spans="1:45" x14ac:dyDescent="0.25">
      <c r="B2" t="s">
        <v>382</v>
      </c>
      <c r="AQ2" s="111"/>
      <c r="AR2" s="53" t="s">
        <v>383</v>
      </c>
      <c r="AS2" s="53" t="s">
        <v>384</v>
      </c>
    </row>
    <row r="3" spans="1:45" x14ac:dyDescent="0.25">
      <c r="B3" t="s">
        <v>385</v>
      </c>
      <c r="AQ3" s="111"/>
      <c r="AR3">
        <f>AR18+AR33+AR52</f>
        <v>102.5</v>
      </c>
      <c r="AS3">
        <f>AR3/16</f>
        <v>6.40625</v>
      </c>
    </row>
    <row r="4" spans="1:45" x14ac:dyDescent="0.25">
      <c r="B4" t="s">
        <v>386</v>
      </c>
      <c r="AQ4" s="111"/>
    </row>
    <row r="5" spans="1:45" x14ac:dyDescent="0.25">
      <c r="B5" t="s">
        <v>387</v>
      </c>
      <c r="AQ5" s="111"/>
    </row>
    <row r="6" spans="1:45" x14ac:dyDescent="0.25">
      <c r="B6" t="s">
        <v>388</v>
      </c>
      <c r="AQ6" s="111"/>
    </row>
    <row r="7" spans="1:45" x14ac:dyDescent="0.25">
      <c r="B7" t="s">
        <v>389</v>
      </c>
      <c r="AQ7" s="111"/>
    </row>
    <row r="8" spans="1:45" x14ac:dyDescent="0.25">
      <c r="AQ8" s="111"/>
    </row>
    <row r="9" spans="1:45" x14ac:dyDescent="0.25">
      <c r="N9" s="198">
        <f>SUM(N11:N25)</f>
        <v>1964.2160000000001</v>
      </c>
      <c r="AH9" s="198">
        <f>SUM(AH11:AH25)</f>
        <v>25277.456000000002</v>
      </c>
      <c r="AQ9" s="111"/>
    </row>
    <row r="10" spans="1:45" x14ac:dyDescent="0.25">
      <c r="A10" s="11" t="s">
        <v>171</v>
      </c>
      <c r="B10" s="11" t="s">
        <v>2</v>
      </c>
      <c r="C10" s="11" t="s">
        <v>85</v>
      </c>
      <c r="D10" s="11" t="s">
        <v>172</v>
      </c>
      <c r="E10" s="11" t="s">
        <v>325</v>
      </c>
      <c r="F10" s="11" t="s">
        <v>326</v>
      </c>
      <c r="G10" s="11" t="s">
        <v>15</v>
      </c>
      <c r="H10" s="11" t="s">
        <v>16</v>
      </c>
      <c r="I10" s="11" t="s">
        <v>17</v>
      </c>
      <c r="J10" s="11" t="s">
        <v>18</v>
      </c>
      <c r="K10" s="11" t="s">
        <v>19</v>
      </c>
      <c r="L10" s="11" t="s">
        <v>20</v>
      </c>
      <c r="M10" s="11" t="s">
        <v>6</v>
      </c>
      <c r="N10" s="11" t="s">
        <v>69</v>
      </c>
      <c r="O10" s="11" t="s">
        <v>327</v>
      </c>
      <c r="P10" s="11" t="s">
        <v>328</v>
      </c>
      <c r="Q10" s="11" t="s">
        <v>329</v>
      </c>
      <c r="R10" s="11" t="s">
        <v>330</v>
      </c>
      <c r="S10" s="11" t="s">
        <v>331</v>
      </c>
      <c r="T10" s="11" t="s">
        <v>332</v>
      </c>
      <c r="U10" s="11" t="s">
        <v>333</v>
      </c>
      <c r="V10" s="11" t="s">
        <v>334</v>
      </c>
      <c r="X10" s="11" t="s">
        <v>171</v>
      </c>
      <c r="Y10" s="11" t="s">
        <v>325</v>
      </c>
      <c r="Z10" s="11" t="s">
        <v>326</v>
      </c>
      <c r="AA10" s="11" t="s">
        <v>15</v>
      </c>
      <c r="AB10" s="11" t="s">
        <v>16</v>
      </c>
      <c r="AC10" s="11" t="s">
        <v>17</v>
      </c>
      <c r="AD10" s="11" t="s">
        <v>18</v>
      </c>
      <c r="AE10" s="11" t="s">
        <v>19</v>
      </c>
      <c r="AF10" s="11" t="s">
        <v>20</v>
      </c>
      <c r="AG10" s="11" t="s">
        <v>6</v>
      </c>
      <c r="AH10" s="11" t="s">
        <v>69</v>
      </c>
      <c r="AI10" s="11" t="s">
        <v>327</v>
      </c>
      <c r="AJ10" s="11" t="s">
        <v>328</v>
      </c>
      <c r="AK10" s="11" t="s">
        <v>329</v>
      </c>
      <c r="AL10" s="11" t="s">
        <v>330</v>
      </c>
      <c r="AM10" s="11" t="s">
        <v>331</v>
      </c>
      <c r="AN10" s="11" t="s">
        <v>332</v>
      </c>
      <c r="AO10" s="11" t="s">
        <v>333</v>
      </c>
      <c r="AP10" s="11" t="s">
        <v>334</v>
      </c>
      <c r="AQ10" s="111"/>
    </row>
    <row r="11" spans="1:45" x14ac:dyDescent="0.25">
      <c r="A11" t="s">
        <v>29</v>
      </c>
      <c r="B11" s="16" t="s">
        <v>28</v>
      </c>
      <c r="C11" s="19"/>
      <c r="D11" s="19"/>
      <c r="E11" s="19"/>
      <c r="F11" s="19"/>
      <c r="G11" s="220">
        <v>2</v>
      </c>
      <c r="H11" s="132">
        <v>2</v>
      </c>
      <c r="I11" s="220">
        <v>0</v>
      </c>
      <c r="J11" s="132">
        <v>0</v>
      </c>
      <c r="K11" s="220">
        <v>0</v>
      </c>
      <c r="L11" s="132">
        <v>0</v>
      </c>
      <c r="M11" s="220">
        <v>2</v>
      </c>
      <c r="N11" s="48"/>
      <c r="O11" s="219">
        <v>0</v>
      </c>
      <c r="P11" s="219">
        <v>0</v>
      </c>
      <c r="Q11" s="219">
        <v>0</v>
      </c>
      <c r="R11" s="197">
        <v>0</v>
      </c>
      <c r="S11" s="197">
        <v>0</v>
      </c>
      <c r="T11" s="197">
        <v>0</v>
      </c>
      <c r="U11" s="197">
        <v>0</v>
      </c>
      <c r="V11" s="67">
        <f>SUM(O11:U11)</f>
        <v>0</v>
      </c>
      <c r="X11" t="s">
        <v>29</v>
      </c>
      <c r="Y11" s="19"/>
      <c r="Z11" s="19"/>
      <c r="AA11" s="112">
        <f>G11</f>
        <v>2</v>
      </c>
      <c r="AB11" s="112">
        <f t="shared" ref="AB11:AH26" si="0">H11</f>
        <v>2</v>
      </c>
      <c r="AC11" s="112">
        <f t="shared" si="0"/>
        <v>0</v>
      </c>
      <c r="AD11" s="112">
        <f t="shared" si="0"/>
        <v>0</v>
      </c>
      <c r="AE11" s="112">
        <f t="shared" si="0"/>
        <v>0</v>
      </c>
      <c r="AF11" s="112">
        <f t="shared" si="0"/>
        <v>0</v>
      </c>
      <c r="AG11" s="112">
        <f t="shared" si="0"/>
        <v>2</v>
      </c>
      <c r="AH11" s="48">
        <f>N11</f>
        <v>0</v>
      </c>
      <c r="AI11" s="219">
        <f>O11</f>
        <v>0</v>
      </c>
      <c r="AJ11" s="219">
        <f t="shared" ref="AJ11:AO26" si="1">P11</f>
        <v>0</v>
      </c>
      <c r="AK11" s="219">
        <f t="shared" si="1"/>
        <v>0</v>
      </c>
      <c r="AL11" s="219">
        <f t="shared" si="1"/>
        <v>0</v>
      </c>
      <c r="AM11" s="219">
        <f t="shared" si="1"/>
        <v>0</v>
      </c>
      <c r="AN11" s="219">
        <f t="shared" si="1"/>
        <v>0</v>
      </c>
      <c r="AO11" s="219">
        <f t="shared" si="1"/>
        <v>0</v>
      </c>
      <c r="AP11" s="67">
        <f>SUM(AI11:AO11)</f>
        <v>0</v>
      </c>
      <c r="AQ11" s="111"/>
    </row>
    <row r="12" spans="1:45" x14ac:dyDescent="0.25">
      <c r="A12" t="s">
        <v>32</v>
      </c>
      <c r="B12" s="16" t="s">
        <v>30</v>
      </c>
      <c r="C12" s="4" t="s">
        <v>71</v>
      </c>
      <c r="D12" s="4" t="s">
        <v>390</v>
      </c>
      <c r="E12" s="4">
        <v>17</v>
      </c>
      <c r="F12" s="4">
        <v>50</v>
      </c>
      <c r="G12" s="220">
        <v>0</v>
      </c>
      <c r="H12" s="132">
        <v>6</v>
      </c>
      <c r="I12" s="220">
        <v>5</v>
      </c>
      <c r="J12" s="132">
        <v>6</v>
      </c>
      <c r="K12" s="220">
        <v>5</v>
      </c>
      <c r="L12" s="132">
        <v>4</v>
      </c>
      <c r="M12" s="220">
        <v>0</v>
      </c>
      <c r="N12" s="48">
        <v>370</v>
      </c>
      <c r="O12" s="219">
        <v>0</v>
      </c>
      <c r="P12" s="219">
        <v>14</v>
      </c>
      <c r="Q12" s="219">
        <v>9</v>
      </c>
      <c r="R12" s="197">
        <v>3.5</v>
      </c>
      <c r="S12" s="197">
        <v>7</v>
      </c>
      <c r="T12" s="197">
        <v>5</v>
      </c>
      <c r="U12" s="197">
        <v>0</v>
      </c>
      <c r="V12" s="67">
        <f t="shared" ref="V12:V21" si="2">SUM(O12:U12)</f>
        <v>38.5</v>
      </c>
      <c r="X12" t="s">
        <v>32</v>
      </c>
      <c r="Y12" s="4">
        <v>20</v>
      </c>
      <c r="Z12" s="4">
        <f>F12+(7*$AR$18)-112-112-112</f>
        <v>46.5</v>
      </c>
      <c r="AA12" s="112">
        <f t="shared" ref="AA12:AA26" si="3">G12</f>
        <v>0</v>
      </c>
      <c r="AB12" s="112">
        <f t="shared" si="0"/>
        <v>6</v>
      </c>
      <c r="AC12" s="112">
        <f t="shared" si="0"/>
        <v>5</v>
      </c>
      <c r="AD12" s="112">
        <f>12+2/7</f>
        <v>12.285714285714286</v>
      </c>
      <c r="AE12" s="112">
        <f t="shared" si="0"/>
        <v>5</v>
      </c>
      <c r="AF12" s="112">
        <v>8</v>
      </c>
      <c r="AG12" s="112">
        <f t="shared" si="0"/>
        <v>0</v>
      </c>
      <c r="AH12" s="48">
        <f>(5000+165+135+135+405)*1</f>
        <v>5840</v>
      </c>
      <c r="AI12" s="219">
        <f t="shared" ref="AI12:AI26" si="4">O12</f>
        <v>0</v>
      </c>
      <c r="AJ12" s="219">
        <f t="shared" si="1"/>
        <v>14</v>
      </c>
      <c r="AK12" s="219">
        <f t="shared" si="1"/>
        <v>9</v>
      </c>
      <c r="AL12" s="219">
        <f>R12+AR17</f>
        <v>35</v>
      </c>
      <c r="AM12" s="219">
        <f t="shared" si="1"/>
        <v>7</v>
      </c>
      <c r="AN12" s="219">
        <f>T12+AR16</f>
        <v>21</v>
      </c>
      <c r="AO12" s="219">
        <f t="shared" si="1"/>
        <v>0</v>
      </c>
      <c r="AP12" s="67">
        <f>SUM(AI12:AO12)</f>
        <v>86</v>
      </c>
      <c r="AQ12" s="111"/>
    </row>
    <row r="13" spans="1:45" x14ac:dyDescent="0.25">
      <c r="A13" t="s">
        <v>33</v>
      </c>
      <c r="B13" s="16" t="s">
        <v>30</v>
      </c>
      <c r="C13" s="4"/>
      <c r="D13" s="4"/>
      <c r="E13" s="4"/>
      <c r="F13" s="4"/>
      <c r="G13" s="220">
        <v>0</v>
      </c>
      <c r="H13" s="132">
        <v>2</v>
      </c>
      <c r="I13" s="220">
        <v>2</v>
      </c>
      <c r="J13" s="132">
        <v>2</v>
      </c>
      <c r="K13" s="220">
        <v>2</v>
      </c>
      <c r="L13" s="132">
        <v>2</v>
      </c>
      <c r="M13" s="220">
        <v>2</v>
      </c>
      <c r="N13" s="48"/>
      <c r="O13" s="219">
        <v>0</v>
      </c>
      <c r="P13" s="219">
        <v>0</v>
      </c>
      <c r="Q13" s="219">
        <v>0</v>
      </c>
      <c r="R13" s="197">
        <v>0</v>
      </c>
      <c r="S13" s="197">
        <v>0</v>
      </c>
      <c r="T13" s="197">
        <v>0</v>
      </c>
      <c r="U13" s="197">
        <v>0</v>
      </c>
      <c r="V13" s="67">
        <f>SUM(O13:U13)</f>
        <v>0</v>
      </c>
      <c r="X13" t="s">
        <v>33</v>
      </c>
      <c r="Y13" s="4"/>
      <c r="Z13" s="4"/>
      <c r="AA13" s="112">
        <f t="shared" si="3"/>
        <v>0</v>
      </c>
      <c r="AB13" s="112">
        <f t="shared" si="0"/>
        <v>2</v>
      </c>
      <c r="AC13" s="112">
        <f t="shared" si="0"/>
        <v>2</v>
      </c>
      <c r="AD13" s="112">
        <f t="shared" si="0"/>
        <v>2</v>
      </c>
      <c r="AE13" s="112">
        <f t="shared" si="0"/>
        <v>2</v>
      </c>
      <c r="AF13" s="112">
        <f t="shared" si="0"/>
        <v>2</v>
      </c>
      <c r="AG13" s="112">
        <f t="shared" si="0"/>
        <v>2</v>
      </c>
      <c r="AH13" s="48">
        <f t="shared" si="0"/>
        <v>0</v>
      </c>
      <c r="AI13" s="219">
        <f t="shared" si="4"/>
        <v>0</v>
      </c>
      <c r="AJ13" s="219">
        <f t="shared" si="1"/>
        <v>0</v>
      </c>
      <c r="AK13" s="219">
        <f t="shared" si="1"/>
        <v>0</v>
      </c>
      <c r="AL13" s="219">
        <f t="shared" si="1"/>
        <v>0</v>
      </c>
      <c r="AM13" s="219">
        <f t="shared" si="1"/>
        <v>0</v>
      </c>
      <c r="AN13" s="219">
        <f t="shared" si="1"/>
        <v>0</v>
      </c>
      <c r="AO13" s="219">
        <f t="shared" si="1"/>
        <v>0</v>
      </c>
      <c r="AP13" s="67">
        <f>SUM(AI13:AO13)</f>
        <v>0</v>
      </c>
      <c r="AQ13" s="111"/>
    </row>
    <row r="14" spans="1:45" x14ac:dyDescent="0.25">
      <c r="A14" t="s">
        <v>39</v>
      </c>
      <c r="B14" s="16" t="s">
        <v>30</v>
      </c>
      <c r="C14" s="4"/>
      <c r="D14" s="4"/>
      <c r="E14" s="4"/>
      <c r="F14" s="4"/>
      <c r="G14" s="220">
        <v>0</v>
      </c>
      <c r="H14" s="132">
        <v>2</v>
      </c>
      <c r="I14" s="220">
        <v>2</v>
      </c>
      <c r="J14" s="132">
        <v>2</v>
      </c>
      <c r="K14" s="220">
        <v>2</v>
      </c>
      <c r="L14" s="132">
        <v>2</v>
      </c>
      <c r="M14" s="220">
        <v>2</v>
      </c>
      <c r="N14" s="48"/>
      <c r="O14" s="219">
        <v>0</v>
      </c>
      <c r="P14" s="219">
        <v>0</v>
      </c>
      <c r="Q14" s="219">
        <v>0</v>
      </c>
      <c r="R14" s="197">
        <v>0</v>
      </c>
      <c r="S14" s="197">
        <v>0</v>
      </c>
      <c r="T14" s="197">
        <v>0</v>
      </c>
      <c r="U14" s="197">
        <v>0</v>
      </c>
      <c r="V14" s="67">
        <f>SUM(O14:U14)</f>
        <v>0</v>
      </c>
      <c r="X14" t="s">
        <v>39</v>
      </c>
      <c r="Y14" s="4"/>
      <c r="Z14" s="4"/>
      <c r="AA14" s="112">
        <f t="shared" si="3"/>
        <v>0</v>
      </c>
      <c r="AB14" s="112">
        <f t="shared" si="0"/>
        <v>2</v>
      </c>
      <c r="AC14" s="112">
        <f t="shared" si="0"/>
        <v>2</v>
      </c>
      <c r="AD14" s="112">
        <f t="shared" si="0"/>
        <v>2</v>
      </c>
      <c r="AE14" s="112">
        <f t="shared" si="0"/>
        <v>2</v>
      </c>
      <c r="AF14" s="112">
        <f t="shared" si="0"/>
        <v>2</v>
      </c>
      <c r="AG14" s="112">
        <f t="shared" si="0"/>
        <v>2</v>
      </c>
      <c r="AH14" s="48">
        <f t="shared" si="0"/>
        <v>0</v>
      </c>
      <c r="AI14" s="219">
        <f t="shared" si="4"/>
        <v>0</v>
      </c>
      <c r="AJ14" s="219">
        <f t="shared" si="1"/>
        <v>0</v>
      </c>
      <c r="AK14" s="219">
        <f t="shared" si="1"/>
        <v>0</v>
      </c>
      <c r="AL14" s="219">
        <f t="shared" si="1"/>
        <v>0</v>
      </c>
      <c r="AM14" s="219">
        <f t="shared" si="1"/>
        <v>0</v>
      </c>
      <c r="AN14" s="219">
        <f t="shared" si="1"/>
        <v>0</v>
      </c>
      <c r="AO14" s="219">
        <f t="shared" si="1"/>
        <v>0</v>
      </c>
      <c r="AP14" s="67">
        <f>SUM(AI14:AO14)</f>
        <v>0</v>
      </c>
      <c r="AQ14" s="111"/>
    </row>
    <row r="15" spans="1:45" x14ac:dyDescent="0.25">
      <c r="A15" t="s">
        <v>41</v>
      </c>
      <c r="B15" s="16" t="s">
        <v>30</v>
      </c>
      <c r="C15" s="4"/>
      <c r="D15" s="4"/>
      <c r="E15" s="4"/>
      <c r="F15" s="4"/>
      <c r="G15" s="220">
        <v>0</v>
      </c>
      <c r="H15" s="132">
        <v>2</v>
      </c>
      <c r="I15" s="220">
        <v>2</v>
      </c>
      <c r="J15" s="132">
        <v>2</v>
      </c>
      <c r="K15" s="220">
        <v>2</v>
      </c>
      <c r="L15" s="132">
        <v>2</v>
      </c>
      <c r="M15" s="220">
        <v>2</v>
      </c>
      <c r="N15" s="48"/>
      <c r="O15" s="219">
        <v>0</v>
      </c>
      <c r="P15" s="219">
        <v>0</v>
      </c>
      <c r="Q15" s="219">
        <v>0</v>
      </c>
      <c r="R15" s="197">
        <v>0</v>
      </c>
      <c r="S15" s="197">
        <v>0</v>
      </c>
      <c r="T15" s="197">
        <v>0</v>
      </c>
      <c r="U15" s="197">
        <v>0</v>
      </c>
      <c r="V15" s="67">
        <f t="shared" si="2"/>
        <v>0</v>
      </c>
      <c r="X15" t="s">
        <v>41</v>
      </c>
      <c r="Y15" s="4"/>
      <c r="Z15" s="4"/>
      <c r="AA15" s="112">
        <f t="shared" si="3"/>
        <v>0</v>
      </c>
      <c r="AB15" s="112">
        <f t="shared" si="0"/>
        <v>2</v>
      </c>
      <c r="AC15" s="112">
        <f t="shared" si="0"/>
        <v>2</v>
      </c>
      <c r="AD15" s="112">
        <f t="shared" si="0"/>
        <v>2</v>
      </c>
      <c r="AE15" s="112">
        <f t="shared" si="0"/>
        <v>2</v>
      </c>
      <c r="AF15" s="112">
        <f t="shared" si="0"/>
        <v>2</v>
      </c>
      <c r="AG15" s="112">
        <f t="shared" si="0"/>
        <v>2</v>
      </c>
      <c r="AH15" s="48">
        <f t="shared" si="0"/>
        <v>0</v>
      </c>
      <c r="AI15" s="219">
        <f t="shared" si="4"/>
        <v>0</v>
      </c>
      <c r="AJ15" s="219">
        <f t="shared" si="1"/>
        <v>0</v>
      </c>
      <c r="AK15" s="219">
        <f t="shared" si="1"/>
        <v>0</v>
      </c>
      <c r="AL15" s="219">
        <f t="shared" si="1"/>
        <v>0</v>
      </c>
      <c r="AM15" s="219">
        <f t="shared" si="1"/>
        <v>0</v>
      </c>
      <c r="AN15" s="219">
        <f t="shared" si="1"/>
        <v>0</v>
      </c>
      <c r="AO15" s="219">
        <f t="shared" si="1"/>
        <v>0</v>
      </c>
      <c r="AP15" s="67">
        <f t="shared" ref="AP15:AP21" si="5">SUM(AI15:AO15)</f>
        <v>0</v>
      </c>
      <c r="AQ15" s="111"/>
      <c r="AR15" s="53" t="s">
        <v>383</v>
      </c>
      <c r="AS15" s="53" t="s">
        <v>384</v>
      </c>
    </row>
    <row r="16" spans="1:45" x14ac:dyDescent="0.25">
      <c r="A16" t="s">
        <v>38</v>
      </c>
      <c r="B16" s="16" t="s">
        <v>30</v>
      </c>
      <c r="C16" s="4"/>
      <c r="D16" s="4"/>
      <c r="E16" s="4"/>
      <c r="F16" s="4"/>
      <c r="G16" s="220">
        <v>0</v>
      </c>
      <c r="H16" s="132">
        <v>2</v>
      </c>
      <c r="I16" s="220">
        <v>2</v>
      </c>
      <c r="J16" s="132">
        <v>2</v>
      </c>
      <c r="K16" s="220">
        <v>2</v>
      </c>
      <c r="L16" s="132">
        <v>2</v>
      </c>
      <c r="M16" s="220">
        <v>2</v>
      </c>
      <c r="N16" s="48"/>
      <c r="O16" s="219">
        <v>0</v>
      </c>
      <c r="P16" s="219">
        <v>0</v>
      </c>
      <c r="Q16" s="219">
        <v>0</v>
      </c>
      <c r="R16" s="197">
        <v>0</v>
      </c>
      <c r="S16" s="197">
        <v>0</v>
      </c>
      <c r="T16" s="197">
        <v>0</v>
      </c>
      <c r="U16" s="197">
        <v>0</v>
      </c>
      <c r="V16" s="67">
        <f t="shared" si="2"/>
        <v>0</v>
      </c>
      <c r="X16" t="s">
        <v>38</v>
      </c>
      <c r="Y16" s="4"/>
      <c r="Z16" s="4"/>
      <c r="AA16" s="112">
        <f t="shared" si="3"/>
        <v>0</v>
      </c>
      <c r="AB16" s="112">
        <f t="shared" si="0"/>
        <v>2</v>
      </c>
      <c r="AC16" s="112">
        <f t="shared" si="0"/>
        <v>2</v>
      </c>
      <c r="AD16" s="112">
        <f t="shared" si="0"/>
        <v>2</v>
      </c>
      <c r="AE16" s="112">
        <f t="shared" si="0"/>
        <v>2</v>
      </c>
      <c r="AF16" s="112">
        <f t="shared" si="0"/>
        <v>2</v>
      </c>
      <c r="AG16" s="112">
        <f t="shared" si="0"/>
        <v>2</v>
      </c>
      <c r="AH16" s="48">
        <f t="shared" si="0"/>
        <v>0</v>
      </c>
      <c r="AI16" s="219">
        <f t="shared" si="4"/>
        <v>0</v>
      </c>
      <c r="AJ16" s="219">
        <f t="shared" si="1"/>
        <v>0</v>
      </c>
      <c r="AK16" s="219">
        <f t="shared" si="1"/>
        <v>0</v>
      </c>
      <c r="AL16" s="219">
        <f t="shared" si="1"/>
        <v>0</v>
      </c>
      <c r="AM16" s="219">
        <f t="shared" si="1"/>
        <v>0</v>
      </c>
      <c r="AN16" s="219">
        <f t="shared" si="1"/>
        <v>0</v>
      </c>
      <c r="AO16" s="219">
        <f t="shared" si="1"/>
        <v>0</v>
      </c>
      <c r="AP16" s="67">
        <f t="shared" si="5"/>
        <v>0</v>
      </c>
      <c r="AQ16" s="221" t="s">
        <v>91</v>
      </c>
      <c r="AR16">
        <v>16</v>
      </c>
      <c r="AS16" s="38">
        <f>AR16/16</f>
        <v>1</v>
      </c>
    </row>
    <row r="17" spans="1:45" x14ac:dyDescent="0.25">
      <c r="A17" t="s">
        <v>35</v>
      </c>
      <c r="B17" s="16" t="s">
        <v>30</v>
      </c>
      <c r="C17" s="4"/>
      <c r="D17" s="4"/>
      <c r="E17" s="4"/>
      <c r="F17" s="4"/>
      <c r="G17" s="220">
        <v>0</v>
      </c>
      <c r="H17" s="132">
        <v>2</v>
      </c>
      <c r="I17" s="220">
        <v>2</v>
      </c>
      <c r="J17" s="132">
        <v>2</v>
      </c>
      <c r="K17" s="220">
        <v>2</v>
      </c>
      <c r="L17" s="132">
        <v>2</v>
      </c>
      <c r="M17" s="220">
        <v>2</v>
      </c>
      <c r="N17" s="48"/>
      <c r="O17" s="219">
        <v>0</v>
      </c>
      <c r="P17" s="219">
        <v>0</v>
      </c>
      <c r="Q17" s="219">
        <v>0</v>
      </c>
      <c r="R17" s="197">
        <v>0</v>
      </c>
      <c r="S17" s="197">
        <v>0</v>
      </c>
      <c r="T17" s="197">
        <v>0</v>
      </c>
      <c r="U17" s="197">
        <v>0</v>
      </c>
      <c r="V17" s="67">
        <f t="shared" si="2"/>
        <v>0</v>
      </c>
      <c r="X17" t="s">
        <v>35</v>
      </c>
      <c r="Y17" s="4"/>
      <c r="Z17" s="4"/>
      <c r="AA17" s="112">
        <f t="shared" si="3"/>
        <v>0</v>
      </c>
      <c r="AB17" s="112">
        <f t="shared" si="0"/>
        <v>2</v>
      </c>
      <c r="AC17" s="112">
        <f t="shared" si="0"/>
        <v>2</v>
      </c>
      <c r="AD17" s="112">
        <f t="shared" si="0"/>
        <v>2</v>
      </c>
      <c r="AE17" s="112">
        <f t="shared" si="0"/>
        <v>2</v>
      </c>
      <c r="AF17" s="112">
        <f t="shared" si="0"/>
        <v>2</v>
      </c>
      <c r="AG17" s="112">
        <f t="shared" si="0"/>
        <v>2</v>
      </c>
      <c r="AH17" s="48">
        <f t="shared" si="0"/>
        <v>0</v>
      </c>
      <c r="AI17" s="219">
        <f t="shared" si="4"/>
        <v>0</v>
      </c>
      <c r="AJ17" s="219">
        <f t="shared" si="1"/>
        <v>0</v>
      </c>
      <c r="AK17" s="219">
        <f t="shared" si="1"/>
        <v>0</v>
      </c>
      <c r="AL17" s="219">
        <f t="shared" si="1"/>
        <v>0</v>
      </c>
      <c r="AM17" s="219">
        <f t="shared" si="1"/>
        <v>0</v>
      </c>
      <c r="AN17" s="219">
        <f t="shared" si="1"/>
        <v>0</v>
      </c>
      <c r="AO17" s="219">
        <f t="shared" si="1"/>
        <v>0</v>
      </c>
      <c r="AP17" s="67">
        <f t="shared" si="5"/>
        <v>0</v>
      </c>
      <c r="AQ17" s="221" t="s">
        <v>195</v>
      </c>
      <c r="AR17">
        <v>31.5</v>
      </c>
      <c r="AS17" s="38">
        <f>AR17/16</f>
        <v>1.96875</v>
      </c>
    </row>
    <row r="18" spans="1:45" x14ac:dyDescent="0.25">
      <c r="A18" t="s">
        <v>31</v>
      </c>
      <c r="B18" s="16" t="s">
        <v>30</v>
      </c>
      <c r="C18" s="4"/>
      <c r="D18" s="4"/>
      <c r="E18" s="4"/>
      <c r="F18" s="4"/>
      <c r="G18" s="220">
        <v>0</v>
      </c>
      <c r="H18" s="132">
        <v>2</v>
      </c>
      <c r="I18" s="220">
        <v>2</v>
      </c>
      <c r="J18" s="132">
        <v>2</v>
      </c>
      <c r="K18" s="220">
        <v>2</v>
      </c>
      <c r="L18" s="132">
        <v>2</v>
      </c>
      <c r="M18" s="220">
        <v>2</v>
      </c>
      <c r="N18" s="48"/>
      <c r="O18" s="219">
        <v>0</v>
      </c>
      <c r="P18" s="219">
        <v>0</v>
      </c>
      <c r="Q18" s="219">
        <v>0</v>
      </c>
      <c r="R18" s="197">
        <v>0</v>
      </c>
      <c r="S18" s="197">
        <v>0</v>
      </c>
      <c r="T18" s="197">
        <v>0</v>
      </c>
      <c r="U18" s="197">
        <v>0</v>
      </c>
      <c r="V18" s="67">
        <f t="shared" si="2"/>
        <v>0</v>
      </c>
      <c r="X18" t="s">
        <v>31</v>
      </c>
      <c r="Y18" s="4"/>
      <c r="Z18" s="4"/>
      <c r="AA18" s="112">
        <f t="shared" si="3"/>
        <v>0</v>
      </c>
      <c r="AB18" s="112">
        <f t="shared" si="0"/>
        <v>2</v>
      </c>
      <c r="AC18" s="112">
        <f t="shared" si="0"/>
        <v>2</v>
      </c>
      <c r="AD18" s="112">
        <f t="shared" si="0"/>
        <v>2</v>
      </c>
      <c r="AE18" s="112">
        <f t="shared" si="0"/>
        <v>2</v>
      </c>
      <c r="AF18" s="112">
        <f t="shared" si="0"/>
        <v>2</v>
      </c>
      <c r="AG18" s="112">
        <f t="shared" si="0"/>
        <v>2</v>
      </c>
      <c r="AH18" s="48">
        <f t="shared" si="0"/>
        <v>0</v>
      </c>
      <c r="AI18" s="219">
        <f t="shared" si="4"/>
        <v>0</v>
      </c>
      <c r="AJ18" s="219">
        <f t="shared" si="1"/>
        <v>0</v>
      </c>
      <c r="AK18" s="219">
        <f t="shared" si="1"/>
        <v>0</v>
      </c>
      <c r="AL18" s="219">
        <f t="shared" si="1"/>
        <v>0</v>
      </c>
      <c r="AM18" s="219">
        <f t="shared" si="1"/>
        <v>0</v>
      </c>
      <c r="AN18" s="219">
        <f t="shared" si="1"/>
        <v>0</v>
      </c>
      <c r="AO18" s="219">
        <f t="shared" si="1"/>
        <v>0</v>
      </c>
      <c r="AP18" s="67">
        <f t="shared" si="5"/>
        <v>0</v>
      </c>
      <c r="AQ18" s="111"/>
      <c r="AR18" s="53">
        <f>AR17+AR16</f>
        <v>47.5</v>
      </c>
      <c r="AS18" s="53">
        <f>AS17+AS16</f>
        <v>2.96875</v>
      </c>
    </row>
    <row r="19" spans="1:45" x14ac:dyDescent="0.25">
      <c r="A19" t="s">
        <v>43</v>
      </c>
      <c r="B19" s="16" t="s">
        <v>391</v>
      </c>
      <c r="C19" s="4"/>
      <c r="D19" s="4"/>
      <c r="E19" s="4"/>
      <c r="F19" s="4"/>
      <c r="G19" s="220">
        <v>0</v>
      </c>
      <c r="H19" s="132">
        <v>2</v>
      </c>
      <c r="I19" s="220">
        <v>2</v>
      </c>
      <c r="J19" s="132">
        <v>2</v>
      </c>
      <c r="K19" s="220">
        <v>2</v>
      </c>
      <c r="L19" s="132">
        <v>2</v>
      </c>
      <c r="M19" s="220">
        <v>2</v>
      </c>
      <c r="N19" s="48"/>
      <c r="O19" s="219">
        <v>0</v>
      </c>
      <c r="P19" s="219">
        <v>0</v>
      </c>
      <c r="Q19" s="219">
        <v>0</v>
      </c>
      <c r="R19" s="197">
        <v>0</v>
      </c>
      <c r="S19" s="197">
        <v>0</v>
      </c>
      <c r="T19" s="197">
        <v>0</v>
      </c>
      <c r="U19" s="197">
        <v>0</v>
      </c>
      <c r="V19" s="67">
        <f t="shared" si="2"/>
        <v>0</v>
      </c>
      <c r="X19" t="s">
        <v>43</v>
      </c>
      <c r="Y19" s="4"/>
      <c r="Z19" s="4"/>
      <c r="AA19" s="112">
        <f t="shared" si="3"/>
        <v>0</v>
      </c>
      <c r="AB19" s="112">
        <f t="shared" si="0"/>
        <v>2</v>
      </c>
      <c r="AC19" s="112">
        <f t="shared" si="0"/>
        <v>2</v>
      </c>
      <c r="AD19" s="112">
        <f t="shared" si="0"/>
        <v>2</v>
      </c>
      <c r="AE19" s="112">
        <f t="shared" si="0"/>
        <v>2</v>
      </c>
      <c r="AF19" s="112">
        <f t="shared" si="0"/>
        <v>2</v>
      </c>
      <c r="AG19" s="112">
        <f t="shared" si="0"/>
        <v>2</v>
      </c>
      <c r="AH19" s="48">
        <f t="shared" si="0"/>
        <v>0</v>
      </c>
      <c r="AI19" s="219">
        <f t="shared" si="4"/>
        <v>0</v>
      </c>
      <c r="AJ19" s="219">
        <f t="shared" si="1"/>
        <v>0</v>
      </c>
      <c r="AK19" s="219">
        <f t="shared" si="1"/>
        <v>0</v>
      </c>
      <c r="AL19" s="219">
        <f t="shared" si="1"/>
        <v>0</v>
      </c>
      <c r="AM19" s="219">
        <f t="shared" si="1"/>
        <v>0</v>
      </c>
      <c r="AN19" s="219">
        <f t="shared" si="1"/>
        <v>0</v>
      </c>
      <c r="AO19" s="219">
        <f t="shared" si="1"/>
        <v>0</v>
      </c>
      <c r="AP19" s="67">
        <f t="shared" si="5"/>
        <v>0</v>
      </c>
      <c r="AQ19" s="111"/>
    </row>
    <row r="20" spans="1:45" x14ac:dyDescent="0.25">
      <c r="A20" t="s">
        <v>43</v>
      </c>
      <c r="B20" s="16" t="s">
        <v>391</v>
      </c>
      <c r="C20" s="4"/>
      <c r="D20" s="4"/>
      <c r="E20" s="4"/>
      <c r="F20" s="4"/>
      <c r="G20" s="220">
        <v>0</v>
      </c>
      <c r="H20" s="132">
        <v>2</v>
      </c>
      <c r="I20" s="220">
        <v>2</v>
      </c>
      <c r="J20" s="132">
        <v>2</v>
      </c>
      <c r="K20" s="220">
        <v>2</v>
      </c>
      <c r="L20" s="132">
        <v>2</v>
      </c>
      <c r="M20" s="220">
        <v>2</v>
      </c>
      <c r="N20" s="48"/>
      <c r="O20" s="219">
        <v>0</v>
      </c>
      <c r="P20" s="219">
        <v>0</v>
      </c>
      <c r="Q20" s="219">
        <v>0</v>
      </c>
      <c r="R20" s="197">
        <v>0</v>
      </c>
      <c r="S20" s="197">
        <v>0</v>
      </c>
      <c r="T20" s="197">
        <v>0</v>
      </c>
      <c r="U20" s="197">
        <v>0</v>
      </c>
      <c r="V20" s="67">
        <f t="shared" si="2"/>
        <v>0</v>
      </c>
      <c r="X20" t="s">
        <v>43</v>
      </c>
      <c r="Y20" s="4"/>
      <c r="Z20" s="4"/>
      <c r="AA20" s="112">
        <f t="shared" si="3"/>
        <v>0</v>
      </c>
      <c r="AB20" s="112">
        <f t="shared" si="0"/>
        <v>2</v>
      </c>
      <c r="AC20" s="112">
        <f t="shared" si="0"/>
        <v>2</v>
      </c>
      <c r="AD20" s="112">
        <f t="shared" si="0"/>
        <v>2</v>
      </c>
      <c r="AE20" s="112">
        <f t="shared" si="0"/>
        <v>2</v>
      </c>
      <c r="AF20" s="112">
        <f t="shared" si="0"/>
        <v>2</v>
      </c>
      <c r="AG20" s="112">
        <f t="shared" si="0"/>
        <v>2</v>
      </c>
      <c r="AH20" s="48">
        <f t="shared" si="0"/>
        <v>0</v>
      </c>
      <c r="AI20" s="219">
        <f t="shared" si="4"/>
        <v>0</v>
      </c>
      <c r="AJ20" s="219">
        <f t="shared" si="1"/>
        <v>0</v>
      </c>
      <c r="AK20" s="219">
        <f t="shared" si="1"/>
        <v>0</v>
      </c>
      <c r="AL20" s="219">
        <f t="shared" si="1"/>
        <v>0</v>
      </c>
      <c r="AM20" s="219">
        <f t="shared" si="1"/>
        <v>0</v>
      </c>
      <c r="AN20" s="219">
        <f t="shared" si="1"/>
        <v>0</v>
      </c>
      <c r="AO20" s="219">
        <f t="shared" si="1"/>
        <v>0</v>
      </c>
      <c r="AP20" s="67">
        <f t="shared" si="5"/>
        <v>0</v>
      </c>
      <c r="AQ20" s="111"/>
    </row>
    <row r="21" spans="1:45" x14ac:dyDescent="0.25">
      <c r="A21" t="s">
        <v>36</v>
      </c>
      <c r="B21" s="16" t="s">
        <v>72</v>
      </c>
      <c r="C21" s="4" t="s">
        <v>45</v>
      </c>
      <c r="D21" s="4" t="s">
        <v>335</v>
      </c>
      <c r="E21" s="4">
        <v>17</v>
      </c>
      <c r="F21" s="4">
        <v>37</v>
      </c>
      <c r="G21" s="220">
        <v>0</v>
      </c>
      <c r="H21" s="132">
        <v>2</v>
      </c>
      <c r="I21" s="220">
        <v>5.7</v>
      </c>
      <c r="J21" s="132">
        <v>5.5</v>
      </c>
      <c r="K21" s="220">
        <v>5.25</v>
      </c>
      <c r="L21" s="132">
        <v>3</v>
      </c>
      <c r="M21" s="220">
        <v>5</v>
      </c>
      <c r="N21" s="48">
        <f>(310+135+140)*1.016</f>
        <v>594.36</v>
      </c>
      <c r="O21" s="219">
        <v>0</v>
      </c>
      <c r="P21" s="219">
        <v>0</v>
      </c>
      <c r="Q21" s="219">
        <v>13</v>
      </c>
      <c r="R21" s="197">
        <v>10.5</v>
      </c>
      <c r="S21" s="197">
        <v>8</v>
      </c>
      <c r="T21" s="197">
        <v>2</v>
      </c>
      <c r="U21" s="197">
        <v>3</v>
      </c>
      <c r="V21" s="67">
        <f t="shared" si="2"/>
        <v>36.5</v>
      </c>
      <c r="X21" t="s">
        <v>36</v>
      </c>
      <c r="Y21" s="4">
        <v>20</v>
      </c>
      <c r="Z21" s="4">
        <f>F21+(7*$AR$18)-112-112-112</f>
        <v>33.5</v>
      </c>
      <c r="AA21" s="112">
        <f t="shared" si="3"/>
        <v>0</v>
      </c>
      <c r="AB21" s="112">
        <f t="shared" si="0"/>
        <v>2</v>
      </c>
      <c r="AC21" s="112">
        <f t="shared" si="0"/>
        <v>5.7</v>
      </c>
      <c r="AD21" s="112">
        <f>13+2/7</f>
        <v>13.285714285714286</v>
      </c>
      <c r="AE21" s="112">
        <f t="shared" si="0"/>
        <v>5.25</v>
      </c>
      <c r="AF21" s="112">
        <f>7+2/5</f>
        <v>7.4</v>
      </c>
      <c r="AG21" s="112">
        <f t="shared" si="0"/>
        <v>5</v>
      </c>
      <c r="AH21" s="48">
        <f>(155+8000+140+300)*1.016</f>
        <v>8732.52</v>
      </c>
      <c r="AI21" s="219">
        <f t="shared" si="4"/>
        <v>0</v>
      </c>
      <c r="AJ21" s="219">
        <f t="shared" si="1"/>
        <v>0</v>
      </c>
      <c r="AK21" s="219">
        <f t="shared" si="1"/>
        <v>13</v>
      </c>
      <c r="AL21" s="219">
        <f>R21+AR17</f>
        <v>42</v>
      </c>
      <c r="AM21" s="219">
        <f t="shared" si="1"/>
        <v>8</v>
      </c>
      <c r="AN21" s="219">
        <f>T21+AR16</f>
        <v>18</v>
      </c>
      <c r="AO21" s="219">
        <f t="shared" si="1"/>
        <v>3</v>
      </c>
      <c r="AP21" s="67">
        <f t="shared" si="5"/>
        <v>84</v>
      </c>
      <c r="AQ21" s="111"/>
    </row>
    <row r="22" spans="1:45" x14ac:dyDescent="0.25">
      <c r="A22" t="s">
        <v>40</v>
      </c>
      <c r="B22" s="16" t="s">
        <v>72</v>
      </c>
      <c r="C22" s="4" t="s">
        <v>300</v>
      </c>
      <c r="D22" s="4" t="s">
        <v>336</v>
      </c>
      <c r="E22" s="4">
        <v>17</v>
      </c>
      <c r="F22" s="4">
        <v>41</v>
      </c>
      <c r="G22" s="220">
        <v>0</v>
      </c>
      <c r="H22" s="132">
        <v>6</v>
      </c>
      <c r="I22" s="220">
        <v>3</v>
      </c>
      <c r="J22" s="132">
        <v>3</v>
      </c>
      <c r="K22" s="220">
        <v>5.2</v>
      </c>
      <c r="L22" s="132">
        <v>2</v>
      </c>
      <c r="M22" s="220">
        <v>3</v>
      </c>
      <c r="N22" s="48">
        <f>(330+138)*1.012</f>
        <v>473.61599999999999</v>
      </c>
      <c r="O22" s="219">
        <v>0</v>
      </c>
      <c r="P22" s="219">
        <v>14</v>
      </c>
      <c r="Q22" s="219">
        <v>3</v>
      </c>
      <c r="R22" s="197">
        <v>1.5</v>
      </c>
      <c r="S22" s="197">
        <v>8</v>
      </c>
      <c r="T22" s="197">
        <v>0</v>
      </c>
      <c r="U22" s="197">
        <v>1</v>
      </c>
      <c r="V22" s="67">
        <f>SUM(O22:U22)</f>
        <v>27.5</v>
      </c>
      <c r="X22" t="s">
        <v>40</v>
      </c>
      <c r="Y22" s="4">
        <v>20</v>
      </c>
      <c r="Z22" s="4">
        <f>F22+(7*$AR$18)-112-112-112</f>
        <v>37.5</v>
      </c>
      <c r="AA22" s="112">
        <f t="shared" si="3"/>
        <v>0</v>
      </c>
      <c r="AB22" s="112">
        <f t="shared" si="0"/>
        <v>6</v>
      </c>
      <c r="AC22" s="112">
        <f t="shared" si="0"/>
        <v>3</v>
      </c>
      <c r="AD22" s="112">
        <v>12</v>
      </c>
      <c r="AE22" s="112">
        <f t="shared" si="0"/>
        <v>5.2</v>
      </c>
      <c r="AF22" s="112">
        <v>7</v>
      </c>
      <c r="AG22" s="112">
        <f t="shared" si="0"/>
        <v>3</v>
      </c>
      <c r="AH22" s="48">
        <f>(165+138+4470+245)*1.012</f>
        <v>5078.2160000000003</v>
      </c>
      <c r="AI22" s="219">
        <f t="shared" si="4"/>
        <v>0</v>
      </c>
      <c r="AJ22" s="219">
        <f t="shared" si="1"/>
        <v>14</v>
      </c>
      <c r="AK22" s="219">
        <f t="shared" si="1"/>
        <v>3</v>
      </c>
      <c r="AL22" s="219">
        <f>R22+AR17</f>
        <v>33</v>
      </c>
      <c r="AM22" s="219">
        <f t="shared" si="1"/>
        <v>8</v>
      </c>
      <c r="AN22" s="219">
        <f>T22+AR16</f>
        <v>16</v>
      </c>
      <c r="AO22" s="219">
        <f t="shared" si="1"/>
        <v>1</v>
      </c>
      <c r="AP22" s="67">
        <f>SUM(AI22:AO22)</f>
        <v>75</v>
      </c>
      <c r="AQ22" s="111"/>
    </row>
    <row r="23" spans="1:45" x14ac:dyDescent="0.25">
      <c r="A23" t="s">
        <v>34</v>
      </c>
      <c r="B23" s="16" t="s">
        <v>72</v>
      </c>
      <c r="C23" s="4" t="s">
        <v>300</v>
      </c>
      <c r="D23" s="4" t="s">
        <v>337</v>
      </c>
      <c r="E23" s="4">
        <v>17</v>
      </c>
      <c r="F23" s="4">
        <v>37</v>
      </c>
      <c r="G23" s="220">
        <v>0</v>
      </c>
      <c r="H23" s="132">
        <v>3</v>
      </c>
      <c r="I23" s="220">
        <v>5</v>
      </c>
      <c r="J23" s="132">
        <v>4</v>
      </c>
      <c r="K23" s="220">
        <v>4</v>
      </c>
      <c r="L23" s="132">
        <v>3</v>
      </c>
      <c r="M23" s="220">
        <v>3</v>
      </c>
      <c r="N23" s="48">
        <f>(270+125+125)*1.012</f>
        <v>526.24</v>
      </c>
      <c r="O23" s="219">
        <v>0</v>
      </c>
      <c r="P23" s="219">
        <v>3</v>
      </c>
      <c r="Q23" s="219">
        <v>9</v>
      </c>
      <c r="R23" s="197">
        <v>3.5</v>
      </c>
      <c r="S23" s="197">
        <v>4</v>
      </c>
      <c r="T23" s="197">
        <v>2</v>
      </c>
      <c r="U23" s="197">
        <v>1</v>
      </c>
      <c r="V23" s="67">
        <f>SUM(O23:U23)</f>
        <v>22.5</v>
      </c>
      <c r="X23" t="s">
        <v>34</v>
      </c>
      <c r="Y23" s="4">
        <v>20</v>
      </c>
      <c r="Z23" s="4">
        <f>F23+(7*$AR$18)-112-112-112</f>
        <v>33.5</v>
      </c>
      <c r="AA23" s="112">
        <f t="shared" si="3"/>
        <v>0</v>
      </c>
      <c r="AB23" s="112">
        <f t="shared" si="0"/>
        <v>3</v>
      </c>
      <c r="AC23" s="112">
        <f t="shared" si="0"/>
        <v>5</v>
      </c>
      <c r="AD23" s="112">
        <f>12+2/7</f>
        <v>12.285714285714286</v>
      </c>
      <c r="AE23" s="112">
        <f t="shared" si="0"/>
        <v>4</v>
      </c>
      <c r="AF23" s="112">
        <f>7+2/5</f>
        <v>7.4</v>
      </c>
      <c r="AG23" s="112">
        <f t="shared" si="0"/>
        <v>3</v>
      </c>
      <c r="AH23" s="48">
        <f>(135+5000+125+300)*1.012</f>
        <v>5626.72</v>
      </c>
      <c r="AI23" s="219">
        <f t="shared" si="4"/>
        <v>0</v>
      </c>
      <c r="AJ23" s="219">
        <f t="shared" si="1"/>
        <v>3</v>
      </c>
      <c r="AK23" s="219">
        <f t="shared" si="1"/>
        <v>9</v>
      </c>
      <c r="AL23" s="219">
        <f>R23+AR17</f>
        <v>35</v>
      </c>
      <c r="AM23" s="219">
        <f t="shared" si="1"/>
        <v>4</v>
      </c>
      <c r="AN23" s="219">
        <f>T23+AR16</f>
        <v>18</v>
      </c>
      <c r="AO23" s="219">
        <f t="shared" si="1"/>
        <v>1</v>
      </c>
      <c r="AP23" s="67">
        <f>SUM(AI23:AO23)</f>
        <v>70</v>
      </c>
      <c r="AQ23" s="111"/>
    </row>
    <row r="24" spans="1:45" x14ac:dyDescent="0.25">
      <c r="A24" t="s">
        <v>42</v>
      </c>
      <c r="B24" s="16" t="s">
        <v>44</v>
      </c>
      <c r="C24" s="4"/>
      <c r="D24" s="4"/>
      <c r="E24" s="4"/>
      <c r="F24" s="4"/>
      <c r="G24" s="220">
        <v>0</v>
      </c>
      <c r="H24" s="132">
        <v>2</v>
      </c>
      <c r="I24" s="220">
        <v>2</v>
      </c>
      <c r="J24" s="132">
        <v>2</v>
      </c>
      <c r="K24" s="220">
        <v>2</v>
      </c>
      <c r="L24" s="132">
        <v>2</v>
      </c>
      <c r="M24" s="220">
        <v>2</v>
      </c>
      <c r="N24" s="48"/>
      <c r="O24" s="219">
        <v>0</v>
      </c>
      <c r="P24" s="219">
        <v>0</v>
      </c>
      <c r="Q24" s="219">
        <v>0</v>
      </c>
      <c r="R24" s="197">
        <v>0</v>
      </c>
      <c r="S24" s="197">
        <v>0</v>
      </c>
      <c r="T24" s="197">
        <v>0</v>
      </c>
      <c r="U24" s="197">
        <v>0</v>
      </c>
      <c r="V24" s="67">
        <f>SUM(O24:U24)</f>
        <v>0</v>
      </c>
      <c r="X24" t="s">
        <v>42</v>
      </c>
      <c r="Y24" s="4"/>
      <c r="Z24" s="4"/>
      <c r="AA24" s="112">
        <f t="shared" si="3"/>
        <v>0</v>
      </c>
      <c r="AB24" s="112">
        <f t="shared" si="0"/>
        <v>2</v>
      </c>
      <c r="AC24" s="112">
        <f t="shared" si="0"/>
        <v>2</v>
      </c>
      <c r="AD24" s="112">
        <f t="shared" si="0"/>
        <v>2</v>
      </c>
      <c r="AE24" s="112">
        <f t="shared" si="0"/>
        <v>2</v>
      </c>
      <c r="AF24" s="112">
        <f t="shared" si="0"/>
        <v>2</v>
      </c>
      <c r="AG24" s="112">
        <f t="shared" si="0"/>
        <v>2</v>
      </c>
      <c r="AH24" s="48">
        <f t="shared" si="0"/>
        <v>0</v>
      </c>
      <c r="AI24" s="219">
        <f t="shared" si="4"/>
        <v>0</v>
      </c>
      <c r="AJ24" s="219">
        <f t="shared" si="1"/>
        <v>0</v>
      </c>
      <c r="AK24" s="219">
        <f t="shared" si="1"/>
        <v>0</v>
      </c>
      <c r="AL24" s="219">
        <f t="shared" si="1"/>
        <v>0</v>
      </c>
      <c r="AM24" s="219">
        <f t="shared" si="1"/>
        <v>0</v>
      </c>
      <c r="AN24" s="219">
        <f t="shared" si="1"/>
        <v>0</v>
      </c>
      <c r="AO24" s="219">
        <f t="shared" si="1"/>
        <v>0</v>
      </c>
      <c r="AP24" s="67">
        <f>SUM(AI24:AO24)</f>
        <v>0</v>
      </c>
      <c r="AQ24" s="111"/>
    </row>
    <row r="25" spans="1:45" x14ac:dyDescent="0.25">
      <c r="A25" t="s">
        <v>46</v>
      </c>
      <c r="B25" s="16" t="s">
        <v>44</v>
      </c>
      <c r="C25" s="4"/>
      <c r="D25" s="4"/>
      <c r="E25" s="4"/>
      <c r="F25" s="4"/>
      <c r="G25" s="220">
        <v>0</v>
      </c>
      <c r="H25" s="132">
        <v>2</v>
      </c>
      <c r="I25" s="220">
        <v>2</v>
      </c>
      <c r="J25" s="132">
        <v>2</v>
      </c>
      <c r="K25" s="220">
        <v>2</v>
      </c>
      <c r="L25" s="132">
        <v>2</v>
      </c>
      <c r="M25" s="220">
        <v>2</v>
      </c>
      <c r="N25" s="48"/>
      <c r="O25" s="219">
        <v>0</v>
      </c>
      <c r="P25" s="219">
        <v>0</v>
      </c>
      <c r="Q25" s="219">
        <v>0</v>
      </c>
      <c r="R25" s="197">
        <v>0</v>
      </c>
      <c r="S25" s="197">
        <v>0</v>
      </c>
      <c r="T25" s="197">
        <v>0</v>
      </c>
      <c r="U25" s="197">
        <v>0</v>
      </c>
      <c r="V25" s="67">
        <f>SUM(O25:U25)</f>
        <v>0</v>
      </c>
      <c r="X25" t="s">
        <v>46</v>
      </c>
      <c r="Y25" s="4"/>
      <c r="Z25" s="4"/>
      <c r="AA25" s="112">
        <f t="shared" si="3"/>
        <v>0</v>
      </c>
      <c r="AB25" s="112">
        <f t="shared" si="0"/>
        <v>2</v>
      </c>
      <c r="AC25" s="112">
        <f t="shared" si="0"/>
        <v>2</v>
      </c>
      <c r="AD25" s="112">
        <f t="shared" si="0"/>
        <v>2</v>
      </c>
      <c r="AE25" s="112">
        <f t="shared" si="0"/>
        <v>2</v>
      </c>
      <c r="AF25" s="112">
        <f t="shared" si="0"/>
        <v>2</v>
      </c>
      <c r="AG25" s="112">
        <f t="shared" si="0"/>
        <v>2</v>
      </c>
      <c r="AH25" s="48">
        <f t="shared" si="0"/>
        <v>0</v>
      </c>
      <c r="AI25" s="219">
        <f t="shared" si="4"/>
        <v>0</v>
      </c>
      <c r="AJ25" s="219">
        <f t="shared" si="1"/>
        <v>0</v>
      </c>
      <c r="AK25" s="219">
        <f t="shared" si="1"/>
        <v>0</v>
      </c>
      <c r="AL25" s="219">
        <f t="shared" si="1"/>
        <v>0</v>
      </c>
      <c r="AM25" s="219">
        <f t="shared" si="1"/>
        <v>0</v>
      </c>
      <c r="AN25" s="219">
        <f t="shared" si="1"/>
        <v>0</v>
      </c>
      <c r="AO25" s="219">
        <f t="shared" si="1"/>
        <v>0</v>
      </c>
      <c r="AP25" s="67">
        <f>SUM(AI25:AO25)</f>
        <v>0</v>
      </c>
      <c r="AQ25" s="111"/>
    </row>
    <row r="26" spans="1:45" x14ac:dyDescent="0.25">
      <c r="A26" t="s">
        <v>338</v>
      </c>
      <c r="B26" s="16" t="s">
        <v>44</v>
      </c>
      <c r="C26" s="4"/>
      <c r="D26" s="4"/>
      <c r="E26" s="4"/>
      <c r="F26" s="4"/>
      <c r="G26" s="220">
        <v>0</v>
      </c>
      <c r="H26" s="132">
        <v>2</v>
      </c>
      <c r="I26" s="220">
        <v>2</v>
      </c>
      <c r="J26" s="132">
        <v>2</v>
      </c>
      <c r="K26" s="220">
        <v>2</v>
      </c>
      <c r="L26" s="132">
        <v>2</v>
      </c>
      <c r="M26" s="220">
        <v>2</v>
      </c>
      <c r="N26" s="48"/>
      <c r="O26" s="219">
        <v>0</v>
      </c>
      <c r="P26" s="219">
        <v>0</v>
      </c>
      <c r="Q26" s="219">
        <v>0</v>
      </c>
      <c r="R26" s="197">
        <v>0</v>
      </c>
      <c r="S26" s="197">
        <v>0</v>
      </c>
      <c r="T26" s="197">
        <v>0</v>
      </c>
      <c r="U26" s="197">
        <v>0</v>
      </c>
      <c r="V26" s="67">
        <f>SUM(O26:U26)</f>
        <v>0</v>
      </c>
      <c r="X26" t="s">
        <v>338</v>
      </c>
      <c r="Y26" s="4"/>
      <c r="Z26" s="4"/>
      <c r="AA26" s="112">
        <f t="shared" si="3"/>
        <v>0</v>
      </c>
      <c r="AB26" s="112">
        <f t="shared" si="0"/>
        <v>2</v>
      </c>
      <c r="AC26" s="112">
        <f t="shared" si="0"/>
        <v>2</v>
      </c>
      <c r="AD26" s="112">
        <f t="shared" si="0"/>
        <v>2</v>
      </c>
      <c r="AE26" s="112">
        <f t="shared" si="0"/>
        <v>2</v>
      </c>
      <c r="AF26" s="112">
        <f t="shared" si="0"/>
        <v>2</v>
      </c>
      <c r="AG26" s="112">
        <f t="shared" si="0"/>
        <v>2</v>
      </c>
      <c r="AH26" s="48">
        <f t="shared" si="0"/>
        <v>0</v>
      </c>
      <c r="AI26" s="219">
        <f t="shared" si="4"/>
        <v>0</v>
      </c>
      <c r="AJ26" s="219">
        <f t="shared" si="1"/>
        <v>0</v>
      </c>
      <c r="AK26" s="219">
        <f t="shared" si="1"/>
        <v>0</v>
      </c>
      <c r="AL26" s="219">
        <f t="shared" si="1"/>
        <v>0</v>
      </c>
      <c r="AM26" s="219">
        <f t="shared" si="1"/>
        <v>0</v>
      </c>
      <c r="AN26" s="219">
        <f t="shared" si="1"/>
        <v>0</v>
      </c>
      <c r="AO26" s="219">
        <f t="shared" si="1"/>
        <v>0</v>
      </c>
      <c r="AP26" s="67">
        <f>SUM(AI26:AO26)</f>
        <v>0</v>
      </c>
      <c r="AQ26" s="111"/>
    </row>
    <row r="27" spans="1:45" x14ac:dyDescent="0.25">
      <c r="N27" s="198">
        <f>SUM(N29:N43)</f>
        <v>74210.815999999992</v>
      </c>
      <c r="AH27" s="198">
        <f>SUM(AH29:AH43)</f>
        <v>125777.25600000001</v>
      </c>
      <c r="AQ27" s="111"/>
    </row>
    <row r="28" spans="1:45" x14ac:dyDescent="0.25">
      <c r="A28" s="11" t="s">
        <v>171</v>
      </c>
      <c r="B28" s="11" t="s">
        <v>2</v>
      </c>
      <c r="C28" s="11" t="s">
        <v>85</v>
      </c>
      <c r="D28" s="11" t="str">
        <f>D10</f>
        <v>Nombre</v>
      </c>
      <c r="E28" s="11" t="str">
        <f>E10</f>
        <v>Año</v>
      </c>
      <c r="F28" s="11" t="str">
        <f>F10</f>
        <v>Dia</v>
      </c>
      <c r="G28" s="11" t="s">
        <v>15</v>
      </c>
      <c r="H28" s="11" t="s">
        <v>16</v>
      </c>
      <c r="I28" s="11" t="s">
        <v>17</v>
      </c>
      <c r="J28" s="11" t="s">
        <v>18</v>
      </c>
      <c r="K28" s="11" t="s">
        <v>19</v>
      </c>
      <c r="L28" s="11" t="s">
        <v>20</v>
      </c>
      <c r="M28" s="11" t="s">
        <v>6</v>
      </c>
      <c r="N28" s="11" t="s">
        <v>69</v>
      </c>
      <c r="O28" s="11" t="s">
        <v>327</v>
      </c>
      <c r="P28" s="11" t="s">
        <v>328</v>
      </c>
      <c r="Q28" s="11" t="s">
        <v>329</v>
      </c>
      <c r="R28" s="11" t="s">
        <v>330</v>
      </c>
      <c r="S28" s="11" t="s">
        <v>331</v>
      </c>
      <c r="T28" s="11" t="s">
        <v>332</v>
      </c>
      <c r="U28" s="11" t="s">
        <v>333</v>
      </c>
      <c r="V28" s="11" t="s">
        <v>334</v>
      </c>
      <c r="X28" s="11" t="s">
        <v>171</v>
      </c>
      <c r="Y28" s="11" t="str">
        <f>Y10</f>
        <v>Año</v>
      </c>
      <c r="Z28" s="11" t="str">
        <f>Z10</f>
        <v>Dia</v>
      </c>
      <c r="AA28" s="11" t="s">
        <v>15</v>
      </c>
      <c r="AB28" s="11" t="s">
        <v>16</v>
      </c>
      <c r="AC28" s="11" t="s">
        <v>17</v>
      </c>
      <c r="AD28" s="11" t="s">
        <v>18</v>
      </c>
      <c r="AE28" s="11" t="s">
        <v>19</v>
      </c>
      <c r="AF28" s="11" t="s">
        <v>20</v>
      </c>
      <c r="AG28" s="11" t="s">
        <v>6</v>
      </c>
      <c r="AH28" s="11" t="s">
        <v>69</v>
      </c>
      <c r="AI28" s="11" t="s">
        <v>327</v>
      </c>
      <c r="AJ28" s="11" t="s">
        <v>328</v>
      </c>
      <c r="AK28" s="11" t="s">
        <v>329</v>
      </c>
      <c r="AL28" s="11" t="s">
        <v>330</v>
      </c>
      <c r="AM28" s="11" t="s">
        <v>331</v>
      </c>
      <c r="AN28" s="11" t="s">
        <v>332</v>
      </c>
      <c r="AO28" s="11" t="s">
        <v>333</v>
      </c>
      <c r="AP28" s="11" t="s">
        <v>334</v>
      </c>
      <c r="AQ28" s="111"/>
    </row>
    <row r="29" spans="1:45" x14ac:dyDescent="0.25">
      <c r="A29" t="s">
        <v>29</v>
      </c>
      <c r="B29" s="16" t="str">
        <f>B11</f>
        <v>POR</v>
      </c>
      <c r="C29" s="19"/>
      <c r="D29" s="19" t="s">
        <v>73</v>
      </c>
      <c r="E29" s="19">
        <v>20</v>
      </c>
      <c r="F29" s="19">
        <v>50</v>
      </c>
      <c r="G29" s="112">
        <v>17</v>
      </c>
      <c r="H29" s="112">
        <f t="shared" ref="H29:O44" si="6">AB11</f>
        <v>2</v>
      </c>
      <c r="I29" s="112">
        <f t="shared" si="6"/>
        <v>0</v>
      </c>
      <c r="J29" s="112">
        <f t="shared" si="6"/>
        <v>0</v>
      </c>
      <c r="K29" s="112">
        <f t="shared" si="6"/>
        <v>0</v>
      </c>
      <c r="L29" s="112">
        <f t="shared" si="6"/>
        <v>0</v>
      </c>
      <c r="M29" s="112">
        <f t="shared" si="6"/>
        <v>2</v>
      </c>
      <c r="N29" s="48">
        <f>(31720)*1.008</f>
        <v>31973.760000000002</v>
      </c>
      <c r="O29" s="219">
        <v>62</v>
      </c>
      <c r="P29" s="219">
        <f t="shared" ref="P29:U44" si="7">AJ11</f>
        <v>0</v>
      </c>
      <c r="Q29" s="219">
        <f t="shared" si="7"/>
        <v>0</v>
      </c>
      <c r="R29" s="219">
        <f t="shared" si="7"/>
        <v>0</v>
      </c>
      <c r="S29" s="219">
        <f t="shared" si="7"/>
        <v>0</v>
      </c>
      <c r="T29" s="219">
        <f t="shared" si="7"/>
        <v>0</v>
      </c>
      <c r="U29" s="219">
        <f t="shared" si="7"/>
        <v>0</v>
      </c>
      <c r="V29" s="67">
        <f>SUM(O29:U29)</f>
        <v>62</v>
      </c>
      <c r="X29" t="s">
        <v>29</v>
      </c>
      <c r="Y29" s="19">
        <v>22</v>
      </c>
      <c r="Z29" s="19">
        <f>F29+(AR33*7)-112-112</f>
        <v>36</v>
      </c>
      <c r="AA29" s="112">
        <f>G29</f>
        <v>17</v>
      </c>
      <c r="AB29" s="112">
        <v>9</v>
      </c>
      <c r="AC29" s="112">
        <f t="shared" ref="AC29:AG44" si="8">I29</f>
        <v>0</v>
      </c>
      <c r="AD29" s="112">
        <f t="shared" si="8"/>
        <v>0</v>
      </c>
      <c r="AE29" s="112">
        <f t="shared" si="8"/>
        <v>0</v>
      </c>
      <c r="AF29" s="112">
        <f t="shared" si="8"/>
        <v>0</v>
      </c>
      <c r="AG29" s="112">
        <f t="shared" si="8"/>
        <v>2</v>
      </c>
      <c r="AH29" s="48">
        <f>(31720+655)*1.008</f>
        <v>32634</v>
      </c>
      <c r="AI29" s="219">
        <f>O29</f>
        <v>62</v>
      </c>
      <c r="AJ29" s="219">
        <f>P29+AR33</f>
        <v>30</v>
      </c>
      <c r="AK29" s="219">
        <f t="shared" ref="AK29:AO44" si="9">Q29</f>
        <v>0</v>
      </c>
      <c r="AL29" s="219">
        <f t="shared" si="9"/>
        <v>0</v>
      </c>
      <c r="AM29" s="219">
        <f t="shared" si="9"/>
        <v>0</v>
      </c>
      <c r="AN29" s="219">
        <f t="shared" si="9"/>
        <v>0</v>
      </c>
      <c r="AO29" s="219">
        <f t="shared" si="9"/>
        <v>0</v>
      </c>
      <c r="AP29" s="67">
        <f>SUM(AI29:AO29)</f>
        <v>92</v>
      </c>
      <c r="AQ29" s="111"/>
    </row>
    <row r="30" spans="1:45" x14ac:dyDescent="0.25">
      <c r="A30" t="s">
        <v>32</v>
      </c>
      <c r="B30" s="16" t="str">
        <f t="shared" ref="B30:D44" si="10">B12</f>
        <v>DEF</v>
      </c>
      <c r="C30" s="19" t="str">
        <f t="shared" si="10"/>
        <v>TEC</v>
      </c>
      <c r="D30" s="19" t="str">
        <f t="shared" si="10"/>
        <v>J. G. de Minaya</v>
      </c>
      <c r="E30" s="19">
        <f>Y12</f>
        <v>20</v>
      </c>
      <c r="F30" s="19">
        <f>Z12</f>
        <v>46.5</v>
      </c>
      <c r="G30" s="112">
        <f>AA12</f>
        <v>0</v>
      </c>
      <c r="H30" s="112">
        <f t="shared" si="6"/>
        <v>6</v>
      </c>
      <c r="I30" s="112">
        <f t="shared" si="6"/>
        <v>5</v>
      </c>
      <c r="J30" s="112">
        <f t="shared" si="6"/>
        <v>12.285714285714286</v>
      </c>
      <c r="K30" s="112">
        <f t="shared" si="6"/>
        <v>5</v>
      </c>
      <c r="L30" s="112">
        <f t="shared" si="6"/>
        <v>8</v>
      </c>
      <c r="M30" s="112">
        <f t="shared" si="6"/>
        <v>0</v>
      </c>
      <c r="N30" s="48">
        <f t="shared" si="6"/>
        <v>5840</v>
      </c>
      <c r="O30" s="219">
        <f t="shared" si="6"/>
        <v>0</v>
      </c>
      <c r="P30" s="219">
        <f t="shared" si="7"/>
        <v>14</v>
      </c>
      <c r="Q30" s="219">
        <f t="shared" si="7"/>
        <v>9</v>
      </c>
      <c r="R30" s="219">
        <f t="shared" si="7"/>
        <v>35</v>
      </c>
      <c r="S30" s="219">
        <f t="shared" si="7"/>
        <v>7</v>
      </c>
      <c r="T30" s="219">
        <f t="shared" si="7"/>
        <v>21</v>
      </c>
      <c r="U30" s="219">
        <v>-2</v>
      </c>
      <c r="V30" s="67">
        <f>SUM(O30:U30)</f>
        <v>84</v>
      </c>
      <c r="X30" t="s">
        <v>32</v>
      </c>
      <c r="Y30" s="19">
        <v>22</v>
      </c>
      <c r="Z30" s="19">
        <f>F30+(AR33*7)-112-112</f>
        <v>32.5</v>
      </c>
      <c r="AA30" s="112">
        <f t="shared" ref="AA30:AB44" si="11">G30</f>
        <v>0</v>
      </c>
      <c r="AB30" s="112">
        <f>10+7/9</f>
        <v>10.777777777777779</v>
      </c>
      <c r="AC30" s="112">
        <f t="shared" si="8"/>
        <v>5</v>
      </c>
      <c r="AD30" s="112">
        <f t="shared" si="8"/>
        <v>12.285714285714286</v>
      </c>
      <c r="AE30" s="112">
        <f t="shared" si="8"/>
        <v>5</v>
      </c>
      <c r="AF30" s="112">
        <f t="shared" si="8"/>
        <v>8</v>
      </c>
      <c r="AG30" s="112">
        <f t="shared" si="8"/>
        <v>0</v>
      </c>
      <c r="AH30" s="48">
        <f>(5000+1800+135+135+405)*1</f>
        <v>7475</v>
      </c>
      <c r="AI30" s="219">
        <f t="shared" ref="AI30:AJ44" si="12">O30</f>
        <v>0</v>
      </c>
      <c r="AJ30" s="219">
        <f>P30+AR33</f>
        <v>44</v>
      </c>
      <c r="AK30" s="219">
        <f t="shared" si="9"/>
        <v>9</v>
      </c>
      <c r="AL30" s="219">
        <f t="shared" si="9"/>
        <v>35</v>
      </c>
      <c r="AM30" s="219">
        <f t="shared" si="9"/>
        <v>7</v>
      </c>
      <c r="AN30" s="219">
        <f t="shared" si="9"/>
        <v>21</v>
      </c>
      <c r="AO30" s="219">
        <f t="shared" si="9"/>
        <v>-2</v>
      </c>
      <c r="AP30" s="67">
        <f>SUM(AI30:AO30)</f>
        <v>114</v>
      </c>
      <c r="AQ30" s="111"/>
    </row>
    <row r="31" spans="1:45" x14ac:dyDescent="0.25">
      <c r="A31" t="s">
        <v>33</v>
      </c>
      <c r="B31" s="16" t="str">
        <f t="shared" si="10"/>
        <v>DEF</v>
      </c>
      <c r="C31" s="19" t="s">
        <v>45</v>
      </c>
      <c r="D31" s="19" t="s">
        <v>340</v>
      </c>
      <c r="E31" s="19">
        <v>20</v>
      </c>
      <c r="F31" s="19">
        <v>50</v>
      </c>
      <c r="G31" s="112">
        <f>AA13</f>
        <v>0</v>
      </c>
      <c r="H31" s="112">
        <v>10</v>
      </c>
      <c r="I31" s="112">
        <v>4</v>
      </c>
      <c r="J31" s="112">
        <v>4</v>
      </c>
      <c r="K31" s="112">
        <v>10</v>
      </c>
      <c r="L31" s="112">
        <f t="shared" si="6"/>
        <v>2</v>
      </c>
      <c r="M31" s="112">
        <f t="shared" si="6"/>
        <v>2</v>
      </c>
      <c r="N31" s="48">
        <f>(2330+125+125+785)*1.008</f>
        <v>3391.92</v>
      </c>
      <c r="O31" s="219">
        <f t="shared" si="6"/>
        <v>0</v>
      </c>
      <c r="P31" s="219">
        <v>37</v>
      </c>
      <c r="Q31" s="219">
        <v>6</v>
      </c>
      <c r="R31" s="219">
        <v>3.5</v>
      </c>
      <c r="S31" s="219">
        <v>29</v>
      </c>
      <c r="T31" s="219">
        <f t="shared" si="7"/>
        <v>0</v>
      </c>
      <c r="U31" s="219">
        <f t="shared" si="7"/>
        <v>0</v>
      </c>
      <c r="V31" s="67">
        <f>SUM(O31:U31)</f>
        <v>75.5</v>
      </c>
      <c r="X31" t="s">
        <v>33</v>
      </c>
      <c r="Y31" s="19">
        <v>22</v>
      </c>
      <c r="Z31" s="19">
        <f>F31+(AR33*7)-112-112</f>
        <v>36</v>
      </c>
      <c r="AA31" s="112">
        <f t="shared" si="11"/>
        <v>0</v>
      </c>
      <c r="AB31" s="112">
        <v>13</v>
      </c>
      <c r="AC31" s="112">
        <f t="shared" si="8"/>
        <v>4</v>
      </c>
      <c r="AD31" s="112">
        <f t="shared" si="8"/>
        <v>4</v>
      </c>
      <c r="AE31" s="112">
        <f t="shared" si="8"/>
        <v>10</v>
      </c>
      <c r="AF31" s="112">
        <f t="shared" si="8"/>
        <v>2</v>
      </c>
      <c r="AG31" s="112">
        <f t="shared" si="8"/>
        <v>2</v>
      </c>
      <c r="AH31" s="48">
        <f>(11470+125+125+785)*1.008</f>
        <v>12605.04</v>
      </c>
      <c r="AI31" s="219">
        <f t="shared" si="12"/>
        <v>0</v>
      </c>
      <c r="AJ31" s="219">
        <f>P31+AR33</f>
        <v>67</v>
      </c>
      <c r="AK31" s="219">
        <f t="shared" si="9"/>
        <v>6</v>
      </c>
      <c r="AL31" s="219">
        <f t="shared" si="9"/>
        <v>3.5</v>
      </c>
      <c r="AM31" s="219">
        <f t="shared" si="9"/>
        <v>29</v>
      </c>
      <c r="AN31" s="219">
        <f t="shared" si="9"/>
        <v>0</v>
      </c>
      <c r="AO31" s="219">
        <f t="shared" si="9"/>
        <v>0</v>
      </c>
      <c r="AP31" s="67">
        <f>SUM(AI31:AO31)</f>
        <v>105.5</v>
      </c>
      <c r="AQ31" s="111"/>
    </row>
    <row r="32" spans="1:45" x14ac:dyDescent="0.25">
      <c r="A32" t="s">
        <v>39</v>
      </c>
      <c r="B32" s="16" t="str">
        <f t="shared" si="10"/>
        <v>DEF</v>
      </c>
      <c r="C32" s="19" t="s">
        <v>178</v>
      </c>
      <c r="D32" s="19" t="s">
        <v>340</v>
      </c>
      <c r="E32" s="19">
        <v>20</v>
      </c>
      <c r="F32" s="19">
        <v>50</v>
      </c>
      <c r="G32" s="112">
        <f>AA14</f>
        <v>0</v>
      </c>
      <c r="H32" s="112">
        <v>10</v>
      </c>
      <c r="I32" s="112">
        <v>4</v>
      </c>
      <c r="J32" s="112">
        <v>4</v>
      </c>
      <c r="K32" s="112">
        <v>10</v>
      </c>
      <c r="L32" s="112">
        <f t="shared" si="6"/>
        <v>2</v>
      </c>
      <c r="M32" s="112">
        <f t="shared" si="6"/>
        <v>2</v>
      </c>
      <c r="N32" s="48">
        <f>(2330+125+125+785)*1.008</f>
        <v>3391.92</v>
      </c>
      <c r="O32" s="219">
        <f t="shared" si="6"/>
        <v>0</v>
      </c>
      <c r="P32" s="219">
        <v>37</v>
      </c>
      <c r="Q32" s="219">
        <v>6</v>
      </c>
      <c r="R32" s="219">
        <v>3.5</v>
      </c>
      <c r="S32" s="219">
        <v>29</v>
      </c>
      <c r="T32" s="219">
        <f t="shared" si="7"/>
        <v>0</v>
      </c>
      <c r="U32" s="219">
        <f t="shared" si="7"/>
        <v>0</v>
      </c>
      <c r="V32" s="67">
        <f>SUM(O32:U32)</f>
        <v>75.5</v>
      </c>
      <c r="X32" t="s">
        <v>39</v>
      </c>
      <c r="Y32" s="19">
        <v>22</v>
      </c>
      <c r="Z32" s="19">
        <f>F32+(AR33*7)-112-112</f>
        <v>36</v>
      </c>
      <c r="AA32" s="112">
        <f t="shared" si="11"/>
        <v>0</v>
      </c>
      <c r="AB32" s="112">
        <v>13</v>
      </c>
      <c r="AC32" s="112">
        <f t="shared" si="8"/>
        <v>4</v>
      </c>
      <c r="AD32" s="112">
        <f t="shared" si="8"/>
        <v>4</v>
      </c>
      <c r="AE32" s="112">
        <f t="shared" si="8"/>
        <v>10</v>
      </c>
      <c r="AF32" s="112">
        <f t="shared" si="8"/>
        <v>2</v>
      </c>
      <c r="AG32" s="112">
        <f t="shared" si="8"/>
        <v>2</v>
      </c>
      <c r="AH32" s="48">
        <f>(11470+125+125+785)*1.008</f>
        <v>12605.04</v>
      </c>
      <c r="AI32" s="219">
        <f t="shared" si="12"/>
        <v>0</v>
      </c>
      <c r="AJ32" s="219">
        <f>P32+AR33</f>
        <v>67</v>
      </c>
      <c r="AK32" s="219">
        <f t="shared" si="9"/>
        <v>6</v>
      </c>
      <c r="AL32" s="219">
        <f t="shared" si="9"/>
        <v>3.5</v>
      </c>
      <c r="AM32" s="219">
        <f t="shared" si="9"/>
        <v>29</v>
      </c>
      <c r="AN32" s="219">
        <f t="shared" si="9"/>
        <v>0</v>
      </c>
      <c r="AO32" s="219">
        <f t="shared" si="9"/>
        <v>0</v>
      </c>
      <c r="AP32" s="67">
        <f>SUM(AI32:AO32)</f>
        <v>105.5</v>
      </c>
      <c r="AQ32" s="111"/>
      <c r="AR32" t="s">
        <v>383</v>
      </c>
      <c r="AS32" t="s">
        <v>384</v>
      </c>
    </row>
    <row r="33" spans="1:45" x14ac:dyDescent="0.25">
      <c r="A33" t="s">
        <v>41</v>
      </c>
      <c r="B33" s="16" t="str">
        <f t="shared" si="10"/>
        <v>DEF</v>
      </c>
      <c r="C33" s="19" t="s">
        <v>0</v>
      </c>
      <c r="D33" s="19" t="s">
        <v>340</v>
      </c>
      <c r="E33" s="19">
        <v>20</v>
      </c>
      <c r="F33" s="19">
        <v>50</v>
      </c>
      <c r="G33" s="112">
        <f>AA15</f>
        <v>0</v>
      </c>
      <c r="H33" s="112">
        <v>10</v>
      </c>
      <c r="I33" s="112">
        <v>4</v>
      </c>
      <c r="J33" s="112">
        <v>4</v>
      </c>
      <c r="K33" s="112">
        <v>10</v>
      </c>
      <c r="L33" s="112">
        <f t="shared" si="6"/>
        <v>2</v>
      </c>
      <c r="M33" s="112">
        <f t="shared" si="6"/>
        <v>2</v>
      </c>
      <c r="N33" s="48">
        <f>(2330+125+125+785)*1.008</f>
        <v>3391.92</v>
      </c>
      <c r="O33" s="219">
        <f t="shared" si="6"/>
        <v>0</v>
      </c>
      <c r="P33" s="219">
        <v>37</v>
      </c>
      <c r="Q33" s="219">
        <v>6</v>
      </c>
      <c r="R33" s="219">
        <v>3.5</v>
      </c>
      <c r="S33" s="219">
        <v>29</v>
      </c>
      <c r="T33" s="219">
        <f t="shared" si="7"/>
        <v>0</v>
      </c>
      <c r="U33" s="219">
        <f t="shared" si="7"/>
        <v>0</v>
      </c>
      <c r="V33" s="67">
        <f t="shared" ref="V33:V39" si="13">SUM(O33:U33)</f>
        <v>75.5</v>
      </c>
      <c r="X33" t="s">
        <v>41</v>
      </c>
      <c r="Y33" s="19">
        <v>22</v>
      </c>
      <c r="Z33" s="19">
        <f>F33+(AR33*7)-112-112</f>
        <v>36</v>
      </c>
      <c r="AA33" s="112">
        <f t="shared" si="11"/>
        <v>0</v>
      </c>
      <c r="AB33" s="112">
        <v>13</v>
      </c>
      <c r="AC33" s="112">
        <f t="shared" si="8"/>
        <v>4</v>
      </c>
      <c r="AD33" s="112">
        <f t="shared" si="8"/>
        <v>4</v>
      </c>
      <c r="AE33" s="112">
        <f t="shared" si="8"/>
        <v>10</v>
      </c>
      <c r="AF33" s="112">
        <f t="shared" si="8"/>
        <v>2</v>
      </c>
      <c r="AG33" s="112">
        <f t="shared" si="8"/>
        <v>2</v>
      </c>
      <c r="AH33" s="48">
        <f>(11470+125+125+785)*1.008</f>
        <v>12605.04</v>
      </c>
      <c r="AI33" s="219">
        <f t="shared" si="12"/>
        <v>0</v>
      </c>
      <c r="AJ33" s="219">
        <f>P33+AR33</f>
        <v>67</v>
      </c>
      <c r="AK33" s="219">
        <f t="shared" si="9"/>
        <v>6</v>
      </c>
      <c r="AL33" s="219">
        <f t="shared" si="9"/>
        <v>3.5</v>
      </c>
      <c r="AM33" s="219">
        <f t="shared" si="9"/>
        <v>29</v>
      </c>
      <c r="AN33" s="219">
        <f t="shared" si="9"/>
        <v>0</v>
      </c>
      <c r="AO33" s="219">
        <f t="shared" si="9"/>
        <v>0</v>
      </c>
      <c r="AP33" s="67">
        <f t="shared" ref="AP33:AP39" si="14">SUM(AI33:AO33)</f>
        <v>105.5</v>
      </c>
      <c r="AQ33" s="111" t="s">
        <v>30</v>
      </c>
      <c r="AR33">
        <f>67-37</f>
        <v>30</v>
      </c>
      <c r="AS33" s="38">
        <f>AR33/16</f>
        <v>1.875</v>
      </c>
    </row>
    <row r="34" spans="1:45" x14ac:dyDescent="0.25">
      <c r="A34" t="s">
        <v>38</v>
      </c>
      <c r="B34" s="16" t="str">
        <f t="shared" si="10"/>
        <v>DEF</v>
      </c>
      <c r="C34" s="19" t="s">
        <v>0</v>
      </c>
      <c r="D34" s="19" t="s">
        <v>340</v>
      </c>
      <c r="E34" s="19">
        <v>20</v>
      </c>
      <c r="F34" s="19">
        <v>50</v>
      </c>
      <c r="G34" s="112">
        <f>AA16</f>
        <v>0</v>
      </c>
      <c r="H34" s="112">
        <v>10</v>
      </c>
      <c r="I34" s="112">
        <v>4</v>
      </c>
      <c r="J34" s="112">
        <v>4</v>
      </c>
      <c r="K34" s="112">
        <v>10</v>
      </c>
      <c r="L34" s="112">
        <f t="shared" si="6"/>
        <v>2</v>
      </c>
      <c r="M34" s="112">
        <f t="shared" si="6"/>
        <v>2</v>
      </c>
      <c r="N34" s="48">
        <f>(2330+125+125+785)*1.008</f>
        <v>3391.92</v>
      </c>
      <c r="O34" s="219">
        <f t="shared" si="6"/>
        <v>0</v>
      </c>
      <c r="P34" s="219">
        <v>37</v>
      </c>
      <c r="Q34" s="219">
        <v>6</v>
      </c>
      <c r="R34" s="219">
        <v>3.5</v>
      </c>
      <c r="S34" s="219">
        <v>29</v>
      </c>
      <c r="T34" s="219">
        <f t="shared" si="7"/>
        <v>0</v>
      </c>
      <c r="U34" s="219">
        <f t="shared" si="7"/>
        <v>0</v>
      </c>
      <c r="V34" s="67">
        <f t="shared" si="13"/>
        <v>75.5</v>
      </c>
      <c r="X34" t="s">
        <v>38</v>
      </c>
      <c r="Y34" s="19">
        <v>22</v>
      </c>
      <c r="Z34" s="19">
        <f>F34+(AR33*7)-112-112</f>
        <v>36</v>
      </c>
      <c r="AA34" s="112">
        <f t="shared" si="11"/>
        <v>0</v>
      </c>
      <c r="AB34" s="112">
        <v>13</v>
      </c>
      <c r="AC34" s="112">
        <f t="shared" si="8"/>
        <v>4</v>
      </c>
      <c r="AD34" s="112">
        <f t="shared" si="8"/>
        <v>4</v>
      </c>
      <c r="AE34" s="112">
        <f t="shared" si="8"/>
        <v>10</v>
      </c>
      <c r="AF34" s="112">
        <f t="shared" si="8"/>
        <v>2</v>
      </c>
      <c r="AG34" s="112">
        <f t="shared" si="8"/>
        <v>2</v>
      </c>
      <c r="AH34" s="48">
        <f>(11470+125+125+785)*1.008</f>
        <v>12605.04</v>
      </c>
      <c r="AI34" s="219">
        <f t="shared" si="12"/>
        <v>0</v>
      </c>
      <c r="AJ34" s="219">
        <f>P34+AR33</f>
        <v>67</v>
      </c>
      <c r="AK34" s="219">
        <f t="shared" si="9"/>
        <v>6</v>
      </c>
      <c r="AL34" s="219">
        <f t="shared" si="9"/>
        <v>3.5</v>
      </c>
      <c r="AM34" s="219">
        <f t="shared" si="9"/>
        <v>29</v>
      </c>
      <c r="AN34" s="219">
        <f t="shared" si="9"/>
        <v>0</v>
      </c>
      <c r="AO34" s="219">
        <f t="shared" si="9"/>
        <v>0</v>
      </c>
      <c r="AP34" s="67">
        <f t="shared" si="14"/>
        <v>105.5</v>
      </c>
      <c r="AQ34" s="111"/>
    </row>
    <row r="35" spans="1:45" x14ac:dyDescent="0.25">
      <c r="A35" t="s">
        <v>35</v>
      </c>
      <c r="B35" s="16" t="str">
        <f t="shared" si="10"/>
        <v>DEF</v>
      </c>
      <c r="C35" s="19" t="s">
        <v>0</v>
      </c>
      <c r="D35" s="19" t="s">
        <v>340</v>
      </c>
      <c r="E35" s="19">
        <v>20</v>
      </c>
      <c r="F35" s="19">
        <v>50</v>
      </c>
      <c r="G35" s="112">
        <f>AA17</f>
        <v>0</v>
      </c>
      <c r="H35" s="112">
        <v>10</v>
      </c>
      <c r="I35" s="112">
        <v>4</v>
      </c>
      <c r="J35" s="112">
        <v>4</v>
      </c>
      <c r="K35" s="112">
        <v>10</v>
      </c>
      <c r="L35" s="112">
        <f t="shared" si="6"/>
        <v>2</v>
      </c>
      <c r="M35" s="112">
        <f t="shared" si="6"/>
        <v>2</v>
      </c>
      <c r="N35" s="48">
        <f>(2330+125+125+785)*1.008</f>
        <v>3391.92</v>
      </c>
      <c r="O35" s="219">
        <f t="shared" si="6"/>
        <v>0</v>
      </c>
      <c r="P35" s="219">
        <v>37</v>
      </c>
      <c r="Q35" s="219">
        <v>6</v>
      </c>
      <c r="R35" s="219">
        <v>3.5</v>
      </c>
      <c r="S35" s="219">
        <v>29</v>
      </c>
      <c r="T35" s="219">
        <f t="shared" si="7"/>
        <v>0</v>
      </c>
      <c r="U35" s="219">
        <f t="shared" si="7"/>
        <v>0</v>
      </c>
      <c r="V35" s="67">
        <f t="shared" si="13"/>
        <v>75.5</v>
      </c>
      <c r="X35" t="s">
        <v>35</v>
      </c>
      <c r="Y35" s="19">
        <v>22</v>
      </c>
      <c r="Z35" s="19">
        <f>F35+(AR33*7)-112-112</f>
        <v>36</v>
      </c>
      <c r="AA35" s="112">
        <f t="shared" si="11"/>
        <v>0</v>
      </c>
      <c r="AB35" s="112">
        <v>13</v>
      </c>
      <c r="AC35" s="112">
        <f t="shared" si="8"/>
        <v>4</v>
      </c>
      <c r="AD35" s="112">
        <f t="shared" si="8"/>
        <v>4</v>
      </c>
      <c r="AE35" s="112">
        <f t="shared" si="8"/>
        <v>10</v>
      </c>
      <c r="AF35" s="112">
        <f t="shared" si="8"/>
        <v>2</v>
      </c>
      <c r="AG35" s="112">
        <f t="shared" si="8"/>
        <v>2</v>
      </c>
      <c r="AH35" s="48">
        <f>(11470+125+125+785)*1.008</f>
        <v>12605.04</v>
      </c>
      <c r="AI35" s="219">
        <f t="shared" si="12"/>
        <v>0</v>
      </c>
      <c r="AJ35" s="219">
        <f>P35+AR33</f>
        <v>67</v>
      </c>
      <c r="AK35" s="219">
        <f t="shared" si="9"/>
        <v>6</v>
      </c>
      <c r="AL35" s="219">
        <f t="shared" si="9"/>
        <v>3.5</v>
      </c>
      <c r="AM35" s="219">
        <f t="shared" si="9"/>
        <v>29</v>
      </c>
      <c r="AN35" s="219">
        <f t="shared" si="9"/>
        <v>0</v>
      </c>
      <c r="AO35" s="219">
        <f t="shared" si="9"/>
        <v>0</v>
      </c>
      <c r="AP35" s="67">
        <f t="shared" si="14"/>
        <v>105.5</v>
      </c>
      <c r="AQ35" s="111"/>
    </row>
    <row r="36" spans="1:45" x14ac:dyDescent="0.25">
      <c r="A36" t="s">
        <v>31</v>
      </c>
      <c r="B36" s="16" t="str">
        <f t="shared" si="10"/>
        <v>DEF</v>
      </c>
      <c r="C36" s="19"/>
      <c r="D36" s="19">
        <f t="shared" si="10"/>
        <v>0</v>
      </c>
      <c r="E36" s="19">
        <f t="shared" ref="E36:G44" si="15">Y18</f>
        <v>0</v>
      </c>
      <c r="F36" s="19">
        <f t="shared" si="15"/>
        <v>0</v>
      </c>
      <c r="G36" s="112">
        <f t="shared" si="15"/>
        <v>0</v>
      </c>
      <c r="H36" s="112">
        <f t="shared" si="6"/>
        <v>2</v>
      </c>
      <c r="I36" s="112">
        <f t="shared" si="6"/>
        <v>2</v>
      </c>
      <c r="J36" s="112">
        <f t="shared" si="6"/>
        <v>2</v>
      </c>
      <c r="K36" s="112">
        <f t="shared" si="6"/>
        <v>2</v>
      </c>
      <c r="L36" s="112">
        <f t="shared" si="6"/>
        <v>2</v>
      </c>
      <c r="M36" s="112">
        <f t="shared" si="6"/>
        <v>2</v>
      </c>
      <c r="N36" s="48">
        <f t="shared" si="6"/>
        <v>0</v>
      </c>
      <c r="O36" s="219">
        <f t="shared" si="6"/>
        <v>0</v>
      </c>
      <c r="P36" s="219">
        <f t="shared" si="7"/>
        <v>0</v>
      </c>
      <c r="Q36" s="219">
        <f t="shared" si="7"/>
        <v>0</v>
      </c>
      <c r="R36" s="219">
        <f t="shared" si="7"/>
        <v>0</v>
      </c>
      <c r="S36" s="219">
        <f t="shared" si="7"/>
        <v>0</v>
      </c>
      <c r="T36" s="219">
        <f t="shared" si="7"/>
        <v>0</v>
      </c>
      <c r="U36" s="219">
        <f t="shared" si="7"/>
        <v>0</v>
      </c>
      <c r="V36" s="67">
        <f t="shared" si="13"/>
        <v>0</v>
      </c>
      <c r="X36" t="s">
        <v>31</v>
      </c>
      <c r="Y36" s="19"/>
      <c r="Z36" s="19"/>
      <c r="AA36" s="112">
        <f t="shared" si="11"/>
        <v>0</v>
      </c>
      <c r="AB36" s="112">
        <f t="shared" si="11"/>
        <v>2</v>
      </c>
      <c r="AC36" s="112">
        <f t="shared" si="8"/>
        <v>2</v>
      </c>
      <c r="AD36" s="112">
        <f t="shared" si="8"/>
        <v>2</v>
      </c>
      <c r="AE36" s="112">
        <f t="shared" si="8"/>
        <v>2</v>
      </c>
      <c r="AF36" s="112">
        <f t="shared" si="8"/>
        <v>2</v>
      </c>
      <c r="AG36" s="112">
        <f t="shared" si="8"/>
        <v>2</v>
      </c>
      <c r="AH36" s="48"/>
      <c r="AI36" s="219">
        <f t="shared" si="12"/>
        <v>0</v>
      </c>
      <c r="AJ36" s="219">
        <f t="shared" si="12"/>
        <v>0</v>
      </c>
      <c r="AK36" s="219">
        <f t="shared" si="9"/>
        <v>0</v>
      </c>
      <c r="AL36" s="219">
        <f t="shared" si="9"/>
        <v>0</v>
      </c>
      <c r="AM36" s="219">
        <f t="shared" si="9"/>
        <v>0</v>
      </c>
      <c r="AN36" s="219">
        <f t="shared" si="9"/>
        <v>0</v>
      </c>
      <c r="AO36" s="219">
        <f t="shared" si="9"/>
        <v>0</v>
      </c>
      <c r="AP36" s="67">
        <f t="shared" si="14"/>
        <v>0</v>
      </c>
      <c r="AQ36" s="111"/>
    </row>
    <row r="37" spans="1:45" x14ac:dyDescent="0.25">
      <c r="A37" t="s">
        <v>43</v>
      </c>
      <c r="B37" s="16" t="str">
        <f t="shared" si="10"/>
        <v>INN</v>
      </c>
      <c r="C37" s="19"/>
      <c r="D37" s="19">
        <f t="shared" si="10"/>
        <v>0</v>
      </c>
      <c r="E37" s="19">
        <f t="shared" si="15"/>
        <v>0</v>
      </c>
      <c r="F37" s="19">
        <f t="shared" si="15"/>
        <v>0</v>
      </c>
      <c r="G37" s="112">
        <f t="shared" si="15"/>
        <v>0</v>
      </c>
      <c r="H37" s="112">
        <f t="shared" si="6"/>
        <v>2</v>
      </c>
      <c r="I37" s="112">
        <f t="shared" si="6"/>
        <v>2</v>
      </c>
      <c r="J37" s="112">
        <f t="shared" si="6"/>
        <v>2</v>
      </c>
      <c r="K37" s="112">
        <f t="shared" si="6"/>
        <v>2</v>
      </c>
      <c r="L37" s="112">
        <f t="shared" si="6"/>
        <v>2</v>
      </c>
      <c r="M37" s="112">
        <f t="shared" si="6"/>
        <v>2</v>
      </c>
      <c r="N37" s="48">
        <f t="shared" si="6"/>
        <v>0</v>
      </c>
      <c r="O37" s="219">
        <f t="shared" si="6"/>
        <v>0</v>
      </c>
      <c r="P37" s="219">
        <f t="shared" si="7"/>
        <v>0</v>
      </c>
      <c r="Q37" s="219">
        <f t="shared" si="7"/>
        <v>0</v>
      </c>
      <c r="R37" s="219">
        <f t="shared" si="7"/>
        <v>0</v>
      </c>
      <c r="S37" s="219">
        <f t="shared" si="7"/>
        <v>0</v>
      </c>
      <c r="T37" s="219">
        <f t="shared" si="7"/>
        <v>0</v>
      </c>
      <c r="U37" s="219">
        <f t="shared" si="7"/>
        <v>0</v>
      </c>
      <c r="V37" s="67">
        <f t="shared" si="13"/>
        <v>0</v>
      </c>
      <c r="X37" t="s">
        <v>43</v>
      </c>
      <c r="Y37" s="19"/>
      <c r="Z37" s="19"/>
      <c r="AA37" s="112">
        <f t="shared" si="11"/>
        <v>0</v>
      </c>
      <c r="AB37" s="112">
        <f t="shared" si="11"/>
        <v>2</v>
      </c>
      <c r="AC37" s="112">
        <f t="shared" si="8"/>
        <v>2</v>
      </c>
      <c r="AD37" s="112">
        <f t="shared" si="8"/>
        <v>2</v>
      </c>
      <c r="AE37" s="112">
        <f t="shared" si="8"/>
        <v>2</v>
      </c>
      <c r="AF37" s="112">
        <f t="shared" si="8"/>
        <v>2</v>
      </c>
      <c r="AG37" s="112">
        <f t="shared" si="8"/>
        <v>2</v>
      </c>
      <c r="AH37" s="48"/>
      <c r="AI37" s="219">
        <f t="shared" si="12"/>
        <v>0</v>
      </c>
      <c r="AJ37" s="219">
        <f t="shared" si="12"/>
        <v>0</v>
      </c>
      <c r="AK37" s="219">
        <f t="shared" si="9"/>
        <v>0</v>
      </c>
      <c r="AL37" s="219">
        <f t="shared" si="9"/>
        <v>0</v>
      </c>
      <c r="AM37" s="219">
        <f t="shared" si="9"/>
        <v>0</v>
      </c>
      <c r="AN37" s="219">
        <f t="shared" si="9"/>
        <v>0</v>
      </c>
      <c r="AO37" s="219">
        <f t="shared" si="9"/>
        <v>0</v>
      </c>
      <c r="AP37" s="67">
        <f t="shared" si="14"/>
        <v>0</v>
      </c>
      <c r="AQ37" s="111"/>
    </row>
    <row r="38" spans="1:45" x14ac:dyDescent="0.25">
      <c r="A38" t="s">
        <v>43</v>
      </c>
      <c r="B38" s="16" t="str">
        <f t="shared" si="10"/>
        <v>INN</v>
      </c>
      <c r="C38" s="19"/>
      <c r="D38" s="19">
        <f t="shared" si="10"/>
        <v>0</v>
      </c>
      <c r="E38" s="19">
        <f t="shared" si="15"/>
        <v>0</v>
      </c>
      <c r="F38" s="19">
        <f t="shared" si="15"/>
        <v>0</v>
      </c>
      <c r="G38" s="112">
        <f t="shared" si="15"/>
        <v>0</v>
      </c>
      <c r="H38" s="112">
        <f t="shared" si="6"/>
        <v>2</v>
      </c>
      <c r="I38" s="112">
        <f t="shared" si="6"/>
        <v>2</v>
      </c>
      <c r="J38" s="112">
        <f t="shared" si="6"/>
        <v>2</v>
      </c>
      <c r="K38" s="112">
        <f t="shared" si="6"/>
        <v>2</v>
      </c>
      <c r="L38" s="112">
        <f t="shared" si="6"/>
        <v>2</v>
      </c>
      <c r="M38" s="112">
        <f t="shared" si="6"/>
        <v>2</v>
      </c>
      <c r="N38" s="48">
        <f t="shared" si="6"/>
        <v>0</v>
      </c>
      <c r="O38" s="219">
        <f t="shared" si="6"/>
        <v>0</v>
      </c>
      <c r="P38" s="219">
        <f t="shared" si="7"/>
        <v>0</v>
      </c>
      <c r="Q38" s="219">
        <f t="shared" si="7"/>
        <v>0</v>
      </c>
      <c r="R38" s="219">
        <f t="shared" si="7"/>
        <v>0</v>
      </c>
      <c r="S38" s="219">
        <f t="shared" si="7"/>
        <v>0</v>
      </c>
      <c r="T38" s="219">
        <f t="shared" si="7"/>
        <v>0</v>
      </c>
      <c r="U38" s="219">
        <f t="shared" si="7"/>
        <v>0</v>
      </c>
      <c r="V38" s="67">
        <f t="shared" si="13"/>
        <v>0</v>
      </c>
      <c r="X38" t="s">
        <v>43</v>
      </c>
      <c r="Y38" s="19"/>
      <c r="Z38" s="19"/>
      <c r="AA38" s="112">
        <f t="shared" si="11"/>
        <v>0</v>
      </c>
      <c r="AB38" s="112">
        <f t="shared" si="11"/>
        <v>2</v>
      </c>
      <c r="AC38" s="112">
        <f t="shared" si="8"/>
        <v>2</v>
      </c>
      <c r="AD38" s="112">
        <f t="shared" si="8"/>
        <v>2</v>
      </c>
      <c r="AE38" s="112">
        <f t="shared" si="8"/>
        <v>2</v>
      </c>
      <c r="AF38" s="112">
        <f t="shared" si="8"/>
        <v>2</v>
      </c>
      <c r="AG38" s="112">
        <f t="shared" si="8"/>
        <v>2</v>
      </c>
      <c r="AH38" s="48"/>
      <c r="AI38" s="219">
        <f t="shared" si="12"/>
        <v>0</v>
      </c>
      <c r="AJ38" s="219">
        <f t="shared" si="12"/>
        <v>0</v>
      </c>
      <c r="AK38" s="219">
        <f t="shared" si="9"/>
        <v>0</v>
      </c>
      <c r="AL38" s="219">
        <f t="shared" si="9"/>
        <v>0</v>
      </c>
      <c r="AM38" s="219">
        <f t="shared" si="9"/>
        <v>0</v>
      </c>
      <c r="AN38" s="219">
        <f t="shared" si="9"/>
        <v>0</v>
      </c>
      <c r="AO38" s="219">
        <f t="shared" si="9"/>
        <v>0</v>
      </c>
      <c r="AP38" s="67">
        <f t="shared" si="14"/>
        <v>0</v>
      </c>
      <c r="AQ38" s="111"/>
    </row>
    <row r="39" spans="1:45" x14ac:dyDescent="0.25">
      <c r="A39" t="s">
        <v>36</v>
      </c>
      <c r="B39" s="16" t="str">
        <f t="shared" si="10"/>
        <v>EXT</v>
      </c>
      <c r="C39" s="19" t="str">
        <f t="shared" si="10"/>
        <v>RAP</v>
      </c>
      <c r="D39" s="19" t="str">
        <f t="shared" si="10"/>
        <v>E. Cubas</v>
      </c>
      <c r="E39" s="19">
        <f t="shared" si="15"/>
        <v>20</v>
      </c>
      <c r="F39" s="19">
        <f t="shared" si="15"/>
        <v>33.5</v>
      </c>
      <c r="G39" s="112">
        <f t="shared" si="15"/>
        <v>0</v>
      </c>
      <c r="H39" s="112">
        <f t="shared" si="6"/>
        <v>2</v>
      </c>
      <c r="I39" s="112">
        <f t="shared" si="6"/>
        <v>5.7</v>
      </c>
      <c r="J39" s="112">
        <f t="shared" si="6"/>
        <v>13.285714285714286</v>
      </c>
      <c r="K39" s="112">
        <f t="shared" si="6"/>
        <v>5.25</v>
      </c>
      <c r="L39" s="112">
        <f t="shared" si="6"/>
        <v>7.4</v>
      </c>
      <c r="M39" s="112">
        <f t="shared" si="6"/>
        <v>5</v>
      </c>
      <c r="N39" s="48">
        <f t="shared" si="6"/>
        <v>8732.52</v>
      </c>
      <c r="O39" s="219">
        <f t="shared" si="6"/>
        <v>0</v>
      </c>
      <c r="P39" s="219">
        <f t="shared" si="7"/>
        <v>0</v>
      </c>
      <c r="Q39" s="219">
        <f t="shared" si="7"/>
        <v>13</v>
      </c>
      <c r="R39" s="219">
        <f t="shared" si="7"/>
        <v>42</v>
      </c>
      <c r="S39" s="219">
        <f t="shared" si="7"/>
        <v>8</v>
      </c>
      <c r="T39" s="219">
        <f t="shared" si="7"/>
        <v>18</v>
      </c>
      <c r="U39" s="219">
        <f t="shared" si="7"/>
        <v>3</v>
      </c>
      <c r="V39" s="67">
        <f t="shared" si="13"/>
        <v>84</v>
      </c>
      <c r="X39" t="s">
        <v>36</v>
      </c>
      <c r="Y39" s="19">
        <v>22</v>
      </c>
      <c r="Z39" s="19">
        <f>F39+(AR33*7)-112-112</f>
        <v>19.5</v>
      </c>
      <c r="AA39" s="112">
        <f t="shared" si="11"/>
        <v>0</v>
      </c>
      <c r="AB39" s="112">
        <f>9</f>
        <v>9</v>
      </c>
      <c r="AC39" s="112">
        <f t="shared" si="8"/>
        <v>5.7</v>
      </c>
      <c r="AD39" s="112">
        <f t="shared" si="8"/>
        <v>13.285714285714286</v>
      </c>
      <c r="AE39" s="112">
        <f t="shared" si="8"/>
        <v>5.25</v>
      </c>
      <c r="AF39" s="112">
        <f t="shared" si="8"/>
        <v>7.4</v>
      </c>
      <c r="AG39" s="112">
        <f t="shared" si="8"/>
        <v>5</v>
      </c>
      <c r="AH39" s="48">
        <f>(155+8000+140+300+655)*1.016</f>
        <v>9398</v>
      </c>
      <c r="AI39" s="219">
        <f t="shared" si="12"/>
        <v>0</v>
      </c>
      <c r="AJ39" s="219">
        <f>P39+AR33</f>
        <v>30</v>
      </c>
      <c r="AK39" s="219">
        <f t="shared" si="9"/>
        <v>13</v>
      </c>
      <c r="AL39" s="219">
        <f t="shared" si="9"/>
        <v>42</v>
      </c>
      <c r="AM39" s="219">
        <f t="shared" si="9"/>
        <v>8</v>
      </c>
      <c r="AN39" s="219">
        <f t="shared" si="9"/>
        <v>18</v>
      </c>
      <c r="AO39" s="219">
        <f t="shared" si="9"/>
        <v>3</v>
      </c>
      <c r="AP39" s="67">
        <f t="shared" si="14"/>
        <v>114</v>
      </c>
      <c r="AQ39" s="111"/>
    </row>
    <row r="40" spans="1:45" x14ac:dyDescent="0.25">
      <c r="A40" t="s">
        <v>40</v>
      </c>
      <c r="B40" s="16" t="str">
        <f t="shared" si="10"/>
        <v>EXT</v>
      </c>
      <c r="C40" s="19" t="str">
        <f t="shared" si="10"/>
        <v>IMP</v>
      </c>
      <c r="D40" s="19" t="str">
        <f t="shared" si="10"/>
        <v>V. Gomis</v>
      </c>
      <c r="E40" s="19">
        <f t="shared" si="15"/>
        <v>20</v>
      </c>
      <c r="F40" s="19">
        <f t="shared" si="15"/>
        <v>37.5</v>
      </c>
      <c r="G40" s="112">
        <f t="shared" si="15"/>
        <v>0</v>
      </c>
      <c r="H40" s="112">
        <f t="shared" si="6"/>
        <v>6</v>
      </c>
      <c r="I40" s="112">
        <f t="shared" si="6"/>
        <v>3</v>
      </c>
      <c r="J40" s="112">
        <f t="shared" si="6"/>
        <v>12</v>
      </c>
      <c r="K40" s="112">
        <f t="shared" si="6"/>
        <v>5.2</v>
      </c>
      <c r="L40" s="112">
        <f t="shared" si="6"/>
        <v>7</v>
      </c>
      <c r="M40" s="112">
        <f t="shared" si="6"/>
        <v>3</v>
      </c>
      <c r="N40" s="48">
        <f t="shared" si="6"/>
        <v>5078.2160000000003</v>
      </c>
      <c r="O40" s="219">
        <f t="shared" si="6"/>
        <v>0</v>
      </c>
      <c r="P40" s="219">
        <f t="shared" si="7"/>
        <v>14</v>
      </c>
      <c r="Q40" s="219">
        <f t="shared" si="7"/>
        <v>3</v>
      </c>
      <c r="R40" s="219">
        <f t="shared" si="7"/>
        <v>33</v>
      </c>
      <c r="S40" s="219">
        <f t="shared" si="7"/>
        <v>8</v>
      </c>
      <c r="T40" s="219">
        <f t="shared" si="7"/>
        <v>16</v>
      </c>
      <c r="U40" s="219">
        <f t="shared" si="7"/>
        <v>1</v>
      </c>
      <c r="V40" s="67">
        <f>SUM(O40:U40)</f>
        <v>75</v>
      </c>
      <c r="X40" t="s">
        <v>40</v>
      </c>
      <c r="Y40" s="19">
        <v>22</v>
      </c>
      <c r="Z40" s="19">
        <f>F40+(AR33*7)-112-112</f>
        <v>23.5</v>
      </c>
      <c r="AA40" s="112">
        <f t="shared" si="11"/>
        <v>0</v>
      </c>
      <c r="AB40" s="112">
        <f>10+7/9</f>
        <v>10.777777777777779</v>
      </c>
      <c r="AC40" s="112">
        <f t="shared" si="8"/>
        <v>3</v>
      </c>
      <c r="AD40" s="112">
        <f t="shared" si="8"/>
        <v>12</v>
      </c>
      <c r="AE40" s="112">
        <f t="shared" si="8"/>
        <v>5.2</v>
      </c>
      <c r="AF40" s="112">
        <f t="shared" si="8"/>
        <v>7</v>
      </c>
      <c r="AG40" s="112">
        <f t="shared" si="8"/>
        <v>3</v>
      </c>
      <c r="AH40" s="48">
        <f>(1800+138+4470+245)*1.012</f>
        <v>6732.8360000000002</v>
      </c>
      <c r="AI40" s="219">
        <f t="shared" si="12"/>
        <v>0</v>
      </c>
      <c r="AJ40" s="219">
        <f>P40+AR33</f>
        <v>44</v>
      </c>
      <c r="AK40" s="219">
        <f t="shared" si="9"/>
        <v>3</v>
      </c>
      <c r="AL40" s="219">
        <f t="shared" si="9"/>
        <v>33</v>
      </c>
      <c r="AM40" s="219">
        <f t="shared" si="9"/>
        <v>8</v>
      </c>
      <c r="AN40" s="219">
        <f t="shared" si="9"/>
        <v>16</v>
      </c>
      <c r="AO40" s="219">
        <f t="shared" si="9"/>
        <v>1</v>
      </c>
      <c r="AP40" s="67">
        <f>SUM(AI40:AO40)</f>
        <v>105</v>
      </c>
      <c r="AQ40" s="111"/>
    </row>
    <row r="41" spans="1:45" x14ac:dyDescent="0.25">
      <c r="A41" t="s">
        <v>34</v>
      </c>
      <c r="B41" s="16" t="str">
        <f t="shared" si="10"/>
        <v>EXT</v>
      </c>
      <c r="C41" s="19" t="str">
        <f t="shared" si="10"/>
        <v>IMP</v>
      </c>
      <c r="D41" s="19" t="str">
        <f t="shared" si="10"/>
        <v>J.G. Peñuela</v>
      </c>
      <c r="E41" s="19">
        <f t="shared" si="15"/>
        <v>20</v>
      </c>
      <c r="F41" s="19">
        <f t="shared" si="15"/>
        <v>33.5</v>
      </c>
      <c r="G41" s="112">
        <f t="shared" si="15"/>
        <v>0</v>
      </c>
      <c r="H41" s="112">
        <f t="shared" si="6"/>
        <v>3</v>
      </c>
      <c r="I41" s="112">
        <f t="shared" si="6"/>
        <v>5</v>
      </c>
      <c r="J41" s="112">
        <f t="shared" si="6"/>
        <v>12.285714285714286</v>
      </c>
      <c r="K41" s="112">
        <f t="shared" si="6"/>
        <v>4</v>
      </c>
      <c r="L41" s="112">
        <f t="shared" si="6"/>
        <v>7.4</v>
      </c>
      <c r="M41" s="112">
        <f t="shared" si="6"/>
        <v>3</v>
      </c>
      <c r="N41" s="48">
        <f t="shared" si="6"/>
        <v>5626.72</v>
      </c>
      <c r="O41" s="219">
        <f t="shared" si="6"/>
        <v>0</v>
      </c>
      <c r="P41" s="219">
        <f t="shared" si="7"/>
        <v>3</v>
      </c>
      <c r="Q41" s="219">
        <f t="shared" si="7"/>
        <v>9</v>
      </c>
      <c r="R41" s="219">
        <f t="shared" si="7"/>
        <v>35</v>
      </c>
      <c r="S41" s="219">
        <f t="shared" si="7"/>
        <v>4</v>
      </c>
      <c r="T41" s="219">
        <f t="shared" si="7"/>
        <v>18</v>
      </c>
      <c r="U41" s="219">
        <f t="shared" si="7"/>
        <v>1</v>
      </c>
      <c r="V41" s="67">
        <f>SUM(O41:U41)</f>
        <v>70</v>
      </c>
      <c r="X41" t="s">
        <v>34</v>
      </c>
      <c r="Y41" s="19">
        <v>22</v>
      </c>
      <c r="Z41" s="19">
        <f>F41+(AR33*7)-112-112</f>
        <v>19.5</v>
      </c>
      <c r="AA41" s="112">
        <f t="shared" si="11"/>
        <v>0</v>
      </c>
      <c r="AB41" s="112">
        <f>9+3/7</f>
        <v>9.4285714285714288</v>
      </c>
      <c r="AC41" s="112">
        <f t="shared" si="8"/>
        <v>5</v>
      </c>
      <c r="AD41" s="112">
        <f t="shared" si="8"/>
        <v>12.285714285714286</v>
      </c>
      <c r="AE41" s="112">
        <f t="shared" si="8"/>
        <v>4</v>
      </c>
      <c r="AF41" s="112">
        <f t="shared" si="8"/>
        <v>7.4</v>
      </c>
      <c r="AG41" s="112">
        <f t="shared" si="8"/>
        <v>3</v>
      </c>
      <c r="AH41" s="48">
        <f>(135+5000+125+300+875)*1.012</f>
        <v>6512.22</v>
      </c>
      <c r="AI41" s="219">
        <f t="shared" si="12"/>
        <v>0</v>
      </c>
      <c r="AJ41" s="219">
        <f>P41+AR33</f>
        <v>33</v>
      </c>
      <c r="AK41" s="219">
        <f t="shared" si="9"/>
        <v>9</v>
      </c>
      <c r="AL41" s="219">
        <f t="shared" si="9"/>
        <v>35</v>
      </c>
      <c r="AM41" s="219">
        <f t="shared" si="9"/>
        <v>4</v>
      </c>
      <c r="AN41" s="219">
        <f t="shared" si="9"/>
        <v>18</v>
      </c>
      <c r="AO41" s="219">
        <f t="shared" si="9"/>
        <v>1</v>
      </c>
      <c r="AP41" s="67">
        <f>SUM(AI41:AO41)</f>
        <v>100</v>
      </c>
      <c r="AQ41" s="111"/>
    </row>
    <row r="42" spans="1:45" x14ac:dyDescent="0.25">
      <c r="A42" t="s">
        <v>42</v>
      </c>
      <c r="B42" s="16" t="str">
        <f t="shared" si="10"/>
        <v>DAV</v>
      </c>
      <c r="C42" s="19">
        <f t="shared" si="10"/>
        <v>0</v>
      </c>
      <c r="D42" s="19">
        <f t="shared" si="10"/>
        <v>0</v>
      </c>
      <c r="E42" s="19">
        <f t="shared" si="15"/>
        <v>0</v>
      </c>
      <c r="F42" s="19">
        <f t="shared" si="15"/>
        <v>0</v>
      </c>
      <c r="G42" s="112">
        <f t="shared" si="15"/>
        <v>0</v>
      </c>
      <c r="H42" s="112">
        <f t="shared" si="6"/>
        <v>2</v>
      </c>
      <c r="I42" s="112">
        <f t="shared" si="6"/>
        <v>2</v>
      </c>
      <c r="J42" s="112">
        <f t="shared" si="6"/>
        <v>2</v>
      </c>
      <c r="K42" s="112">
        <f t="shared" si="6"/>
        <v>2</v>
      </c>
      <c r="L42" s="112">
        <f t="shared" si="6"/>
        <v>2</v>
      </c>
      <c r="M42" s="112">
        <f t="shared" si="6"/>
        <v>2</v>
      </c>
      <c r="N42" s="48">
        <f t="shared" si="6"/>
        <v>0</v>
      </c>
      <c r="O42" s="219">
        <f t="shared" si="6"/>
        <v>0</v>
      </c>
      <c r="P42" s="219">
        <f t="shared" si="7"/>
        <v>0</v>
      </c>
      <c r="Q42" s="219">
        <f t="shared" si="7"/>
        <v>0</v>
      </c>
      <c r="R42" s="219">
        <f t="shared" si="7"/>
        <v>0</v>
      </c>
      <c r="S42" s="219">
        <f t="shared" si="7"/>
        <v>0</v>
      </c>
      <c r="T42" s="219">
        <f t="shared" si="7"/>
        <v>0</v>
      </c>
      <c r="U42" s="219">
        <f t="shared" si="7"/>
        <v>0</v>
      </c>
      <c r="V42" s="67">
        <f>SUM(O42:U42)</f>
        <v>0</v>
      </c>
      <c r="X42" t="s">
        <v>42</v>
      </c>
      <c r="Y42" s="19"/>
      <c r="Z42" s="19"/>
      <c r="AA42" s="112">
        <f t="shared" si="11"/>
        <v>0</v>
      </c>
      <c r="AB42" s="112">
        <f t="shared" si="11"/>
        <v>2</v>
      </c>
      <c r="AC42" s="112">
        <f t="shared" si="8"/>
        <v>2</v>
      </c>
      <c r="AD42" s="112">
        <f t="shared" si="8"/>
        <v>2</v>
      </c>
      <c r="AE42" s="112">
        <f t="shared" si="8"/>
        <v>2</v>
      </c>
      <c r="AF42" s="112">
        <f t="shared" si="8"/>
        <v>2</v>
      </c>
      <c r="AG42" s="112">
        <f t="shared" si="8"/>
        <v>2</v>
      </c>
      <c r="AH42" s="48"/>
      <c r="AI42" s="219">
        <f t="shared" si="12"/>
        <v>0</v>
      </c>
      <c r="AJ42" s="219">
        <f t="shared" si="12"/>
        <v>0</v>
      </c>
      <c r="AK42" s="219">
        <f t="shared" si="9"/>
        <v>0</v>
      </c>
      <c r="AL42" s="219">
        <f t="shared" si="9"/>
        <v>0</v>
      </c>
      <c r="AM42" s="219">
        <f t="shared" si="9"/>
        <v>0</v>
      </c>
      <c r="AN42" s="219">
        <f t="shared" si="9"/>
        <v>0</v>
      </c>
      <c r="AO42" s="219">
        <f t="shared" si="9"/>
        <v>0</v>
      </c>
      <c r="AP42" s="67">
        <f>SUM(AI42:AO42)</f>
        <v>0</v>
      </c>
      <c r="AQ42" s="111"/>
    </row>
    <row r="43" spans="1:45" x14ac:dyDescent="0.25">
      <c r="A43" t="s">
        <v>46</v>
      </c>
      <c r="B43" s="16" t="str">
        <f t="shared" si="10"/>
        <v>DAV</v>
      </c>
      <c r="C43" s="19">
        <f t="shared" si="10"/>
        <v>0</v>
      </c>
      <c r="D43" s="19">
        <f t="shared" si="10"/>
        <v>0</v>
      </c>
      <c r="E43" s="19">
        <f t="shared" si="15"/>
        <v>0</v>
      </c>
      <c r="F43" s="19">
        <f t="shared" si="15"/>
        <v>0</v>
      </c>
      <c r="G43" s="112">
        <f t="shared" si="15"/>
        <v>0</v>
      </c>
      <c r="H43" s="112">
        <f t="shared" si="6"/>
        <v>2</v>
      </c>
      <c r="I43" s="112">
        <f t="shared" si="6"/>
        <v>2</v>
      </c>
      <c r="J43" s="112">
        <f t="shared" si="6"/>
        <v>2</v>
      </c>
      <c r="K43" s="112">
        <f t="shared" si="6"/>
        <v>2</v>
      </c>
      <c r="L43" s="112">
        <f t="shared" si="6"/>
        <v>2</v>
      </c>
      <c r="M43" s="112">
        <f t="shared" si="6"/>
        <v>2</v>
      </c>
      <c r="N43" s="48">
        <f t="shared" si="6"/>
        <v>0</v>
      </c>
      <c r="O43" s="219">
        <f t="shared" si="6"/>
        <v>0</v>
      </c>
      <c r="P43" s="219">
        <f t="shared" si="7"/>
        <v>0</v>
      </c>
      <c r="Q43" s="219">
        <f t="shared" si="7"/>
        <v>0</v>
      </c>
      <c r="R43" s="219">
        <f t="shared" si="7"/>
        <v>0</v>
      </c>
      <c r="S43" s="219">
        <f t="shared" si="7"/>
        <v>0</v>
      </c>
      <c r="T43" s="219">
        <f t="shared" si="7"/>
        <v>0</v>
      </c>
      <c r="U43" s="219">
        <f t="shared" si="7"/>
        <v>0</v>
      </c>
      <c r="V43" s="67">
        <f>SUM(O43:U43)</f>
        <v>0</v>
      </c>
      <c r="X43" t="s">
        <v>46</v>
      </c>
      <c r="Y43" s="19"/>
      <c r="Z43" s="19"/>
      <c r="AA43" s="112">
        <f t="shared" si="11"/>
        <v>0</v>
      </c>
      <c r="AB43" s="112">
        <f t="shared" si="11"/>
        <v>2</v>
      </c>
      <c r="AC43" s="112">
        <f t="shared" si="8"/>
        <v>2</v>
      </c>
      <c r="AD43" s="112">
        <f t="shared" si="8"/>
        <v>2</v>
      </c>
      <c r="AE43" s="112">
        <f t="shared" si="8"/>
        <v>2</v>
      </c>
      <c r="AF43" s="112">
        <f t="shared" si="8"/>
        <v>2</v>
      </c>
      <c r="AG43" s="112">
        <f t="shared" si="8"/>
        <v>2</v>
      </c>
      <c r="AH43" s="48"/>
      <c r="AI43" s="219">
        <f t="shared" si="12"/>
        <v>0</v>
      </c>
      <c r="AJ43" s="219">
        <f t="shared" si="12"/>
        <v>0</v>
      </c>
      <c r="AK43" s="219">
        <f t="shared" si="9"/>
        <v>0</v>
      </c>
      <c r="AL43" s="219">
        <f t="shared" si="9"/>
        <v>0</v>
      </c>
      <c r="AM43" s="219">
        <f t="shared" si="9"/>
        <v>0</v>
      </c>
      <c r="AN43" s="219">
        <f t="shared" si="9"/>
        <v>0</v>
      </c>
      <c r="AO43" s="219">
        <f t="shared" si="9"/>
        <v>0</v>
      </c>
      <c r="AP43" s="67">
        <f>SUM(AI43:AO43)</f>
        <v>0</v>
      </c>
      <c r="AQ43" s="111"/>
    </row>
    <row r="44" spans="1:45" x14ac:dyDescent="0.25">
      <c r="A44" t="s">
        <v>338</v>
      </c>
      <c r="B44" s="16" t="str">
        <f t="shared" si="10"/>
        <v>DAV</v>
      </c>
      <c r="C44" s="19">
        <f t="shared" si="10"/>
        <v>0</v>
      </c>
      <c r="D44" s="19">
        <f t="shared" si="10"/>
        <v>0</v>
      </c>
      <c r="E44" s="19">
        <f t="shared" si="15"/>
        <v>0</v>
      </c>
      <c r="F44" s="19">
        <f t="shared" si="15"/>
        <v>0</v>
      </c>
      <c r="G44" s="112">
        <f t="shared" si="15"/>
        <v>0</v>
      </c>
      <c r="H44" s="112">
        <f t="shared" si="6"/>
        <v>2</v>
      </c>
      <c r="I44" s="112">
        <f t="shared" si="6"/>
        <v>2</v>
      </c>
      <c r="J44" s="112">
        <f t="shared" si="6"/>
        <v>2</v>
      </c>
      <c r="K44" s="112">
        <f t="shared" si="6"/>
        <v>2</v>
      </c>
      <c r="L44" s="112">
        <f t="shared" si="6"/>
        <v>2</v>
      </c>
      <c r="M44" s="112">
        <f t="shared" si="6"/>
        <v>2</v>
      </c>
      <c r="N44" s="48">
        <f t="shared" si="6"/>
        <v>0</v>
      </c>
      <c r="O44" s="219">
        <f t="shared" si="6"/>
        <v>0</v>
      </c>
      <c r="P44" s="219">
        <f t="shared" si="7"/>
        <v>0</v>
      </c>
      <c r="Q44" s="219">
        <f t="shared" si="7"/>
        <v>0</v>
      </c>
      <c r="R44" s="219">
        <f t="shared" si="7"/>
        <v>0</v>
      </c>
      <c r="S44" s="219">
        <f t="shared" si="7"/>
        <v>0</v>
      </c>
      <c r="T44" s="219">
        <f t="shared" si="7"/>
        <v>0</v>
      </c>
      <c r="U44" s="219">
        <f t="shared" si="7"/>
        <v>0</v>
      </c>
      <c r="V44" s="67">
        <f>SUM(O44:U44)</f>
        <v>0</v>
      </c>
      <c r="X44" t="s">
        <v>338</v>
      </c>
      <c r="Y44" s="19"/>
      <c r="Z44" s="19"/>
      <c r="AA44" s="112">
        <f t="shared" si="11"/>
        <v>0</v>
      </c>
      <c r="AB44" s="112">
        <f t="shared" si="11"/>
        <v>2</v>
      </c>
      <c r="AC44" s="112">
        <f t="shared" si="8"/>
        <v>2</v>
      </c>
      <c r="AD44" s="112">
        <f t="shared" si="8"/>
        <v>2</v>
      </c>
      <c r="AE44" s="112">
        <f t="shared" si="8"/>
        <v>2</v>
      </c>
      <c r="AF44" s="112">
        <f t="shared" si="8"/>
        <v>2</v>
      </c>
      <c r="AG44" s="112">
        <f t="shared" si="8"/>
        <v>2</v>
      </c>
      <c r="AH44" s="48"/>
      <c r="AI44" s="219">
        <f t="shared" si="12"/>
        <v>0</v>
      </c>
      <c r="AJ44" s="219">
        <f t="shared" si="12"/>
        <v>0</v>
      </c>
      <c r="AK44" s="219">
        <f t="shared" si="9"/>
        <v>0</v>
      </c>
      <c r="AL44" s="219">
        <f t="shared" si="9"/>
        <v>0</v>
      </c>
      <c r="AM44" s="219">
        <f t="shared" si="9"/>
        <v>0</v>
      </c>
      <c r="AN44" s="219">
        <f t="shared" si="9"/>
        <v>0</v>
      </c>
      <c r="AO44" s="219">
        <f t="shared" si="9"/>
        <v>0</v>
      </c>
      <c r="AP44" s="67">
        <f>SUM(AI44:AO44)</f>
        <v>0</v>
      </c>
      <c r="AQ44" s="111"/>
    </row>
    <row r="45" spans="1:45" x14ac:dyDescent="0.25">
      <c r="N45" s="198">
        <f>SUM(N47:N61)</f>
        <v>173422.41600000003</v>
      </c>
      <c r="AH45" s="198">
        <f>SUM(AH47:AH61)</f>
        <v>180055.55499999996</v>
      </c>
      <c r="AQ45" s="111"/>
    </row>
    <row r="46" spans="1:45" x14ac:dyDescent="0.25">
      <c r="A46" s="11" t="s">
        <v>171</v>
      </c>
      <c r="B46" s="11" t="s">
        <v>2</v>
      </c>
      <c r="C46" s="11" t="s">
        <v>85</v>
      </c>
      <c r="D46" s="11" t="str">
        <f>D28</f>
        <v>Nombre</v>
      </c>
      <c r="E46" s="11" t="str">
        <f>E28</f>
        <v>Año</v>
      </c>
      <c r="F46" s="11" t="str">
        <f>F28</f>
        <v>Dia</v>
      </c>
      <c r="G46" s="11" t="s">
        <v>15</v>
      </c>
      <c r="H46" s="11" t="s">
        <v>16</v>
      </c>
      <c r="I46" s="11" t="s">
        <v>17</v>
      </c>
      <c r="J46" s="11" t="s">
        <v>18</v>
      </c>
      <c r="K46" s="11" t="s">
        <v>19</v>
      </c>
      <c r="L46" s="11" t="s">
        <v>20</v>
      </c>
      <c r="M46" s="11" t="s">
        <v>6</v>
      </c>
      <c r="N46" s="11" t="s">
        <v>69</v>
      </c>
      <c r="O46" s="11" t="s">
        <v>327</v>
      </c>
      <c r="P46" s="11" t="s">
        <v>328</v>
      </c>
      <c r="Q46" s="11" t="s">
        <v>329</v>
      </c>
      <c r="R46" s="11" t="s">
        <v>330</v>
      </c>
      <c r="S46" s="11" t="s">
        <v>331</v>
      </c>
      <c r="T46" s="11" t="s">
        <v>332</v>
      </c>
      <c r="U46" s="11" t="s">
        <v>333</v>
      </c>
      <c r="V46" s="11" t="s">
        <v>334</v>
      </c>
      <c r="X46" s="11" t="s">
        <v>171</v>
      </c>
      <c r="Y46" s="11" t="str">
        <f>Y28</f>
        <v>Año</v>
      </c>
      <c r="Z46" s="11" t="str">
        <f>Z28</f>
        <v>Dia</v>
      </c>
      <c r="AA46" s="11" t="s">
        <v>15</v>
      </c>
      <c r="AB46" s="11" t="s">
        <v>16</v>
      </c>
      <c r="AC46" s="11" t="s">
        <v>17</v>
      </c>
      <c r="AD46" s="11" t="s">
        <v>18</v>
      </c>
      <c r="AE46" s="11" t="s">
        <v>19</v>
      </c>
      <c r="AF46" s="11" t="s">
        <v>20</v>
      </c>
      <c r="AG46" s="11" t="s">
        <v>6</v>
      </c>
      <c r="AH46" s="11" t="s">
        <v>69</v>
      </c>
      <c r="AI46" s="11" t="s">
        <v>327</v>
      </c>
      <c r="AJ46" s="11" t="s">
        <v>328</v>
      </c>
      <c r="AK46" s="11" t="s">
        <v>329</v>
      </c>
      <c r="AL46" s="11" t="s">
        <v>330</v>
      </c>
      <c r="AM46" s="11" t="s">
        <v>331</v>
      </c>
      <c r="AN46" s="11" t="s">
        <v>332</v>
      </c>
      <c r="AO46" s="11" t="s">
        <v>333</v>
      </c>
      <c r="AP46" s="11" t="s">
        <v>334</v>
      </c>
      <c r="AQ46" s="111"/>
    </row>
    <row r="47" spans="1:45" x14ac:dyDescent="0.25">
      <c r="A47" t="s">
        <v>29</v>
      </c>
      <c r="B47" s="16" t="str">
        <f>B29</f>
        <v>POR</v>
      </c>
      <c r="C47" s="19"/>
      <c r="D47" s="19" t="str">
        <f>D29</f>
        <v>Portero</v>
      </c>
      <c r="E47" s="19">
        <f>Y29</f>
        <v>22</v>
      </c>
      <c r="F47" s="19">
        <f>Z29</f>
        <v>36</v>
      </c>
      <c r="G47" s="112">
        <f>AA29</f>
        <v>17</v>
      </c>
      <c r="H47" s="112">
        <f t="shared" ref="H47:O62" si="16">AB29</f>
        <v>9</v>
      </c>
      <c r="I47" s="112">
        <f t="shared" si="16"/>
        <v>0</v>
      </c>
      <c r="J47" s="112">
        <f t="shared" si="16"/>
        <v>0</v>
      </c>
      <c r="K47" s="112">
        <f t="shared" si="16"/>
        <v>0</v>
      </c>
      <c r="L47" s="112">
        <f t="shared" si="16"/>
        <v>0</v>
      </c>
      <c r="M47" s="112">
        <f t="shared" si="16"/>
        <v>2</v>
      </c>
      <c r="N47" s="48">
        <f>AH29</f>
        <v>32634</v>
      </c>
      <c r="O47" s="219">
        <f>AI29</f>
        <v>62</v>
      </c>
      <c r="P47" s="219">
        <f t="shared" ref="P47:U62" si="17">AJ29</f>
        <v>30</v>
      </c>
      <c r="Q47" s="219">
        <f t="shared" si="17"/>
        <v>0</v>
      </c>
      <c r="R47" s="219">
        <f t="shared" si="17"/>
        <v>0</v>
      </c>
      <c r="S47" s="219">
        <f t="shared" si="17"/>
        <v>0</v>
      </c>
      <c r="T47" s="219">
        <f t="shared" si="17"/>
        <v>0</v>
      </c>
      <c r="U47" s="219">
        <f t="shared" si="17"/>
        <v>0</v>
      </c>
      <c r="V47" s="67">
        <f>SUM(O47:U47)</f>
        <v>92</v>
      </c>
      <c r="X47" t="s">
        <v>29</v>
      </c>
      <c r="Y47" s="19">
        <v>23</v>
      </c>
      <c r="Z47" s="19">
        <f>F47+(AR52*7)-112</f>
        <v>99</v>
      </c>
      <c r="AA47" s="112">
        <f>G47</f>
        <v>17</v>
      </c>
      <c r="AB47" s="112">
        <f t="shared" ref="AB47:AG62" si="18">H47</f>
        <v>9</v>
      </c>
      <c r="AC47" s="112">
        <f t="shared" si="18"/>
        <v>0</v>
      </c>
      <c r="AD47" s="112">
        <f t="shared" si="18"/>
        <v>0</v>
      </c>
      <c r="AE47" s="112">
        <f t="shared" si="18"/>
        <v>0</v>
      </c>
      <c r="AF47" s="112">
        <f t="shared" si="18"/>
        <v>0</v>
      </c>
      <c r="AG47" s="112">
        <f>17</f>
        <v>17</v>
      </c>
      <c r="AH47" s="48">
        <f>(31720+655)*1.047</f>
        <v>33896.625</v>
      </c>
      <c r="AI47" s="219">
        <f>O47</f>
        <v>62</v>
      </c>
      <c r="AJ47" s="219">
        <f t="shared" ref="AJ47:AO62" si="19">P47</f>
        <v>30</v>
      </c>
      <c r="AK47" s="219">
        <f t="shared" si="19"/>
        <v>0</v>
      </c>
      <c r="AL47" s="219">
        <f t="shared" si="19"/>
        <v>0</v>
      </c>
      <c r="AM47" s="219">
        <f t="shared" si="19"/>
        <v>0</v>
      </c>
      <c r="AN47" s="219">
        <f t="shared" si="19"/>
        <v>0</v>
      </c>
      <c r="AO47" s="219">
        <f>U47+AR52</f>
        <v>25</v>
      </c>
      <c r="AP47" s="67">
        <f>SUM(AI47:AO47)</f>
        <v>117</v>
      </c>
      <c r="AQ47" s="111"/>
    </row>
    <row r="48" spans="1:45" x14ac:dyDescent="0.25">
      <c r="A48" t="s">
        <v>32</v>
      </c>
      <c r="B48" s="16" t="str">
        <f t="shared" ref="B48:D53" si="20">B30</f>
        <v>DEF</v>
      </c>
      <c r="C48" s="19" t="str">
        <f t="shared" si="20"/>
        <v>TEC</v>
      </c>
      <c r="D48" s="19" t="str">
        <f t="shared" si="20"/>
        <v>J. G. de Minaya</v>
      </c>
      <c r="E48" s="19">
        <f t="shared" ref="E48:G56" si="21">Y30</f>
        <v>22</v>
      </c>
      <c r="F48" s="19">
        <f t="shared" si="21"/>
        <v>32.5</v>
      </c>
      <c r="G48" s="112">
        <f t="shared" si="21"/>
        <v>0</v>
      </c>
      <c r="H48" s="112">
        <f t="shared" si="16"/>
        <v>10.777777777777779</v>
      </c>
      <c r="I48" s="112">
        <f t="shared" si="16"/>
        <v>5</v>
      </c>
      <c r="J48" s="112">
        <f t="shared" si="16"/>
        <v>12.285714285714286</v>
      </c>
      <c r="K48" s="112">
        <f t="shared" si="16"/>
        <v>5</v>
      </c>
      <c r="L48" s="112">
        <f t="shared" si="16"/>
        <v>8</v>
      </c>
      <c r="M48" s="112">
        <f t="shared" si="16"/>
        <v>0</v>
      </c>
      <c r="N48" s="48">
        <f t="shared" si="16"/>
        <v>7475</v>
      </c>
      <c r="O48" s="219">
        <f t="shared" si="16"/>
        <v>0</v>
      </c>
      <c r="P48" s="219">
        <f t="shared" si="17"/>
        <v>44</v>
      </c>
      <c r="Q48" s="219">
        <f t="shared" si="17"/>
        <v>9</v>
      </c>
      <c r="R48" s="219">
        <f t="shared" si="17"/>
        <v>35</v>
      </c>
      <c r="S48" s="219">
        <f t="shared" si="17"/>
        <v>7</v>
      </c>
      <c r="T48" s="219">
        <f t="shared" si="17"/>
        <v>21</v>
      </c>
      <c r="U48" s="219">
        <f t="shared" si="17"/>
        <v>-2</v>
      </c>
      <c r="V48" s="67">
        <f>SUM(O48:U48)</f>
        <v>114</v>
      </c>
      <c r="X48" t="s">
        <v>32</v>
      </c>
      <c r="Y48" s="19">
        <v>24</v>
      </c>
      <c r="Z48" s="19">
        <f>F48+(AR52*7)-112-112</f>
        <v>-16.5</v>
      </c>
      <c r="AA48" s="112">
        <f t="shared" ref="AA48:AA62" si="22">G48</f>
        <v>0</v>
      </c>
      <c r="AB48" s="112">
        <f t="shared" si="18"/>
        <v>10.777777777777779</v>
      </c>
      <c r="AC48" s="112">
        <f t="shared" si="18"/>
        <v>5</v>
      </c>
      <c r="AD48" s="112">
        <f t="shared" si="18"/>
        <v>12.285714285714286</v>
      </c>
      <c r="AE48" s="112">
        <f t="shared" si="18"/>
        <v>5</v>
      </c>
      <c r="AF48" s="112">
        <f t="shared" si="18"/>
        <v>8</v>
      </c>
      <c r="AG48" s="112">
        <f>16+2/4</f>
        <v>16.5</v>
      </c>
      <c r="AH48" s="48">
        <f>(5000+1800+135+135+405)*1.045</f>
        <v>7811.3749999999991</v>
      </c>
      <c r="AI48" s="219">
        <f t="shared" ref="AI48:AI62" si="23">O48</f>
        <v>0</v>
      </c>
      <c r="AJ48" s="219">
        <f t="shared" si="19"/>
        <v>44</v>
      </c>
      <c r="AK48" s="219">
        <f t="shared" si="19"/>
        <v>9</v>
      </c>
      <c r="AL48" s="219">
        <f t="shared" si="19"/>
        <v>35</v>
      </c>
      <c r="AM48" s="219">
        <f t="shared" si="19"/>
        <v>7</v>
      </c>
      <c r="AN48" s="219">
        <f t="shared" si="19"/>
        <v>21</v>
      </c>
      <c r="AO48" s="219">
        <f>U48+AR52</f>
        <v>23</v>
      </c>
      <c r="AP48" s="67">
        <f>SUM(AI48:AO48)</f>
        <v>139</v>
      </c>
      <c r="AQ48" s="111"/>
    </row>
    <row r="49" spans="1:45" x14ac:dyDescent="0.25">
      <c r="A49" t="s">
        <v>33</v>
      </c>
      <c r="B49" s="16" t="str">
        <f t="shared" si="20"/>
        <v>DEF</v>
      </c>
      <c r="C49" s="19" t="str">
        <f t="shared" si="20"/>
        <v>RAP</v>
      </c>
      <c r="D49" s="19" t="str">
        <f t="shared" si="20"/>
        <v>Defensa</v>
      </c>
      <c r="E49" s="19">
        <f t="shared" si="21"/>
        <v>22</v>
      </c>
      <c r="F49" s="19">
        <f t="shared" si="21"/>
        <v>36</v>
      </c>
      <c r="G49" s="112">
        <f t="shared" si="21"/>
        <v>0</v>
      </c>
      <c r="H49" s="112">
        <f t="shared" si="16"/>
        <v>13</v>
      </c>
      <c r="I49" s="112">
        <f t="shared" si="16"/>
        <v>4</v>
      </c>
      <c r="J49" s="112">
        <f t="shared" si="16"/>
        <v>4</v>
      </c>
      <c r="K49" s="112">
        <f t="shared" si="16"/>
        <v>10</v>
      </c>
      <c r="L49" s="112">
        <f t="shared" si="16"/>
        <v>2</v>
      </c>
      <c r="M49" s="112">
        <f t="shared" si="16"/>
        <v>2</v>
      </c>
      <c r="N49" s="48">
        <f t="shared" si="16"/>
        <v>12605.04</v>
      </c>
      <c r="O49" s="219">
        <f t="shared" si="16"/>
        <v>0</v>
      </c>
      <c r="P49" s="219">
        <f t="shared" si="17"/>
        <v>67</v>
      </c>
      <c r="Q49" s="219">
        <f t="shared" si="17"/>
        <v>6</v>
      </c>
      <c r="R49" s="219">
        <f t="shared" si="17"/>
        <v>3.5</v>
      </c>
      <c r="S49" s="219">
        <f t="shared" si="17"/>
        <v>29</v>
      </c>
      <c r="T49" s="219">
        <f t="shared" si="17"/>
        <v>0</v>
      </c>
      <c r="U49" s="219">
        <f t="shared" si="17"/>
        <v>0</v>
      </c>
      <c r="V49" s="67">
        <f>SUM(O49:U49)</f>
        <v>105.5</v>
      </c>
      <c r="X49" t="s">
        <v>33</v>
      </c>
      <c r="Y49" s="19">
        <v>23</v>
      </c>
      <c r="Z49" s="19">
        <f>F49+(AR52*7)-112</f>
        <v>99</v>
      </c>
      <c r="AA49" s="112">
        <f t="shared" si="22"/>
        <v>0</v>
      </c>
      <c r="AB49" s="112">
        <f t="shared" si="18"/>
        <v>13</v>
      </c>
      <c r="AC49" s="112">
        <f t="shared" si="18"/>
        <v>4</v>
      </c>
      <c r="AD49" s="112">
        <f t="shared" si="18"/>
        <v>4</v>
      </c>
      <c r="AE49" s="112">
        <f t="shared" si="18"/>
        <v>10</v>
      </c>
      <c r="AF49" s="112">
        <f t="shared" si="18"/>
        <v>2</v>
      </c>
      <c r="AG49" s="112">
        <v>17</v>
      </c>
      <c r="AH49" s="48">
        <f>(11470+125+125+785)*1.047</f>
        <v>13092.734999999999</v>
      </c>
      <c r="AI49" s="219">
        <f t="shared" si="23"/>
        <v>0</v>
      </c>
      <c r="AJ49" s="219">
        <f t="shared" si="19"/>
        <v>67</v>
      </c>
      <c r="AK49" s="219">
        <f t="shared" si="19"/>
        <v>6</v>
      </c>
      <c r="AL49" s="219">
        <f t="shared" si="19"/>
        <v>3.5</v>
      </c>
      <c r="AM49" s="219">
        <f t="shared" si="19"/>
        <v>29</v>
      </c>
      <c r="AN49" s="219">
        <f t="shared" si="19"/>
        <v>0</v>
      </c>
      <c r="AO49" s="219">
        <f>U49+AR52</f>
        <v>25</v>
      </c>
      <c r="AP49" s="67">
        <f>SUM(AI49:AO49)</f>
        <v>130.5</v>
      </c>
      <c r="AQ49" s="111"/>
    </row>
    <row r="50" spans="1:45" x14ac:dyDescent="0.25">
      <c r="A50" t="s">
        <v>39</v>
      </c>
      <c r="B50" s="16" t="str">
        <f t="shared" si="20"/>
        <v>DEF</v>
      </c>
      <c r="C50" s="19" t="str">
        <f t="shared" si="20"/>
        <v>POT</v>
      </c>
      <c r="D50" s="19" t="str">
        <f t="shared" si="20"/>
        <v>Defensa</v>
      </c>
      <c r="E50" s="19">
        <f t="shared" si="21"/>
        <v>22</v>
      </c>
      <c r="F50" s="19">
        <f t="shared" si="21"/>
        <v>36</v>
      </c>
      <c r="G50" s="112">
        <f t="shared" si="21"/>
        <v>0</v>
      </c>
      <c r="H50" s="112">
        <f t="shared" si="16"/>
        <v>13</v>
      </c>
      <c r="I50" s="112">
        <f t="shared" si="16"/>
        <v>4</v>
      </c>
      <c r="J50" s="112">
        <f t="shared" si="16"/>
        <v>4</v>
      </c>
      <c r="K50" s="112">
        <f t="shared" si="16"/>
        <v>10</v>
      </c>
      <c r="L50" s="112">
        <f t="shared" si="16"/>
        <v>2</v>
      </c>
      <c r="M50" s="112">
        <f t="shared" si="16"/>
        <v>2</v>
      </c>
      <c r="N50" s="48">
        <f t="shared" si="16"/>
        <v>12605.04</v>
      </c>
      <c r="O50" s="219">
        <f t="shared" si="16"/>
        <v>0</v>
      </c>
      <c r="P50" s="219">
        <f t="shared" si="17"/>
        <v>67</v>
      </c>
      <c r="Q50" s="219">
        <f t="shared" si="17"/>
        <v>6</v>
      </c>
      <c r="R50" s="219">
        <f t="shared" si="17"/>
        <v>3.5</v>
      </c>
      <c r="S50" s="219">
        <f t="shared" si="17"/>
        <v>29</v>
      </c>
      <c r="T50" s="219">
        <f t="shared" si="17"/>
        <v>0</v>
      </c>
      <c r="U50" s="219">
        <f t="shared" si="17"/>
        <v>0</v>
      </c>
      <c r="V50" s="67">
        <f>SUM(O50:U50)</f>
        <v>105.5</v>
      </c>
      <c r="X50" t="s">
        <v>39</v>
      </c>
      <c r="Y50" s="19">
        <v>23</v>
      </c>
      <c r="Z50" s="19">
        <f>F50+(AR52*7)-112</f>
        <v>99</v>
      </c>
      <c r="AA50" s="112">
        <f t="shared" si="22"/>
        <v>0</v>
      </c>
      <c r="AB50" s="112">
        <f t="shared" si="18"/>
        <v>13</v>
      </c>
      <c r="AC50" s="112">
        <f t="shared" si="18"/>
        <v>4</v>
      </c>
      <c r="AD50" s="112">
        <f t="shared" si="18"/>
        <v>4</v>
      </c>
      <c r="AE50" s="112">
        <f t="shared" si="18"/>
        <v>10</v>
      </c>
      <c r="AF50" s="112">
        <f t="shared" si="18"/>
        <v>2</v>
      </c>
      <c r="AG50" s="112">
        <v>17</v>
      </c>
      <c r="AH50" s="48">
        <f>(11470+125+125+785)*1.047</f>
        <v>13092.734999999999</v>
      </c>
      <c r="AI50" s="219">
        <f t="shared" si="23"/>
        <v>0</v>
      </c>
      <c r="AJ50" s="219">
        <f t="shared" si="19"/>
        <v>67</v>
      </c>
      <c r="AK50" s="219">
        <f t="shared" si="19"/>
        <v>6</v>
      </c>
      <c r="AL50" s="219">
        <f t="shared" si="19"/>
        <v>3.5</v>
      </c>
      <c r="AM50" s="219">
        <f t="shared" si="19"/>
        <v>29</v>
      </c>
      <c r="AN50" s="219">
        <f t="shared" si="19"/>
        <v>0</v>
      </c>
      <c r="AO50" s="219">
        <f>U50+AR52</f>
        <v>25</v>
      </c>
      <c r="AP50" s="67">
        <f>SUM(AI50:AO50)</f>
        <v>130.5</v>
      </c>
      <c r="AQ50" s="111"/>
    </row>
    <row r="51" spans="1:45" x14ac:dyDescent="0.25">
      <c r="A51" t="s">
        <v>41</v>
      </c>
      <c r="B51" s="16" t="str">
        <f t="shared" si="20"/>
        <v>DEF</v>
      </c>
      <c r="C51" s="19" t="str">
        <f t="shared" si="20"/>
        <v>CAB</v>
      </c>
      <c r="D51" s="19" t="str">
        <f t="shared" si="20"/>
        <v>Defensa</v>
      </c>
      <c r="E51" s="19">
        <f t="shared" si="21"/>
        <v>22</v>
      </c>
      <c r="F51" s="19">
        <f t="shared" si="21"/>
        <v>36</v>
      </c>
      <c r="G51" s="112">
        <f t="shared" si="21"/>
        <v>0</v>
      </c>
      <c r="H51" s="112">
        <f t="shared" si="16"/>
        <v>13</v>
      </c>
      <c r="I51" s="112">
        <f t="shared" si="16"/>
        <v>4</v>
      </c>
      <c r="J51" s="112">
        <f t="shared" si="16"/>
        <v>4</v>
      </c>
      <c r="K51" s="112">
        <f t="shared" si="16"/>
        <v>10</v>
      </c>
      <c r="L51" s="112">
        <f t="shared" si="16"/>
        <v>2</v>
      </c>
      <c r="M51" s="112">
        <f t="shared" si="16"/>
        <v>2</v>
      </c>
      <c r="N51" s="48">
        <f t="shared" si="16"/>
        <v>12605.04</v>
      </c>
      <c r="O51" s="219">
        <f t="shared" si="16"/>
        <v>0</v>
      </c>
      <c r="P51" s="219">
        <f t="shared" si="17"/>
        <v>67</v>
      </c>
      <c r="Q51" s="219">
        <f t="shared" si="17"/>
        <v>6</v>
      </c>
      <c r="R51" s="219">
        <f t="shared" si="17"/>
        <v>3.5</v>
      </c>
      <c r="S51" s="219">
        <f t="shared" si="17"/>
        <v>29</v>
      </c>
      <c r="T51" s="219">
        <f t="shared" si="17"/>
        <v>0</v>
      </c>
      <c r="U51" s="219">
        <f t="shared" si="17"/>
        <v>0</v>
      </c>
      <c r="V51" s="67">
        <f t="shared" ref="V51:V57" si="24">SUM(O51:U51)</f>
        <v>105.5</v>
      </c>
      <c r="X51" t="s">
        <v>41</v>
      </c>
      <c r="Y51" s="19">
        <v>23</v>
      </c>
      <c r="Z51" s="19">
        <f>F51+(AR52*7)-112</f>
        <v>99</v>
      </c>
      <c r="AA51" s="112">
        <f t="shared" si="22"/>
        <v>0</v>
      </c>
      <c r="AB51" s="112">
        <f t="shared" si="18"/>
        <v>13</v>
      </c>
      <c r="AC51" s="112">
        <f t="shared" si="18"/>
        <v>4</v>
      </c>
      <c r="AD51" s="112">
        <f t="shared" si="18"/>
        <v>4</v>
      </c>
      <c r="AE51" s="112">
        <f t="shared" si="18"/>
        <v>10</v>
      </c>
      <c r="AF51" s="112">
        <f t="shared" si="18"/>
        <v>2</v>
      </c>
      <c r="AG51" s="112">
        <v>17</v>
      </c>
      <c r="AH51" s="48">
        <f>(11470+125+125+785)*1.047</f>
        <v>13092.734999999999</v>
      </c>
      <c r="AI51" s="219">
        <f t="shared" si="23"/>
        <v>0</v>
      </c>
      <c r="AJ51" s="219">
        <f t="shared" si="19"/>
        <v>67</v>
      </c>
      <c r="AK51" s="219">
        <f t="shared" si="19"/>
        <v>6</v>
      </c>
      <c r="AL51" s="219">
        <f t="shared" si="19"/>
        <v>3.5</v>
      </c>
      <c r="AM51" s="219">
        <f t="shared" si="19"/>
        <v>29</v>
      </c>
      <c r="AN51" s="219">
        <f t="shared" si="19"/>
        <v>0</v>
      </c>
      <c r="AO51" s="219">
        <f>U51+AR52</f>
        <v>25</v>
      </c>
      <c r="AP51" s="67">
        <f t="shared" ref="AP51:AP57" si="25">SUM(AI51:AO51)</f>
        <v>130.5</v>
      </c>
      <c r="AQ51" s="111"/>
      <c r="AR51" t="s">
        <v>383</v>
      </c>
      <c r="AS51" t="s">
        <v>384</v>
      </c>
    </row>
    <row r="52" spans="1:45" x14ac:dyDescent="0.25">
      <c r="A52" t="s">
        <v>38</v>
      </c>
      <c r="B52" s="16" t="str">
        <f t="shared" si="20"/>
        <v>DEF</v>
      </c>
      <c r="C52" s="19" t="s">
        <v>0</v>
      </c>
      <c r="D52" s="19" t="str">
        <f t="shared" si="20"/>
        <v>Defensa</v>
      </c>
      <c r="E52" s="19">
        <f t="shared" si="21"/>
        <v>22</v>
      </c>
      <c r="F52" s="19">
        <f t="shared" si="21"/>
        <v>36</v>
      </c>
      <c r="G52" s="112">
        <f t="shared" si="21"/>
        <v>0</v>
      </c>
      <c r="H52" s="112">
        <f t="shared" si="16"/>
        <v>13</v>
      </c>
      <c r="I52" s="112">
        <f t="shared" si="16"/>
        <v>4</v>
      </c>
      <c r="J52" s="112">
        <f t="shared" si="16"/>
        <v>4</v>
      </c>
      <c r="K52" s="112">
        <f t="shared" si="16"/>
        <v>10</v>
      </c>
      <c r="L52" s="112">
        <f t="shared" si="16"/>
        <v>2</v>
      </c>
      <c r="M52" s="112">
        <f t="shared" si="16"/>
        <v>2</v>
      </c>
      <c r="N52" s="48">
        <f t="shared" si="16"/>
        <v>12605.04</v>
      </c>
      <c r="O52" s="219">
        <f t="shared" si="16"/>
        <v>0</v>
      </c>
      <c r="P52" s="219">
        <f t="shared" si="17"/>
        <v>67</v>
      </c>
      <c r="Q52" s="219">
        <f t="shared" si="17"/>
        <v>6</v>
      </c>
      <c r="R52" s="219">
        <f t="shared" si="17"/>
        <v>3.5</v>
      </c>
      <c r="S52" s="219">
        <f t="shared" si="17"/>
        <v>29</v>
      </c>
      <c r="T52" s="219">
        <f t="shared" si="17"/>
        <v>0</v>
      </c>
      <c r="U52" s="219">
        <f t="shared" si="17"/>
        <v>0</v>
      </c>
      <c r="V52" s="67">
        <f t="shared" si="24"/>
        <v>105.5</v>
      </c>
      <c r="X52" t="s">
        <v>38</v>
      </c>
      <c r="Y52" s="19">
        <v>23</v>
      </c>
      <c r="Z52" s="19">
        <f>F52+(AR52*7)-112</f>
        <v>99</v>
      </c>
      <c r="AA52" s="112">
        <f t="shared" si="22"/>
        <v>0</v>
      </c>
      <c r="AB52" s="112">
        <f t="shared" si="18"/>
        <v>13</v>
      </c>
      <c r="AC52" s="112">
        <f t="shared" si="18"/>
        <v>4</v>
      </c>
      <c r="AD52" s="112">
        <f t="shared" si="18"/>
        <v>4</v>
      </c>
      <c r="AE52" s="112">
        <f t="shared" si="18"/>
        <v>10</v>
      </c>
      <c r="AF52" s="112">
        <f t="shared" si="18"/>
        <v>2</v>
      </c>
      <c r="AG52" s="112">
        <v>17</v>
      </c>
      <c r="AH52" s="48">
        <f>(11470+125+125+785)*1.047</f>
        <v>13092.734999999999</v>
      </c>
      <c r="AI52" s="219">
        <f t="shared" si="23"/>
        <v>0</v>
      </c>
      <c r="AJ52" s="219">
        <f t="shared" si="19"/>
        <v>67</v>
      </c>
      <c r="AK52" s="219">
        <f t="shared" si="19"/>
        <v>6</v>
      </c>
      <c r="AL52" s="219">
        <f t="shared" si="19"/>
        <v>3.5</v>
      </c>
      <c r="AM52" s="219">
        <f t="shared" si="19"/>
        <v>29</v>
      </c>
      <c r="AN52" s="219">
        <f t="shared" si="19"/>
        <v>0</v>
      </c>
      <c r="AO52" s="219">
        <f>U52+AR52</f>
        <v>25</v>
      </c>
      <c r="AP52" s="67">
        <f t="shared" si="25"/>
        <v>130.5</v>
      </c>
      <c r="AQ52" s="111" t="s">
        <v>47</v>
      </c>
      <c r="AR52">
        <v>25</v>
      </c>
      <c r="AS52" s="38">
        <f>AR52/16</f>
        <v>1.5625</v>
      </c>
    </row>
    <row r="53" spans="1:45" x14ac:dyDescent="0.25">
      <c r="A53" t="s">
        <v>35</v>
      </c>
      <c r="B53" s="16" t="str">
        <f t="shared" si="20"/>
        <v>DEF</v>
      </c>
      <c r="C53" s="19" t="str">
        <f t="shared" si="20"/>
        <v>CAB</v>
      </c>
      <c r="D53" s="19" t="str">
        <f t="shared" si="20"/>
        <v>Defensa</v>
      </c>
      <c r="E53" s="19">
        <f t="shared" si="21"/>
        <v>22</v>
      </c>
      <c r="F53" s="19">
        <f t="shared" si="21"/>
        <v>36</v>
      </c>
      <c r="G53" s="112">
        <f t="shared" si="21"/>
        <v>0</v>
      </c>
      <c r="H53" s="112">
        <f t="shared" si="16"/>
        <v>13</v>
      </c>
      <c r="I53" s="112">
        <f t="shared" si="16"/>
        <v>4</v>
      </c>
      <c r="J53" s="112">
        <f t="shared" si="16"/>
        <v>4</v>
      </c>
      <c r="K53" s="112">
        <f t="shared" si="16"/>
        <v>10</v>
      </c>
      <c r="L53" s="112">
        <f t="shared" si="16"/>
        <v>2</v>
      </c>
      <c r="M53" s="112">
        <f t="shared" si="16"/>
        <v>2</v>
      </c>
      <c r="N53" s="48">
        <f t="shared" si="16"/>
        <v>12605.04</v>
      </c>
      <c r="O53" s="219">
        <f t="shared" si="16"/>
        <v>0</v>
      </c>
      <c r="P53" s="219">
        <f t="shared" si="17"/>
        <v>67</v>
      </c>
      <c r="Q53" s="219">
        <f t="shared" si="17"/>
        <v>6</v>
      </c>
      <c r="R53" s="219">
        <f t="shared" si="17"/>
        <v>3.5</v>
      </c>
      <c r="S53" s="219">
        <f t="shared" si="17"/>
        <v>29</v>
      </c>
      <c r="T53" s="219">
        <f t="shared" si="17"/>
        <v>0</v>
      </c>
      <c r="U53" s="219">
        <f t="shared" si="17"/>
        <v>0</v>
      </c>
      <c r="V53" s="67">
        <f t="shared" si="24"/>
        <v>105.5</v>
      </c>
      <c r="X53" t="s">
        <v>35</v>
      </c>
      <c r="Y53" s="19">
        <v>23</v>
      </c>
      <c r="Z53" s="19">
        <f>F53+(AR52*7)-112</f>
        <v>99</v>
      </c>
      <c r="AA53" s="112">
        <f t="shared" si="22"/>
        <v>0</v>
      </c>
      <c r="AB53" s="112">
        <f t="shared" si="18"/>
        <v>13</v>
      </c>
      <c r="AC53" s="112">
        <f t="shared" si="18"/>
        <v>4</v>
      </c>
      <c r="AD53" s="112">
        <f t="shared" si="18"/>
        <v>4</v>
      </c>
      <c r="AE53" s="112">
        <f t="shared" si="18"/>
        <v>10</v>
      </c>
      <c r="AF53" s="112">
        <f t="shared" si="18"/>
        <v>2</v>
      </c>
      <c r="AG53" s="112">
        <v>17</v>
      </c>
      <c r="AH53" s="48">
        <f>(11470+125+125+785)*1.047</f>
        <v>13092.734999999999</v>
      </c>
      <c r="AI53" s="219">
        <f t="shared" si="23"/>
        <v>0</v>
      </c>
      <c r="AJ53" s="219">
        <f t="shared" si="19"/>
        <v>67</v>
      </c>
      <c r="AK53" s="219">
        <f t="shared" si="19"/>
        <v>6</v>
      </c>
      <c r="AL53" s="219">
        <f t="shared" si="19"/>
        <v>3.5</v>
      </c>
      <c r="AM53" s="219">
        <f t="shared" si="19"/>
        <v>29</v>
      </c>
      <c r="AN53" s="219">
        <f t="shared" si="19"/>
        <v>0</v>
      </c>
      <c r="AO53" s="219">
        <f>U53+AR52</f>
        <v>25</v>
      </c>
      <c r="AP53" s="67">
        <f t="shared" si="25"/>
        <v>130.5</v>
      </c>
      <c r="AQ53" s="111"/>
    </row>
    <row r="54" spans="1:45" x14ac:dyDescent="0.25">
      <c r="A54" t="s">
        <v>31</v>
      </c>
      <c r="B54" s="16"/>
      <c r="C54" s="19"/>
      <c r="D54" s="19"/>
      <c r="E54" s="19">
        <f t="shared" si="21"/>
        <v>0</v>
      </c>
      <c r="F54" s="19">
        <f t="shared" si="21"/>
        <v>0</v>
      </c>
      <c r="G54" s="112">
        <f t="shared" si="21"/>
        <v>0</v>
      </c>
      <c r="H54" s="112">
        <f t="shared" si="16"/>
        <v>2</v>
      </c>
      <c r="I54" s="112">
        <f t="shared" si="16"/>
        <v>2</v>
      </c>
      <c r="J54" s="112">
        <f t="shared" si="16"/>
        <v>2</v>
      </c>
      <c r="K54" s="112">
        <f t="shared" si="16"/>
        <v>2</v>
      </c>
      <c r="L54" s="112">
        <f t="shared" si="16"/>
        <v>2</v>
      </c>
      <c r="M54" s="112">
        <f t="shared" si="16"/>
        <v>2</v>
      </c>
      <c r="N54" s="48">
        <f t="shared" si="16"/>
        <v>0</v>
      </c>
      <c r="O54" s="219">
        <f t="shared" si="16"/>
        <v>0</v>
      </c>
      <c r="P54" s="219">
        <f t="shared" si="17"/>
        <v>0</v>
      </c>
      <c r="Q54" s="219">
        <f t="shared" si="17"/>
        <v>0</v>
      </c>
      <c r="R54" s="219">
        <f t="shared" si="17"/>
        <v>0</v>
      </c>
      <c r="S54" s="219">
        <f t="shared" si="17"/>
        <v>0</v>
      </c>
      <c r="T54" s="219">
        <f t="shared" si="17"/>
        <v>0</v>
      </c>
      <c r="U54" s="219">
        <f t="shared" si="17"/>
        <v>0</v>
      </c>
      <c r="V54" s="67">
        <f t="shared" si="24"/>
        <v>0</v>
      </c>
      <c r="X54" t="s">
        <v>31</v>
      </c>
      <c r="Y54" s="19"/>
      <c r="Z54" s="19"/>
      <c r="AA54" s="112">
        <f t="shared" si="22"/>
        <v>0</v>
      </c>
      <c r="AB54" s="112">
        <f t="shared" si="18"/>
        <v>2</v>
      </c>
      <c r="AC54" s="112">
        <f t="shared" si="18"/>
        <v>2</v>
      </c>
      <c r="AD54" s="112">
        <f t="shared" si="18"/>
        <v>2</v>
      </c>
      <c r="AE54" s="112">
        <f t="shared" si="18"/>
        <v>2</v>
      </c>
      <c r="AF54" s="112">
        <f t="shared" si="18"/>
        <v>2</v>
      </c>
      <c r="AG54" s="112">
        <f t="shared" si="18"/>
        <v>2</v>
      </c>
      <c r="AH54" s="48"/>
      <c r="AI54" s="219">
        <f t="shared" si="23"/>
        <v>0</v>
      </c>
      <c r="AJ54" s="219">
        <f t="shared" si="19"/>
        <v>0</v>
      </c>
      <c r="AK54" s="219">
        <f t="shared" si="19"/>
        <v>0</v>
      </c>
      <c r="AL54" s="219">
        <f t="shared" si="19"/>
        <v>0</v>
      </c>
      <c r="AM54" s="219">
        <f t="shared" si="19"/>
        <v>0</v>
      </c>
      <c r="AN54" s="219">
        <f t="shared" si="19"/>
        <v>0</v>
      </c>
      <c r="AO54" s="219">
        <f t="shared" si="19"/>
        <v>0</v>
      </c>
      <c r="AP54" s="67">
        <f t="shared" si="25"/>
        <v>0</v>
      </c>
      <c r="AQ54" s="111"/>
    </row>
    <row r="55" spans="1:45" x14ac:dyDescent="0.25">
      <c r="A55" t="s">
        <v>43</v>
      </c>
      <c r="B55" s="16" t="str">
        <f t="shared" ref="B55:D62" si="26">B37</f>
        <v>INN</v>
      </c>
      <c r="C55" s="19" t="s">
        <v>178</v>
      </c>
      <c r="D55" s="19" t="s">
        <v>339</v>
      </c>
      <c r="E55" s="19">
        <v>22</v>
      </c>
      <c r="F55" s="19">
        <v>70</v>
      </c>
      <c r="G55" s="112">
        <f t="shared" si="21"/>
        <v>0</v>
      </c>
      <c r="H55" s="112">
        <v>11</v>
      </c>
      <c r="I55" s="112">
        <v>12</v>
      </c>
      <c r="J55" s="112">
        <f t="shared" si="16"/>
        <v>2</v>
      </c>
      <c r="K55" s="112">
        <v>8</v>
      </c>
      <c r="L55" s="112">
        <v>5</v>
      </c>
      <c r="M55" s="112">
        <f t="shared" si="16"/>
        <v>2</v>
      </c>
      <c r="N55" s="48">
        <f>(8670+1165+135+125)*1.008</f>
        <v>10175.76</v>
      </c>
      <c r="O55" s="219">
        <f t="shared" si="16"/>
        <v>0</v>
      </c>
      <c r="P55" s="219">
        <v>37</v>
      </c>
      <c r="Q55" s="219">
        <v>48</v>
      </c>
      <c r="R55" s="219">
        <f t="shared" si="17"/>
        <v>0</v>
      </c>
      <c r="S55" s="219">
        <v>18</v>
      </c>
      <c r="T55" s="219">
        <v>8</v>
      </c>
      <c r="U55" s="219">
        <f t="shared" si="17"/>
        <v>0</v>
      </c>
      <c r="V55" s="67">
        <f t="shared" si="24"/>
        <v>111</v>
      </c>
      <c r="X55" t="s">
        <v>43</v>
      </c>
      <c r="Y55" s="19">
        <v>24</v>
      </c>
      <c r="Z55" s="19">
        <f>F55+(AR52*7)-112-112</f>
        <v>21</v>
      </c>
      <c r="AA55" s="112">
        <f t="shared" si="22"/>
        <v>0</v>
      </c>
      <c r="AB55" s="112">
        <f t="shared" si="18"/>
        <v>11</v>
      </c>
      <c r="AC55" s="112">
        <f t="shared" si="18"/>
        <v>12</v>
      </c>
      <c r="AD55" s="112">
        <f t="shared" si="18"/>
        <v>2</v>
      </c>
      <c r="AE55" s="112">
        <f t="shared" si="18"/>
        <v>8</v>
      </c>
      <c r="AF55" s="112">
        <f t="shared" si="18"/>
        <v>5</v>
      </c>
      <c r="AG55" s="112">
        <v>17</v>
      </c>
      <c r="AH55" s="48">
        <f>(8670+1165+135+125)*1.047</f>
        <v>10569.465</v>
      </c>
      <c r="AI55" s="219">
        <f t="shared" si="23"/>
        <v>0</v>
      </c>
      <c r="AJ55" s="219">
        <f t="shared" si="19"/>
        <v>37</v>
      </c>
      <c r="AK55" s="219">
        <f t="shared" si="19"/>
        <v>48</v>
      </c>
      <c r="AL55" s="219">
        <f t="shared" si="19"/>
        <v>0</v>
      </c>
      <c r="AM55" s="219">
        <f t="shared" si="19"/>
        <v>18</v>
      </c>
      <c r="AN55" s="219">
        <f t="shared" si="19"/>
        <v>8</v>
      </c>
      <c r="AO55" s="219">
        <f>U55+AR52</f>
        <v>25</v>
      </c>
      <c r="AP55" s="67">
        <f t="shared" si="25"/>
        <v>136</v>
      </c>
      <c r="AQ55" s="111"/>
    </row>
    <row r="56" spans="1:45" x14ac:dyDescent="0.25">
      <c r="A56" t="s">
        <v>43</v>
      </c>
      <c r="B56" s="16" t="str">
        <f t="shared" si="26"/>
        <v>INN</v>
      </c>
      <c r="C56" s="19" t="s">
        <v>0</v>
      </c>
      <c r="D56" s="19" t="s">
        <v>339</v>
      </c>
      <c r="E56" s="19">
        <v>22</v>
      </c>
      <c r="F56" s="19">
        <v>70</v>
      </c>
      <c r="G56" s="112">
        <f t="shared" si="21"/>
        <v>0</v>
      </c>
      <c r="H56" s="112">
        <v>11</v>
      </c>
      <c r="I56" s="112">
        <v>12</v>
      </c>
      <c r="J56" s="112">
        <f t="shared" si="16"/>
        <v>2</v>
      </c>
      <c r="K56" s="112">
        <v>8</v>
      </c>
      <c r="L56" s="112">
        <v>5</v>
      </c>
      <c r="M56" s="112">
        <f t="shared" si="16"/>
        <v>2</v>
      </c>
      <c r="N56" s="48">
        <f>(8670+1165+135+125)*1.008</f>
        <v>10175.76</v>
      </c>
      <c r="O56" s="219">
        <f t="shared" si="16"/>
        <v>0</v>
      </c>
      <c r="P56" s="219">
        <v>37</v>
      </c>
      <c r="Q56" s="219">
        <v>48</v>
      </c>
      <c r="R56" s="219">
        <f t="shared" si="17"/>
        <v>0</v>
      </c>
      <c r="S56" s="219">
        <v>18</v>
      </c>
      <c r="T56" s="219">
        <v>8</v>
      </c>
      <c r="U56" s="219">
        <f t="shared" si="17"/>
        <v>0</v>
      </c>
      <c r="V56" s="67">
        <f t="shared" si="24"/>
        <v>111</v>
      </c>
      <c r="X56" t="s">
        <v>43</v>
      </c>
      <c r="Y56" s="19">
        <v>24</v>
      </c>
      <c r="Z56" s="19">
        <f>F56+(AR52*7)-112-112</f>
        <v>21</v>
      </c>
      <c r="AA56" s="112">
        <f t="shared" si="22"/>
        <v>0</v>
      </c>
      <c r="AB56" s="112">
        <f t="shared" si="18"/>
        <v>11</v>
      </c>
      <c r="AC56" s="112">
        <f t="shared" si="18"/>
        <v>12</v>
      </c>
      <c r="AD56" s="112">
        <f t="shared" si="18"/>
        <v>2</v>
      </c>
      <c r="AE56" s="112">
        <f t="shared" si="18"/>
        <v>8</v>
      </c>
      <c r="AF56" s="112">
        <f t="shared" si="18"/>
        <v>5</v>
      </c>
      <c r="AG56" s="112">
        <v>17</v>
      </c>
      <c r="AH56" s="48">
        <f>(8670+1165+135+125)*1.047</f>
        <v>10569.465</v>
      </c>
      <c r="AI56" s="219">
        <f t="shared" si="23"/>
        <v>0</v>
      </c>
      <c r="AJ56" s="219">
        <f t="shared" si="19"/>
        <v>37</v>
      </c>
      <c r="AK56" s="219">
        <f t="shared" si="19"/>
        <v>48</v>
      </c>
      <c r="AL56" s="219">
        <f t="shared" si="19"/>
        <v>0</v>
      </c>
      <c r="AM56" s="219">
        <f t="shared" si="19"/>
        <v>18</v>
      </c>
      <c r="AN56" s="219">
        <f t="shared" si="19"/>
        <v>8</v>
      </c>
      <c r="AO56" s="219">
        <f>U56+AR52</f>
        <v>25</v>
      </c>
      <c r="AP56" s="67">
        <f t="shared" si="25"/>
        <v>136</v>
      </c>
      <c r="AQ56" s="111"/>
    </row>
    <row r="57" spans="1:45" x14ac:dyDescent="0.25">
      <c r="A57" t="s">
        <v>36</v>
      </c>
      <c r="B57" s="16" t="str">
        <f t="shared" si="26"/>
        <v>EXT</v>
      </c>
      <c r="C57" s="19" t="str">
        <f t="shared" si="26"/>
        <v>RAP</v>
      </c>
      <c r="D57" s="19" t="str">
        <f t="shared" si="26"/>
        <v>E. Cubas</v>
      </c>
      <c r="E57" s="19">
        <f t="shared" ref="E57:G62" si="27">Y39</f>
        <v>22</v>
      </c>
      <c r="F57" s="19">
        <f t="shared" si="27"/>
        <v>19.5</v>
      </c>
      <c r="G57" s="112">
        <f t="shared" si="27"/>
        <v>0</v>
      </c>
      <c r="H57" s="112">
        <f t="shared" si="16"/>
        <v>9</v>
      </c>
      <c r="I57" s="112">
        <f t="shared" si="16"/>
        <v>5.7</v>
      </c>
      <c r="J57" s="112">
        <f t="shared" si="16"/>
        <v>13.285714285714286</v>
      </c>
      <c r="K57" s="112">
        <f t="shared" si="16"/>
        <v>5.25</v>
      </c>
      <c r="L57" s="112">
        <f t="shared" si="16"/>
        <v>7.4</v>
      </c>
      <c r="M57" s="112">
        <f t="shared" si="16"/>
        <v>5</v>
      </c>
      <c r="N57" s="48">
        <f t="shared" si="16"/>
        <v>9398</v>
      </c>
      <c r="O57" s="219">
        <f t="shared" si="16"/>
        <v>0</v>
      </c>
      <c r="P57" s="219">
        <f t="shared" si="17"/>
        <v>30</v>
      </c>
      <c r="Q57" s="219">
        <f t="shared" si="17"/>
        <v>13</v>
      </c>
      <c r="R57" s="219">
        <f t="shared" si="17"/>
        <v>42</v>
      </c>
      <c r="S57" s="219">
        <f t="shared" si="17"/>
        <v>8</v>
      </c>
      <c r="T57" s="219">
        <f t="shared" si="17"/>
        <v>18</v>
      </c>
      <c r="U57" s="219">
        <f t="shared" si="17"/>
        <v>3</v>
      </c>
      <c r="V57" s="67">
        <f t="shared" si="24"/>
        <v>114</v>
      </c>
      <c r="X57" t="s">
        <v>36</v>
      </c>
      <c r="Y57" s="19">
        <v>23</v>
      </c>
      <c r="Z57" s="19">
        <f>F57+(AR52*7)-112</f>
        <v>82.5</v>
      </c>
      <c r="AA57" s="112">
        <f t="shared" si="22"/>
        <v>0</v>
      </c>
      <c r="AB57" s="112">
        <f t="shared" si="18"/>
        <v>9</v>
      </c>
      <c r="AC57" s="112">
        <f t="shared" si="18"/>
        <v>5.7</v>
      </c>
      <c r="AD57" s="112">
        <f t="shared" si="18"/>
        <v>13.285714285714286</v>
      </c>
      <c r="AE57" s="112">
        <f t="shared" si="18"/>
        <v>5.25</v>
      </c>
      <c r="AF57" s="112">
        <f t="shared" si="18"/>
        <v>7.4</v>
      </c>
      <c r="AG57" s="112">
        <f>17+3/4</f>
        <v>17.75</v>
      </c>
      <c r="AH57" s="48">
        <f>(155+8000+140+300+655)*1.051</f>
        <v>9721.75</v>
      </c>
      <c r="AI57" s="219">
        <f t="shared" si="23"/>
        <v>0</v>
      </c>
      <c r="AJ57" s="219">
        <f t="shared" si="19"/>
        <v>30</v>
      </c>
      <c r="AK57" s="219">
        <f t="shared" si="19"/>
        <v>13</v>
      </c>
      <c r="AL57" s="219">
        <f t="shared" si="19"/>
        <v>42</v>
      </c>
      <c r="AM57" s="219">
        <f t="shared" si="19"/>
        <v>8</v>
      </c>
      <c r="AN57" s="219">
        <f t="shared" si="19"/>
        <v>18</v>
      </c>
      <c r="AO57" s="219">
        <f>U57+AR52</f>
        <v>28</v>
      </c>
      <c r="AP57" s="67">
        <f t="shared" si="25"/>
        <v>139</v>
      </c>
      <c r="AQ57" s="111"/>
    </row>
    <row r="58" spans="1:45" x14ac:dyDescent="0.25">
      <c r="A58" t="s">
        <v>40</v>
      </c>
      <c r="B58" s="16" t="str">
        <f t="shared" si="26"/>
        <v>EXT</v>
      </c>
      <c r="C58" s="19" t="str">
        <f t="shared" si="26"/>
        <v>IMP</v>
      </c>
      <c r="D58" s="19" t="str">
        <f t="shared" si="26"/>
        <v>V. Gomis</v>
      </c>
      <c r="E58" s="19">
        <f t="shared" si="27"/>
        <v>22</v>
      </c>
      <c r="F58" s="19">
        <f t="shared" si="27"/>
        <v>23.5</v>
      </c>
      <c r="G58" s="112">
        <f t="shared" si="27"/>
        <v>0</v>
      </c>
      <c r="H58" s="112">
        <f t="shared" si="16"/>
        <v>10.777777777777779</v>
      </c>
      <c r="I58" s="112">
        <f t="shared" si="16"/>
        <v>3</v>
      </c>
      <c r="J58" s="112">
        <f t="shared" si="16"/>
        <v>12</v>
      </c>
      <c r="K58" s="112">
        <f t="shared" si="16"/>
        <v>5.2</v>
      </c>
      <c r="L58" s="112">
        <f t="shared" si="16"/>
        <v>7</v>
      </c>
      <c r="M58" s="112">
        <f t="shared" si="16"/>
        <v>3</v>
      </c>
      <c r="N58" s="48">
        <f t="shared" si="16"/>
        <v>6732.8360000000002</v>
      </c>
      <c r="O58" s="219">
        <f t="shared" si="16"/>
        <v>0</v>
      </c>
      <c r="P58" s="219">
        <f t="shared" si="17"/>
        <v>44</v>
      </c>
      <c r="Q58" s="219">
        <f t="shared" si="17"/>
        <v>3</v>
      </c>
      <c r="R58" s="219">
        <f t="shared" si="17"/>
        <v>33</v>
      </c>
      <c r="S58" s="219">
        <f t="shared" si="17"/>
        <v>8</v>
      </c>
      <c r="T58" s="219">
        <f t="shared" si="17"/>
        <v>16</v>
      </c>
      <c r="U58" s="219">
        <f t="shared" si="17"/>
        <v>1</v>
      </c>
      <c r="V58" s="67">
        <f>SUM(O58:U58)</f>
        <v>105</v>
      </c>
      <c r="X58" t="s">
        <v>40</v>
      </c>
      <c r="Y58" s="19">
        <v>23</v>
      </c>
      <c r="Z58" s="19">
        <f>F58+(AR52*7)-112</f>
        <v>86.5</v>
      </c>
      <c r="AA58" s="112">
        <f t="shared" si="22"/>
        <v>0</v>
      </c>
      <c r="AB58" s="112">
        <f t="shared" si="18"/>
        <v>10.777777777777779</v>
      </c>
      <c r="AC58" s="112">
        <f t="shared" si="18"/>
        <v>3</v>
      </c>
      <c r="AD58" s="112">
        <f t="shared" si="18"/>
        <v>12</v>
      </c>
      <c r="AE58" s="112">
        <f t="shared" si="18"/>
        <v>5.2</v>
      </c>
      <c r="AF58" s="112">
        <f t="shared" si="18"/>
        <v>7</v>
      </c>
      <c r="AG58" s="112">
        <f>17+1/4</f>
        <v>17.25</v>
      </c>
      <c r="AH58" s="48">
        <f>(1800+138+4470+245)*1.05</f>
        <v>6985.6500000000005</v>
      </c>
      <c r="AI58" s="219">
        <f t="shared" si="23"/>
        <v>0</v>
      </c>
      <c r="AJ58" s="219">
        <f t="shared" si="19"/>
        <v>44</v>
      </c>
      <c r="AK58" s="219">
        <f t="shared" si="19"/>
        <v>3</v>
      </c>
      <c r="AL58" s="219">
        <f t="shared" si="19"/>
        <v>33</v>
      </c>
      <c r="AM58" s="219">
        <f t="shared" si="19"/>
        <v>8</v>
      </c>
      <c r="AN58" s="219">
        <f t="shared" si="19"/>
        <v>16</v>
      </c>
      <c r="AO58" s="219">
        <f>U58+AR52</f>
        <v>26</v>
      </c>
      <c r="AP58" s="67">
        <f>SUM(AI58:AO58)</f>
        <v>130</v>
      </c>
      <c r="AQ58" s="111"/>
    </row>
    <row r="59" spans="1:45" x14ac:dyDescent="0.25">
      <c r="A59" t="s">
        <v>34</v>
      </c>
      <c r="B59" s="16" t="str">
        <f t="shared" si="26"/>
        <v>EXT</v>
      </c>
      <c r="C59" s="19" t="str">
        <f t="shared" si="26"/>
        <v>IMP</v>
      </c>
      <c r="D59" s="19" t="str">
        <f t="shared" si="26"/>
        <v>J.G. Peñuela</v>
      </c>
      <c r="E59" s="19">
        <f t="shared" si="27"/>
        <v>22</v>
      </c>
      <c r="F59" s="19">
        <f t="shared" si="27"/>
        <v>19.5</v>
      </c>
      <c r="G59" s="112">
        <f t="shared" si="27"/>
        <v>0</v>
      </c>
      <c r="H59" s="112">
        <f t="shared" si="16"/>
        <v>9.4285714285714288</v>
      </c>
      <c r="I59" s="112">
        <f t="shared" si="16"/>
        <v>5</v>
      </c>
      <c r="J59" s="112">
        <f t="shared" si="16"/>
        <v>12.285714285714286</v>
      </c>
      <c r="K59" s="112">
        <f t="shared" si="16"/>
        <v>4</v>
      </c>
      <c r="L59" s="112">
        <f t="shared" si="16"/>
        <v>7.4</v>
      </c>
      <c r="M59" s="112">
        <f t="shared" si="16"/>
        <v>3</v>
      </c>
      <c r="N59" s="48">
        <f t="shared" si="16"/>
        <v>6512.22</v>
      </c>
      <c r="O59" s="219">
        <f t="shared" si="16"/>
        <v>0</v>
      </c>
      <c r="P59" s="219">
        <f t="shared" si="17"/>
        <v>33</v>
      </c>
      <c r="Q59" s="219">
        <f t="shared" si="17"/>
        <v>9</v>
      </c>
      <c r="R59" s="219">
        <f t="shared" si="17"/>
        <v>35</v>
      </c>
      <c r="S59" s="219">
        <f t="shared" si="17"/>
        <v>4</v>
      </c>
      <c r="T59" s="219">
        <f t="shared" si="17"/>
        <v>18</v>
      </c>
      <c r="U59" s="219">
        <f t="shared" si="17"/>
        <v>1</v>
      </c>
      <c r="V59" s="67">
        <f>SUM(O59:U59)</f>
        <v>100</v>
      </c>
      <c r="X59" t="s">
        <v>34</v>
      </c>
      <c r="Y59" s="19">
        <v>23</v>
      </c>
      <c r="Z59" s="19">
        <f>F59+(AR52*7)-112</f>
        <v>82.5</v>
      </c>
      <c r="AA59" s="112">
        <f t="shared" si="22"/>
        <v>0</v>
      </c>
      <c r="AB59" s="112">
        <f t="shared" si="18"/>
        <v>9.4285714285714288</v>
      </c>
      <c r="AC59" s="112">
        <f t="shared" si="18"/>
        <v>5</v>
      </c>
      <c r="AD59" s="112">
        <f t="shared" si="18"/>
        <v>12.285714285714286</v>
      </c>
      <c r="AE59" s="112">
        <f t="shared" si="18"/>
        <v>4</v>
      </c>
      <c r="AF59" s="112">
        <f t="shared" si="18"/>
        <v>7.4</v>
      </c>
      <c r="AG59" s="112">
        <f>17+1/4</f>
        <v>17.25</v>
      </c>
      <c r="AH59" s="48">
        <f>(135+5000+125+300+875)*1.05</f>
        <v>6756.75</v>
      </c>
      <c r="AI59" s="219">
        <f t="shared" si="23"/>
        <v>0</v>
      </c>
      <c r="AJ59" s="219">
        <f t="shared" si="19"/>
        <v>33</v>
      </c>
      <c r="AK59" s="219">
        <f t="shared" si="19"/>
        <v>9</v>
      </c>
      <c r="AL59" s="219">
        <f t="shared" si="19"/>
        <v>35</v>
      </c>
      <c r="AM59" s="219">
        <f t="shared" si="19"/>
        <v>4</v>
      </c>
      <c r="AN59" s="219">
        <f t="shared" si="19"/>
        <v>18</v>
      </c>
      <c r="AO59" s="219">
        <f>U59+AR52</f>
        <v>26</v>
      </c>
      <c r="AP59" s="67">
        <f>SUM(AI59:AO59)</f>
        <v>125</v>
      </c>
      <c r="AQ59" s="111"/>
    </row>
    <row r="60" spans="1:45" x14ac:dyDescent="0.25">
      <c r="A60" t="s">
        <v>42</v>
      </c>
      <c r="B60" s="16" t="str">
        <f t="shared" si="26"/>
        <v>DAV</v>
      </c>
      <c r="C60" s="19" t="s">
        <v>0</v>
      </c>
      <c r="D60" s="19" t="s">
        <v>341</v>
      </c>
      <c r="E60" s="19">
        <v>22</v>
      </c>
      <c r="F60" s="19">
        <v>64</v>
      </c>
      <c r="G60" s="112">
        <f t="shared" si="27"/>
        <v>0</v>
      </c>
      <c r="H60" s="112">
        <f t="shared" si="16"/>
        <v>2</v>
      </c>
      <c r="I60" s="112">
        <f t="shared" si="16"/>
        <v>2</v>
      </c>
      <c r="J60" s="112">
        <v>8</v>
      </c>
      <c r="K60" s="112">
        <v>8</v>
      </c>
      <c r="L60" s="112">
        <v>13</v>
      </c>
      <c r="M60" s="112">
        <v>10</v>
      </c>
      <c r="N60" s="48">
        <f>(12930+275+135)*1.023</f>
        <v>13646.819999999998</v>
      </c>
      <c r="O60" s="219">
        <f t="shared" si="16"/>
        <v>0</v>
      </c>
      <c r="P60" s="219">
        <f t="shared" si="17"/>
        <v>0</v>
      </c>
      <c r="Q60" s="219">
        <f t="shared" si="17"/>
        <v>0</v>
      </c>
      <c r="R60" s="219">
        <v>15</v>
      </c>
      <c r="S60" s="219">
        <v>18</v>
      </c>
      <c r="T60" s="219">
        <v>59</v>
      </c>
      <c r="U60" s="219">
        <v>8</v>
      </c>
      <c r="V60" s="67">
        <f>SUM(O60:U60)</f>
        <v>100</v>
      </c>
      <c r="X60" t="s">
        <v>42</v>
      </c>
      <c r="Y60" s="19">
        <v>24</v>
      </c>
      <c r="Z60" s="19">
        <f>F60+(AR52*7)-112-112</f>
        <v>15</v>
      </c>
      <c r="AA60" s="112">
        <f t="shared" si="22"/>
        <v>0</v>
      </c>
      <c r="AB60" s="112">
        <f t="shared" si="18"/>
        <v>2</v>
      </c>
      <c r="AC60" s="112">
        <f t="shared" si="18"/>
        <v>2</v>
      </c>
      <c r="AD60" s="112">
        <f t="shared" si="18"/>
        <v>8</v>
      </c>
      <c r="AE60" s="112">
        <f t="shared" si="18"/>
        <v>8</v>
      </c>
      <c r="AF60" s="112">
        <f t="shared" si="18"/>
        <v>13</v>
      </c>
      <c r="AG60" s="112">
        <v>19</v>
      </c>
      <c r="AH60" s="48">
        <f>(12930+275+135)*1.06</f>
        <v>14140.400000000001</v>
      </c>
      <c r="AI60" s="219">
        <f t="shared" si="23"/>
        <v>0</v>
      </c>
      <c r="AJ60" s="219">
        <f t="shared" si="19"/>
        <v>0</v>
      </c>
      <c r="AK60" s="219">
        <f t="shared" si="19"/>
        <v>0</v>
      </c>
      <c r="AL60" s="219">
        <f t="shared" si="19"/>
        <v>15</v>
      </c>
      <c r="AM60" s="219">
        <f t="shared" si="19"/>
        <v>18</v>
      </c>
      <c r="AN60" s="219">
        <f t="shared" si="19"/>
        <v>59</v>
      </c>
      <c r="AO60" s="219">
        <f>U60+AR52</f>
        <v>33</v>
      </c>
      <c r="AP60" s="67">
        <f>SUM(AI60:AO60)</f>
        <v>125</v>
      </c>
      <c r="AQ60" s="111"/>
    </row>
    <row r="61" spans="1:45" x14ac:dyDescent="0.25">
      <c r="A61" t="s">
        <v>46</v>
      </c>
      <c r="B61" s="16" t="str">
        <f t="shared" si="26"/>
        <v>DAV</v>
      </c>
      <c r="C61" s="19" t="s">
        <v>45</v>
      </c>
      <c r="D61" s="19" t="s">
        <v>341</v>
      </c>
      <c r="E61" s="19">
        <v>22</v>
      </c>
      <c r="F61" s="19">
        <v>64</v>
      </c>
      <c r="G61" s="112">
        <f t="shared" si="27"/>
        <v>0</v>
      </c>
      <c r="H61" s="112">
        <f t="shared" si="16"/>
        <v>2</v>
      </c>
      <c r="I61" s="112">
        <f t="shared" si="16"/>
        <v>2</v>
      </c>
      <c r="J61" s="112">
        <v>8</v>
      </c>
      <c r="K61" s="112">
        <v>8</v>
      </c>
      <c r="L61" s="112">
        <v>13</v>
      </c>
      <c r="M61" s="112">
        <v>10</v>
      </c>
      <c r="N61" s="48">
        <f>(12930+275+135)*1.023</f>
        <v>13646.819999999998</v>
      </c>
      <c r="O61" s="219">
        <f t="shared" si="16"/>
        <v>0</v>
      </c>
      <c r="P61" s="219">
        <f t="shared" si="17"/>
        <v>0</v>
      </c>
      <c r="Q61" s="219">
        <f t="shared" si="17"/>
        <v>0</v>
      </c>
      <c r="R61" s="219">
        <v>15</v>
      </c>
      <c r="S61" s="219">
        <v>18</v>
      </c>
      <c r="T61" s="219">
        <v>59</v>
      </c>
      <c r="U61" s="219">
        <v>8</v>
      </c>
      <c r="V61" s="67">
        <f>SUM(O61:U61)</f>
        <v>100</v>
      </c>
      <c r="X61" t="s">
        <v>46</v>
      </c>
      <c r="Y61" s="19">
        <v>24</v>
      </c>
      <c r="Z61" s="19">
        <f>F61+(AR52*7)-112-112</f>
        <v>15</v>
      </c>
      <c r="AA61" s="112">
        <f t="shared" si="22"/>
        <v>0</v>
      </c>
      <c r="AB61" s="112">
        <f t="shared" si="18"/>
        <v>2</v>
      </c>
      <c r="AC61" s="112">
        <f t="shared" si="18"/>
        <v>2</v>
      </c>
      <c r="AD61" s="112">
        <f t="shared" si="18"/>
        <v>8</v>
      </c>
      <c r="AE61" s="112">
        <f t="shared" si="18"/>
        <v>8</v>
      </c>
      <c r="AF61" s="112">
        <f t="shared" si="18"/>
        <v>13</v>
      </c>
      <c r="AG61" s="112">
        <v>19</v>
      </c>
      <c r="AH61" s="48">
        <f>(12930+275+135)*1.06</f>
        <v>14140.400000000001</v>
      </c>
      <c r="AI61" s="219">
        <f t="shared" si="23"/>
        <v>0</v>
      </c>
      <c r="AJ61" s="219">
        <f t="shared" si="19"/>
        <v>0</v>
      </c>
      <c r="AK61" s="219">
        <f t="shared" si="19"/>
        <v>0</v>
      </c>
      <c r="AL61" s="219">
        <f t="shared" si="19"/>
        <v>15</v>
      </c>
      <c r="AM61" s="219">
        <f t="shared" si="19"/>
        <v>18</v>
      </c>
      <c r="AN61" s="219">
        <f t="shared" si="19"/>
        <v>59</v>
      </c>
      <c r="AO61" s="219">
        <f>U61+AR52</f>
        <v>33</v>
      </c>
      <c r="AP61" s="67">
        <f>SUM(AI61:AO61)</f>
        <v>125</v>
      </c>
      <c r="AQ61" s="111"/>
    </row>
    <row r="62" spans="1:45" x14ac:dyDescent="0.25">
      <c r="A62" t="s">
        <v>338</v>
      </c>
      <c r="B62" s="16" t="str">
        <f t="shared" si="26"/>
        <v>DAV</v>
      </c>
      <c r="C62" s="19" t="s">
        <v>300</v>
      </c>
      <c r="D62" s="19" t="s">
        <v>341</v>
      </c>
      <c r="E62" s="19">
        <v>22</v>
      </c>
      <c r="F62" s="19">
        <v>64</v>
      </c>
      <c r="G62" s="112">
        <f t="shared" si="27"/>
        <v>0</v>
      </c>
      <c r="H62" s="112">
        <f t="shared" si="16"/>
        <v>2</v>
      </c>
      <c r="I62" s="112">
        <f t="shared" si="16"/>
        <v>2</v>
      </c>
      <c r="J62" s="112">
        <v>8</v>
      </c>
      <c r="K62" s="112">
        <v>8</v>
      </c>
      <c r="L62" s="112">
        <v>13</v>
      </c>
      <c r="M62" s="112">
        <v>10</v>
      </c>
      <c r="N62" s="48">
        <f>(12930+275+135)*1.023</f>
        <v>13646.819999999998</v>
      </c>
      <c r="O62" s="219">
        <f t="shared" si="16"/>
        <v>0</v>
      </c>
      <c r="P62" s="219">
        <f t="shared" si="17"/>
        <v>0</v>
      </c>
      <c r="Q62" s="219">
        <f t="shared" si="17"/>
        <v>0</v>
      </c>
      <c r="R62" s="219">
        <v>15</v>
      </c>
      <c r="S62" s="219">
        <v>18</v>
      </c>
      <c r="T62" s="219">
        <v>59</v>
      </c>
      <c r="U62" s="219">
        <v>8</v>
      </c>
      <c r="V62" s="67">
        <f>SUM(O62:U62)</f>
        <v>100</v>
      </c>
      <c r="X62" t="s">
        <v>338</v>
      </c>
      <c r="Y62" s="19">
        <v>24</v>
      </c>
      <c r="Z62" s="19">
        <f>F62+(AR52*7)-112-112</f>
        <v>15</v>
      </c>
      <c r="AA62" s="112">
        <f t="shared" si="22"/>
        <v>0</v>
      </c>
      <c r="AB62" s="112">
        <f t="shared" si="18"/>
        <v>2</v>
      </c>
      <c r="AC62" s="112">
        <f t="shared" si="18"/>
        <v>2</v>
      </c>
      <c r="AD62" s="112">
        <f t="shared" si="18"/>
        <v>8</v>
      </c>
      <c r="AE62" s="112">
        <f t="shared" si="18"/>
        <v>8</v>
      </c>
      <c r="AF62" s="112">
        <f t="shared" si="18"/>
        <v>13</v>
      </c>
      <c r="AG62" s="112">
        <v>19</v>
      </c>
      <c r="AH62" s="48">
        <f>(12930+275+135)*1.06</f>
        <v>14140.400000000001</v>
      </c>
      <c r="AI62" s="219">
        <f t="shared" si="23"/>
        <v>0</v>
      </c>
      <c r="AJ62" s="219">
        <f t="shared" si="19"/>
        <v>0</v>
      </c>
      <c r="AK62" s="219">
        <f t="shared" si="19"/>
        <v>0</v>
      </c>
      <c r="AL62" s="219">
        <f t="shared" si="19"/>
        <v>15</v>
      </c>
      <c r="AM62" s="219">
        <f t="shared" si="19"/>
        <v>18</v>
      </c>
      <c r="AN62" s="219">
        <f t="shared" si="19"/>
        <v>59</v>
      </c>
      <c r="AO62" s="219">
        <f>U62+AR52</f>
        <v>33</v>
      </c>
      <c r="AP62" s="67">
        <f>SUM(AI62:AO62)</f>
        <v>125</v>
      </c>
      <c r="AQ62" s="111"/>
    </row>
    <row r="63" spans="1:45" x14ac:dyDescent="0.25">
      <c r="AQ63" s="111"/>
    </row>
    <row r="64" spans="1:45" x14ac:dyDescent="0.25">
      <c r="AQ64" s="111"/>
    </row>
    <row r="65" spans="43:43" x14ac:dyDescent="0.25">
      <c r="AQ65" s="111"/>
    </row>
    <row r="66" spans="43:43" x14ac:dyDescent="0.25">
      <c r="AQ66" s="111"/>
    </row>
    <row r="67" spans="43:43" x14ac:dyDescent="0.25">
      <c r="AQ67" s="111"/>
    </row>
    <row r="68" spans="43:43" x14ac:dyDescent="0.25">
      <c r="AQ68" s="111"/>
    </row>
    <row r="69" spans="43:43" x14ac:dyDescent="0.25">
      <c r="AQ69" s="111"/>
    </row>
    <row r="70" spans="43:43" x14ac:dyDescent="0.25">
      <c r="AQ70" s="111"/>
    </row>
    <row r="71" spans="43:43" x14ac:dyDescent="0.25">
      <c r="AQ71" s="111"/>
    </row>
    <row r="72" spans="43:43" x14ac:dyDescent="0.25">
      <c r="AQ72" s="111"/>
    </row>
    <row r="73" spans="43:43" x14ac:dyDescent="0.25">
      <c r="AQ73" s="111"/>
    </row>
    <row r="74" spans="43:43" x14ac:dyDescent="0.25">
      <c r="AQ74" s="111"/>
    </row>
    <row r="75" spans="43:43" x14ac:dyDescent="0.25">
      <c r="AQ75" s="111"/>
    </row>
    <row r="76" spans="43:43" x14ac:dyDescent="0.25">
      <c r="AQ76" s="111"/>
    </row>
    <row r="77" spans="43:43" x14ac:dyDescent="0.25">
      <c r="AQ77" s="111"/>
    </row>
    <row r="78" spans="43:43" x14ac:dyDescent="0.25">
      <c r="AQ78" s="111"/>
    </row>
    <row r="79" spans="43:43" x14ac:dyDescent="0.25">
      <c r="AQ79" s="111"/>
    </row>
    <row r="80" spans="43:43" x14ac:dyDescent="0.25">
      <c r="AQ80" s="111"/>
    </row>
    <row r="81" spans="43:43" x14ac:dyDescent="0.25">
      <c r="AQ81" s="111"/>
    </row>
    <row r="82" spans="43:43" x14ac:dyDescent="0.25">
      <c r="AQ82" s="111"/>
    </row>
    <row r="83" spans="43:43" x14ac:dyDescent="0.25">
      <c r="AQ83" s="111"/>
    </row>
    <row r="84" spans="43:43" x14ac:dyDescent="0.25">
      <c r="AQ84" s="111"/>
    </row>
    <row r="85" spans="43:43" x14ac:dyDescent="0.25">
      <c r="AQ85" s="111"/>
    </row>
    <row r="86" spans="43:43" x14ac:dyDescent="0.25">
      <c r="AQ86" s="111"/>
    </row>
    <row r="87" spans="43:43" x14ac:dyDescent="0.25">
      <c r="AQ87" s="111"/>
    </row>
    <row r="88" spans="43:43" x14ac:dyDescent="0.25">
      <c r="AQ88" s="111"/>
    </row>
    <row r="89" spans="43:43" x14ac:dyDescent="0.25">
      <c r="AQ89" s="111"/>
    </row>
    <row r="90" spans="43:43" x14ac:dyDescent="0.25">
      <c r="AQ90" s="111"/>
    </row>
    <row r="91" spans="43:43" x14ac:dyDescent="0.25">
      <c r="AQ91" s="111"/>
    </row>
    <row r="92" spans="43:43" x14ac:dyDescent="0.25">
      <c r="AQ92" s="111"/>
    </row>
    <row r="93" spans="43:43" x14ac:dyDescent="0.25">
      <c r="AQ93" s="111"/>
    </row>
    <row r="94" spans="43:43" x14ac:dyDescent="0.25">
      <c r="AQ94" s="111"/>
    </row>
    <row r="95" spans="43:43" x14ac:dyDescent="0.25">
      <c r="AQ95" s="111"/>
    </row>
    <row r="96" spans="43:43" x14ac:dyDescent="0.25">
      <c r="AQ96" s="111"/>
    </row>
    <row r="97" spans="43:43" x14ac:dyDescent="0.25">
      <c r="AQ97" s="111"/>
    </row>
    <row r="98" spans="43:43" x14ac:dyDescent="0.25">
      <c r="AQ98" s="111"/>
    </row>
    <row r="99" spans="43:43" x14ac:dyDescent="0.25">
      <c r="AQ99" s="111"/>
    </row>
    <row r="100" spans="43:43" x14ac:dyDescent="0.25">
      <c r="AQ100" s="111"/>
    </row>
    <row r="101" spans="43:43" x14ac:dyDescent="0.25">
      <c r="AQ101" s="111"/>
    </row>
    <row r="102" spans="43:43" x14ac:dyDescent="0.25">
      <c r="AQ102" s="111"/>
    </row>
    <row r="103" spans="43:43" x14ac:dyDescent="0.25">
      <c r="AQ103" s="111"/>
    </row>
    <row r="104" spans="43:43" x14ac:dyDescent="0.25">
      <c r="AQ104" s="111"/>
    </row>
    <row r="105" spans="43:43" x14ac:dyDescent="0.25">
      <c r="AQ105" s="111"/>
    </row>
    <row r="106" spans="43:43" x14ac:dyDescent="0.25">
      <c r="AQ106" s="111"/>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RowHeight="15" x14ac:dyDescent="0.25"/>
  <cols>
    <col min="1" max="1" width="7.7109375" style="190" bestFit="1" customWidth="1"/>
    <col min="2" max="2" width="7.7109375" style="190" customWidth="1"/>
    <col min="3" max="3" width="17.85546875" style="190" bestFit="1" customWidth="1"/>
    <col min="4" max="4" width="18.28515625" style="190" bestFit="1" customWidth="1"/>
    <col min="5" max="5" width="11.42578125" style="190"/>
    <col min="6" max="6" width="13" style="190" bestFit="1" customWidth="1"/>
    <col min="7" max="8" width="10.28515625" style="190" bestFit="1" customWidth="1"/>
  </cols>
  <sheetData>
    <row r="1" spans="1:11" ht="15.75" x14ac:dyDescent="0.25">
      <c r="A1" s="191" t="s">
        <v>276</v>
      </c>
      <c r="B1" s="191" t="s">
        <v>282</v>
      </c>
      <c r="C1" s="191" t="s">
        <v>277</v>
      </c>
      <c r="D1" s="191" t="s">
        <v>281</v>
      </c>
      <c r="E1" s="191" t="s">
        <v>278</v>
      </c>
      <c r="F1" s="191" t="s">
        <v>273</v>
      </c>
      <c r="G1" s="191" t="s">
        <v>274</v>
      </c>
      <c r="H1" s="191" t="s">
        <v>275</v>
      </c>
    </row>
    <row r="2" spans="1:11" x14ac:dyDescent="0.25">
      <c r="A2" s="190">
        <v>54</v>
      </c>
      <c r="B2" s="190" t="s">
        <v>283</v>
      </c>
      <c r="C2" s="190" t="s">
        <v>279</v>
      </c>
      <c r="D2" s="192">
        <v>0.17499999999999999</v>
      </c>
      <c r="E2" s="68">
        <v>0.3</v>
      </c>
      <c r="F2" s="190">
        <f>Empleados!L5</f>
        <v>-0.31299999999999994</v>
      </c>
      <c r="G2" s="47">
        <f>Empleados!M5</f>
        <v>-5.0079999999999991</v>
      </c>
      <c r="H2" s="47">
        <f>Empleados!N5</f>
        <v>-35.055999999999997</v>
      </c>
    </row>
    <row r="3" spans="1:11" x14ac:dyDescent="0.25">
      <c r="A3" s="190">
        <v>55</v>
      </c>
      <c r="B3" s="190" t="s">
        <v>284</v>
      </c>
      <c r="C3" s="190" t="s">
        <v>279</v>
      </c>
      <c r="D3" s="68">
        <v>0.35</v>
      </c>
      <c r="E3" s="68">
        <v>0.05</v>
      </c>
      <c r="F3" s="190">
        <f>Empleados!L9</f>
        <v>0.1120000000000001</v>
      </c>
      <c r="G3" s="47">
        <f>Empleados!M9</f>
        <v>1.7920000000000016</v>
      </c>
      <c r="H3" s="47">
        <f>Empleados!N9</f>
        <v>12.544000000000011</v>
      </c>
      <c r="K3" s="38">
        <f>SUM(H3:H13)</f>
        <v>163.744</v>
      </c>
    </row>
    <row r="4" spans="1:11" x14ac:dyDescent="0.25">
      <c r="A4" s="190">
        <v>56</v>
      </c>
      <c r="B4" s="190" t="s">
        <v>285</v>
      </c>
      <c r="C4" s="190" t="s">
        <v>280</v>
      </c>
      <c r="D4" s="68">
        <v>0.35</v>
      </c>
      <c r="E4" s="68">
        <v>0.05</v>
      </c>
      <c r="F4" s="190">
        <f>Empleados!L6</f>
        <v>0.16500000000000004</v>
      </c>
      <c r="G4" s="47">
        <f>Empleados!M6</f>
        <v>2.6400000000000006</v>
      </c>
      <c r="H4" s="47">
        <f>Empleados!N6</f>
        <v>18.480000000000004</v>
      </c>
      <c r="J4" s="38">
        <f>SUM(H4:H13)</f>
        <v>151.19999999999999</v>
      </c>
    </row>
    <row r="5" spans="1:11" x14ac:dyDescent="0.25">
      <c r="A5" s="190">
        <v>57</v>
      </c>
      <c r="B5" s="190" t="s">
        <v>286</v>
      </c>
      <c r="C5" s="190" t="s">
        <v>280</v>
      </c>
      <c r="D5" s="68">
        <v>0.35</v>
      </c>
      <c r="E5" s="68">
        <v>0.05</v>
      </c>
      <c r="F5" s="190">
        <f t="shared" ref="F5:H7" si="0">F4</f>
        <v>0.16500000000000004</v>
      </c>
      <c r="G5" s="47">
        <f t="shared" si="0"/>
        <v>2.6400000000000006</v>
      </c>
      <c r="H5" s="47">
        <f t="shared" si="0"/>
        <v>18.480000000000004</v>
      </c>
      <c r="I5" s="38">
        <f>SUM(H5:H13)</f>
        <v>132.72</v>
      </c>
    </row>
    <row r="6" spans="1:11" x14ac:dyDescent="0.25">
      <c r="A6" s="190">
        <v>58</v>
      </c>
      <c r="B6" s="190" t="s">
        <v>287</v>
      </c>
      <c r="C6" s="190" t="s">
        <v>280</v>
      </c>
      <c r="D6" s="68">
        <v>0.35</v>
      </c>
      <c r="E6" s="68">
        <v>0.05</v>
      </c>
      <c r="F6" s="190">
        <f t="shared" si="0"/>
        <v>0.16500000000000004</v>
      </c>
      <c r="G6" s="47">
        <f t="shared" si="0"/>
        <v>2.6400000000000006</v>
      </c>
      <c r="H6" s="47">
        <f t="shared" si="0"/>
        <v>18.480000000000004</v>
      </c>
    </row>
    <row r="7" spans="1:11" x14ac:dyDescent="0.25">
      <c r="A7" s="190">
        <v>59</v>
      </c>
      <c r="B7" s="190" t="s">
        <v>288</v>
      </c>
      <c r="C7" s="190" t="s">
        <v>280</v>
      </c>
      <c r="D7" s="68">
        <v>0.35</v>
      </c>
      <c r="E7" s="68">
        <v>0.05</v>
      </c>
      <c r="F7" s="190">
        <f t="shared" si="0"/>
        <v>0.16500000000000004</v>
      </c>
      <c r="G7" s="47">
        <f t="shared" si="0"/>
        <v>2.6400000000000006</v>
      </c>
      <c r="H7" s="47">
        <f t="shared" si="0"/>
        <v>18.480000000000004</v>
      </c>
    </row>
    <row r="8" spans="1:11" x14ac:dyDescent="0.25">
      <c r="A8" s="190">
        <v>60</v>
      </c>
      <c r="B8" s="190" t="s">
        <v>289</v>
      </c>
      <c r="C8" s="190" t="s">
        <v>280</v>
      </c>
      <c r="D8" s="68">
        <v>0.35</v>
      </c>
      <c r="E8" s="68">
        <v>0.1</v>
      </c>
      <c r="F8" s="190">
        <f>Empleados!L8</f>
        <v>0.11499999999999999</v>
      </c>
      <c r="G8" s="190">
        <f>Empleados!M8</f>
        <v>1.8399999999999999</v>
      </c>
      <c r="H8" s="190">
        <f>Empleados!N8</f>
        <v>12.879999999999999</v>
      </c>
    </row>
    <row r="9" spans="1:11" x14ac:dyDescent="0.25">
      <c r="A9" s="190">
        <v>61</v>
      </c>
      <c r="B9" s="190" t="s">
        <v>290</v>
      </c>
      <c r="C9" s="190" t="s">
        <v>280</v>
      </c>
      <c r="D9" s="68">
        <v>0.35</v>
      </c>
      <c r="E9" s="68">
        <v>0.1</v>
      </c>
      <c r="F9" s="190">
        <f t="shared" ref="F9:H13" si="1">F8</f>
        <v>0.11499999999999999</v>
      </c>
      <c r="G9" s="190">
        <f t="shared" si="1"/>
        <v>1.8399999999999999</v>
      </c>
      <c r="H9" s="190">
        <f t="shared" si="1"/>
        <v>12.879999999999999</v>
      </c>
    </row>
    <row r="10" spans="1:11" x14ac:dyDescent="0.25">
      <c r="A10" s="190">
        <v>62</v>
      </c>
      <c r="B10" s="190" t="s">
        <v>291</v>
      </c>
      <c r="C10" s="190" t="s">
        <v>280</v>
      </c>
      <c r="D10" s="68">
        <v>0.35</v>
      </c>
      <c r="E10" s="68">
        <v>0.1</v>
      </c>
      <c r="F10" s="190">
        <f t="shared" si="1"/>
        <v>0.11499999999999999</v>
      </c>
      <c r="G10" s="190">
        <f t="shared" si="1"/>
        <v>1.8399999999999999</v>
      </c>
      <c r="H10" s="190">
        <f t="shared" si="1"/>
        <v>12.879999999999999</v>
      </c>
    </row>
    <row r="11" spans="1:11" x14ac:dyDescent="0.25">
      <c r="A11" s="190">
        <v>63</v>
      </c>
      <c r="B11" s="190" t="s">
        <v>292</v>
      </c>
      <c r="C11" s="190" t="s">
        <v>280</v>
      </c>
      <c r="D11" s="68">
        <v>0.35</v>
      </c>
      <c r="E11" s="68">
        <v>0.1</v>
      </c>
      <c r="F11" s="190">
        <f t="shared" si="1"/>
        <v>0.11499999999999999</v>
      </c>
      <c r="G11" s="190">
        <f t="shared" si="1"/>
        <v>1.8399999999999999</v>
      </c>
      <c r="H11" s="190">
        <f t="shared" si="1"/>
        <v>12.879999999999999</v>
      </c>
    </row>
    <row r="12" spans="1:11" x14ac:dyDescent="0.25">
      <c r="A12" s="190">
        <v>64</v>
      </c>
      <c r="B12" s="190" t="s">
        <v>293</v>
      </c>
      <c r="C12" s="190" t="s">
        <v>280</v>
      </c>
      <c r="D12" s="68">
        <v>0.35</v>
      </c>
      <c r="E12" s="68">
        <v>0.1</v>
      </c>
      <c r="F12" s="190">
        <f t="shared" si="1"/>
        <v>0.11499999999999999</v>
      </c>
      <c r="G12" s="190">
        <f t="shared" si="1"/>
        <v>1.8399999999999999</v>
      </c>
      <c r="H12" s="190">
        <f t="shared" si="1"/>
        <v>12.879999999999999</v>
      </c>
    </row>
    <row r="13" spans="1:11" x14ac:dyDescent="0.25">
      <c r="A13" s="190">
        <v>65</v>
      </c>
      <c r="B13" s="190" t="s">
        <v>294</v>
      </c>
      <c r="C13" s="190" t="s">
        <v>280</v>
      </c>
      <c r="D13" s="68">
        <v>0.35</v>
      </c>
      <c r="E13" s="68">
        <v>0.1</v>
      </c>
      <c r="F13" s="190">
        <f t="shared" si="1"/>
        <v>0.11499999999999999</v>
      </c>
      <c r="G13" s="190">
        <f t="shared" si="1"/>
        <v>1.8399999999999999</v>
      </c>
      <c r="H13" s="190">
        <f t="shared" si="1"/>
        <v>12.879999999999999</v>
      </c>
    </row>
    <row r="14" spans="1:11" x14ac:dyDescent="0.25">
      <c r="A14" s="190">
        <v>66</v>
      </c>
      <c r="B14" s="190" t="s">
        <v>295</v>
      </c>
      <c r="C14" s="190" t="s">
        <v>280</v>
      </c>
      <c r="D14" s="192">
        <v>0.17499999999999999</v>
      </c>
      <c r="E14" s="68">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7"/>
  <sheetViews>
    <sheetView tabSelected="1" zoomScaleNormal="100" workbookViewId="0">
      <pane xSplit="4" ySplit="3" topLeftCell="G4" activePane="bottomRight" state="frozen"/>
      <selection pane="topRight" activeCell="E1" sqref="E1"/>
      <selection pane="bottomLeft" activeCell="A4" sqref="A4"/>
      <selection pane="bottomRight" activeCell="T4" sqref="T4"/>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1">
        <v>42268</v>
      </c>
      <c r="AO1" t="s">
        <v>185</v>
      </c>
    </row>
    <row r="2" spans="1:45" x14ac:dyDescent="0.25">
      <c r="D2" s="31">
        <f ca="1">TODAY()</f>
        <v>43091</v>
      </c>
      <c r="I2" s="33">
        <f>AVERAGE(I4:I22)</f>
        <v>2.6315789473684212</v>
      </c>
      <c r="J2" s="33"/>
      <c r="N2" s="38">
        <f ca="1">AVERAGE(N4:N22)</f>
        <v>0.51645185846025476</v>
      </c>
      <c r="O2" s="33">
        <f>AVERAGE(O4:O22)</f>
        <v>5.5947368421052639</v>
      </c>
      <c r="Q2" s="33">
        <f>AVERAGE(Q4:Q22)</f>
        <v>5.6842105263157894</v>
      </c>
      <c r="R2" s="117">
        <f>AVERAGE(R4:R22)</f>
        <v>0.89842158229644464</v>
      </c>
      <c r="S2" s="117">
        <f>AVERAGE(S4:S22)</f>
        <v>0.9635488311792143</v>
      </c>
      <c r="T2" s="39">
        <f>SUM(T4:T22)</f>
        <v>473820</v>
      </c>
      <c r="U2" s="39">
        <f>SUM(U4:U22)</f>
        <v>4640</v>
      </c>
      <c r="V2" s="39">
        <f>SUM(V4:V22)</f>
        <v>87162</v>
      </c>
      <c r="W2" s="40">
        <f>T2/V2</f>
        <v>5.4360845322502929</v>
      </c>
      <c r="AD2" s="38">
        <f>AVERAGE(AD19:AD22)</f>
        <v>14.114444444444443</v>
      </c>
      <c r="AE2" s="34">
        <f>AVERAGE(AE19:AE22)</f>
        <v>1634.5</v>
      </c>
      <c r="AF2" s="34"/>
      <c r="AK2" s="33"/>
      <c r="AL2" s="33"/>
      <c r="AM2" s="33"/>
      <c r="AN2" s="33"/>
      <c r="AO2" s="33">
        <f>AVERAGE(AO19:AO23)</f>
        <v>1.6</v>
      </c>
      <c r="AP2" s="33"/>
      <c r="AQ2" s="33">
        <f>AVERAGE(AQ19:AQ23)</f>
        <v>1.4</v>
      </c>
    </row>
    <row r="3" spans="1:45" x14ac:dyDescent="0.25">
      <c r="A3" s="11" t="s">
        <v>1</v>
      </c>
      <c r="B3" s="11" t="s">
        <v>2</v>
      </c>
      <c r="C3" s="12" t="s">
        <v>186</v>
      </c>
      <c r="D3" s="13" t="s">
        <v>172</v>
      </c>
      <c r="E3" s="11" t="s">
        <v>4</v>
      </c>
      <c r="F3" s="11" t="s">
        <v>5</v>
      </c>
      <c r="G3" s="11" t="s">
        <v>6</v>
      </c>
      <c r="H3" s="11" t="s">
        <v>7</v>
      </c>
      <c r="I3" s="11" t="s">
        <v>8</v>
      </c>
      <c r="J3" s="11" t="s">
        <v>175</v>
      </c>
      <c r="K3" s="14" t="s">
        <v>51</v>
      </c>
      <c r="L3" s="14" t="s">
        <v>50</v>
      </c>
      <c r="M3" s="11" t="s">
        <v>182</v>
      </c>
      <c r="N3" s="11" t="s">
        <v>101</v>
      </c>
      <c r="O3" s="11" t="s">
        <v>9</v>
      </c>
      <c r="P3" s="11" t="s">
        <v>10</v>
      </c>
      <c r="Q3" s="11" t="s">
        <v>11</v>
      </c>
      <c r="R3" s="50" t="s">
        <v>99</v>
      </c>
      <c r="S3" s="50" t="s">
        <v>100</v>
      </c>
      <c r="T3" s="11" t="s">
        <v>12</v>
      </c>
      <c r="U3" s="11" t="s">
        <v>194</v>
      </c>
      <c r="V3" s="11" t="s">
        <v>13</v>
      </c>
      <c r="W3" s="11" t="s">
        <v>14</v>
      </c>
      <c r="X3" s="11" t="s">
        <v>15</v>
      </c>
      <c r="Y3" s="11" t="s">
        <v>16</v>
      </c>
      <c r="Z3" s="11" t="s">
        <v>17</v>
      </c>
      <c r="AA3" s="11" t="s">
        <v>18</v>
      </c>
      <c r="AB3" s="11" t="s">
        <v>19</v>
      </c>
      <c r="AC3" s="11" t="s">
        <v>20</v>
      </c>
      <c r="AD3" s="11" t="s">
        <v>6</v>
      </c>
      <c r="AE3" s="11" t="s">
        <v>21</v>
      </c>
      <c r="AF3" s="11" t="s">
        <v>301</v>
      </c>
      <c r="AG3" s="15" t="s">
        <v>26</v>
      </c>
      <c r="AH3" s="15" t="s">
        <v>27</v>
      </c>
      <c r="AI3" s="15" t="s">
        <v>176</v>
      </c>
      <c r="AJ3" s="15" t="s">
        <v>177</v>
      </c>
      <c r="AK3" s="15" t="s">
        <v>22</v>
      </c>
      <c r="AL3" s="15" t="s">
        <v>23</v>
      </c>
      <c r="AM3" s="15" t="s">
        <v>24</v>
      </c>
      <c r="AN3" s="15" t="s">
        <v>25</v>
      </c>
      <c r="AO3" s="11" t="s">
        <v>183</v>
      </c>
      <c r="AP3" s="11" t="s">
        <v>179</v>
      </c>
      <c r="AQ3" s="11" t="s">
        <v>180</v>
      </c>
      <c r="AR3" s="11" t="s">
        <v>181</v>
      </c>
      <c r="AS3" s="35" t="s">
        <v>296</v>
      </c>
    </row>
    <row r="4" spans="1:45" x14ac:dyDescent="0.25">
      <c r="A4" s="16" t="s">
        <v>377</v>
      </c>
      <c r="B4" s="16" t="s">
        <v>378</v>
      </c>
      <c r="C4" s="122">
        <f t="shared" ref="C4:C22" ca="1" si="0">((33*112)-(E4*112)-(F4))/112</f>
        <v>15.535714285714286</v>
      </c>
      <c r="D4" s="29" t="s">
        <v>310</v>
      </c>
      <c r="E4" s="17">
        <v>17</v>
      </c>
      <c r="F4" s="3">
        <f ca="1">8-159+16-570-5+D2-D1-2-12-49+9-11+44-40</f>
        <v>52</v>
      </c>
      <c r="G4" s="19" t="s">
        <v>178</v>
      </c>
      <c r="H4" s="5">
        <v>3</v>
      </c>
      <c r="I4" s="28">
        <v>1</v>
      </c>
      <c r="J4" s="23">
        <f t="shared" ref="J4:J22" si="1">LOG(I4)*4/3</f>
        <v>0</v>
      </c>
      <c r="K4" s="7">
        <f t="shared" ref="K4:K22" si="2">(H4)*(H4)*(I4)</f>
        <v>9</v>
      </c>
      <c r="L4" s="7">
        <f t="shared" ref="L4:L22" si="3">(H4+1)*(H4+1)*I4</f>
        <v>16</v>
      </c>
      <c r="M4" s="131">
        <v>43046</v>
      </c>
      <c r="N4" s="132">
        <f t="shared" ref="N4:N11" ca="1" si="4">IF((TODAY()-M4)&gt;335,1,((TODAY()-M4)^0.64)/(336^0.64))</f>
        <v>0.27618422641528872</v>
      </c>
      <c r="O4" s="20">
        <v>5.2</v>
      </c>
      <c r="P4" s="21">
        <f t="shared" ref="P4:P22" si="5">O4*10+19</f>
        <v>71</v>
      </c>
      <c r="Q4" s="27">
        <v>5</v>
      </c>
      <c r="R4" s="116">
        <f t="shared" ref="R4:R22" si="6">(Q4/7)^0.5</f>
        <v>0.84515425472851657</v>
      </c>
      <c r="S4" s="116">
        <f t="shared" ref="S4:S22" si="7">IF(Q4=7,1,((Q4+0.99)/7)^0.5)</f>
        <v>0.92504826128926143</v>
      </c>
      <c r="T4" s="30">
        <v>520</v>
      </c>
      <c r="U4" s="30">
        <f t="shared" ref="U4:U22" si="8">T4-AS4</f>
        <v>70</v>
      </c>
      <c r="V4" s="30">
        <v>250</v>
      </c>
      <c r="W4" s="9">
        <f t="shared" ref="W4:W22" si="9">T4/V4</f>
        <v>2.08</v>
      </c>
      <c r="X4" s="22">
        <v>0</v>
      </c>
      <c r="Y4" s="23">
        <v>4</v>
      </c>
      <c r="Z4" s="22">
        <v>4</v>
      </c>
      <c r="AA4" s="23">
        <v>3</v>
      </c>
      <c r="AB4" s="22">
        <f>4+0.25+(0.25*0.16*3/90)+0.25*3/90*0.16</f>
        <v>4.2526666666666664</v>
      </c>
      <c r="AC4" s="23">
        <f>3+1/15</f>
        <v>3.0666666666666669</v>
      </c>
      <c r="AD4" s="22">
        <v>0.4</v>
      </c>
      <c r="AE4" s="10">
        <v>360</v>
      </c>
      <c r="AF4" s="10">
        <v>1991</v>
      </c>
      <c r="AG4" s="24">
        <f ca="1">(AD4+1+(LOG(I4)*4/3)+N4)*(Q4/7)^0.5</f>
        <v>1.4166342306637083</v>
      </c>
      <c r="AH4" s="24">
        <f ca="1">(AD4+1+N4+(LOG(I4)*4/3))*(IF(Q4=7, (Q4/7)^0.5, ((Q4+1)/7)^0.5))</f>
        <v>1.5518450477369794</v>
      </c>
      <c r="AI4" s="121">
        <f t="shared" ref="AI4:AI22" ca="1" si="10">(Z4+N4+(LOG(I4)*4/3))*(Q4/7)^0.5</f>
        <v>3.6140352929578516</v>
      </c>
      <c r="AJ4" s="121">
        <f t="shared" ref="AJ4:AJ22" ca="1" si="11">(Z4+N4+(LOG(I4)*4/3))*(IF(Q4=7, (Q4/7)^0.5, ((Q4+1)/7)^0.5))</f>
        <v>3.9589773071456134</v>
      </c>
      <c r="AK4" s="9">
        <f t="shared" ref="AK4:AK22" ca="1" si="12">(((Y4+LOG(I4)*4/3+N4)+(AB4+LOG(I4)*4/3+N4)*2)/8)*(Q4/7)^0.5</f>
        <v>1.4086488119495457</v>
      </c>
      <c r="AL4" s="9">
        <f ca="1">(AD4+LOG(I4)*4/3+N4)*0.7+(AC4+LOG(I4)*4/3+N4)*0.3</f>
        <v>1.4761842264152887</v>
      </c>
      <c r="AM4" s="9">
        <f ca="1">(0.5*(AC4+LOG(I4)*4/3+N4)+ 0.3*(AD4+LOG(I4)*4/3+N4))/10</f>
        <v>0.18742807144655643</v>
      </c>
      <c r="AN4" s="9">
        <f ca="1">(0.4*(Y4+LOG(I4)*4/3+N4)+0.3*(AD4+LOG(I4)*4/3+N4))/10</f>
        <v>0.19133289584907023</v>
      </c>
      <c r="AO4" s="21">
        <v>1</v>
      </c>
      <c r="AP4" s="21">
        <v>1</v>
      </c>
      <c r="AQ4" s="21">
        <v>3</v>
      </c>
      <c r="AR4" s="130">
        <f t="shared" ref="AR4:AR23" si="13">IF(AP4=4,IF(AQ4=0,0.137+0.0697,0.137+0.02),IF(AP4=3,IF(AQ4=0,0.0958+0.0697,0.0958+0.02),IF(AP4=2,IF(AQ4=0,0.0415+0.0697,0.0415+0.02),IF(AP4=1,IF(AQ4=0,0.0294+0.0697,0.0294+0.02),IF(AP4=0,IF(AQ4=0,0.0063+0.0697,0.0063+0.02))))))</f>
        <v>4.9399999999999999E-2</v>
      </c>
      <c r="AS4">
        <v>450</v>
      </c>
    </row>
    <row r="5" spans="1:45" x14ac:dyDescent="0.25">
      <c r="A5" s="16" t="s">
        <v>41</v>
      </c>
      <c r="B5" s="16" t="s">
        <v>195</v>
      </c>
      <c r="C5" s="122">
        <f t="shared" ca="1" si="0"/>
        <v>15.508928571428571</v>
      </c>
      <c r="D5" s="218" t="s">
        <v>312</v>
      </c>
      <c r="E5" s="17">
        <v>17</v>
      </c>
      <c r="F5" s="3">
        <f ca="1">8-159+16-570-5+D2-D1-2-31-25</f>
        <v>55</v>
      </c>
      <c r="G5" s="19" t="s">
        <v>300</v>
      </c>
      <c r="H5" s="41">
        <v>6</v>
      </c>
      <c r="I5" s="28">
        <v>1</v>
      </c>
      <c r="J5" s="23">
        <f t="shared" si="1"/>
        <v>0</v>
      </c>
      <c r="K5" s="7">
        <f t="shared" si="2"/>
        <v>36</v>
      </c>
      <c r="L5" s="7">
        <f t="shared" si="3"/>
        <v>49</v>
      </c>
      <c r="M5" s="131">
        <v>43051</v>
      </c>
      <c r="N5" s="132">
        <f t="shared" ca="1" si="4"/>
        <v>0.25613047618508972</v>
      </c>
      <c r="O5" s="20">
        <v>5.2</v>
      </c>
      <c r="P5" s="21">
        <f t="shared" si="5"/>
        <v>71</v>
      </c>
      <c r="Q5" s="27">
        <v>6</v>
      </c>
      <c r="R5" s="116">
        <f t="shared" si="6"/>
        <v>0.92582009977255142</v>
      </c>
      <c r="S5" s="116">
        <f t="shared" si="7"/>
        <v>0.99928545900129484</v>
      </c>
      <c r="T5" s="30">
        <v>1840</v>
      </c>
      <c r="U5" s="30">
        <f t="shared" si="8"/>
        <v>40</v>
      </c>
      <c r="V5" s="30">
        <v>330</v>
      </c>
      <c r="W5" s="9">
        <f t="shared" si="9"/>
        <v>5.5757575757575761</v>
      </c>
      <c r="X5" s="22">
        <v>0</v>
      </c>
      <c r="Y5" s="23">
        <v>6</v>
      </c>
      <c r="Z5" s="22">
        <v>3</v>
      </c>
      <c r="AA5" s="23">
        <v>3</v>
      </c>
      <c r="AB5" s="22">
        <f>5+0.2+0.2</f>
        <v>5.4</v>
      </c>
      <c r="AC5" s="23">
        <f>2.67+1/3</f>
        <v>3.0033333333333334</v>
      </c>
      <c r="AD5" s="22">
        <v>3</v>
      </c>
      <c r="AE5" s="10">
        <v>447</v>
      </c>
      <c r="AF5" s="10">
        <v>2010</v>
      </c>
      <c r="AG5" s="24">
        <f t="shared" ref="AG5:AG10" ca="1" si="14">(AD5+1+(LOG(I5)*4/3)+N5)*(Q5/7)^0.5</f>
        <v>3.9404111421066763</v>
      </c>
      <c r="AH5" s="24">
        <f t="shared" ref="AH5:AH10" ca="1" si="15">(AD5+1+N5+(LOG(I5)*4/3))*(IF(Q5=7, (Q5/7)^0.5, ((Q5+1)/7)^0.5))</f>
        <v>4.2561304761850893</v>
      </c>
      <c r="AI5" s="121">
        <f t="shared" ca="1" si="10"/>
        <v>3.0145910423341253</v>
      </c>
      <c r="AJ5" s="121">
        <f t="shared" ca="1" si="11"/>
        <v>3.2561304761850898</v>
      </c>
      <c r="AK5" s="9">
        <f t="shared" ca="1" si="12"/>
        <v>2.0331462381535346</v>
      </c>
      <c r="AL5" s="9">
        <f t="shared" ref="AL5:AL10" ca="1" si="16">(AD5+LOG(I5)*4/3+N5)*0.7+(AC5+LOG(I5)*4/3+N5)*0.3</f>
        <v>3.2571304761850897</v>
      </c>
      <c r="AM5" s="9">
        <f t="shared" ref="AM5:AM10" ca="1" si="17">(0.5*(AC5+LOG(I5)*4/3+N5)+ 0.3*(AD5+LOG(I5)*4/3+N5))/10</f>
        <v>0.26065710476147386</v>
      </c>
      <c r="AN5" s="9">
        <f t="shared" ref="AN5:AN10" ca="1" si="18">(0.4*(Y5+LOG(I5)*4/3+N5)+0.3*(AD5+LOG(I5)*4/3+N5))/10</f>
        <v>0.34792913333295628</v>
      </c>
      <c r="AO5" s="21">
        <v>2</v>
      </c>
      <c r="AP5" s="21">
        <v>2</v>
      </c>
      <c r="AQ5" s="21">
        <v>1</v>
      </c>
      <c r="AR5" s="130">
        <f t="shared" si="13"/>
        <v>6.1499999999999999E-2</v>
      </c>
      <c r="AS5">
        <v>1800</v>
      </c>
    </row>
    <row r="6" spans="1:45" x14ac:dyDescent="0.25">
      <c r="A6" s="16" t="s">
        <v>38</v>
      </c>
      <c r="B6" s="16" t="s">
        <v>195</v>
      </c>
      <c r="C6" s="122">
        <f t="shared" ca="1" si="0"/>
        <v>15.419642857142858</v>
      </c>
      <c r="D6" s="218" t="s">
        <v>390</v>
      </c>
      <c r="E6" s="17">
        <v>17</v>
      </c>
      <c r="F6" s="3">
        <f ca="1">8-159+16-570-5+D2-D1-2-31-15</f>
        <v>65</v>
      </c>
      <c r="G6" s="19" t="s">
        <v>71</v>
      </c>
      <c r="H6" s="5">
        <v>0</v>
      </c>
      <c r="I6" s="28">
        <v>1.2</v>
      </c>
      <c r="J6" s="23">
        <f t="shared" si="1"/>
        <v>0.10557499473016642</v>
      </c>
      <c r="K6" s="7">
        <f t="shared" si="2"/>
        <v>0</v>
      </c>
      <c r="L6" s="7">
        <f t="shared" si="3"/>
        <v>1.2</v>
      </c>
      <c r="M6" s="131">
        <v>43081</v>
      </c>
      <c r="N6" s="132">
        <f t="shared" ca="1" si="4"/>
        <v>0.10547337971725297</v>
      </c>
      <c r="O6" s="20">
        <v>3.7</v>
      </c>
      <c r="P6" s="21">
        <f t="shared" si="5"/>
        <v>56</v>
      </c>
      <c r="Q6" s="27">
        <v>5</v>
      </c>
      <c r="R6" s="116">
        <f t="shared" si="6"/>
        <v>0.84515425472851657</v>
      </c>
      <c r="S6" s="116">
        <f t="shared" si="7"/>
        <v>0.92504826128926143</v>
      </c>
      <c r="T6" s="30">
        <v>4300</v>
      </c>
      <c r="U6" s="30">
        <f t="shared" si="8"/>
        <v>420</v>
      </c>
      <c r="V6" s="30">
        <v>370</v>
      </c>
      <c r="W6" s="9">
        <f t="shared" si="9"/>
        <v>11.621621621621621</v>
      </c>
      <c r="X6" s="22">
        <v>0</v>
      </c>
      <c r="Y6" s="23">
        <v>6</v>
      </c>
      <c r="Z6" s="22">
        <v>5</v>
      </c>
      <c r="AA6" s="23">
        <v>6</v>
      </c>
      <c r="AB6" s="22">
        <f>5.8+0.2</f>
        <v>6</v>
      </c>
      <c r="AC6" s="23">
        <f>4+1/3</f>
        <v>4.333333333333333</v>
      </c>
      <c r="AD6" s="22">
        <v>0</v>
      </c>
      <c r="AE6" s="10">
        <v>622</v>
      </c>
      <c r="AF6" s="10">
        <v>2181</v>
      </c>
      <c r="AG6" s="24">
        <f t="shared" ca="1" si="14"/>
        <v>1.0235226863462903</v>
      </c>
      <c r="AH6" s="24">
        <f t="shared" ca="1" si="15"/>
        <v>1.1212129268602962</v>
      </c>
      <c r="AI6" s="121">
        <f t="shared" ca="1" si="10"/>
        <v>4.4041397052603566</v>
      </c>
      <c r="AJ6" s="121">
        <f t="shared" ca="1" si="11"/>
        <v>4.8244933259505016</v>
      </c>
      <c r="AK6" s="9">
        <f t="shared" ca="1" si="12"/>
        <v>1.9684852349958275</v>
      </c>
      <c r="AL6" s="9">
        <f t="shared" ca="1" si="16"/>
        <v>1.5110483744474195</v>
      </c>
      <c r="AM6" s="9">
        <f t="shared" ca="1" si="17"/>
        <v>0.23355053662246023</v>
      </c>
      <c r="AN6" s="9">
        <f t="shared" ca="1" si="18"/>
        <v>0.2547733862113194</v>
      </c>
      <c r="AO6" s="21">
        <v>1</v>
      </c>
      <c r="AP6" s="21">
        <v>2</v>
      </c>
      <c r="AQ6" s="21">
        <v>2</v>
      </c>
      <c r="AR6" s="130">
        <f t="shared" si="13"/>
        <v>6.1499999999999999E-2</v>
      </c>
      <c r="AS6" s="215">
        <v>3880</v>
      </c>
    </row>
    <row r="7" spans="1:45" x14ac:dyDescent="0.25">
      <c r="A7" s="16" t="s">
        <v>372</v>
      </c>
      <c r="B7" s="25" t="s">
        <v>195</v>
      </c>
      <c r="C7" s="122">
        <f t="shared" ca="1" si="0"/>
        <v>15.116071428571429</v>
      </c>
      <c r="D7" s="1" t="s">
        <v>305</v>
      </c>
      <c r="E7" s="2">
        <v>17</v>
      </c>
      <c r="F7" s="3">
        <f ca="1">8-159+16-570-5+D2-D1-2-12</f>
        <v>99</v>
      </c>
      <c r="G7" s="4" t="s">
        <v>71</v>
      </c>
      <c r="H7" s="5">
        <v>2</v>
      </c>
      <c r="I7" s="6">
        <v>0.5</v>
      </c>
      <c r="J7" s="23">
        <f t="shared" si="1"/>
        <v>-0.40137332755197491</v>
      </c>
      <c r="K7" s="7">
        <f t="shared" si="2"/>
        <v>2</v>
      </c>
      <c r="L7" s="7">
        <f t="shared" si="3"/>
        <v>4.5</v>
      </c>
      <c r="M7" s="131">
        <v>43046</v>
      </c>
      <c r="N7" s="132">
        <f t="shared" ca="1" si="4"/>
        <v>0.27618422641528872</v>
      </c>
      <c r="O7" s="26">
        <v>6</v>
      </c>
      <c r="P7" s="21">
        <f t="shared" si="5"/>
        <v>79</v>
      </c>
      <c r="Q7" s="27">
        <v>5</v>
      </c>
      <c r="R7" s="116">
        <f t="shared" si="6"/>
        <v>0.84515425472851657</v>
      </c>
      <c r="S7" s="116">
        <f t="shared" si="7"/>
        <v>0.92504826128926143</v>
      </c>
      <c r="T7" s="30">
        <v>1970</v>
      </c>
      <c r="U7" s="30">
        <f t="shared" si="8"/>
        <v>-40</v>
      </c>
      <c r="V7" s="8">
        <v>450</v>
      </c>
      <c r="W7" s="9">
        <f t="shared" si="9"/>
        <v>4.3777777777777782</v>
      </c>
      <c r="X7" s="22">
        <v>0</v>
      </c>
      <c r="Y7" s="23">
        <v>6</v>
      </c>
      <c r="Z7" s="22">
        <v>4</v>
      </c>
      <c r="AA7" s="23">
        <v>4</v>
      </c>
      <c r="AB7" s="22">
        <f>2.67+0.33+0.33*0.16+0.25</f>
        <v>3.3028</v>
      </c>
      <c r="AC7" s="23">
        <f>3+1/3</f>
        <v>3.3333333333333335</v>
      </c>
      <c r="AD7" s="22">
        <v>6</v>
      </c>
      <c r="AE7" s="10">
        <v>459</v>
      </c>
      <c r="AF7" s="10">
        <v>1975</v>
      </c>
      <c r="AG7" s="24">
        <f t="shared" ca="1" si="14"/>
        <v>5.8102756816283065</v>
      </c>
      <c r="AH7" s="24">
        <f t="shared" ca="1" si="15"/>
        <v>6.3648381123030573</v>
      </c>
      <c r="AI7" s="121">
        <f t="shared" ca="1" si="10"/>
        <v>3.2748129174427576</v>
      </c>
      <c r="AJ7" s="121">
        <f t="shared" ca="1" si="11"/>
        <v>3.587377812985403</v>
      </c>
      <c r="AK7" s="9">
        <f t="shared" ca="1" si="12"/>
        <v>1.2920330211239828</v>
      </c>
      <c r="AL7" s="9">
        <f t="shared" ca="1" si="16"/>
        <v>5.0748108988633138</v>
      </c>
      <c r="AM7" s="9">
        <f t="shared" ca="1" si="17"/>
        <v>0.33665153857573177</v>
      </c>
      <c r="AN7" s="9">
        <f t="shared" ca="1" si="18"/>
        <v>0.41123676292043199</v>
      </c>
      <c r="AO7" s="21">
        <v>2</v>
      </c>
      <c r="AP7" s="21">
        <v>0</v>
      </c>
      <c r="AQ7" s="21">
        <v>3</v>
      </c>
      <c r="AR7" s="130">
        <f t="shared" si="13"/>
        <v>2.63E-2</v>
      </c>
      <c r="AS7">
        <v>2010</v>
      </c>
    </row>
    <row r="8" spans="1:45" x14ac:dyDescent="0.25">
      <c r="A8" s="16" t="s">
        <v>313</v>
      </c>
      <c r="B8" s="16" t="s">
        <v>195</v>
      </c>
      <c r="C8" s="122">
        <f t="shared" ca="1" si="0"/>
        <v>15.544642857142858</v>
      </c>
      <c r="D8" s="1" t="s">
        <v>303</v>
      </c>
      <c r="E8" s="2">
        <v>17</v>
      </c>
      <c r="F8" s="3">
        <f ca="1">8-159+16-570-5+D2-D1-2-60</f>
        <v>51</v>
      </c>
      <c r="G8" s="4" t="s">
        <v>300</v>
      </c>
      <c r="H8" s="5">
        <v>3</v>
      </c>
      <c r="I8" s="6">
        <v>1</v>
      </c>
      <c r="J8" s="23">
        <f t="shared" si="1"/>
        <v>0</v>
      </c>
      <c r="K8" s="7">
        <f t="shared" si="2"/>
        <v>9</v>
      </c>
      <c r="L8" s="7">
        <f t="shared" si="3"/>
        <v>16</v>
      </c>
      <c r="M8" s="131">
        <v>43045</v>
      </c>
      <c r="N8" s="132">
        <f t="shared" ca="1" si="4"/>
        <v>0.28009662428109161</v>
      </c>
      <c r="O8" s="26">
        <v>6</v>
      </c>
      <c r="P8" s="21">
        <f t="shared" si="5"/>
        <v>79</v>
      </c>
      <c r="Q8" s="27">
        <v>7</v>
      </c>
      <c r="R8" s="116">
        <f t="shared" si="6"/>
        <v>1</v>
      </c>
      <c r="S8" s="116">
        <f t="shared" si="7"/>
        <v>1</v>
      </c>
      <c r="T8" s="30">
        <v>1130</v>
      </c>
      <c r="U8" s="30">
        <f t="shared" si="8"/>
        <v>10</v>
      </c>
      <c r="V8" s="8">
        <v>330</v>
      </c>
      <c r="W8" s="9">
        <f t="shared" si="9"/>
        <v>3.4242424242424243</v>
      </c>
      <c r="X8" s="22">
        <v>0</v>
      </c>
      <c r="Y8" s="23">
        <v>5</v>
      </c>
      <c r="Z8" s="22">
        <v>3</v>
      </c>
      <c r="AA8" s="23">
        <v>4</v>
      </c>
      <c r="AB8" s="22">
        <f>2+(0.33*0.16)+0.33+(0.33*0.16)</f>
        <v>2.4356</v>
      </c>
      <c r="AC8" s="23">
        <f>3+1/15</f>
        <v>3.0666666666666669</v>
      </c>
      <c r="AD8" s="22">
        <v>3</v>
      </c>
      <c r="AE8" s="10">
        <v>352</v>
      </c>
      <c r="AF8" s="10">
        <v>1936</v>
      </c>
      <c r="AG8" s="24">
        <f t="shared" ca="1" si="14"/>
        <v>4.2800966242810912</v>
      </c>
      <c r="AH8" s="24">
        <f t="shared" ca="1" si="15"/>
        <v>4.2800966242810912</v>
      </c>
      <c r="AI8" s="121">
        <f t="shared" ca="1" si="10"/>
        <v>3.2800966242810916</v>
      </c>
      <c r="AJ8" s="121">
        <f t="shared" ca="1" si="11"/>
        <v>3.2800966242810916</v>
      </c>
      <c r="AK8" s="9">
        <f t="shared" ca="1" si="12"/>
        <v>1.3389362341054092</v>
      </c>
      <c r="AL8" s="9">
        <f t="shared" ca="1" si="16"/>
        <v>3.3000966242810916</v>
      </c>
      <c r="AM8" s="9">
        <f t="shared" ca="1" si="17"/>
        <v>0.2657410632758207</v>
      </c>
      <c r="AN8" s="9">
        <f t="shared" ca="1" si="18"/>
        <v>0.30960676369967638</v>
      </c>
      <c r="AO8" s="21">
        <v>3</v>
      </c>
      <c r="AP8" s="21">
        <v>1</v>
      </c>
      <c r="AQ8" s="21">
        <v>2</v>
      </c>
      <c r="AR8" s="130">
        <f t="shared" si="13"/>
        <v>4.9399999999999999E-2</v>
      </c>
      <c r="AS8">
        <v>1120</v>
      </c>
    </row>
    <row r="9" spans="1:45" x14ac:dyDescent="0.25">
      <c r="A9" s="16" t="s">
        <v>297</v>
      </c>
      <c r="B9" s="16" t="s">
        <v>96</v>
      </c>
      <c r="C9" s="122">
        <f t="shared" ca="1" si="0"/>
        <v>15.178571428571429</v>
      </c>
      <c r="D9" s="29" t="s">
        <v>299</v>
      </c>
      <c r="E9" s="17">
        <v>17</v>
      </c>
      <c r="F9" s="18">
        <f ca="1">8-159+16-570-5+D2-D1-2-19</f>
        <v>92</v>
      </c>
      <c r="G9" s="19" t="s">
        <v>300</v>
      </c>
      <c r="H9" s="5">
        <v>3</v>
      </c>
      <c r="I9" s="28">
        <v>0.5</v>
      </c>
      <c r="J9" s="23">
        <f t="shared" si="1"/>
        <v>-0.40137332755197491</v>
      </c>
      <c r="K9" s="7">
        <f t="shared" si="2"/>
        <v>4.5</v>
      </c>
      <c r="L9" s="7">
        <f t="shared" si="3"/>
        <v>8</v>
      </c>
      <c r="M9" s="131">
        <v>43045</v>
      </c>
      <c r="N9" s="132">
        <f t="shared" ca="1" si="4"/>
        <v>0.28009662428109161</v>
      </c>
      <c r="O9" s="20">
        <v>6</v>
      </c>
      <c r="P9" s="21">
        <f t="shared" si="5"/>
        <v>79</v>
      </c>
      <c r="Q9" s="21">
        <v>6</v>
      </c>
      <c r="R9" s="116">
        <f t="shared" si="6"/>
        <v>0.92582009977255142</v>
      </c>
      <c r="S9" s="116">
        <f t="shared" si="7"/>
        <v>0.99928545900129484</v>
      </c>
      <c r="T9" s="30">
        <v>1490</v>
      </c>
      <c r="U9" s="30">
        <f t="shared" si="8"/>
        <v>70</v>
      </c>
      <c r="V9" s="30">
        <v>370</v>
      </c>
      <c r="W9" s="9">
        <f t="shared" si="9"/>
        <v>4.0270270270270272</v>
      </c>
      <c r="X9" s="22">
        <v>0</v>
      </c>
      <c r="Y9" s="23">
        <v>3</v>
      </c>
      <c r="Z9" s="22">
        <v>6</v>
      </c>
      <c r="AA9" s="23">
        <v>3</v>
      </c>
      <c r="AB9" s="22">
        <f>3.25+0.25+0.25+0.25</f>
        <v>4</v>
      </c>
      <c r="AC9" s="23">
        <f>4+1/3</f>
        <v>4.333333333333333</v>
      </c>
      <c r="AD9" s="22">
        <v>3</v>
      </c>
      <c r="AE9" s="10">
        <v>430</v>
      </c>
      <c r="AF9" s="10">
        <v>1950</v>
      </c>
      <c r="AG9" s="24">
        <f t="shared" ca="1" si="14"/>
        <v>3.5909999895678704</v>
      </c>
      <c r="AH9" s="24">
        <f t="shared" ca="1" si="15"/>
        <v>3.8787232967291163</v>
      </c>
      <c r="AI9" s="121">
        <f t="shared" ca="1" si="10"/>
        <v>5.4426401891129723</v>
      </c>
      <c r="AJ9" s="121">
        <f t="shared" ca="1" si="11"/>
        <v>5.8787232967291159</v>
      </c>
      <c r="AK9" s="9">
        <f t="shared" ca="1" si="12"/>
        <v>1.2308974836163824</v>
      </c>
      <c r="AL9" s="9">
        <f t="shared" ca="1" si="16"/>
        <v>3.2787232967291162</v>
      </c>
      <c r="AM9" s="9">
        <f t="shared" ca="1" si="17"/>
        <v>0.29696453040499599</v>
      </c>
      <c r="AN9" s="9">
        <f t="shared" ca="1" si="18"/>
        <v>0.2015106307710382</v>
      </c>
      <c r="AO9" s="21">
        <v>2</v>
      </c>
      <c r="AP9" s="21">
        <v>3</v>
      </c>
      <c r="AQ9" s="21">
        <v>2</v>
      </c>
      <c r="AR9" s="130">
        <f t="shared" si="13"/>
        <v>0.1158</v>
      </c>
      <c r="AS9">
        <v>1420</v>
      </c>
    </row>
    <row r="10" spans="1:45" x14ac:dyDescent="0.25">
      <c r="A10" s="16" t="s">
        <v>375</v>
      </c>
      <c r="B10" s="25" t="s">
        <v>96</v>
      </c>
      <c r="C10" s="122">
        <f t="shared" ca="1" si="0"/>
        <v>15.285714285714286</v>
      </c>
      <c r="D10" s="1" t="s">
        <v>304</v>
      </c>
      <c r="E10" s="2">
        <v>17</v>
      </c>
      <c r="F10" s="3">
        <f ca="1">8-159+16-570-5+D2-D1-2-31</f>
        <v>80</v>
      </c>
      <c r="G10" s="4" t="s">
        <v>0</v>
      </c>
      <c r="H10" s="5">
        <v>4</v>
      </c>
      <c r="I10" s="6">
        <v>0.5</v>
      </c>
      <c r="J10" s="23">
        <f t="shared" si="1"/>
        <v>-0.40137332755197491</v>
      </c>
      <c r="K10" s="7">
        <f t="shared" si="2"/>
        <v>8</v>
      </c>
      <c r="L10" s="7">
        <f t="shared" si="3"/>
        <v>12.5</v>
      </c>
      <c r="M10" s="131">
        <v>43046</v>
      </c>
      <c r="N10" s="132">
        <f t="shared" ca="1" si="4"/>
        <v>0.27618422641528872</v>
      </c>
      <c r="O10" s="26">
        <v>6</v>
      </c>
      <c r="P10" s="21">
        <f t="shared" si="5"/>
        <v>79</v>
      </c>
      <c r="Q10" s="27">
        <v>6</v>
      </c>
      <c r="R10" s="116">
        <f t="shared" si="6"/>
        <v>0.92582009977255142</v>
      </c>
      <c r="S10" s="116">
        <f t="shared" si="7"/>
        <v>0.99928545900129484</v>
      </c>
      <c r="T10" s="30">
        <v>1120</v>
      </c>
      <c r="U10" s="30">
        <f t="shared" si="8"/>
        <v>10</v>
      </c>
      <c r="V10" s="8">
        <v>330</v>
      </c>
      <c r="W10" s="9">
        <f t="shared" si="9"/>
        <v>3.393939393939394</v>
      </c>
      <c r="X10" s="22">
        <v>0</v>
      </c>
      <c r="Y10" s="23">
        <v>2</v>
      </c>
      <c r="Z10" s="22">
        <v>5</v>
      </c>
      <c r="AA10" s="23">
        <v>3</v>
      </c>
      <c r="AB10" s="22">
        <f>2+(0.33*0.16)+(0.33*0.16)+(0.33*0.16)</f>
        <v>2.1583999999999999</v>
      </c>
      <c r="AC10" s="23">
        <f>5+1/20</f>
        <v>5.05</v>
      </c>
      <c r="AD10" s="22">
        <v>5</v>
      </c>
      <c r="AE10" s="10">
        <v>367</v>
      </c>
      <c r="AF10" s="10">
        <v>1910</v>
      </c>
      <c r="AG10" s="24">
        <f t="shared" ca="1" si="14"/>
        <v>5.4390180125305054</v>
      </c>
      <c r="AH10" s="24">
        <f t="shared" ca="1" si="15"/>
        <v>5.8748108988633136</v>
      </c>
      <c r="AI10" s="121">
        <f t="shared" ca="1" si="10"/>
        <v>4.5131979127579545</v>
      </c>
      <c r="AJ10" s="121">
        <f t="shared" ca="1" si="11"/>
        <v>4.8748108988633136</v>
      </c>
      <c r="AK10" s="9">
        <f t="shared" ca="1" si="12"/>
        <v>0.68756408099110555</v>
      </c>
      <c r="AL10" s="9">
        <f t="shared" ca="1" si="16"/>
        <v>4.8898108988633133</v>
      </c>
      <c r="AM10" s="9">
        <f t="shared" ca="1" si="17"/>
        <v>0.39248487190906511</v>
      </c>
      <c r="AN10" s="9">
        <f t="shared" ca="1" si="18"/>
        <v>0.22123676292043193</v>
      </c>
      <c r="AO10" s="21">
        <v>4</v>
      </c>
      <c r="AP10" s="21">
        <v>2</v>
      </c>
      <c r="AQ10" s="21">
        <v>2</v>
      </c>
      <c r="AR10" s="130">
        <f t="shared" si="13"/>
        <v>6.1499999999999999E-2</v>
      </c>
      <c r="AS10">
        <v>1110</v>
      </c>
    </row>
    <row r="11" spans="1:45" x14ac:dyDescent="0.25">
      <c r="A11" s="16" t="s">
        <v>379</v>
      </c>
      <c r="B11" s="16" t="s">
        <v>96</v>
      </c>
      <c r="C11" s="122">
        <f t="shared" ca="1" si="0"/>
        <v>15.553571428571429</v>
      </c>
      <c r="D11" s="29" t="s">
        <v>306</v>
      </c>
      <c r="E11" s="17">
        <v>17</v>
      </c>
      <c r="F11" s="3">
        <f ca="1">8-159+16-570-5+D2-D1-2-12-49</f>
        <v>50</v>
      </c>
      <c r="G11" s="19" t="s">
        <v>178</v>
      </c>
      <c r="H11" s="5">
        <v>3</v>
      </c>
      <c r="I11" s="28">
        <v>0.5</v>
      </c>
      <c r="J11" s="23">
        <f t="shared" si="1"/>
        <v>-0.40137332755197491</v>
      </c>
      <c r="K11" s="7">
        <f t="shared" si="2"/>
        <v>4.5</v>
      </c>
      <c r="L11" s="7">
        <f t="shared" si="3"/>
        <v>8</v>
      </c>
      <c r="M11" s="131">
        <v>43046</v>
      </c>
      <c r="N11" s="132">
        <f t="shared" ca="1" si="4"/>
        <v>0.27618422641528872</v>
      </c>
      <c r="O11" s="20">
        <v>5</v>
      </c>
      <c r="P11" s="21">
        <f t="shared" si="5"/>
        <v>69</v>
      </c>
      <c r="Q11" s="27">
        <v>6</v>
      </c>
      <c r="R11" s="116">
        <f t="shared" si="6"/>
        <v>0.92582009977255142</v>
      </c>
      <c r="S11" s="116">
        <f t="shared" si="7"/>
        <v>0.99928545900129484</v>
      </c>
      <c r="T11" s="30">
        <v>660</v>
      </c>
      <c r="U11" s="30">
        <f t="shared" si="8"/>
        <v>30</v>
      </c>
      <c r="V11" s="30">
        <v>270</v>
      </c>
      <c r="W11" s="9">
        <f t="shared" si="9"/>
        <v>2.4444444444444446</v>
      </c>
      <c r="X11" s="22">
        <v>0</v>
      </c>
      <c r="Y11" s="23">
        <v>3</v>
      </c>
      <c r="Z11" s="22">
        <v>4</v>
      </c>
      <c r="AA11" s="23">
        <v>4</v>
      </c>
      <c r="AB11" s="22">
        <f>3+(0.25*0.16*31/90)+(0.25*0.16*3/90)</f>
        <v>3.0151111111111111</v>
      </c>
      <c r="AC11" s="23">
        <f>4+1/17</f>
        <v>4.0588235294117645</v>
      </c>
      <c r="AD11" s="22">
        <v>1.3</v>
      </c>
      <c r="AE11" s="10">
        <v>352</v>
      </c>
      <c r="AF11" s="10">
        <v>1986</v>
      </c>
      <c r="AG11" s="24">
        <f t="shared" ref="AG11:AG22" ca="1" si="19">(AD11+1+(LOG(I11)*4/3)+N11)*(Q11/7)^0.5</f>
        <v>2.0134836433720653</v>
      </c>
      <c r="AH11" s="24">
        <f t="shared" ref="AH11:AH22" ca="1" si="20">(AD11+1+N11+(LOG(I11)*4/3))*(IF(Q11=7, (Q11/7)^0.5, ((Q11+1)/7)^0.5))</f>
        <v>2.1748108988633139</v>
      </c>
      <c r="AI11" s="121">
        <f t="shared" ca="1" si="10"/>
        <v>3.587377812985403</v>
      </c>
      <c r="AJ11" s="121">
        <f t="shared" ca="1" si="11"/>
        <v>3.8748108988633141</v>
      </c>
      <c r="AK11" s="9">
        <f t="shared" ca="1" si="12"/>
        <v>1.0015816850539601</v>
      </c>
      <c r="AL11" s="9">
        <f t="shared" ref="AL11:AL22" ca="1" si="21">(AD11+LOG(I11)*4/3+N11)*0.7+(AC11+LOG(I11)*4/3+N11)*0.3</f>
        <v>2.0024579576868433</v>
      </c>
      <c r="AM11" s="9">
        <f t="shared" ref="AM11:AM22" ca="1" si="22">(0.5*(AC11+LOG(I11)*4/3+N11)+ 0.3*(AD11+LOG(I11)*4/3+N11))/10</f>
        <v>0.23192604837965333</v>
      </c>
      <c r="AN11" s="9">
        <f t="shared" ref="AN11:AN22" ca="1" si="23">(0.4*(Y11+LOG(I11)*4/3+N11)+0.3*(AD11+LOG(I11)*4/3+N11))/10</f>
        <v>0.15023676292043195</v>
      </c>
      <c r="AO11" s="21">
        <v>1</v>
      </c>
      <c r="AP11" s="21">
        <v>3</v>
      </c>
      <c r="AQ11" s="21">
        <v>1</v>
      </c>
      <c r="AR11" s="130">
        <f t="shared" si="13"/>
        <v>0.1158</v>
      </c>
      <c r="AS11">
        <v>630</v>
      </c>
    </row>
    <row r="12" spans="1:45" x14ac:dyDescent="0.25">
      <c r="A12" s="16" t="s">
        <v>31</v>
      </c>
      <c r="B12" s="16" t="s">
        <v>72</v>
      </c>
      <c r="C12" s="122">
        <f t="shared" ca="1" si="0"/>
        <v>15.544642857142858</v>
      </c>
      <c r="D12" s="218" t="s">
        <v>298</v>
      </c>
      <c r="E12" s="17">
        <v>17</v>
      </c>
      <c r="F12" s="18">
        <f ca="1">8-159+16-570-5+D2-D1-62</f>
        <v>51</v>
      </c>
      <c r="G12" s="19" t="s">
        <v>45</v>
      </c>
      <c r="H12" s="5">
        <v>1</v>
      </c>
      <c r="I12" s="28">
        <v>1</v>
      </c>
      <c r="J12" s="23">
        <f t="shared" si="1"/>
        <v>0</v>
      </c>
      <c r="K12" s="7">
        <f t="shared" si="2"/>
        <v>1</v>
      </c>
      <c r="L12" s="7">
        <f t="shared" si="3"/>
        <v>4</v>
      </c>
      <c r="M12" s="131">
        <v>43046</v>
      </c>
      <c r="N12" s="132">
        <v>1.5</v>
      </c>
      <c r="O12" s="20">
        <v>6</v>
      </c>
      <c r="P12" s="21">
        <f t="shared" si="5"/>
        <v>79</v>
      </c>
      <c r="Q12" s="21">
        <v>6</v>
      </c>
      <c r="R12" s="116">
        <f t="shared" si="6"/>
        <v>0.92582009977255142</v>
      </c>
      <c r="S12" s="116">
        <f t="shared" si="7"/>
        <v>0.99928545900129484</v>
      </c>
      <c r="T12" s="30">
        <v>2400</v>
      </c>
      <c r="U12" s="30">
        <f t="shared" si="8"/>
        <v>140</v>
      </c>
      <c r="V12" s="30">
        <v>350</v>
      </c>
      <c r="W12" s="9">
        <f t="shared" si="9"/>
        <v>6.8571428571428568</v>
      </c>
      <c r="X12" s="22">
        <v>0</v>
      </c>
      <c r="Y12" s="23">
        <v>2</v>
      </c>
      <c r="Z12" s="22">
        <v>5.7</v>
      </c>
      <c r="AA12" s="23">
        <v>5.5</v>
      </c>
      <c r="AB12" s="22">
        <f>4.75+0.25+0.25+0.25</f>
        <v>5.5</v>
      </c>
      <c r="AC12" s="23">
        <f>3+1/3</f>
        <v>3.3333333333333335</v>
      </c>
      <c r="AD12" s="22">
        <v>5</v>
      </c>
      <c r="AE12" s="10">
        <v>520</v>
      </c>
      <c r="AF12" s="10">
        <v>2004</v>
      </c>
      <c r="AG12" s="24">
        <f t="shared" si="19"/>
        <v>6.9436507482941359</v>
      </c>
      <c r="AH12" s="24">
        <f t="shared" si="20"/>
        <v>7.5</v>
      </c>
      <c r="AI12" s="121">
        <f t="shared" si="10"/>
        <v>6.6659047183623708</v>
      </c>
      <c r="AJ12" s="121">
        <f t="shared" si="11"/>
        <v>7.2</v>
      </c>
      <c r="AK12" s="9">
        <f t="shared" si="12"/>
        <v>2.0252314682524561</v>
      </c>
      <c r="AL12" s="9">
        <f t="shared" si="21"/>
        <v>6</v>
      </c>
      <c r="AM12" s="9">
        <f t="shared" si="22"/>
        <v>0.4366666666666667</v>
      </c>
      <c r="AN12" s="9">
        <f t="shared" si="23"/>
        <v>0.33500000000000002</v>
      </c>
      <c r="AO12" s="21">
        <v>4</v>
      </c>
      <c r="AP12" s="21">
        <v>3</v>
      </c>
      <c r="AQ12" s="21">
        <v>2</v>
      </c>
      <c r="AR12" s="130">
        <f t="shared" si="13"/>
        <v>0.1158</v>
      </c>
      <c r="AS12">
        <v>2260</v>
      </c>
    </row>
    <row r="13" spans="1:45" x14ac:dyDescent="0.25">
      <c r="A13" s="16" t="s">
        <v>36</v>
      </c>
      <c r="B13" s="16" t="s">
        <v>72</v>
      </c>
      <c r="C13" s="122">
        <f t="shared" ca="1" si="0"/>
        <v>15.544642857142858</v>
      </c>
      <c r="D13" s="218" t="s">
        <v>392</v>
      </c>
      <c r="E13" s="17">
        <v>17</v>
      </c>
      <c r="F13" s="3">
        <f ca="1">8-159+16-570-5+D2-D1-2-31-25-4</f>
        <v>51</v>
      </c>
      <c r="G13" s="19" t="s">
        <v>300</v>
      </c>
      <c r="H13" s="41">
        <v>6</v>
      </c>
      <c r="I13" s="28">
        <v>0.5</v>
      </c>
      <c r="J13" s="23">
        <f t="shared" si="1"/>
        <v>-0.40137332755197491</v>
      </c>
      <c r="K13" s="7">
        <f t="shared" si="2"/>
        <v>18</v>
      </c>
      <c r="L13" s="7">
        <f t="shared" si="3"/>
        <v>24.5</v>
      </c>
      <c r="M13" s="131">
        <v>43054</v>
      </c>
      <c r="N13" s="132">
        <f t="shared" ref="N13:N22" ca="1" si="24">IF((TODAY()-M13)&gt;335,1,((TODAY()-M13)^0.64)/(336^0.64))</f>
        <v>0.24366433469433585</v>
      </c>
      <c r="O13" s="20">
        <v>5.0999999999999996</v>
      </c>
      <c r="P13" s="21">
        <f t="shared" si="5"/>
        <v>70</v>
      </c>
      <c r="Q13" s="27">
        <v>6</v>
      </c>
      <c r="R13" s="116">
        <f t="shared" si="6"/>
        <v>0.92582009977255142</v>
      </c>
      <c r="S13" s="116">
        <f t="shared" si="7"/>
        <v>0.99928545900129484</v>
      </c>
      <c r="T13" s="30">
        <v>1200</v>
      </c>
      <c r="U13" s="30">
        <f t="shared" si="8"/>
        <v>130</v>
      </c>
      <c r="V13" s="30">
        <v>290</v>
      </c>
      <c r="W13" s="9">
        <f t="shared" si="9"/>
        <v>4.1379310344827589</v>
      </c>
      <c r="X13" s="22">
        <v>0</v>
      </c>
      <c r="Y13" s="23">
        <v>3</v>
      </c>
      <c r="Z13" s="22">
        <v>5</v>
      </c>
      <c r="AA13" s="23">
        <v>4</v>
      </c>
      <c r="AB13" s="22">
        <f>4+0.25</f>
        <v>4.25</v>
      </c>
      <c r="AC13" s="23">
        <f>3.67+1/3</f>
        <v>4.003333333333333</v>
      </c>
      <c r="AD13" s="22">
        <v>3</v>
      </c>
      <c r="AE13" s="10">
        <v>413</v>
      </c>
      <c r="AF13" s="10">
        <v>1982</v>
      </c>
      <c r="AG13" s="24">
        <f t="shared" ca="1" si="19"/>
        <v>3.5572702435877175</v>
      </c>
      <c r="AH13" s="24">
        <f t="shared" ca="1" si="20"/>
        <v>3.8422910071423613</v>
      </c>
      <c r="AI13" s="121">
        <f t="shared" ca="1" si="10"/>
        <v>4.4830903433602689</v>
      </c>
      <c r="AJ13" s="121">
        <f t="shared" ca="1" si="11"/>
        <v>4.8422910071423608</v>
      </c>
      <c r="AK13" s="9">
        <f t="shared" ca="1" si="12"/>
        <v>1.2761125851096096</v>
      </c>
      <c r="AL13" s="9">
        <f t="shared" ca="1" si="21"/>
        <v>3.1432910071423605</v>
      </c>
      <c r="AM13" s="9">
        <f t="shared" ca="1" si="22"/>
        <v>0.27754994723805548</v>
      </c>
      <c r="AN13" s="9">
        <f t="shared" ca="1" si="23"/>
        <v>0.19896037049996526</v>
      </c>
      <c r="AO13" s="21">
        <v>2</v>
      </c>
      <c r="AP13" s="21">
        <v>2</v>
      </c>
      <c r="AQ13" s="21">
        <v>1</v>
      </c>
      <c r="AR13" s="130">
        <f t="shared" si="13"/>
        <v>6.1499999999999999E-2</v>
      </c>
      <c r="AS13" s="194">
        <v>1070</v>
      </c>
    </row>
    <row r="14" spans="1:45" x14ac:dyDescent="0.25">
      <c r="A14" s="16" t="s">
        <v>373</v>
      </c>
      <c r="B14" s="16" t="s">
        <v>72</v>
      </c>
      <c r="C14" s="122">
        <f t="shared" ca="1" si="0"/>
        <v>15.473214285714286</v>
      </c>
      <c r="D14" s="29" t="s">
        <v>307</v>
      </c>
      <c r="E14" s="17">
        <v>17</v>
      </c>
      <c r="F14" s="3">
        <f ca="1">8-159+16-570-5+D2-D1-2-12-49+9</f>
        <v>59</v>
      </c>
      <c r="G14" s="19" t="s">
        <v>45</v>
      </c>
      <c r="H14" s="5">
        <v>3</v>
      </c>
      <c r="I14" s="28">
        <v>1</v>
      </c>
      <c r="J14" s="23">
        <f t="shared" si="1"/>
        <v>0</v>
      </c>
      <c r="K14" s="7">
        <f t="shared" si="2"/>
        <v>9</v>
      </c>
      <c r="L14" s="7">
        <f t="shared" si="3"/>
        <v>16</v>
      </c>
      <c r="M14" s="131">
        <v>43046</v>
      </c>
      <c r="N14" s="132">
        <f t="shared" ca="1" si="24"/>
        <v>0.27618422641528872</v>
      </c>
      <c r="O14" s="20">
        <v>6</v>
      </c>
      <c r="P14" s="21">
        <f t="shared" si="5"/>
        <v>79</v>
      </c>
      <c r="Q14" s="27">
        <v>5</v>
      </c>
      <c r="R14" s="116">
        <f t="shared" si="6"/>
        <v>0.84515425472851657</v>
      </c>
      <c r="S14" s="116">
        <f t="shared" si="7"/>
        <v>0.92504826128926143</v>
      </c>
      <c r="T14" s="30">
        <v>650</v>
      </c>
      <c r="U14" s="30">
        <f t="shared" si="8"/>
        <v>50</v>
      </c>
      <c r="V14" s="30">
        <v>270</v>
      </c>
      <c r="W14" s="9">
        <f t="shared" si="9"/>
        <v>2.4074074074074074</v>
      </c>
      <c r="X14" s="22">
        <v>0</v>
      </c>
      <c r="Y14" s="23">
        <v>4</v>
      </c>
      <c r="Z14" s="22">
        <v>2</v>
      </c>
      <c r="AA14" s="23">
        <v>5</v>
      </c>
      <c r="AB14" s="22">
        <f>3.67+(0.25*0.16)+0.25+0.25*0.16</f>
        <v>4</v>
      </c>
      <c r="AC14" s="23">
        <f>4+1/17</f>
        <v>4.0588235294117645</v>
      </c>
      <c r="AD14" s="22">
        <v>4</v>
      </c>
      <c r="AE14" s="10">
        <v>393</v>
      </c>
      <c r="AF14" s="10">
        <v>1960</v>
      </c>
      <c r="AG14" s="24">
        <f t="shared" ca="1" si="19"/>
        <v>4.4591895476863685</v>
      </c>
      <c r="AH14" s="24">
        <f t="shared" ca="1" si="20"/>
        <v>4.8847974069181648</v>
      </c>
      <c r="AI14" s="121">
        <f t="shared" ca="1" si="10"/>
        <v>1.9237267835008185</v>
      </c>
      <c r="AJ14" s="121">
        <f t="shared" ca="1" si="11"/>
        <v>2.1073371076005105</v>
      </c>
      <c r="AK14" s="9">
        <f t="shared" ca="1" si="12"/>
        <v>1.3552632348591944</v>
      </c>
      <c r="AL14" s="9">
        <f t="shared" ca="1" si="21"/>
        <v>4.2938312852388183</v>
      </c>
      <c r="AM14" s="9">
        <f t="shared" ca="1" si="22"/>
        <v>0.34503591458381133</v>
      </c>
      <c r="AN14" s="9">
        <f t="shared" ca="1" si="23"/>
        <v>0.29933289584907025</v>
      </c>
      <c r="AO14" s="21">
        <v>3</v>
      </c>
      <c r="AP14" s="21">
        <v>4</v>
      </c>
      <c r="AQ14" s="21">
        <v>3</v>
      </c>
      <c r="AR14" s="130">
        <f t="shared" si="13"/>
        <v>0.157</v>
      </c>
      <c r="AS14">
        <v>600</v>
      </c>
    </row>
    <row r="15" spans="1:45" x14ac:dyDescent="0.25">
      <c r="A15" s="16" t="s">
        <v>311</v>
      </c>
      <c r="B15" s="25" t="s">
        <v>44</v>
      </c>
      <c r="C15" s="122">
        <f t="shared" ca="1" si="0"/>
        <v>15.5625</v>
      </c>
      <c r="D15" s="1" t="s">
        <v>302</v>
      </c>
      <c r="E15" s="2">
        <v>17</v>
      </c>
      <c r="F15" s="3">
        <f ca="1">8-159+16-570-5+D2-D1-2-62</f>
        <v>49</v>
      </c>
      <c r="G15" s="4" t="s">
        <v>0</v>
      </c>
      <c r="H15" s="5">
        <v>4</v>
      </c>
      <c r="I15" s="6">
        <v>1</v>
      </c>
      <c r="J15" s="23">
        <f t="shared" si="1"/>
        <v>0</v>
      </c>
      <c r="K15" s="7">
        <f t="shared" si="2"/>
        <v>16</v>
      </c>
      <c r="L15" s="7">
        <f t="shared" si="3"/>
        <v>25</v>
      </c>
      <c r="M15" s="131">
        <v>43045</v>
      </c>
      <c r="N15" s="132">
        <f t="shared" ca="1" si="24"/>
        <v>0.28009662428109161</v>
      </c>
      <c r="O15" s="26">
        <v>6</v>
      </c>
      <c r="P15" s="21">
        <f t="shared" si="5"/>
        <v>79</v>
      </c>
      <c r="Q15" s="27">
        <v>4</v>
      </c>
      <c r="R15" s="116">
        <f t="shared" si="6"/>
        <v>0.7559289460184544</v>
      </c>
      <c r="S15" s="116">
        <f t="shared" si="7"/>
        <v>0.84430867747355465</v>
      </c>
      <c r="T15" s="30">
        <v>960</v>
      </c>
      <c r="U15" s="30">
        <f t="shared" si="8"/>
        <v>20</v>
      </c>
      <c r="V15" s="8">
        <v>310</v>
      </c>
      <c r="W15" s="9">
        <f t="shared" si="9"/>
        <v>3.096774193548387</v>
      </c>
      <c r="X15" s="22">
        <v>1</v>
      </c>
      <c r="Y15" s="23">
        <v>4</v>
      </c>
      <c r="Z15" s="22">
        <v>2</v>
      </c>
      <c r="AA15" s="23">
        <v>3</v>
      </c>
      <c r="AB15" s="22">
        <f>3.75+0.25+0.25+0.25</f>
        <v>4.5</v>
      </c>
      <c r="AC15" s="23">
        <f>5+1/20</f>
        <v>5.05</v>
      </c>
      <c r="AD15" s="22">
        <v>6</v>
      </c>
      <c r="AE15" s="10">
        <v>407</v>
      </c>
      <c r="AF15" s="10">
        <v>1994</v>
      </c>
      <c r="AG15" s="24">
        <f t="shared" ca="1" si="19"/>
        <v>5.5032357681053128</v>
      </c>
      <c r="AH15" s="24">
        <f t="shared" ca="1" si="20"/>
        <v>6.1528046368458753</v>
      </c>
      <c r="AI15" s="121">
        <f t="shared" ca="1" si="10"/>
        <v>1.7235910380130415</v>
      </c>
      <c r="AJ15" s="121">
        <f t="shared" ca="1" si="11"/>
        <v>1.9270333632032925</v>
      </c>
      <c r="AK15" s="9">
        <f t="shared" ca="1" si="12"/>
        <v>1.3077844670210379</v>
      </c>
      <c r="AL15" s="9">
        <f t="shared" ca="1" si="21"/>
        <v>5.995096624281091</v>
      </c>
      <c r="AM15" s="9">
        <f t="shared" ca="1" si="22"/>
        <v>0.45490772994248729</v>
      </c>
      <c r="AN15" s="9">
        <f t="shared" ca="1" si="23"/>
        <v>0.35960676369967637</v>
      </c>
      <c r="AO15" s="21">
        <v>1</v>
      </c>
      <c r="AP15" s="21">
        <v>1</v>
      </c>
      <c r="AQ15" s="21">
        <v>2</v>
      </c>
      <c r="AR15" s="130">
        <f t="shared" si="13"/>
        <v>4.9399999999999999E-2</v>
      </c>
      <c r="AS15">
        <v>940</v>
      </c>
    </row>
    <row r="16" spans="1:45" x14ac:dyDescent="0.25">
      <c r="A16" s="16" t="s">
        <v>374</v>
      </c>
      <c r="B16" s="16" t="s">
        <v>44</v>
      </c>
      <c r="C16" s="122">
        <f t="shared" ca="1" si="0"/>
        <v>15.178571428571429</v>
      </c>
      <c r="D16" s="29" t="s">
        <v>309</v>
      </c>
      <c r="E16" s="17">
        <v>17</v>
      </c>
      <c r="F16" s="3">
        <f ca="1">8-159+16-570-5+D2-D1-2-12-49+9-11+44</f>
        <v>92</v>
      </c>
      <c r="G16" s="19" t="s">
        <v>71</v>
      </c>
      <c r="H16" s="5">
        <v>3</v>
      </c>
      <c r="I16" s="28">
        <v>0.5</v>
      </c>
      <c r="J16" s="23">
        <f t="shared" si="1"/>
        <v>-0.40137332755197491</v>
      </c>
      <c r="K16" s="7">
        <f t="shared" si="2"/>
        <v>4.5</v>
      </c>
      <c r="L16" s="7">
        <f t="shared" si="3"/>
        <v>8</v>
      </c>
      <c r="M16" s="131">
        <v>43046</v>
      </c>
      <c r="N16" s="132">
        <f t="shared" ca="1" si="24"/>
        <v>0.27618422641528872</v>
      </c>
      <c r="O16" s="20">
        <v>6</v>
      </c>
      <c r="P16" s="21">
        <f t="shared" si="5"/>
        <v>79</v>
      </c>
      <c r="Q16" s="27">
        <v>7</v>
      </c>
      <c r="R16" s="116">
        <f t="shared" si="6"/>
        <v>1</v>
      </c>
      <c r="S16" s="116">
        <f t="shared" si="7"/>
        <v>1</v>
      </c>
      <c r="T16" s="30">
        <v>2220</v>
      </c>
      <c r="U16" s="30">
        <f t="shared" si="8"/>
        <v>20</v>
      </c>
      <c r="V16" s="30">
        <v>370</v>
      </c>
      <c r="W16" s="9">
        <f t="shared" si="9"/>
        <v>6</v>
      </c>
      <c r="X16" s="22">
        <v>0</v>
      </c>
      <c r="Y16" s="23">
        <v>5</v>
      </c>
      <c r="Z16" s="22">
        <v>2</v>
      </c>
      <c r="AA16" s="23">
        <v>3</v>
      </c>
      <c r="AB16" s="22">
        <f>4+0.25+0.25+0.25</f>
        <v>4.75</v>
      </c>
      <c r="AC16" s="23">
        <f>6+1/23</f>
        <v>6.0434782608695654</v>
      </c>
      <c r="AD16" s="22">
        <v>3</v>
      </c>
      <c r="AE16" s="10">
        <v>451</v>
      </c>
      <c r="AF16" s="10">
        <v>1977</v>
      </c>
      <c r="AG16" s="24">
        <f t="shared" ca="1" si="19"/>
        <v>3.8748108988633136</v>
      </c>
      <c r="AH16" s="24">
        <f t="shared" ca="1" si="20"/>
        <v>3.8748108988633141</v>
      </c>
      <c r="AI16" s="121">
        <f t="shared" ca="1" si="10"/>
        <v>1.8748108988633141</v>
      </c>
      <c r="AJ16" s="121">
        <f t="shared" ca="1" si="11"/>
        <v>1.8748108988633141</v>
      </c>
      <c r="AK16" s="9">
        <f t="shared" ca="1" si="12"/>
        <v>1.7655540870737427</v>
      </c>
      <c r="AL16" s="9">
        <f t="shared" ca="1" si="21"/>
        <v>3.7878543771241833</v>
      </c>
      <c r="AM16" s="9">
        <f t="shared" ca="1" si="22"/>
        <v>0.38215878495254335</v>
      </c>
      <c r="AN16" s="9">
        <f t="shared" ca="1" si="23"/>
        <v>0.28123676292043198</v>
      </c>
      <c r="AO16" s="21">
        <v>2</v>
      </c>
      <c r="AP16" s="21">
        <v>3</v>
      </c>
      <c r="AQ16" s="21">
        <v>1</v>
      </c>
      <c r="AR16" s="130">
        <f t="shared" si="13"/>
        <v>0.1158</v>
      </c>
      <c r="AS16">
        <v>2200</v>
      </c>
    </row>
    <row r="17" spans="1:45" x14ac:dyDescent="0.25">
      <c r="A17" s="16" t="s">
        <v>376</v>
      </c>
      <c r="B17" s="16" t="s">
        <v>44</v>
      </c>
      <c r="C17" s="122">
        <f t="shared" ca="1" si="0"/>
        <v>15.571428571428571</v>
      </c>
      <c r="D17" s="29" t="s">
        <v>308</v>
      </c>
      <c r="E17" s="17">
        <v>17</v>
      </c>
      <c r="F17" s="3">
        <f ca="1">8-159+16-570-5+D2-D1-2-12-49+9-11</f>
        <v>48</v>
      </c>
      <c r="G17" s="19" t="s">
        <v>300</v>
      </c>
      <c r="H17" s="5">
        <v>4</v>
      </c>
      <c r="I17" s="28">
        <v>0.5</v>
      </c>
      <c r="J17" s="23">
        <f t="shared" si="1"/>
        <v>-0.40137332755197491</v>
      </c>
      <c r="K17" s="7">
        <f t="shared" si="2"/>
        <v>8</v>
      </c>
      <c r="L17" s="7">
        <f t="shared" si="3"/>
        <v>12.5</v>
      </c>
      <c r="M17" s="131">
        <v>43046</v>
      </c>
      <c r="N17" s="132">
        <f t="shared" ca="1" si="24"/>
        <v>0.27618422641528872</v>
      </c>
      <c r="O17" s="20">
        <v>5.5</v>
      </c>
      <c r="P17" s="21">
        <f t="shared" si="5"/>
        <v>74</v>
      </c>
      <c r="Q17" s="27">
        <v>7</v>
      </c>
      <c r="R17" s="116">
        <f t="shared" si="6"/>
        <v>1</v>
      </c>
      <c r="S17" s="116">
        <f t="shared" si="7"/>
        <v>1</v>
      </c>
      <c r="T17" s="30">
        <v>690</v>
      </c>
      <c r="U17" s="30">
        <f t="shared" si="8"/>
        <v>30</v>
      </c>
      <c r="V17" s="30">
        <v>290</v>
      </c>
      <c r="W17" s="9">
        <f t="shared" si="9"/>
        <v>2.3793103448275863</v>
      </c>
      <c r="X17" s="22">
        <v>0</v>
      </c>
      <c r="Y17" s="23">
        <v>4</v>
      </c>
      <c r="Z17" s="22">
        <v>2</v>
      </c>
      <c r="AA17" s="23">
        <v>2</v>
      </c>
      <c r="AB17" s="22">
        <f>3+(0.25*0.16)+(0.25*0.16*3/90)+0.25*3/90</f>
        <v>3.0496666666666665</v>
      </c>
      <c r="AC17" s="23">
        <f>5+1/20</f>
        <v>5.05</v>
      </c>
      <c r="AD17" s="22">
        <v>2.5</v>
      </c>
      <c r="AE17" s="10">
        <v>334</v>
      </c>
      <c r="AF17" s="10">
        <v>1923</v>
      </c>
      <c r="AG17" s="24">
        <f t="shared" ca="1" si="19"/>
        <v>3.3748108988633136</v>
      </c>
      <c r="AH17" s="24">
        <f t="shared" ca="1" si="20"/>
        <v>3.3748108988633141</v>
      </c>
      <c r="AI17" s="121">
        <f t="shared" ca="1" si="10"/>
        <v>1.8748108988633141</v>
      </c>
      <c r="AJ17" s="121">
        <f t="shared" ca="1" si="11"/>
        <v>1.8748108988633141</v>
      </c>
      <c r="AK17" s="9">
        <f t="shared" ca="1" si="12"/>
        <v>1.2154707537404095</v>
      </c>
      <c r="AL17" s="9">
        <f t="shared" ca="1" si="21"/>
        <v>3.1398108988633133</v>
      </c>
      <c r="AM17" s="9">
        <f t="shared" ca="1" si="22"/>
        <v>0.3174848719090651</v>
      </c>
      <c r="AN17" s="9">
        <f t="shared" ca="1" si="23"/>
        <v>0.22623676292043196</v>
      </c>
      <c r="AO17" s="21">
        <v>1</v>
      </c>
      <c r="AP17" s="21">
        <v>2</v>
      </c>
      <c r="AQ17" s="21">
        <v>1</v>
      </c>
      <c r="AR17" s="130">
        <f t="shared" si="13"/>
        <v>6.1499999999999999E-2</v>
      </c>
      <c r="AS17">
        <v>660</v>
      </c>
    </row>
    <row r="18" spans="1:45" x14ac:dyDescent="0.25">
      <c r="A18" s="16" t="s">
        <v>43</v>
      </c>
      <c r="B18" s="16" t="s">
        <v>44</v>
      </c>
      <c r="C18" s="122">
        <f t="shared" ca="1" si="0"/>
        <v>15.892857142857142</v>
      </c>
      <c r="D18" s="29" t="s">
        <v>476</v>
      </c>
      <c r="E18" s="17">
        <v>17</v>
      </c>
      <c r="F18" s="3">
        <f ca="1">D2-D1-811</f>
        <v>12</v>
      </c>
      <c r="G18" s="19"/>
      <c r="H18" s="5">
        <v>0</v>
      </c>
      <c r="I18" s="28">
        <v>1</v>
      </c>
      <c r="J18" s="23">
        <f t="shared" si="1"/>
        <v>0</v>
      </c>
      <c r="K18" s="7">
        <f t="shared" si="2"/>
        <v>0</v>
      </c>
      <c r="L18" s="7">
        <f t="shared" si="3"/>
        <v>1</v>
      </c>
      <c r="M18" s="131">
        <v>43090</v>
      </c>
      <c r="N18" s="132">
        <v>1.5</v>
      </c>
      <c r="O18" s="20">
        <v>3.5</v>
      </c>
      <c r="P18" s="21">
        <f t="shared" si="5"/>
        <v>54</v>
      </c>
      <c r="Q18" s="27">
        <v>5</v>
      </c>
      <c r="R18" s="116">
        <f t="shared" si="6"/>
        <v>0.84515425472851657</v>
      </c>
      <c r="S18" s="116">
        <f t="shared" si="7"/>
        <v>0.92504826128926143</v>
      </c>
      <c r="T18" s="30">
        <v>1490</v>
      </c>
      <c r="U18" s="30">
        <f t="shared" si="8"/>
        <v>-30</v>
      </c>
      <c r="V18" s="30">
        <v>370</v>
      </c>
      <c r="W18" s="9">
        <f t="shared" si="9"/>
        <v>4.0270270270270272</v>
      </c>
      <c r="X18" s="22">
        <v>0</v>
      </c>
      <c r="Y18" s="23">
        <v>3</v>
      </c>
      <c r="Z18" s="22">
        <v>2</v>
      </c>
      <c r="AA18" s="23">
        <v>5</v>
      </c>
      <c r="AB18" s="22">
        <v>5</v>
      </c>
      <c r="AC18" s="23">
        <v>6</v>
      </c>
      <c r="AD18" s="22">
        <v>4</v>
      </c>
      <c r="AE18" s="10">
        <v>457</v>
      </c>
      <c r="AF18" s="10">
        <v>2083</v>
      </c>
      <c r="AG18" s="24">
        <f t="shared" ref="AG18" si="25">(AD18+1+(LOG(I18)*4/3)+N18)*(Q18/7)^0.5</f>
        <v>5.4935026557353579</v>
      </c>
      <c r="AH18" s="24">
        <f t="shared" ref="AH18" si="26">(AD18+1+N18+(LOG(I18)*4/3))*(IF(Q18=7, (Q18/7)^0.5, ((Q18+1)/7)^0.5))</f>
        <v>6.017830648521584</v>
      </c>
      <c r="AI18" s="121">
        <f t="shared" ref="AI18" si="27">(Z18+N18+(LOG(I18)*4/3))*(Q18/7)^0.5</f>
        <v>2.9580398915498081</v>
      </c>
      <c r="AJ18" s="121">
        <f t="shared" ref="AJ18" si="28">(Z18+N18+(LOG(I18)*4/3))*(IF(Q18=7, (Q18/7)^0.5, ((Q18+1)/7)^0.5))</f>
        <v>3.2403703492039302</v>
      </c>
      <c r="AK18" s="9">
        <f t="shared" ref="AK18" si="29">(((Y18+LOG(I18)*4/3+N18)+(AB18+LOG(I18)*4/3+N18)*2)/8)*(Q18/7)^0.5</f>
        <v>1.84877493221863</v>
      </c>
      <c r="AL18" s="9">
        <f t="shared" ref="AL18" si="30">(AD18+LOG(I18)*4/3+N18)*0.7+(AC18+LOG(I18)*4/3+N18)*0.3</f>
        <v>6.1</v>
      </c>
      <c r="AM18" s="9">
        <f t="shared" ref="AM18" si="31">(0.5*(AC18+LOG(I18)*4/3+N18)+ 0.3*(AD18+LOG(I18)*4/3+N18))/10</f>
        <v>0.54</v>
      </c>
      <c r="AN18" s="9">
        <f t="shared" ref="AN18" si="32">(0.4*(Y18+LOG(I18)*4/3+N18)+0.3*(AD18+LOG(I18)*4/3+N18))/10</f>
        <v>0.34500000000000003</v>
      </c>
      <c r="AO18" s="21">
        <v>2</v>
      </c>
      <c r="AP18" s="21">
        <v>2</v>
      </c>
      <c r="AQ18" s="21">
        <v>2</v>
      </c>
      <c r="AR18" s="130">
        <f t="shared" si="13"/>
        <v>6.1499999999999999E-2</v>
      </c>
      <c r="AS18" s="194">
        <v>1520</v>
      </c>
    </row>
    <row r="19" spans="1:45" x14ac:dyDescent="0.25">
      <c r="A19" s="16" t="s">
        <v>368</v>
      </c>
      <c r="B19" s="16" t="s">
        <v>30</v>
      </c>
      <c r="C19" s="122">
        <f t="shared" ca="1" si="0"/>
        <v>0.7678571428571429</v>
      </c>
      <c r="D19" s="216" t="s">
        <v>197</v>
      </c>
      <c r="E19" s="17">
        <v>32</v>
      </c>
      <c r="F19" s="18">
        <f ca="1">72+D2-D1-112-112-112-112-112+17-112-112+10-112</f>
        <v>26</v>
      </c>
      <c r="G19" s="19" t="s">
        <v>71</v>
      </c>
      <c r="H19" s="5">
        <v>3</v>
      </c>
      <c r="I19" s="28">
        <v>9.6999999999999993</v>
      </c>
      <c r="J19" s="23">
        <f t="shared" si="1"/>
        <v>1.3156956456883264</v>
      </c>
      <c r="K19" s="7">
        <f t="shared" si="2"/>
        <v>87.3</v>
      </c>
      <c r="L19" s="7">
        <f t="shared" si="3"/>
        <v>155.19999999999999</v>
      </c>
      <c r="M19" s="131">
        <v>42828</v>
      </c>
      <c r="N19" s="132">
        <f t="shared" ca="1" si="24"/>
        <v>0.8548984732929602</v>
      </c>
      <c r="O19" s="20">
        <v>6.2</v>
      </c>
      <c r="P19" s="21">
        <f t="shared" si="5"/>
        <v>81</v>
      </c>
      <c r="Q19" s="21">
        <v>4</v>
      </c>
      <c r="R19" s="116">
        <f t="shared" si="6"/>
        <v>0.7559289460184544</v>
      </c>
      <c r="S19" s="116">
        <f t="shared" si="7"/>
        <v>0.84430867747355465</v>
      </c>
      <c r="T19" s="30">
        <v>49380</v>
      </c>
      <c r="U19" s="30">
        <f t="shared" si="8"/>
        <v>-2420</v>
      </c>
      <c r="V19" s="30">
        <v>15156</v>
      </c>
      <c r="W19" s="9">
        <f t="shared" si="9"/>
        <v>3.258115597783056</v>
      </c>
      <c r="X19" s="22">
        <v>0</v>
      </c>
      <c r="Y19" s="23">
        <v>14</v>
      </c>
      <c r="Z19" s="22">
        <f>7+0.1+0.01</f>
        <v>7.1099999999999994</v>
      </c>
      <c r="AA19" s="23">
        <f>11+1/14*0.5</f>
        <v>11.035714285714286</v>
      </c>
      <c r="AB19" s="22">
        <f>7+0.01+0.01+0.01+0.01+0.01+0.15*78/90*0.16</f>
        <v>7.0707999999999993</v>
      </c>
      <c r="AC19" s="23">
        <f>2+0.01+0.01</f>
        <v>2.0199999999999996</v>
      </c>
      <c r="AD19" s="22">
        <f>15+1/6+1/6+1/6+1/6+1/6</f>
        <v>15.83333333333333</v>
      </c>
      <c r="AE19" s="10">
        <v>1650</v>
      </c>
      <c r="AF19" s="10"/>
      <c r="AG19" s="24">
        <f t="shared" ca="1" si="19"/>
        <v>14.365618849239358</v>
      </c>
      <c r="AH19" s="24">
        <f t="shared" ca="1" si="20"/>
        <v>16.061250142875753</v>
      </c>
      <c r="AI19" s="121">
        <f t="shared" ca="1" si="10"/>
        <v>7.0154697307865899</v>
      </c>
      <c r="AJ19" s="121">
        <f t="shared" ca="1" si="11"/>
        <v>7.843533606065483</v>
      </c>
      <c r="AK19" s="9">
        <f t="shared" ca="1" si="12"/>
        <v>3.2744368501323842</v>
      </c>
      <c r="AL19" s="9">
        <f t="shared" ca="1" si="21"/>
        <v>13.859927452314617</v>
      </c>
      <c r="AM19" s="9">
        <f t="shared" ca="1" si="22"/>
        <v>0.74964752951850278</v>
      </c>
      <c r="AN19" s="9">
        <f t="shared" ca="1" si="23"/>
        <v>1.1869415883286898</v>
      </c>
      <c r="AO19" s="21">
        <v>2</v>
      </c>
      <c r="AP19" s="21">
        <v>1</v>
      </c>
      <c r="AQ19" s="21">
        <v>3</v>
      </c>
      <c r="AR19" s="130">
        <f t="shared" si="13"/>
        <v>4.9399999999999999E-2</v>
      </c>
      <c r="AS19">
        <v>51800</v>
      </c>
    </row>
    <row r="20" spans="1:45" x14ac:dyDescent="0.25">
      <c r="A20" s="16" t="s">
        <v>369</v>
      </c>
      <c r="B20" s="16" t="s">
        <v>30</v>
      </c>
      <c r="C20" s="122">
        <f t="shared" ca="1" si="0"/>
        <v>1.4642857142857142</v>
      </c>
      <c r="D20" s="217" t="s">
        <v>198</v>
      </c>
      <c r="E20" s="2">
        <v>31</v>
      </c>
      <c r="F20" s="3">
        <f ca="1">8-659+D2-D1-112</f>
        <v>60</v>
      </c>
      <c r="G20" s="4"/>
      <c r="H20" s="5">
        <v>2</v>
      </c>
      <c r="I20" s="6">
        <v>8.9</v>
      </c>
      <c r="J20" s="23">
        <f>LOG(I20)*4/3</f>
        <v>1.265853342193217</v>
      </c>
      <c r="K20" s="7">
        <f t="shared" si="2"/>
        <v>35.6</v>
      </c>
      <c r="L20" s="7">
        <f t="shared" si="3"/>
        <v>80.100000000000009</v>
      </c>
      <c r="M20" s="131">
        <v>42948</v>
      </c>
      <c r="N20" s="132">
        <f t="shared" ca="1" si="24"/>
        <v>0.57883918910490562</v>
      </c>
      <c r="O20" s="26">
        <v>6.2</v>
      </c>
      <c r="P20" s="21">
        <f t="shared" si="5"/>
        <v>81</v>
      </c>
      <c r="Q20" s="27">
        <v>6</v>
      </c>
      <c r="R20" s="116">
        <f t="shared" si="6"/>
        <v>0.92582009977255142</v>
      </c>
      <c r="S20" s="116">
        <f t="shared" si="7"/>
        <v>0.99928545900129484</v>
      </c>
      <c r="T20" s="30">
        <v>84940</v>
      </c>
      <c r="U20" s="30">
        <f t="shared" si="8"/>
        <v>-3430</v>
      </c>
      <c r="V20" s="8">
        <v>21540</v>
      </c>
      <c r="W20" s="9">
        <f t="shared" si="9"/>
        <v>3.9433611884865365</v>
      </c>
      <c r="X20" s="22">
        <v>0</v>
      </c>
      <c r="Y20" s="23">
        <v>14</v>
      </c>
      <c r="Z20" s="22">
        <f>5+0.02</f>
        <v>5.0199999999999996</v>
      </c>
      <c r="AA20" s="23">
        <f>10+0.01</f>
        <v>10.01</v>
      </c>
      <c r="AB20" s="22">
        <f>9+0.01+0.01+0.01+0.01+0.15*0.16*17/90</f>
        <v>9.044533333333332</v>
      </c>
      <c r="AC20" s="23">
        <f>1+0.01+0.01</f>
        <v>1.02</v>
      </c>
      <c r="AD20" s="22">
        <f>13.6+0.2+0.2+0.2*11/90+0.2</f>
        <v>14.224444444444442</v>
      </c>
      <c r="AE20" s="10">
        <v>1570</v>
      </c>
      <c r="AF20" s="10"/>
      <c r="AG20" s="24">
        <f t="shared" ca="1" si="19"/>
        <v>15.802950097913326</v>
      </c>
      <c r="AH20" s="24">
        <f t="shared" ca="1" si="20"/>
        <v>17.069136975742566</v>
      </c>
      <c r="AI20" s="121">
        <f t="shared" ca="1" si="10"/>
        <v>6.3554703242343153</v>
      </c>
      <c r="AJ20" s="121">
        <f t="shared" ca="1" si="11"/>
        <v>6.8646925312981217</v>
      </c>
      <c r="AK20" s="9">
        <f t="shared" ca="1" si="12"/>
        <v>4.3540328966337141</v>
      </c>
      <c r="AL20" s="9">
        <f t="shared" ca="1" si="21"/>
        <v>12.107803642409234</v>
      </c>
      <c r="AM20" s="9">
        <f t="shared" ca="1" si="22"/>
        <v>0.62530873583718305</v>
      </c>
      <c r="AN20" s="9">
        <f t="shared" ca="1" si="23"/>
        <v>1.115861810524202</v>
      </c>
      <c r="AO20" s="21">
        <v>2</v>
      </c>
      <c r="AP20" s="21">
        <v>3</v>
      </c>
      <c r="AQ20" s="21">
        <v>2</v>
      </c>
      <c r="AR20" s="130">
        <f t="shared" si="13"/>
        <v>0.1158</v>
      </c>
      <c r="AS20">
        <v>88370</v>
      </c>
    </row>
    <row r="21" spans="1:45" x14ac:dyDescent="0.25">
      <c r="A21" s="16" t="s">
        <v>370</v>
      </c>
      <c r="B21" s="16" t="s">
        <v>72</v>
      </c>
      <c r="C21" s="122">
        <f t="shared" ca="1" si="0"/>
        <v>-0.21428571428571427</v>
      </c>
      <c r="D21" s="216" t="s">
        <v>196</v>
      </c>
      <c r="E21" s="17">
        <v>33</v>
      </c>
      <c r="F21" s="3">
        <f ca="1">-35+D2-D1-67-112-112-112+87-112-112-112-112</f>
        <v>24</v>
      </c>
      <c r="G21" s="19" t="s">
        <v>0</v>
      </c>
      <c r="H21" s="5">
        <v>1</v>
      </c>
      <c r="I21" s="28">
        <v>10.199999999999999</v>
      </c>
      <c r="J21" s="23">
        <f t="shared" si="1"/>
        <v>1.34480022901589</v>
      </c>
      <c r="K21" s="7">
        <f t="shared" si="2"/>
        <v>10.199999999999999</v>
      </c>
      <c r="L21" s="7">
        <f t="shared" si="3"/>
        <v>40.799999999999997</v>
      </c>
      <c r="M21" s="131">
        <v>42712</v>
      </c>
      <c r="N21" s="132">
        <f t="shared" ca="1" si="24"/>
        <v>1</v>
      </c>
      <c r="O21" s="26">
        <v>5.9</v>
      </c>
      <c r="P21" s="21">
        <f t="shared" si="5"/>
        <v>78</v>
      </c>
      <c r="Q21" s="21">
        <v>6</v>
      </c>
      <c r="R21" s="116">
        <f t="shared" si="6"/>
        <v>0.92582009977255142</v>
      </c>
      <c r="S21" s="116">
        <f t="shared" si="7"/>
        <v>0.99928545900129484</v>
      </c>
      <c r="T21" s="30">
        <v>60930</v>
      </c>
      <c r="U21" s="30">
        <f t="shared" si="8"/>
        <v>-1550</v>
      </c>
      <c r="V21" s="30">
        <v>14196</v>
      </c>
      <c r="W21" s="9">
        <f t="shared" si="9"/>
        <v>4.2920540997464078</v>
      </c>
      <c r="X21" s="22">
        <v>0</v>
      </c>
      <c r="Y21" s="23">
        <f>1+1/27</f>
        <v>1.037037037037037</v>
      </c>
      <c r="Z21" s="22">
        <f>13+1/15*0.5+1/15*0.5+1/15*0.5+1/15*0.6+1/22/0.5</f>
        <v>13.230909090909091</v>
      </c>
      <c r="AA21" s="23">
        <f>14+1/15*79/90</f>
        <v>14.058518518518518</v>
      </c>
      <c r="AB21" s="22">
        <f>9.9+1/8+1/8+1/8+1/8+0.1+0.1*40/90+0.1*20/90+0.1+0.09+0.08+0.08</f>
        <v>10.916666666666666</v>
      </c>
      <c r="AC21" s="23">
        <v>2.95</v>
      </c>
      <c r="AD21" s="22">
        <v>11</v>
      </c>
      <c r="AE21" s="10">
        <v>1514</v>
      </c>
      <c r="AF21" s="10"/>
      <c r="AG21" s="24">
        <f t="shared" ca="1" si="19"/>
        <v>13.28070437924481</v>
      </c>
      <c r="AH21" s="24">
        <f t="shared" ca="1" si="20"/>
        <v>14.34480022901589</v>
      </c>
      <c r="AI21" s="121">
        <f t="shared" ca="1" si="10"/>
        <v>14.420304756601205</v>
      </c>
      <c r="AJ21" s="121">
        <f t="shared" ca="1" si="11"/>
        <v>15.575709319924981</v>
      </c>
      <c r="AK21" s="9">
        <f t="shared" ca="1" si="12"/>
        <v>3.4608047655067598</v>
      </c>
      <c r="AL21" s="9">
        <f t="shared" ca="1" si="21"/>
        <v>10.929800229015889</v>
      </c>
      <c r="AM21" s="9">
        <f t="shared" ca="1" si="22"/>
        <v>0.66508401832127118</v>
      </c>
      <c r="AN21" s="9">
        <f t="shared" ca="1" si="23"/>
        <v>0.5356174975125938</v>
      </c>
      <c r="AO21" s="21">
        <v>3</v>
      </c>
      <c r="AP21" s="21">
        <v>2</v>
      </c>
      <c r="AQ21" s="21">
        <v>0</v>
      </c>
      <c r="AR21" s="130">
        <f t="shared" si="13"/>
        <v>0.11119999999999999</v>
      </c>
      <c r="AS21">
        <v>62480</v>
      </c>
    </row>
    <row r="22" spans="1:45" x14ac:dyDescent="0.25">
      <c r="A22" s="16" t="s">
        <v>371</v>
      </c>
      <c r="B22" s="16" t="s">
        <v>44</v>
      </c>
      <c r="C22" s="122">
        <f t="shared" ca="1" si="0"/>
        <v>3.1339285714285716</v>
      </c>
      <c r="D22" s="217" t="s">
        <v>49</v>
      </c>
      <c r="E22" s="2">
        <v>29</v>
      </c>
      <c r="F22" s="3">
        <f ca="1">58++D2-D1-112-112-112-112-112-112-112</f>
        <v>97</v>
      </c>
      <c r="G22" s="4" t="s">
        <v>45</v>
      </c>
      <c r="H22" s="5">
        <v>1</v>
      </c>
      <c r="I22" s="6">
        <v>9.5</v>
      </c>
      <c r="J22" s="23">
        <f t="shared" si="1"/>
        <v>1.3036314737184636</v>
      </c>
      <c r="K22" s="7">
        <f t="shared" si="2"/>
        <v>9.5</v>
      </c>
      <c r="L22" s="7">
        <f t="shared" si="3"/>
        <v>38</v>
      </c>
      <c r="M22" s="131">
        <v>42267</v>
      </c>
      <c r="N22" s="132">
        <f t="shared" ca="1" si="24"/>
        <v>1</v>
      </c>
      <c r="O22" s="26">
        <v>6.8</v>
      </c>
      <c r="P22" s="21">
        <f t="shared" si="5"/>
        <v>87</v>
      </c>
      <c r="Q22" s="27">
        <v>6</v>
      </c>
      <c r="R22" s="116">
        <f t="shared" si="6"/>
        <v>0.92582009977255142</v>
      </c>
      <c r="S22" s="116">
        <f t="shared" si="7"/>
        <v>0.99928545900129484</v>
      </c>
      <c r="T22" s="30">
        <v>255930</v>
      </c>
      <c r="U22" s="30">
        <f t="shared" si="8"/>
        <v>11070</v>
      </c>
      <c r="V22" s="8">
        <v>31320</v>
      </c>
      <c r="W22" s="9">
        <f t="shared" si="9"/>
        <v>8.1714559386973171</v>
      </c>
      <c r="X22" s="22">
        <v>0</v>
      </c>
      <c r="Y22" s="23">
        <f>2+1/26</f>
        <v>2.0384615384615383</v>
      </c>
      <c r="Z22" s="22">
        <f>13+(1/13)+1/13+1/13+1/13+1/13+1/13+1/13*0.5</f>
        <v>13.499999999999998</v>
      </c>
      <c r="AA22" s="23">
        <f>4+1/5*0.5</f>
        <v>4.0999999999999996</v>
      </c>
      <c r="AB22" s="22">
        <f>11.45+0.11+0.11+0.11+0.11+0.11+0.11+0.11+0.1+0.1+0.1+0.1+0.1+0.1+0.1+0.1+0.08+0.08+0.08+0.08+0.07+0.07+0.07+0.07*80/90+0.07+0.07+0.07+0.07+0.07+0.06+0.06+0.06+0.06+0.05+0.05+0.05+0.05</f>
        <v>14.402222222222223</v>
      </c>
      <c r="AC22" s="23">
        <f>5.21+(72/90)*0.24+0.23+0.23+0.23+0.23+0.23+0.23+0.22+0.22+0.2+0.2+0.19+0.19+0.18+0.18+0.18+0.17+0.17+0.16+0.14+0.14+0.14+0.11+0.11+0.11+0.11+0.11+1/12</f>
        <v>10.095333333333334</v>
      </c>
      <c r="AD22" s="22">
        <f>14+0.25+0.25+0.25+0.25+0.2+0.2</f>
        <v>15.399999999999999</v>
      </c>
      <c r="AE22" s="10">
        <v>1804</v>
      </c>
      <c r="AF22" s="10"/>
      <c r="AG22" s="24">
        <f t="shared" ca="1" si="19"/>
        <v>17.316197957107061</v>
      </c>
      <c r="AH22" s="24">
        <f t="shared" ca="1" si="20"/>
        <v>18.703631473718463</v>
      </c>
      <c r="AI22" s="121">
        <f t="shared" ca="1" si="10"/>
        <v>14.631319667766659</v>
      </c>
      <c r="AJ22" s="121">
        <f t="shared" ca="1" si="11"/>
        <v>15.803631473718461</v>
      </c>
      <c r="AK22" s="9">
        <f t="shared" ca="1" si="12"/>
        <v>4.3691534071101366</v>
      </c>
      <c r="AL22" s="9">
        <f t="shared" ca="1" si="21"/>
        <v>16.112231473718463</v>
      </c>
      <c r="AM22" s="9">
        <f t="shared" ca="1" si="22"/>
        <v>1.1510571845641437</v>
      </c>
      <c r="AN22" s="9">
        <f t="shared" ca="1" si="23"/>
        <v>0.7047926646987539</v>
      </c>
      <c r="AO22" s="21">
        <v>1</v>
      </c>
      <c r="AP22" s="21">
        <v>1</v>
      </c>
      <c r="AQ22" s="21">
        <v>2</v>
      </c>
      <c r="AR22" s="130">
        <f t="shared" si="13"/>
        <v>4.9399999999999999E-2</v>
      </c>
      <c r="AS22">
        <v>244860</v>
      </c>
    </row>
    <row r="23" spans="1:45" x14ac:dyDescent="0.25">
      <c r="A23" s="16"/>
      <c r="B23" s="16"/>
      <c r="C23" s="122"/>
      <c r="D23" s="29" t="s">
        <v>184</v>
      </c>
      <c r="E23" s="17"/>
      <c r="F23" s="18"/>
      <c r="G23" s="19"/>
      <c r="H23" s="5"/>
      <c r="I23" s="28"/>
      <c r="J23" s="23"/>
      <c r="K23" s="7"/>
      <c r="L23" s="7"/>
      <c r="M23" s="131"/>
      <c r="N23" s="132"/>
      <c r="O23" s="20"/>
      <c r="P23" s="21"/>
      <c r="Q23" s="21"/>
      <c r="R23" s="116"/>
      <c r="S23" s="116"/>
      <c r="T23" s="30"/>
      <c r="U23" s="30"/>
      <c r="V23" s="30"/>
      <c r="W23" s="9"/>
      <c r="X23" s="22"/>
      <c r="Y23" s="23"/>
      <c r="Z23" s="22"/>
      <c r="AA23" s="23"/>
      <c r="AB23" s="22"/>
      <c r="AC23" s="23"/>
      <c r="AD23" s="22"/>
      <c r="AE23" s="10"/>
      <c r="AF23" s="10"/>
      <c r="AG23" s="24"/>
      <c r="AH23" s="24"/>
      <c r="AI23" s="121"/>
      <c r="AJ23" s="121"/>
      <c r="AK23" s="9"/>
      <c r="AL23" s="9"/>
      <c r="AM23" s="9"/>
      <c r="AN23" s="9"/>
      <c r="AO23" s="21">
        <v>0</v>
      </c>
      <c r="AP23" s="21">
        <v>4</v>
      </c>
      <c r="AQ23" s="21">
        <v>0</v>
      </c>
      <c r="AR23" s="130">
        <f t="shared" si="13"/>
        <v>0.20669999999999999</v>
      </c>
    </row>
    <row r="24" spans="1:45" x14ac:dyDescent="0.25">
      <c r="V24" s="70"/>
    </row>
    <row r="26" spans="1:45" x14ac:dyDescent="0.25">
      <c r="V26" s="70"/>
    </row>
    <row r="27" spans="1:45" x14ac:dyDescent="0.25">
      <c r="T27">
        <f>(5+0.04+1.5)*0.93</f>
        <v>6.0822000000000003</v>
      </c>
      <c r="U27">
        <f>(5.99+0.62+1.5)*0.99</f>
        <v>8.0289000000000001</v>
      </c>
    </row>
  </sheetData>
  <conditionalFormatting sqref="U2">
    <cfRule type="dataBar" priority="418">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3">
    <cfRule type="cellIs" dxfId="17" priority="47" operator="lessThan">
      <formula>6</formula>
    </cfRule>
  </conditionalFormatting>
  <conditionalFormatting sqref="N4:N23">
    <cfRule type="cellIs" dxfId="16" priority="46" operator="lessThan">
      <formula>0.75</formula>
    </cfRule>
  </conditionalFormatting>
  <conditionalFormatting sqref="P4:P23">
    <cfRule type="cellIs" dxfId="15" priority="44" operator="greaterThan">
      <formula>90</formula>
    </cfRule>
    <cfRule type="cellIs" dxfId="14" priority="45" operator="lessThan">
      <formula>85</formula>
    </cfRule>
  </conditionalFormatting>
  <conditionalFormatting sqref="X23:AD23 X4:AD18">
    <cfRule type="colorScale" priority="4739">
      <colorScale>
        <cfvo type="min"/>
        <cfvo type="max"/>
        <color rgb="FFFCFCFF"/>
        <color rgb="FFF8696B"/>
      </colorScale>
    </cfRule>
  </conditionalFormatting>
  <conditionalFormatting sqref="C4:C23">
    <cfRule type="colorScale" priority="4898">
      <colorScale>
        <cfvo type="min"/>
        <cfvo type="max"/>
        <color rgb="FFFFEF9C"/>
        <color rgb="FF63BE7B"/>
      </colorScale>
    </cfRule>
  </conditionalFormatting>
  <conditionalFormatting sqref="R4:S23">
    <cfRule type="colorScale" priority="4900">
      <colorScale>
        <cfvo type="min"/>
        <cfvo type="percentile" val="50"/>
        <cfvo type="max"/>
        <color rgb="FFF8696B"/>
        <color rgb="FFFFEB84"/>
        <color rgb="FF63BE7B"/>
      </colorScale>
    </cfRule>
  </conditionalFormatting>
  <conditionalFormatting sqref="T4:T23">
    <cfRule type="dataBar" priority="4902">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23">
    <cfRule type="dataBar" priority="4904">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23">
    <cfRule type="dataBar" priority="4906">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23">
    <cfRule type="dataBar" priority="4908">
      <dataBar>
        <cfvo type="min"/>
        <cfvo type="max"/>
        <color rgb="FFFFB628"/>
      </dataBar>
      <extLst>
        <ext xmlns:x14="http://schemas.microsoft.com/office/spreadsheetml/2009/9/main" uri="{B025F937-C7B1-47D3-B67F-A62EFF666E3E}">
          <x14:id>{BC0019C4-5DF2-4032-8F76-A8A2E8FCCC3F}</x14:id>
        </ext>
      </extLst>
    </cfRule>
  </conditionalFormatting>
  <conditionalFormatting sqref="X19:AD22">
    <cfRule type="cellIs" dxfId="13" priority="4910" operator="greaterThan">
      <formula>10</formula>
    </cfRule>
    <cfRule type="colorScale" priority="4911">
      <colorScale>
        <cfvo type="min"/>
        <cfvo type="max"/>
        <color rgb="FFFFEF9C"/>
        <color rgb="FF63BE7B"/>
      </colorScale>
    </cfRule>
  </conditionalFormatting>
  <conditionalFormatting sqref="AE4:AF23">
    <cfRule type="dataBar" priority="4914">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23:AH23">
    <cfRule type="colorScale" priority="4916">
      <colorScale>
        <cfvo type="min"/>
        <cfvo type="percentile" val="50"/>
        <cfvo type="max"/>
        <color rgb="FFF8696B"/>
        <color rgb="FFFFEB84"/>
        <color rgb="FF63BE7B"/>
      </colorScale>
    </cfRule>
  </conditionalFormatting>
  <conditionalFormatting sqref="AI23:AJ23">
    <cfRule type="colorScale" priority="4918">
      <colorScale>
        <cfvo type="min"/>
        <cfvo type="percentile" val="50"/>
        <cfvo type="max"/>
        <color rgb="FFF8696B"/>
        <color rgb="FFFFEB84"/>
        <color rgb="FF63BE7B"/>
      </colorScale>
    </cfRule>
  </conditionalFormatting>
  <conditionalFormatting sqref="AK23">
    <cfRule type="colorScale" priority="4920">
      <colorScale>
        <cfvo type="min"/>
        <cfvo type="percentile" val="50"/>
        <cfvo type="max"/>
        <color rgb="FFF8696B"/>
        <color rgb="FFFFEB84"/>
        <color rgb="FF63BE7B"/>
      </colorScale>
    </cfRule>
  </conditionalFormatting>
  <conditionalFormatting sqref="AL23">
    <cfRule type="colorScale" priority="4922">
      <colorScale>
        <cfvo type="min"/>
        <cfvo type="percentile" val="50"/>
        <cfvo type="max"/>
        <color rgb="FFF8696B"/>
        <color rgb="FFFFEB84"/>
        <color rgb="FF63BE7B"/>
      </colorScale>
    </cfRule>
  </conditionalFormatting>
  <conditionalFormatting sqref="AM23:AN23">
    <cfRule type="colorScale" priority="4924">
      <colorScale>
        <cfvo type="min"/>
        <cfvo type="percentile" val="50"/>
        <cfvo type="max"/>
        <color rgb="FFF8696B"/>
        <color rgb="FFFFEB84"/>
        <color rgb="FF63BE7B"/>
      </colorScale>
    </cfRule>
  </conditionalFormatting>
  <conditionalFormatting sqref="AR4:AR23">
    <cfRule type="colorScale" priority="4926">
      <colorScale>
        <cfvo type="min"/>
        <cfvo type="percentile" val="50"/>
        <cfvo type="max"/>
        <color rgb="FF63BE7B"/>
        <color rgb="FFFFEB84"/>
        <color rgb="FFF8696B"/>
      </colorScale>
    </cfRule>
  </conditionalFormatting>
  <conditionalFormatting sqref="AG4:AH18">
    <cfRule type="colorScale" priority="5">
      <colorScale>
        <cfvo type="min"/>
        <cfvo type="percentile" val="50"/>
        <cfvo type="max"/>
        <color rgb="FFF8696B"/>
        <color rgb="FFFFEB84"/>
        <color rgb="FF63BE7B"/>
      </colorScale>
    </cfRule>
  </conditionalFormatting>
  <conditionalFormatting sqref="AI4:AJ18">
    <cfRule type="colorScale" priority="4">
      <colorScale>
        <cfvo type="min"/>
        <cfvo type="percentile" val="50"/>
        <cfvo type="max"/>
        <color rgb="FFF8696B"/>
        <color rgb="FFFFEB84"/>
        <color rgb="FF63BE7B"/>
      </colorScale>
    </cfRule>
  </conditionalFormatting>
  <conditionalFormatting sqref="AK4:AK18">
    <cfRule type="colorScale" priority="3">
      <colorScale>
        <cfvo type="min"/>
        <cfvo type="percentile" val="50"/>
        <cfvo type="max"/>
        <color rgb="FFF8696B"/>
        <color rgb="FFFFEB84"/>
        <color rgb="FF63BE7B"/>
      </colorScale>
    </cfRule>
  </conditionalFormatting>
  <conditionalFormatting sqref="AL4:AL18">
    <cfRule type="colorScale" priority="2">
      <colorScale>
        <cfvo type="min"/>
        <cfvo type="percentile" val="50"/>
        <cfvo type="max"/>
        <color rgb="FFF8696B"/>
        <color rgb="FFFFEB84"/>
        <color rgb="FF63BE7B"/>
      </colorScale>
    </cfRule>
  </conditionalFormatting>
  <conditionalFormatting sqref="AM4:AN1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T4:T23</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V4:V23</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U4:U23</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W4:W23</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Q21" sqref="Q21"/>
    </sheetView>
  </sheetViews>
  <sheetFormatPr baseColWidth="10"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1">
        <v>43062</v>
      </c>
      <c r="E1" s="201" t="s">
        <v>342</v>
      </c>
      <c r="F1" s="202" t="s">
        <v>343</v>
      </c>
      <c r="G1" s="203"/>
      <c r="H1" s="203"/>
      <c r="I1" s="204" t="s">
        <v>342</v>
      </c>
      <c r="J1" s="205" t="s">
        <v>343</v>
      </c>
      <c r="K1" s="90"/>
      <c r="P1" s="201" t="s">
        <v>342</v>
      </c>
      <c r="Q1" s="202" t="s">
        <v>343</v>
      </c>
      <c r="R1" s="201"/>
      <c r="S1" s="202"/>
    </row>
    <row r="2" spans="1:19" x14ac:dyDescent="0.25">
      <c r="A2" s="206" t="s">
        <v>3</v>
      </c>
      <c r="B2" s="206" t="s">
        <v>344</v>
      </c>
      <c r="C2" s="206" t="s">
        <v>345</v>
      </c>
      <c r="D2" s="206" t="s">
        <v>18</v>
      </c>
      <c r="E2" s="201" t="s">
        <v>8</v>
      </c>
      <c r="F2" s="202" t="s">
        <v>8</v>
      </c>
      <c r="G2" s="203" t="s">
        <v>7</v>
      </c>
      <c r="H2" s="203" t="s">
        <v>7</v>
      </c>
      <c r="I2" s="204" t="s">
        <v>346</v>
      </c>
      <c r="J2" s="205" t="s">
        <v>346</v>
      </c>
      <c r="K2" s="90"/>
      <c r="P2" s="201" t="s">
        <v>8</v>
      </c>
      <c r="Q2" s="202" t="s">
        <v>8</v>
      </c>
      <c r="R2" s="201" t="s">
        <v>7</v>
      </c>
      <c r="S2" s="202" t="s">
        <v>7</v>
      </c>
    </row>
    <row r="3" spans="1:19" x14ac:dyDescent="0.25">
      <c r="A3" s="207" t="str">
        <f>PLANTILLA!D4</f>
        <v>Marc Dolz</v>
      </c>
      <c r="B3" s="208">
        <f>PLANTILLA!E4</f>
        <v>17</v>
      </c>
      <c r="C3" s="208">
        <f>PLANTILLA!H4</f>
        <v>3</v>
      </c>
      <c r="D3" s="209">
        <f>PLANTILLA!I4</f>
        <v>1</v>
      </c>
      <c r="E3" s="210">
        <f>D3</f>
        <v>1</v>
      </c>
      <c r="F3" s="210">
        <f>E3+0.1</f>
        <v>1.1000000000000001</v>
      </c>
      <c r="G3" s="210">
        <f>C3</f>
        <v>3</v>
      </c>
      <c r="H3" s="210">
        <f>G3+0.99</f>
        <v>3.99</v>
      </c>
      <c r="I3" s="211">
        <f>G3*G3*E3</f>
        <v>9</v>
      </c>
      <c r="J3" s="211">
        <f>H3*H3*F3</f>
        <v>17.512110000000003</v>
      </c>
      <c r="K3" s="212"/>
      <c r="N3" s="53" t="s">
        <v>346</v>
      </c>
      <c r="O3" t="str">
        <f>A4</f>
        <v>Valeri Gomis</v>
      </c>
      <c r="P3" s="213">
        <f>E4</f>
        <v>1</v>
      </c>
      <c r="Q3" s="213">
        <f t="shared" ref="Q3:S3" si="0">F4</f>
        <v>1.1000000000000001</v>
      </c>
      <c r="R3" s="213">
        <f t="shared" si="0"/>
        <v>6</v>
      </c>
      <c r="S3" s="213">
        <f t="shared" si="0"/>
        <v>6.99</v>
      </c>
    </row>
    <row r="4" spans="1:19" x14ac:dyDescent="0.25">
      <c r="A4" s="207" t="str">
        <f>PLANTILLA!D5</f>
        <v>Valeri Gomis</v>
      </c>
      <c r="B4" s="208">
        <f>PLANTILLA!E5</f>
        <v>17</v>
      </c>
      <c r="C4" s="208">
        <f>PLANTILLA!H5</f>
        <v>6</v>
      </c>
      <c r="D4" s="209">
        <f>PLANTILLA!I5</f>
        <v>1</v>
      </c>
      <c r="E4" s="210">
        <f t="shared" ref="E4:E21" si="1">D4</f>
        <v>1</v>
      </c>
      <c r="F4" s="210">
        <f t="shared" ref="F4:F21" si="2">E4+0.1</f>
        <v>1.1000000000000001</v>
      </c>
      <c r="G4" s="210">
        <f t="shared" ref="G4:G21" si="3">C4</f>
        <v>6</v>
      </c>
      <c r="H4" s="210">
        <f t="shared" ref="H4:H21" si="4">G4+0.99</f>
        <v>6.99</v>
      </c>
      <c r="I4" s="211">
        <f t="shared" ref="I4:I21" si="5">G4*G4*E4</f>
        <v>36</v>
      </c>
      <c r="J4" s="211">
        <f t="shared" ref="J4:J21" si="6">H4*H4*F4</f>
        <v>53.746110000000009</v>
      </c>
      <c r="K4" s="212"/>
      <c r="O4" t="str">
        <f>A5</f>
        <v>J. G. de Minaya</v>
      </c>
      <c r="P4" s="213">
        <f>E5</f>
        <v>1.2</v>
      </c>
      <c r="Q4" s="213">
        <f>F5</f>
        <v>1.3</v>
      </c>
      <c r="R4" s="213">
        <f>G5</f>
        <v>0</v>
      </c>
      <c r="S4" s="213">
        <f>H5</f>
        <v>0.99</v>
      </c>
    </row>
    <row r="5" spans="1:19" x14ac:dyDescent="0.25">
      <c r="A5" s="207" t="str">
        <f>PLANTILLA!D6</f>
        <v>J. G. de Minaya</v>
      </c>
      <c r="B5" s="208">
        <f>PLANTILLA!E6</f>
        <v>17</v>
      </c>
      <c r="C5" s="208">
        <f>PLANTILLA!H6</f>
        <v>0</v>
      </c>
      <c r="D5" s="209">
        <f>PLANTILLA!I6</f>
        <v>1.2</v>
      </c>
      <c r="E5" s="210">
        <f t="shared" si="1"/>
        <v>1.2</v>
      </c>
      <c r="F5" s="210">
        <f t="shared" si="2"/>
        <v>1.3</v>
      </c>
      <c r="G5" s="210">
        <f t="shared" si="3"/>
        <v>0</v>
      </c>
      <c r="H5" s="210">
        <f t="shared" si="4"/>
        <v>0.99</v>
      </c>
      <c r="I5" s="211">
        <f t="shared" si="5"/>
        <v>0</v>
      </c>
      <c r="J5" s="211">
        <f t="shared" si="6"/>
        <v>1.27413</v>
      </c>
      <c r="K5" s="212"/>
      <c r="L5" s="140"/>
      <c r="O5" t="str">
        <f>A8</f>
        <v>Fernando Gazón</v>
      </c>
      <c r="P5" s="213">
        <f>E8</f>
        <v>0.5</v>
      </c>
      <c r="Q5" s="213">
        <f>F8</f>
        <v>0.6</v>
      </c>
      <c r="R5" s="213">
        <f>G8</f>
        <v>3</v>
      </c>
      <c r="S5" s="213">
        <f>H8</f>
        <v>3.99</v>
      </c>
    </row>
    <row r="6" spans="1:19" x14ac:dyDescent="0.25">
      <c r="A6" s="207" t="str">
        <f>PLANTILLA!D7</f>
        <v>Roberto Montero</v>
      </c>
      <c r="B6" s="208">
        <f>PLANTILLA!E7</f>
        <v>17</v>
      </c>
      <c r="C6" s="208">
        <f>PLANTILLA!H7</f>
        <v>2</v>
      </c>
      <c r="D6" s="209">
        <f>PLANTILLA!I7</f>
        <v>0.5</v>
      </c>
      <c r="E6" s="210">
        <f t="shared" si="1"/>
        <v>0.5</v>
      </c>
      <c r="F6" s="210">
        <f t="shared" si="2"/>
        <v>0.6</v>
      </c>
      <c r="G6" s="210">
        <f t="shared" si="3"/>
        <v>2</v>
      </c>
      <c r="H6" s="210">
        <f t="shared" si="4"/>
        <v>2.99</v>
      </c>
      <c r="I6" s="211">
        <f t="shared" si="5"/>
        <v>2</v>
      </c>
      <c r="J6" s="211">
        <f t="shared" si="6"/>
        <v>5.3640600000000003</v>
      </c>
      <c r="K6" s="212"/>
      <c r="O6" t="str">
        <f>A11</f>
        <v>Enrique Cubas</v>
      </c>
      <c r="P6" s="213">
        <f>E11</f>
        <v>1</v>
      </c>
      <c r="Q6" s="213">
        <f t="shared" ref="Q6:S6" si="7">F11</f>
        <v>1.1000000000000001</v>
      </c>
      <c r="R6" s="213">
        <f t="shared" si="7"/>
        <v>1</v>
      </c>
      <c r="S6" s="213">
        <f t="shared" si="7"/>
        <v>1.99</v>
      </c>
    </row>
    <row r="7" spans="1:19" x14ac:dyDescent="0.25">
      <c r="A7" s="207" t="str">
        <f>PLANTILLA!D8</f>
        <v>Eckardt Hägerling</v>
      </c>
      <c r="B7" s="208">
        <f>PLANTILLA!E8</f>
        <v>17</v>
      </c>
      <c r="C7" s="208">
        <f>PLANTILLA!H8</f>
        <v>3</v>
      </c>
      <c r="D7" s="209">
        <f>PLANTILLA!I8</f>
        <v>1</v>
      </c>
      <c r="E7" s="210">
        <f t="shared" si="1"/>
        <v>1</v>
      </c>
      <c r="F7" s="210">
        <f t="shared" si="2"/>
        <v>1.1000000000000001</v>
      </c>
      <c r="G7" s="210">
        <f t="shared" si="3"/>
        <v>3</v>
      </c>
      <c r="H7" s="210">
        <f t="shared" si="4"/>
        <v>3.99</v>
      </c>
      <c r="I7" s="211">
        <f t="shared" si="5"/>
        <v>9</v>
      </c>
      <c r="J7" s="211">
        <f t="shared" si="6"/>
        <v>17.512110000000003</v>
      </c>
      <c r="K7" s="212"/>
      <c r="O7" t="str">
        <f>A3</f>
        <v>Marc Dolz</v>
      </c>
      <c r="P7" s="213">
        <f>E3</f>
        <v>1</v>
      </c>
      <c r="Q7" s="213">
        <f>F3</f>
        <v>1.1000000000000001</v>
      </c>
      <c r="R7" s="213">
        <f>G3</f>
        <v>3</v>
      </c>
      <c r="S7" s="213">
        <f>H3</f>
        <v>3.99</v>
      </c>
    </row>
    <row r="8" spans="1:19" x14ac:dyDescent="0.25">
      <c r="A8" s="207" t="str">
        <f>PLANTILLA!D9</f>
        <v>Fernando Gazón</v>
      </c>
      <c r="B8" s="208">
        <f>PLANTILLA!E9</f>
        <v>17</v>
      </c>
      <c r="C8" s="208">
        <f>PLANTILLA!H9</f>
        <v>3</v>
      </c>
      <c r="D8" s="209">
        <f>PLANTILLA!I9</f>
        <v>0.5</v>
      </c>
      <c r="E8" s="210">
        <f t="shared" si="1"/>
        <v>0.5</v>
      </c>
      <c r="F8" s="210">
        <f t="shared" si="2"/>
        <v>0.6</v>
      </c>
      <c r="G8" s="210">
        <f t="shared" si="3"/>
        <v>3</v>
      </c>
      <c r="H8" s="210">
        <f t="shared" si="4"/>
        <v>3.99</v>
      </c>
      <c r="I8" s="211">
        <f t="shared" si="5"/>
        <v>4.5</v>
      </c>
      <c r="J8" s="211">
        <f t="shared" si="6"/>
        <v>9.5520600000000009</v>
      </c>
      <c r="K8" s="212"/>
      <c r="O8" t="str">
        <f>A13</f>
        <v>Paulo Beltrán</v>
      </c>
      <c r="P8" s="213">
        <f>E13</f>
        <v>1</v>
      </c>
      <c r="Q8" s="213">
        <f>F13</f>
        <v>1.1000000000000001</v>
      </c>
      <c r="R8" s="213">
        <f>G13</f>
        <v>3</v>
      </c>
      <c r="S8" s="213">
        <f>H13</f>
        <v>3.99</v>
      </c>
    </row>
    <row r="9" spans="1:19" x14ac:dyDescent="0.25">
      <c r="A9" s="207" t="str">
        <f>PLANTILLA!D10</f>
        <v>Roberto Abenoza</v>
      </c>
      <c r="B9" s="208">
        <f>PLANTILLA!E10</f>
        <v>17</v>
      </c>
      <c r="C9" s="208">
        <f>PLANTILLA!H10</f>
        <v>4</v>
      </c>
      <c r="D9" s="209">
        <f>PLANTILLA!I10</f>
        <v>0.5</v>
      </c>
      <c r="E9" s="210">
        <f t="shared" si="1"/>
        <v>0.5</v>
      </c>
      <c r="F9" s="210">
        <f t="shared" si="2"/>
        <v>0.6</v>
      </c>
      <c r="G9" s="210">
        <f t="shared" si="3"/>
        <v>4</v>
      </c>
      <c r="H9" s="210">
        <f t="shared" si="4"/>
        <v>4.99</v>
      </c>
      <c r="I9" s="211">
        <f t="shared" si="5"/>
        <v>8</v>
      </c>
      <c r="J9" s="211">
        <f t="shared" si="6"/>
        <v>14.940060000000001</v>
      </c>
      <c r="K9" s="212"/>
      <c r="O9" t="str">
        <f>A16</f>
        <v>Noel Fuster</v>
      </c>
      <c r="P9" s="213">
        <f>E16</f>
        <v>0.5</v>
      </c>
      <c r="Q9" s="213">
        <f>F16</f>
        <v>0.6</v>
      </c>
      <c r="R9" s="213">
        <f>G16</f>
        <v>4</v>
      </c>
      <c r="S9" s="213">
        <f>H16</f>
        <v>4.99</v>
      </c>
    </row>
    <row r="10" spans="1:19" x14ac:dyDescent="0.25">
      <c r="A10" s="207" t="str">
        <f>PLANTILLA!D11</f>
        <v>Julio Calle</v>
      </c>
      <c r="B10" s="208">
        <f>PLANTILLA!E11</f>
        <v>17</v>
      </c>
      <c r="C10" s="208">
        <f>PLANTILLA!H11</f>
        <v>3</v>
      </c>
      <c r="D10" s="209">
        <f>PLANTILLA!I11</f>
        <v>0.5</v>
      </c>
      <c r="E10" s="210">
        <f t="shared" si="1"/>
        <v>0.5</v>
      </c>
      <c r="F10" s="210">
        <f t="shared" si="2"/>
        <v>0.6</v>
      </c>
      <c r="G10" s="210">
        <f t="shared" si="3"/>
        <v>3</v>
      </c>
      <c r="H10" s="210">
        <f t="shared" si="4"/>
        <v>3.99</v>
      </c>
      <c r="I10" s="211">
        <f t="shared" si="5"/>
        <v>4.5</v>
      </c>
      <c r="J10" s="211">
        <f t="shared" si="6"/>
        <v>9.5520600000000009</v>
      </c>
      <c r="K10" s="212"/>
      <c r="O10" t="str">
        <f>A14</f>
        <v>Santiago Serra</v>
      </c>
      <c r="P10" s="213">
        <f>E14</f>
        <v>1</v>
      </c>
      <c r="Q10" s="213">
        <f>F14</f>
        <v>1.1000000000000001</v>
      </c>
      <c r="R10" s="213">
        <f>G14</f>
        <v>4</v>
      </c>
      <c r="S10" s="213">
        <f>H14</f>
        <v>4.99</v>
      </c>
    </row>
    <row r="11" spans="1:19" x14ac:dyDescent="0.25">
      <c r="A11" s="207" t="str">
        <f>PLANTILLA!D12</f>
        <v>Enrique Cubas</v>
      </c>
      <c r="B11" s="208">
        <f>PLANTILLA!E12</f>
        <v>17</v>
      </c>
      <c r="C11" s="208">
        <f>PLANTILLA!H12</f>
        <v>1</v>
      </c>
      <c r="D11" s="209">
        <f>PLANTILLA!I12</f>
        <v>1</v>
      </c>
      <c r="E11" s="210">
        <f t="shared" si="1"/>
        <v>1</v>
      </c>
      <c r="F11" s="210">
        <f t="shared" si="2"/>
        <v>1.1000000000000001</v>
      </c>
      <c r="G11" s="210">
        <f t="shared" si="3"/>
        <v>1</v>
      </c>
      <c r="H11" s="210">
        <f t="shared" si="4"/>
        <v>1.99</v>
      </c>
      <c r="I11" s="211">
        <f t="shared" si="5"/>
        <v>1</v>
      </c>
      <c r="J11" s="211">
        <f t="shared" si="6"/>
        <v>4.3561100000000001</v>
      </c>
      <c r="K11" s="212"/>
      <c r="O11" t="str">
        <f>A10</f>
        <v>Julio Calle</v>
      </c>
      <c r="P11" s="213">
        <f>E10</f>
        <v>0.5</v>
      </c>
      <c r="Q11" s="213">
        <f>F10</f>
        <v>0.6</v>
      </c>
      <c r="R11" s="213">
        <f>G10</f>
        <v>3</v>
      </c>
      <c r="S11" s="213">
        <f>H10</f>
        <v>3.99</v>
      </c>
    </row>
    <row r="12" spans="1:19" x14ac:dyDescent="0.25">
      <c r="A12" s="207" t="str">
        <f>PLANTILLA!D13</f>
        <v>J. G. Peñuela</v>
      </c>
      <c r="B12" s="208">
        <f>PLANTILLA!E13</f>
        <v>17</v>
      </c>
      <c r="C12" s="208">
        <f>PLANTILLA!H13</f>
        <v>6</v>
      </c>
      <c r="D12" s="209">
        <f>PLANTILLA!I13</f>
        <v>0.5</v>
      </c>
      <c r="E12" s="210">
        <f t="shared" si="1"/>
        <v>0.5</v>
      </c>
      <c r="F12" s="210">
        <f t="shared" si="2"/>
        <v>0.6</v>
      </c>
      <c r="G12" s="210">
        <f t="shared" si="3"/>
        <v>6</v>
      </c>
      <c r="H12" s="210">
        <f t="shared" si="4"/>
        <v>6.99</v>
      </c>
      <c r="I12" s="211">
        <f t="shared" si="5"/>
        <v>18</v>
      </c>
      <c r="J12" s="211">
        <f t="shared" si="6"/>
        <v>29.31606</v>
      </c>
      <c r="K12" s="212"/>
      <c r="O12" t="str">
        <f>A7</f>
        <v>Eckardt Hägerling</v>
      </c>
      <c r="P12" s="213">
        <f>E7</f>
        <v>1</v>
      </c>
      <c r="Q12" s="213">
        <f t="shared" ref="Q12:S12" si="8">F7</f>
        <v>1.1000000000000001</v>
      </c>
      <c r="R12" s="213">
        <f t="shared" si="8"/>
        <v>3</v>
      </c>
      <c r="S12" s="213">
        <f t="shared" si="8"/>
        <v>3.99</v>
      </c>
    </row>
    <row r="13" spans="1:19" x14ac:dyDescent="0.25">
      <c r="A13" s="207" t="str">
        <f>PLANTILLA!D14</f>
        <v>Paulo Beltrán</v>
      </c>
      <c r="B13" s="208">
        <f>PLANTILLA!E14</f>
        <v>17</v>
      </c>
      <c r="C13" s="208">
        <f>PLANTILLA!H14</f>
        <v>3</v>
      </c>
      <c r="D13" s="209">
        <f>PLANTILLA!I14</f>
        <v>1</v>
      </c>
      <c r="E13" s="210">
        <f t="shared" si="1"/>
        <v>1</v>
      </c>
      <c r="F13" s="210">
        <f t="shared" si="2"/>
        <v>1.1000000000000001</v>
      </c>
      <c r="G13" s="210">
        <f t="shared" si="3"/>
        <v>3</v>
      </c>
      <c r="H13" s="210">
        <f t="shared" si="4"/>
        <v>3.99</v>
      </c>
      <c r="I13" s="211">
        <f t="shared" si="5"/>
        <v>9</v>
      </c>
      <c r="J13" s="211">
        <f t="shared" si="6"/>
        <v>17.512110000000003</v>
      </c>
      <c r="K13" s="212"/>
      <c r="O13" t="str">
        <f>A12</f>
        <v>J. G. Peñuela</v>
      </c>
      <c r="P13" s="213">
        <f>E12</f>
        <v>0.5</v>
      </c>
      <c r="Q13" s="213">
        <f>F12</f>
        <v>0.6</v>
      </c>
      <c r="R13" s="213">
        <f>G12</f>
        <v>6</v>
      </c>
      <c r="S13" s="213">
        <f>H12</f>
        <v>6.99</v>
      </c>
    </row>
    <row r="14" spans="1:19" x14ac:dyDescent="0.25">
      <c r="A14" s="207" t="str">
        <f>PLANTILLA!D15</f>
        <v>Santiago Serra</v>
      </c>
      <c r="B14" s="208">
        <f>PLANTILLA!E15</f>
        <v>17</v>
      </c>
      <c r="C14" s="208">
        <f>PLANTILLA!H15</f>
        <v>4</v>
      </c>
      <c r="D14" s="209">
        <f>PLANTILLA!I15</f>
        <v>1</v>
      </c>
      <c r="E14" s="210">
        <f t="shared" si="1"/>
        <v>1</v>
      </c>
      <c r="F14" s="210">
        <f t="shared" si="2"/>
        <v>1.1000000000000001</v>
      </c>
      <c r="G14" s="210">
        <f t="shared" si="3"/>
        <v>4</v>
      </c>
      <c r="H14" s="210">
        <f t="shared" si="4"/>
        <v>4.99</v>
      </c>
      <c r="I14" s="211">
        <f t="shared" si="5"/>
        <v>16</v>
      </c>
      <c r="J14" s="211">
        <f t="shared" si="6"/>
        <v>27.390110000000004</v>
      </c>
      <c r="K14" s="212"/>
      <c r="P14" s="38">
        <f>SUM(P4:P13)/10</f>
        <v>0.82</v>
      </c>
      <c r="Q14" s="38">
        <f>SUM(Q4:Q13)/10</f>
        <v>0.91999999999999971</v>
      </c>
      <c r="R14" s="38"/>
      <c r="S14" s="38"/>
    </row>
    <row r="15" spans="1:19" x14ac:dyDescent="0.25">
      <c r="A15" s="207" t="str">
        <f>PLANTILLA!D16</f>
        <v>Nicolás Eans</v>
      </c>
      <c r="B15" s="208">
        <f>PLANTILLA!E16</f>
        <v>17</v>
      </c>
      <c r="C15" s="208">
        <f>PLANTILLA!H16</f>
        <v>3</v>
      </c>
      <c r="D15" s="209">
        <f>PLANTILLA!I16</f>
        <v>0.5</v>
      </c>
      <c r="E15" s="210">
        <f t="shared" si="1"/>
        <v>0.5</v>
      </c>
      <c r="F15" s="210">
        <f t="shared" si="2"/>
        <v>0.6</v>
      </c>
      <c r="G15" s="210">
        <f t="shared" si="3"/>
        <v>3</v>
      </c>
      <c r="H15" s="210">
        <f t="shared" si="4"/>
        <v>3.99</v>
      </c>
      <c r="I15" s="211">
        <f t="shared" si="5"/>
        <v>4.5</v>
      </c>
      <c r="J15" s="211">
        <f t="shared" si="6"/>
        <v>9.5520600000000009</v>
      </c>
      <c r="K15" s="212"/>
    </row>
    <row r="16" spans="1:19" x14ac:dyDescent="0.25">
      <c r="A16" s="207" t="str">
        <f>PLANTILLA!D17</f>
        <v>Noel Fuster</v>
      </c>
      <c r="B16" s="208">
        <f>PLANTILLA!E17</f>
        <v>17</v>
      </c>
      <c r="C16" s="208">
        <f>PLANTILLA!H17</f>
        <v>4</v>
      </c>
      <c r="D16" s="209">
        <f>PLANTILLA!I17</f>
        <v>0.5</v>
      </c>
      <c r="E16" s="210">
        <f t="shared" si="1"/>
        <v>0.5</v>
      </c>
      <c r="F16" s="210">
        <f t="shared" si="2"/>
        <v>0.6</v>
      </c>
      <c r="G16" s="210">
        <f t="shared" si="3"/>
        <v>4</v>
      </c>
      <c r="H16" s="210">
        <f t="shared" si="4"/>
        <v>4.99</v>
      </c>
      <c r="I16" s="211">
        <f t="shared" si="5"/>
        <v>8</v>
      </c>
      <c r="J16" s="211">
        <f t="shared" si="6"/>
        <v>14.940060000000001</v>
      </c>
      <c r="K16" s="212"/>
      <c r="L16" s="72" t="s">
        <v>347</v>
      </c>
      <c r="O16" t="s">
        <v>348</v>
      </c>
      <c r="P16" s="33">
        <f>SUM(P3:P13)</f>
        <v>9.1999999999999993</v>
      </c>
      <c r="Q16" s="33">
        <f>SUM(Q3:Q13)</f>
        <v>10.299999999999999</v>
      </c>
      <c r="R16" s="33"/>
    </row>
    <row r="17" spans="1:18" x14ac:dyDescent="0.25">
      <c r="A17" s="207" t="str">
        <f>PLANTILLA!D19</f>
        <v>Mario Omarini</v>
      </c>
      <c r="B17" s="208">
        <f>PLANTILLA!E19</f>
        <v>32</v>
      </c>
      <c r="C17" s="208">
        <f>PLANTILLA!H19</f>
        <v>3</v>
      </c>
      <c r="D17" s="209">
        <f>PLANTILLA!I19</f>
        <v>9.6999999999999993</v>
      </c>
      <c r="E17" s="210">
        <f t="shared" si="1"/>
        <v>9.6999999999999993</v>
      </c>
      <c r="F17" s="210">
        <f t="shared" si="2"/>
        <v>9.7999999999999989</v>
      </c>
      <c r="G17" s="210">
        <f t="shared" si="3"/>
        <v>3</v>
      </c>
      <c r="H17" s="210">
        <f t="shared" si="4"/>
        <v>3.99</v>
      </c>
      <c r="I17" s="211">
        <f t="shared" si="5"/>
        <v>87.3</v>
      </c>
      <c r="J17" s="211">
        <f t="shared" si="6"/>
        <v>156.01697999999999</v>
      </c>
      <c r="K17" s="212"/>
      <c r="O17" t="s">
        <v>349</v>
      </c>
      <c r="P17" s="38">
        <f>P16/17</f>
        <v>0.54117647058823526</v>
      </c>
      <c r="Q17" s="38">
        <f>Q16/17</f>
        <v>0.60588235294117643</v>
      </c>
      <c r="R17" s="38"/>
    </row>
    <row r="18" spans="1:18" x14ac:dyDescent="0.25">
      <c r="A18" s="207" t="str">
        <f>PLANTILLA!D20</f>
        <v>Mateuz Brzostowski</v>
      </c>
      <c r="B18" s="208">
        <f>PLANTILLA!E20</f>
        <v>31</v>
      </c>
      <c r="C18" s="208">
        <f>PLANTILLA!H20</f>
        <v>2</v>
      </c>
      <c r="D18" s="209">
        <f>PLANTILLA!I20</f>
        <v>8.9</v>
      </c>
      <c r="E18" s="210">
        <f t="shared" si="1"/>
        <v>8.9</v>
      </c>
      <c r="F18" s="210">
        <f t="shared" si="2"/>
        <v>9</v>
      </c>
      <c r="G18" s="210">
        <f t="shared" si="3"/>
        <v>2</v>
      </c>
      <c r="H18" s="210">
        <f t="shared" si="4"/>
        <v>2.99</v>
      </c>
      <c r="I18" s="211">
        <f t="shared" si="5"/>
        <v>35.6</v>
      </c>
      <c r="J18" s="211">
        <f t="shared" si="6"/>
        <v>80.460900000000009</v>
      </c>
      <c r="K18" s="212"/>
      <c r="L18" s="72" t="s">
        <v>350</v>
      </c>
      <c r="O18" t="s">
        <v>351</v>
      </c>
      <c r="P18" s="33">
        <f>R3^2</f>
        <v>36</v>
      </c>
      <c r="Q18" s="33">
        <f>S3^2</f>
        <v>48.860100000000003</v>
      </c>
      <c r="R18" s="33"/>
    </row>
    <row r="19" spans="1:18" x14ac:dyDescent="0.25">
      <c r="A19" s="207" t="str">
        <f>PLANTILLA!D21</f>
        <v>Morgan Thomas</v>
      </c>
      <c r="B19" s="208">
        <f>PLANTILLA!E21</f>
        <v>33</v>
      </c>
      <c r="C19" s="208">
        <f>PLANTILLA!H21</f>
        <v>1</v>
      </c>
      <c r="D19" s="209">
        <f>PLANTILLA!I21</f>
        <v>10.199999999999999</v>
      </c>
      <c r="E19" s="210">
        <f t="shared" si="1"/>
        <v>10.199999999999999</v>
      </c>
      <c r="F19" s="210">
        <f t="shared" si="2"/>
        <v>10.299999999999999</v>
      </c>
      <c r="G19" s="210">
        <f t="shared" si="3"/>
        <v>1</v>
      </c>
      <c r="H19" s="210">
        <f t="shared" si="4"/>
        <v>1.99</v>
      </c>
      <c r="I19" s="211">
        <f t="shared" si="5"/>
        <v>10.199999999999999</v>
      </c>
      <c r="J19" s="211">
        <f t="shared" si="6"/>
        <v>40.789029999999997</v>
      </c>
      <c r="K19" s="212"/>
      <c r="L19" s="72" t="s">
        <v>352</v>
      </c>
      <c r="O19" t="s">
        <v>353</v>
      </c>
      <c r="P19" s="33">
        <f>P18*P3</f>
        <v>36</v>
      </c>
      <c r="Q19" s="33">
        <f>Q18*Q3</f>
        <v>53.746110000000009</v>
      </c>
      <c r="R19" s="33"/>
    </row>
    <row r="20" spans="1:18" x14ac:dyDescent="0.25">
      <c r="A20" s="207" t="str">
        <f>PLANTILLA!D22</f>
        <v>Rasheed Da'na</v>
      </c>
      <c r="B20" s="208">
        <f>PLANTILLA!E22</f>
        <v>29</v>
      </c>
      <c r="C20" s="208">
        <f>PLANTILLA!H22</f>
        <v>1</v>
      </c>
      <c r="D20" s="209">
        <f>PLANTILLA!I22</f>
        <v>9.5</v>
      </c>
      <c r="E20" s="210">
        <f t="shared" si="1"/>
        <v>9.5</v>
      </c>
      <c r="F20" s="210">
        <f t="shared" si="2"/>
        <v>9.6</v>
      </c>
      <c r="G20" s="210">
        <f t="shared" si="3"/>
        <v>1</v>
      </c>
      <c r="H20" s="210">
        <f t="shared" si="4"/>
        <v>1.99</v>
      </c>
      <c r="I20" s="211">
        <f t="shared" si="5"/>
        <v>9.5</v>
      </c>
      <c r="J20" s="211">
        <f t="shared" si="6"/>
        <v>38.016959999999997</v>
      </c>
      <c r="K20" s="212"/>
      <c r="L20" s="72" t="s">
        <v>354</v>
      </c>
      <c r="O20" t="s">
        <v>355</v>
      </c>
      <c r="P20" s="38">
        <f>(P19^(2/3))/30</f>
        <v>0.36342411856642787</v>
      </c>
      <c r="Q20" s="38">
        <f>(Q19^(2/3))/30</f>
        <v>0.47472645733156066</v>
      </c>
      <c r="R20" s="38"/>
    </row>
    <row r="21" spans="1:18" x14ac:dyDescent="0.25">
      <c r="A21" s="207" t="str">
        <f>PLANTILLA!D23</f>
        <v>A. Ilisie</v>
      </c>
      <c r="B21" s="208">
        <f>PLANTILLA!E23</f>
        <v>0</v>
      </c>
      <c r="C21" s="208">
        <f>PLANTILLA!H23</f>
        <v>0</v>
      </c>
      <c r="D21" s="209">
        <f>PLANTILLA!I23</f>
        <v>0</v>
      </c>
      <c r="E21" s="210">
        <f t="shared" si="1"/>
        <v>0</v>
      </c>
      <c r="F21" s="210">
        <f t="shared" si="2"/>
        <v>0.1</v>
      </c>
      <c r="G21" s="210">
        <f t="shared" si="3"/>
        <v>0</v>
      </c>
      <c r="H21" s="210">
        <f t="shared" si="4"/>
        <v>0.99</v>
      </c>
      <c r="I21" s="211">
        <f t="shared" si="5"/>
        <v>0</v>
      </c>
      <c r="J21" s="211">
        <f t="shared" si="6"/>
        <v>9.801E-2</v>
      </c>
      <c r="K21" s="212"/>
      <c r="L21" s="72" t="s">
        <v>356</v>
      </c>
      <c r="O21" s="111" t="s">
        <v>170</v>
      </c>
      <c r="P21" s="158">
        <f>P17+P20</f>
        <v>0.90460058915466313</v>
      </c>
      <c r="Q21" s="158">
        <f>Q17+Q20</f>
        <v>1.0806088102727371</v>
      </c>
    </row>
    <row r="22" spans="1:18" x14ac:dyDescent="0.25">
      <c r="A22" s="207"/>
      <c r="B22" s="208"/>
      <c r="C22" s="208"/>
      <c r="D22" s="209"/>
      <c r="E22" s="210"/>
      <c r="F22" s="210"/>
      <c r="G22" s="210"/>
      <c r="H22" s="210"/>
      <c r="I22" s="211"/>
      <c r="J22" s="211"/>
      <c r="K22" s="212"/>
      <c r="L22" t="s">
        <v>357</v>
      </c>
    </row>
    <row r="23" spans="1:18" x14ac:dyDescent="0.25">
      <c r="A23" s="207"/>
      <c r="B23" s="208"/>
      <c r="C23" s="208"/>
      <c r="D23" s="209"/>
      <c r="E23" s="210"/>
      <c r="F23" s="210"/>
      <c r="G23" s="210"/>
      <c r="H23" s="210"/>
      <c r="I23" s="211"/>
      <c r="J23" s="211"/>
      <c r="K23" s="212"/>
      <c r="O23" s="31"/>
    </row>
    <row r="24" spans="1:18" x14ac:dyDescent="0.25">
      <c r="A24" s="207"/>
      <c r="B24" s="208"/>
      <c r="C24" s="208"/>
      <c r="D24" s="209"/>
      <c r="E24" s="210"/>
      <c r="F24" s="210"/>
      <c r="G24" s="210"/>
      <c r="H24" s="210"/>
      <c r="I24" s="211"/>
      <c r="J24" s="211"/>
    </row>
    <row r="25" spans="1:18" x14ac:dyDescent="0.25">
      <c r="A25" s="207"/>
      <c r="B25" s="208"/>
      <c r="C25" s="208"/>
      <c r="D25" s="209"/>
      <c r="E25" s="210"/>
      <c r="F25" s="210"/>
      <c r="G25" s="210"/>
      <c r="H25" s="210"/>
      <c r="I25" s="211"/>
      <c r="J25" s="211"/>
    </row>
    <row r="26" spans="1:18" x14ac:dyDescent="0.25">
      <c r="A26" s="207"/>
      <c r="B26" s="208"/>
      <c r="C26" s="208"/>
      <c r="D26" s="209"/>
      <c r="E26" s="210"/>
      <c r="F26" s="210"/>
      <c r="G26" s="210"/>
      <c r="H26" s="210"/>
      <c r="I26" s="211"/>
      <c r="J26" s="211"/>
    </row>
    <row r="27" spans="1:18" x14ac:dyDescent="0.25">
      <c r="A27" s="207"/>
      <c r="B27" s="208"/>
      <c r="C27" s="208"/>
      <c r="D27" s="209"/>
      <c r="E27" s="210"/>
      <c r="F27" s="210"/>
      <c r="G27" s="210"/>
      <c r="H27" s="210"/>
      <c r="I27" s="211"/>
      <c r="J27" s="211"/>
    </row>
    <row r="28" spans="1:18" x14ac:dyDescent="0.25">
      <c r="A28" s="207"/>
      <c r="B28" s="208"/>
      <c r="C28" s="208"/>
      <c r="D28" s="209"/>
      <c r="E28" s="210"/>
      <c r="F28" s="210"/>
      <c r="G28" s="210"/>
      <c r="H28" s="210"/>
      <c r="I28" s="211"/>
      <c r="J28" s="211"/>
    </row>
    <row r="29" spans="1:18" x14ac:dyDescent="0.25">
      <c r="A29" s="207"/>
      <c r="B29" s="208"/>
      <c r="C29" s="208"/>
      <c r="D29" s="209"/>
      <c r="E29" s="210"/>
      <c r="F29" s="210"/>
      <c r="G29" s="210"/>
      <c r="H29" s="210"/>
      <c r="I29" s="211"/>
      <c r="J29" s="211"/>
    </row>
    <row r="30" spans="1:18" x14ac:dyDescent="0.25">
      <c r="A30" s="207"/>
      <c r="B30" s="208"/>
      <c r="C30" s="208"/>
      <c r="D30" s="209"/>
      <c r="E30" s="210"/>
      <c r="F30" s="210"/>
      <c r="G30" s="210"/>
      <c r="H30" s="210"/>
      <c r="I30" s="211"/>
      <c r="J30" s="211"/>
    </row>
    <row r="31" spans="1:18" x14ac:dyDescent="0.25">
      <c r="A31" s="207"/>
      <c r="B31" s="208"/>
      <c r="C31" s="208"/>
      <c r="D31" s="209"/>
      <c r="E31" s="210"/>
      <c r="F31" s="210"/>
      <c r="G31" s="210"/>
      <c r="H31" s="210"/>
      <c r="I31" s="211"/>
      <c r="J31" s="211"/>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3"/>
  <sheetViews>
    <sheetView workbookViewId="0">
      <pane xSplit="8" ySplit="2" topLeftCell="I3" activePane="bottomRight" state="frozen"/>
      <selection pane="topRight" activeCell="I1" sqref="I1"/>
      <selection pane="bottomLeft" activeCell="A3" sqref="A3"/>
      <selection pane="bottomRight" activeCell="J3" sqref="J3"/>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6"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1"/>
      <c r="W1" t="s">
        <v>73</v>
      </c>
      <c r="Z1" t="s">
        <v>74</v>
      </c>
      <c r="AD1" t="s">
        <v>75</v>
      </c>
      <c r="AH1" t="s">
        <v>76</v>
      </c>
      <c r="AL1" t="s">
        <v>77</v>
      </c>
      <c r="AP1" t="s">
        <v>78</v>
      </c>
      <c r="AW1" t="s">
        <v>79</v>
      </c>
      <c r="BD1" t="s">
        <v>48</v>
      </c>
      <c r="BI1" t="s">
        <v>80</v>
      </c>
      <c r="BN1" t="s">
        <v>81</v>
      </c>
      <c r="BS1" t="s">
        <v>82</v>
      </c>
      <c r="BX1" t="s">
        <v>83</v>
      </c>
      <c r="CB1" t="s">
        <v>44</v>
      </c>
    </row>
    <row r="2" spans="1:83" x14ac:dyDescent="0.25">
      <c r="A2" s="42" t="s">
        <v>3</v>
      </c>
      <c r="B2" s="42" t="s">
        <v>84</v>
      </c>
      <c r="C2" s="42" t="s">
        <v>5</v>
      </c>
      <c r="D2" s="108" t="s">
        <v>85</v>
      </c>
      <c r="E2" s="42" t="s">
        <v>86</v>
      </c>
      <c r="F2" s="50" t="s">
        <v>87</v>
      </c>
      <c r="G2" s="50" t="s">
        <v>99</v>
      </c>
      <c r="H2" s="50" t="s">
        <v>100</v>
      </c>
      <c r="I2" s="51" t="s">
        <v>101</v>
      </c>
      <c r="J2" s="43" t="s">
        <v>88</v>
      </c>
      <c r="K2" s="43" t="s">
        <v>28</v>
      </c>
      <c r="L2" s="43" t="s">
        <v>30</v>
      </c>
      <c r="M2" s="43" t="s">
        <v>89</v>
      </c>
      <c r="N2" s="43" t="s">
        <v>72</v>
      </c>
      <c r="O2" s="43" t="s">
        <v>90</v>
      </c>
      <c r="P2" s="43" t="s">
        <v>91</v>
      </c>
      <c r="Q2" s="43" t="s">
        <v>47</v>
      </c>
      <c r="R2" s="44" t="s">
        <v>22</v>
      </c>
      <c r="S2" s="44" t="s">
        <v>92</v>
      </c>
      <c r="T2" s="44" t="s">
        <v>93</v>
      </c>
      <c r="U2" s="44" t="s">
        <v>26</v>
      </c>
      <c r="V2" s="44" t="s">
        <v>27</v>
      </c>
      <c r="W2" s="45" t="s">
        <v>94</v>
      </c>
      <c r="X2" s="45" t="s">
        <v>95</v>
      </c>
      <c r="Y2" s="45" t="s">
        <v>94</v>
      </c>
      <c r="Z2" s="46" t="s">
        <v>94</v>
      </c>
      <c r="AA2" s="46" t="s">
        <v>95</v>
      </c>
      <c r="AB2" s="46" t="s">
        <v>94</v>
      </c>
      <c r="AC2" s="46" t="s">
        <v>96</v>
      </c>
      <c r="AD2" s="46" t="s">
        <v>94</v>
      </c>
      <c r="AE2" s="46" t="s">
        <v>95</v>
      </c>
      <c r="AF2" s="46" t="s">
        <v>94</v>
      </c>
      <c r="AG2" s="46" t="s">
        <v>96</v>
      </c>
      <c r="AH2" s="45" t="s">
        <v>94</v>
      </c>
      <c r="AI2" s="45" t="s">
        <v>95</v>
      </c>
      <c r="AJ2" s="45" t="s">
        <v>96</v>
      </c>
      <c r="AK2" s="45" t="s">
        <v>97</v>
      </c>
      <c r="AL2" s="45" t="s">
        <v>94</v>
      </c>
      <c r="AM2" s="45" t="s">
        <v>95</v>
      </c>
      <c r="AN2" s="45" t="s">
        <v>96</v>
      </c>
      <c r="AO2" s="45" t="s">
        <v>97</v>
      </c>
      <c r="AP2" s="45" t="s">
        <v>94</v>
      </c>
      <c r="AQ2" s="45" t="s">
        <v>95</v>
      </c>
      <c r="AR2" s="45" t="s">
        <v>94</v>
      </c>
      <c r="AS2" s="45" t="s">
        <v>96</v>
      </c>
      <c r="AT2" s="45" t="s">
        <v>97</v>
      </c>
      <c r="AU2" s="45" t="s">
        <v>98</v>
      </c>
      <c r="AV2" s="45" t="s">
        <v>97</v>
      </c>
      <c r="AW2" s="45" t="s">
        <v>94</v>
      </c>
      <c r="AX2" s="45" t="s">
        <v>95</v>
      </c>
      <c r="AY2" s="45" t="s">
        <v>94</v>
      </c>
      <c r="AZ2" s="45" t="s">
        <v>96</v>
      </c>
      <c r="BA2" s="45" t="s">
        <v>97</v>
      </c>
      <c r="BB2" s="45" t="s">
        <v>98</v>
      </c>
      <c r="BC2" s="45" t="s">
        <v>97</v>
      </c>
      <c r="BD2" s="46" t="s">
        <v>94</v>
      </c>
      <c r="BE2" s="46" t="s">
        <v>95</v>
      </c>
      <c r="BF2" s="46" t="s">
        <v>96</v>
      </c>
      <c r="BG2" s="46" t="s">
        <v>97</v>
      </c>
      <c r="BH2" s="46" t="s">
        <v>98</v>
      </c>
      <c r="BI2" s="46" t="s">
        <v>94</v>
      </c>
      <c r="BJ2" s="46" t="s">
        <v>95</v>
      </c>
      <c r="BK2" s="46" t="s">
        <v>96</v>
      </c>
      <c r="BL2" s="46" t="s">
        <v>97</v>
      </c>
      <c r="BM2" s="46" t="s">
        <v>98</v>
      </c>
      <c r="BN2" s="45" t="s">
        <v>94</v>
      </c>
      <c r="BO2" s="45" t="s">
        <v>95</v>
      </c>
      <c r="BP2" s="45" t="s">
        <v>96</v>
      </c>
      <c r="BQ2" s="45" t="s">
        <v>97</v>
      </c>
      <c r="BR2" s="45" t="s">
        <v>98</v>
      </c>
      <c r="BS2" s="45" t="s">
        <v>94</v>
      </c>
      <c r="BT2" s="45" t="s">
        <v>95</v>
      </c>
      <c r="BU2" s="45" t="s">
        <v>96</v>
      </c>
      <c r="BV2" s="45" t="s">
        <v>97</v>
      </c>
      <c r="BW2" s="45" t="s">
        <v>98</v>
      </c>
      <c r="BX2" s="46" t="s">
        <v>96</v>
      </c>
      <c r="BY2" s="46" t="s">
        <v>97</v>
      </c>
      <c r="BZ2" s="46" t="s">
        <v>98</v>
      </c>
      <c r="CA2" s="46" t="s">
        <v>97</v>
      </c>
      <c r="CB2" s="45" t="s">
        <v>97</v>
      </c>
      <c r="CC2" s="45" t="s">
        <v>98</v>
      </c>
      <c r="CD2" s="45" t="s">
        <v>97</v>
      </c>
      <c r="CE2" s="45" t="s">
        <v>96</v>
      </c>
    </row>
    <row r="3" spans="1:83" x14ac:dyDescent="0.25">
      <c r="A3" t="str">
        <f>PLANTILLA!D4</f>
        <v>Marc Dolz</v>
      </c>
      <c r="B3">
        <f>PLANTILLA!E4</f>
        <v>17</v>
      </c>
      <c r="C3" s="34">
        <f ca="1">PLANTILLA!F4</f>
        <v>52</v>
      </c>
      <c r="D3" s="66" t="str">
        <f>PLANTILLA!G4</f>
        <v>POT</v>
      </c>
      <c r="E3" s="31">
        <f>PLANTILLA!M4</f>
        <v>43046</v>
      </c>
      <c r="F3" s="48">
        <f>PLANTILLA!Q4</f>
        <v>5</v>
      </c>
      <c r="G3" s="49">
        <f>(F3/7)^0.5</f>
        <v>0.84515425472851657</v>
      </c>
      <c r="H3" s="49">
        <f>IF(F3=7,1,((F3+0.99)/7)^0.5)</f>
        <v>0.92504826128926143</v>
      </c>
      <c r="I3" s="52">
        <f t="shared" ref="I3" ca="1" si="0">IF(TODAY()-E3&gt;335,1,((TODAY()-E3)^0.5)/336^0.5)</f>
        <v>0.36596252735569995</v>
      </c>
      <c r="J3" s="40">
        <f>PLANTILLA!I4</f>
        <v>1</v>
      </c>
      <c r="K3" s="47">
        <f>PLANTILLA!X4</f>
        <v>0</v>
      </c>
      <c r="L3" s="47">
        <f>PLANTILLA!Y4</f>
        <v>4</v>
      </c>
      <c r="M3" s="47">
        <f>PLANTILLA!Z4</f>
        <v>4</v>
      </c>
      <c r="N3" s="47">
        <f>PLANTILLA!AA4</f>
        <v>3</v>
      </c>
      <c r="O3" s="47">
        <f>PLANTILLA!AB4</f>
        <v>4.2526666666666664</v>
      </c>
      <c r="P3" s="47">
        <f>PLANTILLA!AC4</f>
        <v>3.0666666666666669</v>
      </c>
      <c r="Q3" s="47">
        <f>PLANTILLA!AD4</f>
        <v>0.4</v>
      </c>
      <c r="R3" s="47">
        <f>((2*(O3+1))+(L3+1))/8</f>
        <v>1.9381666666666666</v>
      </c>
      <c r="S3" s="47">
        <f>(0.5*P3+ 0.3*Q3)/10</f>
        <v>0.16533333333333333</v>
      </c>
      <c r="T3" s="47">
        <f>(0.4*L3+0.3*Q3)/10</f>
        <v>0.17200000000000001</v>
      </c>
      <c r="U3" s="47">
        <f ca="1">IF(TODAY()-E3&gt;335,(Q3+1+(LOG(J3)*4/3))*(F3/7)^0.5,(Q3+((TODAY()-E3)^0.5)/(336^0.5)+(LOG(J3)*4/3))*(F3/7)^0.5)</f>
        <v>0.6473564889572776</v>
      </c>
      <c r="V3" s="47">
        <f ca="1">IF(F3=7,U3,IF(TODAY()-E3&gt;335,(Q3+1+(LOG(J3)*4/3))*((F3+0.99)/7)^0.5,(Q3+((TODAY()-E3)^0.5)/(336^0.5)+(LOG(J3)*4/3))*((F3+0.99)/7)^0.5))</f>
        <v>0.70855230414311865</v>
      </c>
      <c r="W3" s="38">
        <f ca="1">IF(TODAY()-E3&gt;335,((K3+1+(LOG(J3)*4/3))*0.597)+((L3+1+(LOG(J3)*4/3))*0.276),((K3+(((TODAY()-E3)^0.5)/(336^0.5))+(LOG(J3)*4/3))*0.597)+((L3+(((TODAY()-E3)^0.5)/(336^0.5))+(LOG(J3)*4/3))*0.276))</f>
        <v>1.4234852863815262</v>
      </c>
      <c r="X3" s="38">
        <f ca="1">IF(TODAY()-E3&gt;335,((K3+1+(LOG(J3)*4/3))*0.866)+((L3+1+(LOG(J3)*4/3))*0.425),((K3+(((TODAY()-E3)^0.5)/(336^0.5))+(LOG(J3)*4/3))*0.866)+((L3+(((TODAY()-E3)^0.5)/(336^0.5))+(LOG(J3)*4/3))*0.425))</f>
        <v>2.1724576228162089</v>
      </c>
      <c r="Y3" s="38">
        <f ca="1">W3</f>
        <v>1.4234852863815262</v>
      </c>
      <c r="Z3" s="38">
        <f ca="1">IF(TODAY()-E3&gt;335,((L3+1+(LOG(J3)*4/3))*0.516),((L3+(((TODAY()-E3)^0.5)/(336^0.516))+(LOG(J3)*4/3))*0.516))</f>
        <v>2.236054046591708</v>
      </c>
      <c r="AA3" s="38">
        <f ca="1">IF(TODAY()-E3&gt;335,((L3+1+(LOG(J3)*4/3))*1),((L3+(((TODAY()-E3)^0.5)/(336^0.5))+(LOG(J3)*4/3))*1))</f>
        <v>4.3659625273557001</v>
      </c>
      <c r="AB3" s="38">
        <f ca="1">Z3/2</f>
        <v>1.118027023295854</v>
      </c>
      <c r="AC3" s="38">
        <f ca="1">IF(TODAY()-E3&gt;335,((M3+1+(LOG(J3)*4/3))*0.238),((M3+(((TODAY()-E3)^0.5)/(336^0.238))+(LOG(J3)*4/3))*0.238))</f>
        <v>1.3518659886047968</v>
      </c>
      <c r="AD3" s="38">
        <f ca="1">IF(TODAY()-E3&gt;335,((L3+1+(LOG(J3)*4/3))*0.378),((L3+(((TODAY()-E3)^0.5)/(336^0.516))+(LOG(J3)*4/3))*0.378))</f>
        <v>1.6380395922706696</v>
      </c>
      <c r="AE3" s="38">
        <f ca="1">IF(TODAY()-E3&gt;335,((L3+1+(LOG(J3)*4/3))*0.723),((L3+(((TODAY()-E3)^0.5)/(336^0.5))+(LOG(J3)*4/3))*0.723))</f>
        <v>3.1565909072781713</v>
      </c>
      <c r="AF3" s="38">
        <f ca="1">AD3/2</f>
        <v>0.81901979613533482</v>
      </c>
      <c r="AG3" s="38">
        <f ca="1">IF(TODAY()-E3&gt;335,((M3+1+(LOG(J3)*4/3))*0.385),((M3+(((TODAY()-E3)^0.5)/(336^0.238))+(LOG(J3)*4/3))*0.385))</f>
        <v>2.1868420403901125</v>
      </c>
      <c r="AH3" s="38">
        <f ca="1">IF(TODAY()-E3&gt;335,((L3+1+(LOG(J3)*4/3))*0.92),((L3+(((TODAY()-E3)^0.5)/(336^0.5))+(LOG(J3)*4/3))*0.92))</f>
        <v>4.0166855251672446</v>
      </c>
      <c r="AI3" s="38">
        <f ca="1">IF(TODAY()-E3&gt;335,((L3+1+(LOG(J3)*4/3))*0.414),((L3+(((TODAY()-E3)^0.5)/(336^0.414))+(LOG(J3)*4/3))*0.414))</f>
        <v>1.9058631076485841</v>
      </c>
      <c r="AJ3" s="38">
        <f ca="1">IF(TODAY()-E3&gt;335,((M3+1+(LOG(J3)*4/3))*0.167),((M3+(((TODAY()-E3)^0.5)/(336^0.5))+(LOG(J3)*4/3))*0.167))</f>
        <v>0.72911574206840191</v>
      </c>
      <c r="AK3" s="38">
        <f ca="1">IF(TODAY()-E3&gt;335,((N3+1+(LOG(J3)*4/3))*0.588),((N3+(((TODAY()-E3)^0.5)/(336^0.5))+(LOG(J3)*4/3))*0.588))</f>
        <v>1.9791859660851516</v>
      </c>
      <c r="AL3" s="38">
        <f ca="1">IF(TODAY()-E3&gt;335,((L3+1+(LOG(J3)*4/3))*0.754),((L3+(((TODAY()-E3)^0.5)/(336^0.5))+(LOG(J3)*4/3))*0.754))</f>
        <v>3.2919357456261977</v>
      </c>
      <c r="AM3" s="38">
        <f ca="1">IF(TODAY()-E3&gt;335,((L3+1+(LOG(J3)*4/3))*0.708),((L3+(((TODAY()-E3)^0.5)/(336^0.414))+(LOG(J3)*4/3))*0.708))</f>
        <v>3.2593021261236657</v>
      </c>
      <c r="AN3" s="38">
        <f ca="1">IF(TODAY()-E3&gt;335,((Q3+1+(LOG(J3)*4/3))*0.167),((Q3+(((TODAY()-E3)^0.5)/(336^0.5))+(LOG(J3)*4/3))*0.167))</f>
        <v>0.12791574206840192</v>
      </c>
      <c r="AO3" s="38">
        <f ca="1">IF(TODAY()-E3&gt;335,((R3+1+(LOG(J3)*4/3))*0.288),((R3+(((TODAY()-E3)^0.5)/(336^0.5))+(LOG(J3)*4/3))*0.288))</f>
        <v>0.66358920787844156</v>
      </c>
      <c r="AP3" s="38">
        <f ca="1">IF(TODAY()-E3&gt;335,((L3+1+(LOG(J3)*4/3))*0.27),((L3+(((TODAY()-E3)^0.5)/(336^0.5))+(LOG(J3)*4/3))*0.27))</f>
        <v>1.1788098823860391</v>
      </c>
      <c r="AQ3" s="38">
        <f ca="1">IF(TODAY()-E3&gt;335,((L3+1+(LOG(J3)*4/3))*0.594),((L3+(((TODAY()-E3)^0.5)/(336^0.5))+(LOG(J3)*4/3))*0.594))</f>
        <v>2.5933817412492859</v>
      </c>
      <c r="AR3" s="38">
        <f ca="1">AP3/2</f>
        <v>0.58940494119301956</v>
      </c>
      <c r="AS3" s="38">
        <f ca="1">IF(TODAY()-E3&gt;335,((M3+1+(LOG(J3)*4/3))*0.944),((M3+(((TODAY()-E3)^0.5)/(336^0.5))+(LOG(J3)*4/3))*0.944))</f>
        <v>4.1214686258237805</v>
      </c>
      <c r="AT3" s="38">
        <f ca="1">IF(TODAY()-E3&gt;335,((O3+1+(LOG(J3)*4/3))*0.13),((O3+(((TODAY()-E3)^0.5)/(336^0.5))+(LOG(J3)*4/3))*0.13))</f>
        <v>0.60042179522290762</v>
      </c>
      <c r="AU3" s="38">
        <f ca="1">IF(TODAY()-E3&gt;335,((P3+1+(LOG(J3)*4/3))*0.173)+((O3+1+(LOG(J3)*4/3))*0.12),((P3+(((TODAY()-E3)^0.5)/(336^0.5))+(LOG(J3)*4/3))*0.173)+((O3+(((TODAY()-E3)^0.5)/(336^0.5))+(LOG(J3)*4/3))*0.12))</f>
        <v>1.1480803538485533</v>
      </c>
      <c r="AV3" s="38">
        <f ca="1">AT3/2</f>
        <v>0.30021089761145381</v>
      </c>
      <c r="AW3" s="38">
        <f ca="1">IF(TODAY()-E3&gt;335,((L3+1+(LOG(J3)*4/3))*0.189),((L3+(((TODAY()-E3)^0.5)/(336^0.5))+(LOG(J3)*4/3))*0.189))</f>
        <v>0.82516691767022732</v>
      </c>
      <c r="AX3" s="38">
        <f ca="1">IF(TODAY()-E3&gt;335,((L3+1+(LOG(J3)*4/3))*0.4),((L3+(((TODAY()-E3)^0.5)/(336^0.5))+(LOG(J3)*4/3))*0.4))</f>
        <v>1.74638501094228</v>
      </c>
      <c r="AY3" s="38">
        <f ca="1">AW3/2</f>
        <v>0.41258345883511366</v>
      </c>
      <c r="AZ3" s="38">
        <f ca="1">IF(TODAY()-E3&gt;335,((M3+1+(LOG(J3)*4/3))*1),((M3+(((TODAY()-E3)^0.5)/(336^0.5))+(LOG(J3)*4/3))*1))</f>
        <v>4.3659625273557001</v>
      </c>
      <c r="BA3" s="38">
        <f ca="1">IF(TODAY()-E3&gt;335,((O3+1+(LOG(J3)*4/3))*0.253),((O3+(((TODAY()-E3)^0.5)/(336^0.5))+(LOG(J3)*4/3))*0.253))</f>
        <v>1.1685131860876588</v>
      </c>
      <c r="BB3" s="38">
        <f ca="1">IF(TODAY()-E3&gt;335,((P3+1+(LOG(J3)*4/3))*0.21)+((O3+1+(LOG(J3)*4/3))*0.341),((P3+(((TODAY()-E3)^0.5)/(336^0.5))+(LOG(J3)*4/3))*0.21)+((O3+(((TODAY()-E3)^0.5)/(336^0.5))+(LOG(J3)*4/3))*0.341))</f>
        <v>2.2958046859063241</v>
      </c>
      <c r="BC3" s="38">
        <f ca="1">BA3/2</f>
        <v>0.58425659304382938</v>
      </c>
      <c r="BD3" s="38">
        <f ca="1">IF(TODAY()-E3&gt;335,((L3+1+(LOG(J3)*4/3))*0.291),((L3+(((TODAY()-E3)^0.5)/(336^0.5))+(LOG(J3)*4/3))*0.291))</f>
        <v>1.2704950954605088</v>
      </c>
      <c r="BE3" s="38">
        <f ca="1">IF(TODAY()-E3&gt;335,((L3+1+(LOG(J3)*4/3))*0.348),((L3+(((TODAY()-E3)^0.5)/(336^0.5))+(LOG(J3)*4/3))*0.348))</f>
        <v>1.5193549595197835</v>
      </c>
      <c r="BF3" s="38">
        <f ca="1">IF(TODAY()-E3&gt;335,((M3+1+(LOG(J3)*4/3))*0.881),((M3+(((TODAY()-E3)^0.5)/(336^0.5))+(LOG(J3)*4/3))*0.881))</f>
        <v>3.846412986600372</v>
      </c>
      <c r="BG3" s="38">
        <f ca="1">IF(TODAY()-E3&gt;335,((N3+1+(LOG(J3)*4/3))*0.574)+((O3+1+(LOG(J3)*4/3))*0.315),((N3+(((TODAY()-E3)^0.5)/(336^0.5))+(LOG(J3)*4/3))*0.574)+((O3+(((TODAY()-E3)^0.5)/(336^0.5))+(LOG(J3)*4/3))*0.315))</f>
        <v>3.3869306868192171</v>
      </c>
      <c r="BH3" s="38">
        <f ca="1">IF(TODAY()-E3&gt;335,((O3+1+(LOG(J3)*4/3))*0.241),((O3+(((TODAY()-E3)^0.5)/(336^0.5))+(LOG(J3)*4/3))*0.241))</f>
        <v>1.1130896357593902</v>
      </c>
      <c r="BI3" s="38">
        <f ca="1">IF(TODAY()-E3&gt;335,((L3+1+(LOG(J3)*4/3))*0.485),((L3+(((TODAY()-E3)^0.5)/(336^0.5))+(LOG(J3)*4/3))*0.485))</f>
        <v>2.1174918257675146</v>
      </c>
      <c r="BJ3" s="38">
        <f ca="1">IF(TODAY()-E3&gt;335,((L3+1+(LOG(J3)*4/3))*0.264),((L3+(((TODAY()-E3)^0.5)/(336^0.5))+(LOG(J3)*4/3))*0.264))</f>
        <v>1.1526141072219049</v>
      </c>
      <c r="BK3" s="38">
        <f ca="1">IF(TODAY()-E3&gt;335,((M3+1+(LOG(J3)*4/3))*0.381),((M3+(((TODAY()-E3)^0.5)/(336^0.5))+(LOG(J3)*4/3))*0.381))</f>
        <v>1.6634317229225217</v>
      </c>
      <c r="BL3" s="38">
        <f ca="1">IF(TODAY()-E3&gt;335,((N3+1+(LOG(J3)*4/3))*0.673)+((O3+1+(LOG(J3)*4/3))*0.201),((N3+(((TODAY()-E3)^0.5)/(336^0.5))+(LOG(J3)*4/3))*0.673)+((O3+(((TODAY()-E3)^0.5)/(336^0.5))+(LOG(J3)*4/3))*0.201))</f>
        <v>3.1936372489088818</v>
      </c>
      <c r="BM3" s="38">
        <f ca="1">IF(TODAY()-E3&gt;335,((O3+1+(LOG(J3)*4/3))*0.052),((O3+(((TODAY()-E3)^0.5)/(336^0.5))+(LOG(J3)*4/3))*0.052))</f>
        <v>0.24016871808916304</v>
      </c>
      <c r="BN3" s="38">
        <f ca="1">IF(TODAY()-E3&gt;335,((L3+1+(LOG(J3)*4/3))*0.18),((L3+(((TODAY()-E3)^0.5)/(336^0.5))+(LOG(J3)*4/3))*0.18))</f>
        <v>0.78587325492402604</v>
      </c>
      <c r="BO3" s="38">
        <f ca="1">IF(TODAY()-E3&gt;335,((L3+1+(LOG(J3)*4/3))*0.068),((L3+(((TODAY()-E3)^0.5)/(336^0.5))+(LOG(J3)*4/3))*0.068))</f>
        <v>0.29688545186018761</v>
      </c>
      <c r="BP3" s="38">
        <f ca="1">IF(TODAY()-E3&gt;335,((M3+1+(LOG(J3)*4/3))*0.305),((M3+(((TODAY()-E3)^0.5)/(336^0.5))+(LOG(J3)*4/3))*0.305))</f>
        <v>1.3316185708434884</v>
      </c>
      <c r="BQ3" s="38">
        <f ca="1">IF(TODAY()-E3&gt;335,((N3+1+(LOG(J3)*4/3))*1)+((O3+1+(LOG(J3)*4/3))*0.286),((N3+(((TODAY()-E3)^0.5)/(336^0.5))+(LOG(J3)*4/3))*1)+((O3+(((TODAY()-E3)^0.5)/(336^0.5))+(LOG(J3)*4/3))*0.286))</f>
        <v>4.6868904768460968</v>
      </c>
      <c r="BR3" s="38">
        <f ca="1">IF(TODAY()-E3&gt;335,((O3+1+(LOG(J3)*4/3))*0.135),((O3+(((TODAY()-E3)^0.5)/(336^0.5))+(LOG(J3)*4/3))*0.135))</f>
        <v>0.62351494119301953</v>
      </c>
      <c r="BS3" s="38">
        <f ca="1">IF(TODAY()-E3&gt;335,((L3+1+(LOG(J3)*4/3))*0.284),((L3+(((TODAY()-E3)^0.5)/(336^0.5))+(LOG(J3)*4/3))*0.284))</f>
        <v>1.2399333577690188</v>
      </c>
      <c r="BT3" s="38">
        <f ca="1">IF(TODAY()-E3&gt;335,((L3+1+(LOG(J3)*4/3))*0.244),((L3+(((TODAY()-E3)^0.5)/(336^0.5))+(LOG(J3)*4/3))*0.244))</f>
        <v>1.0652948566747908</v>
      </c>
      <c r="BU3" s="38">
        <f ca="1">IF(TODAY()-E3&gt;335,((M3+1+(LOG(J3)*4/3))*0.631),((M3+(((TODAY()-E3)^0.5)/(336^0.5))+(LOG(J3)*4/3))*0.631))</f>
        <v>2.754922354761447</v>
      </c>
      <c r="BV3" s="38">
        <f ca="1">IF(TODAY()-E3&gt;335,((N3+1+(LOG(J3)*4/3))*0.702)+((O3+1+(LOG(J3)*4/3))*0.193),((N3+(((TODAY()-E3)^0.5)/(336^0.5))+(LOG(J3)*4/3))*0.702)+((O3+(((TODAY()-E3)^0.5)/(336^0.5))+(LOG(J3)*4/3))*0.193))</f>
        <v>3.2543011286500181</v>
      </c>
      <c r="BW3" s="38">
        <f ca="1">IF(TODAY()-E3&gt;335,((O3+1+(LOG(J3)*4/3))*0.148),((O3+(((TODAY()-E3)^0.5)/(336^0.5))+(LOG(J3)*4/3))*0.148))</f>
        <v>0.68355712071531016</v>
      </c>
      <c r="BX3" s="38">
        <f ca="1">IF(TODAY()-E3&gt;335,((M3+1+(LOG(J3)*4/3))*0.406),((M3+(((TODAY()-E3)^0.5)/(336^0.5))+(LOG(J3)*4/3))*0.406))</f>
        <v>1.7725807861064145</v>
      </c>
      <c r="BY3" s="38">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2.075299810085653</v>
      </c>
      <c r="BZ3" s="38">
        <f ca="1">IF(D3="TEC",IF(TODAY()-E3&gt;335,((O3+1+(LOG(J3)*4/3))*0.543)+((P3+1+(LOG(J3)*4/3))*0.583),((O3+(((TODAY()-E3)^0.5)/(336^0.5))+(LOG(J3)*4/3))*0.543)+((P3+(((TODAY()-E3)^0.5)/(336^0.5))+(LOG(J3)*4/3))*0.583)),IF(TODAY()-E3&gt;335,((O3+1+(LOG(J3)*4/3))*0.543)+((P3+1+(LOG(J3)*4/3))*0.583),((O3+(((TODAY()-E3)^0.5)/(336^0.5))+(LOG(J3)*4/3))*0.543)+((P3+(((TODAY()-E3)^0.5)/(336^0.5))+(LOG(J3)*4/3))*0.583)))</f>
        <v>4.5091384724691848</v>
      </c>
      <c r="CA3" s="38">
        <f ca="1">BY3</f>
        <v>2.075299810085653</v>
      </c>
      <c r="CB3" s="38">
        <f ca="1">IF(TODAY()-E3&gt;335,((P3+1+(LOG(J3)*4/3))*0.26)+((N3+1+(LOG(J3)*4/3))*0.221)+((O3+1+(LOG(J3)*4/3))*0.142),((P3+(((TODAY()-E3)^0.5)/(336^0.5))+(LOG(J3)*4/3))*0.26)+((N3+(((TODAY()-E3)^0.5)/(336^0.5))+(LOG(J3)*4/3))*0.221)+((P3+(((TODAY()-E3)^0.5)/(336^0.5))+(LOG(J3)*4/3))*0.142))</f>
        <v>2.1237946545426012</v>
      </c>
      <c r="CC3" s="38">
        <f ca="1">IF(TODAY()-E3&gt;335,((P3+1+(LOG(J3)*4/3))*1)+((O3+1+(LOG(J3)*4/3))*0.369),((P3+(((TODAY()-E3)^0.5)/(336^0.5))+(LOG(J3)*4/3))*1)+((O3+(((TODAY()-E3)^0.5)/(336^0.5))+(LOG(J3)*4/3))*0.369))</f>
        <v>5.1369033666166199</v>
      </c>
      <c r="CD3" s="38">
        <f ca="1">CB3</f>
        <v>2.1237946545426012</v>
      </c>
      <c r="CE3" s="38">
        <f ca="1">IF(TODAY()-E3&gt;335,((M3+1+(LOG(J3)*4/3))*0.25),((M3+(((TODAY()-E3)^0.5)/(336^0.5))+(LOG(J3)*4/3))*0.25))</f>
        <v>1.091490631838925</v>
      </c>
    </row>
    <row r="4" spans="1:83" x14ac:dyDescent="0.25">
      <c r="A4" t="str">
        <f>PLANTILLA!D5</f>
        <v>Valeri Gomis</v>
      </c>
      <c r="B4">
        <f>PLANTILLA!E5</f>
        <v>17</v>
      </c>
      <c r="C4" s="34">
        <f ca="1">PLANTILLA!F5</f>
        <v>55</v>
      </c>
      <c r="D4" s="222" t="str">
        <f>PLANTILLA!G5</f>
        <v>IMP</v>
      </c>
      <c r="E4" s="31">
        <f>PLANTILLA!M5</f>
        <v>43051</v>
      </c>
      <c r="F4" s="48">
        <f>PLANTILLA!Q5</f>
        <v>6</v>
      </c>
      <c r="G4" s="49">
        <f t="shared" ref="G4:G20" si="1">(F4/7)^0.5</f>
        <v>0.92582009977255142</v>
      </c>
      <c r="H4" s="49">
        <f t="shared" ref="H4:H20" si="2">IF(F4=7,1,((F4+0.99)/7)^0.5)</f>
        <v>0.99928545900129484</v>
      </c>
      <c r="I4" s="52">
        <f t="shared" ref="I4:I20" ca="1" si="3">IF(TODAY()-E4&gt;335,1,((TODAY()-E4)^0.5)/336^0.5)</f>
        <v>0.34503277967117713</v>
      </c>
      <c r="J4" s="40">
        <f>PLANTILLA!I5</f>
        <v>1</v>
      </c>
      <c r="K4" s="47">
        <f>PLANTILLA!X5</f>
        <v>0</v>
      </c>
      <c r="L4" s="47">
        <f>PLANTILLA!Y5</f>
        <v>6</v>
      </c>
      <c r="M4" s="47">
        <f>PLANTILLA!Z5</f>
        <v>3</v>
      </c>
      <c r="N4" s="47">
        <f>PLANTILLA!AA5</f>
        <v>3</v>
      </c>
      <c r="O4" s="47">
        <f>PLANTILLA!AB5</f>
        <v>5.4</v>
      </c>
      <c r="P4" s="47">
        <f>PLANTILLA!AC5</f>
        <v>3.0033333333333334</v>
      </c>
      <c r="Q4" s="47">
        <f>PLANTILLA!AD5</f>
        <v>3</v>
      </c>
      <c r="R4" s="47">
        <f t="shared" ref="R4:R5" si="4">((2*(O4+1))+(L4+1))/8</f>
        <v>2.4750000000000001</v>
      </c>
      <c r="S4" s="47">
        <f t="shared" ref="S4:S5" si="5">(0.5*P4+ 0.3*Q4)/10</f>
        <v>0.24016666666666664</v>
      </c>
      <c r="T4" s="47">
        <f t="shared" ref="T4:T5" si="6">(0.4*L4+0.3*Q4)/10</f>
        <v>0.33</v>
      </c>
      <c r="U4" s="47">
        <f t="shared" ref="U4:U5" ca="1" si="7">IF(TODAY()-E4&gt;335,(Q4+1+(LOG(J4)*4/3))*(F4/7)^0.5,(Q4+((TODAY()-E4)^0.5)/(336^0.5)+(LOG(J4)*4/3))*(F4/7)^0.5)</f>
        <v>3.0968985818176242</v>
      </c>
      <c r="V4" s="47">
        <f t="shared" ref="V4:V5" ca="1" si="8">IF(F4=7,U4,IF(TODAY()-E4&gt;335,(Q4+1+(LOG(J4)*4/3))*((F4+0.99)/7)^0.5,(Q4+((TODAY()-E4)^0.5)/(336^0.5)+(LOG(J4)*4/3))*((F4+0.99)/7)^0.5))</f>
        <v>3.3426426166080896</v>
      </c>
      <c r="W4" s="38">
        <f t="shared" ref="W4:W5" ca="1" si="9">IF(TODAY()-E4&gt;335,((K4+1+(LOG(J4)*4/3))*0.597)+((L4+1+(LOG(J4)*4/3))*0.276),((K4+(((TODAY()-E4)^0.5)/(336^0.5))+(LOG(J4)*4/3))*0.597)+((L4+(((TODAY()-E4)^0.5)/(336^0.5))+(LOG(J4)*4/3))*0.276))</f>
        <v>1.9572136166529379</v>
      </c>
      <c r="X4" s="38">
        <f t="shared" ref="X4:X5" ca="1" si="10">IF(TODAY()-E4&gt;335,((K4+1+(LOG(J4)*4/3))*0.866)+((L4+1+(LOG(J4)*4/3))*0.425),((K4+(((TODAY()-E4)^0.5)/(336^0.5))+(LOG(J4)*4/3))*0.866)+((L4+(((TODAY()-E4)^0.5)/(336^0.5))+(LOG(J4)*4/3))*0.425))</f>
        <v>2.9954373185554899</v>
      </c>
      <c r="Y4" s="38">
        <f t="shared" ref="Y4:Y5" ca="1" si="11">W4</f>
        <v>1.9572136166529379</v>
      </c>
      <c r="Z4" s="38">
        <f t="shared" ref="Z4:Z5" ca="1" si="12">IF(TODAY()-E4&gt;335,((L4+1+(LOG(J4)*4/3))*0.516),((L4+(((TODAY()-E4)^0.5)/(336^0.516))+(LOG(J4)*4/3))*0.516))</f>
        <v>3.2582141107674438</v>
      </c>
      <c r="AA4" s="38">
        <f t="shared" ref="AA4:AA5" ca="1" si="13">IF(TODAY()-E4&gt;335,((L4+1+(LOG(J4)*4/3))*1),((L4+(((TODAY()-E4)^0.5)/(336^0.5))+(LOG(J4)*4/3))*1))</f>
        <v>6.3450327796711772</v>
      </c>
      <c r="AB4" s="38">
        <f t="shared" ref="AB4:AB5" ca="1" si="14">Z4/2</f>
        <v>1.6291070553837219</v>
      </c>
      <c r="AC4" s="38">
        <f t="shared" ref="AC4:AC5" ca="1" si="15">IF(TODAY()-E4&gt;335,((M4+1+(LOG(J4)*4/3))*0.238),((M4+(((TODAY()-E4)^0.5)/(336^0.238))+(LOG(J4)*4/3))*0.238))</f>
        <v>1.0909972694777528</v>
      </c>
      <c r="AD4" s="38">
        <f t="shared" ref="AD4:AD5" ca="1" si="16">IF(TODAY()-E4&gt;335,((L4+1+(LOG(J4)*4/3))*0.378),((L4+(((TODAY()-E4)^0.5)/(336^0.516))+(LOG(J4)*4/3))*0.378))</f>
        <v>2.3868312671901042</v>
      </c>
      <c r="AE4" s="38">
        <f t="shared" ref="AE4:AE5" ca="1" si="17">IF(TODAY()-E4&gt;335,((L4+1+(LOG(J4)*4/3))*0.723),((L4+(((TODAY()-E4)^0.5)/(336^0.5))+(LOG(J4)*4/3))*0.723))</f>
        <v>4.5874586997022613</v>
      </c>
      <c r="AF4" s="38">
        <f t="shared" ref="AF4:AF5" ca="1" si="18">AD4/2</f>
        <v>1.1934156335950521</v>
      </c>
      <c r="AG4" s="38">
        <f t="shared" ref="AG4:AG5" ca="1" si="19">IF(TODAY()-E4&gt;335,((M4+1+(LOG(J4)*4/3))*0.385),((M4+(((TODAY()-E4)^0.5)/(336^0.238))+(LOG(J4)*4/3))*0.385))</f>
        <v>1.7648485241551886</v>
      </c>
      <c r="AH4" s="38">
        <f t="shared" ref="AH4:AH5" ca="1" si="20">IF(TODAY()-E4&gt;335,((L4+1+(LOG(J4)*4/3))*0.92),((L4+(((TODAY()-E4)^0.5)/(336^0.5))+(LOG(J4)*4/3))*0.92))</f>
        <v>5.8374301572974829</v>
      </c>
      <c r="AI4" s="38">
        <f t="shared" ref="AI4:AI5" ca="1" si="21">IF(TODAY()-E4&gt;335,((L4+1+(LOG(J4)*4/3))*0.414),((L4+(((TODAY()-E4)^0.5)/(336^0.414))+(LOG(J4)*4/3))*0.414))</f>
        <v>2.7195731970488777</v>
      </c>
      <c r="AJ4" s="38">
        <f t="shared" ref="AJ4:AJ5" ca="1" si="22">IF(TODAY()-E4&gt;335,((M4+1+(LOG(J4)*4/3))*0.167),((M4+(((TODAY()-E4)^0.5)/(336^0.5))+(LOG(J4)*4/3))*0.167))</f>
        <v>0.55862047420508665</v>
      </c>
      <c r="AK4" s="38">
        <f t="shared" ref="AK4:AK5" ca="1" si="23">IF(TODAY()-E4&gt;335,((N4+1+(LOG(J4)*4/3))*0.588),((N4+(((TODAY()-E4)^0.5)/(336^0.5))+(LOG(J4)*4/3))*0.588))</f>
        <v>1.9668792744466521</v>
      </c>
      <c r="AL4" s="38">
        <f t="shared" ref="AL4:AL5" ca="1" si="24">IF(TODAY()-E4&gt;335,((L4+1+(LOG(J4)*4/3))*0.754),((L4+(((TODAY()-E4)^0.5)/(336^0.5))+(LOG(J4)*4/3))*0.754))</f>
        <v>4.7841547158720674</v>
      </c>
      <c r="AM4" s="38">
        <f t="shared" ref="AM4:AM5" ca="1" si="25">IF(TODAY()-E4&gt;335,((L4+1+(LOG(J4)*4/3))*0.708),((L4+(((TODAY()-E4)^0.5)/(336^0.414))+(LOG(J4)*4/3))*0.708))</f>
        <v>4.6508643079966312</v>
      </c>
      <c r="AN4" s="38">
        <f t="shared" ref="AN4:AN5" ca="1" si="26">IF(TODAY()-E4&gt;335,((Q4+1+(LOG(J4)*4/3))*0.167),((Q4+(((TODAY()-E4)^0.5)/(336^0.5))+(LOG(J4)*4/3))*0.167))</f>
        <v>0.55862047420508665</v>
      </c>
      <c r="AO4" s="38">
        <f t="shared" ref="AO4:AO5" ca="1" si="27">IF(TODAY()-E4&gt;335,((R4+1+(LOG(J4)*4/3))*0.288),((R4+(((TODAY()-E4)^0.5)/(336^0.5))+(LOG(J4)*4/3))*0.288))</f>
        <v>0.81216944054529894</v>
      </c>
      <c r="AP4" s="38">
        <f t="shared" ref="AP4:AP5" ca="1" si="28">IF(TODAY()-E4&gt;335,((L4+1+(LOG(J4)*4/3))*0.27),((L4+(((TODAY()-E4)^0.5)/(336^0.5))+(LOG(J4)*4/3))*0.27))</f>
        <v>1.7131588505112179</v>
      </c>
      <c r="AQ4" s="38">
        <f t="shared" ref="AQ4:AQ5" ca="1" si="29">IF(TODAY()-E4&gt;335,((L4+1+(LOG(J4)*4/3))*0.594),((L4+(((TODAY()-E4)^0.5)/(336^0.5))+(LOG(J4)*4/3))*0.594))</f>
        <v>3.7689494711246789</v>
      </c>
      <c r="AR4" s="38">
        <f t="shared" ref="AR4:AR5" ca="1" si="30">AP4/2</f>
        <v>0.85657942525560893</v>
      </c>
      <c r="AS4" s="38">
        <f t="shared" ref="AS4:AS5" ca="1" si="31">IF(TODAY()-E4&gt;335,((M4+1+(LOG(J4)*4/3))*0.944),((M4+(((TODAY()-E4)^0.5)/(336^0.5))+(LOG(J4)*4/3))*0.944))</f>
        <v>3.1577109440095912</v>
      </c>
      <c r="AT4" s="38">
        <f t="shared" ref="AT4:AT5" ca="1" si="32">IF(TODAY()-E4&gt;335,((O4+1+(LOG(J4)*4/3))*0.13),((O4+(((TODAY()-E4)^0.5)/(336^0.5))+(LOG(J4)*4/3))*0.13))</f>
        <v>0.74685426135725308</v>
      </c>
      <c r="AU4" s="38">
        <f t="shared" ref="AU4:AU5" ca="1" si="33">IF(TODAY()-E4&gt;335,((P4+1+(LOG(J4)*4/3))*0.173)+((O4+1+(LOG(J4)*4/3))*0.12),((P4+(((TODAY()-E4)^0.5)/(336^0.5))+(LOG(J4)*4/3))*0.173)+((O4+(((TODAY()-E4)^0.5)/(336^0.5))+(LOG(J4)*4/3))*0.12))</f>
        <v>1.2686712711103216</v>
      </c>
      <c r="AV4" s="38">
        <f t="shared" ref="AV4:AV5" ca="1" si="34">AT4/2</f>
        <v>0.37342713067862654</v>
      </c>
      <c r="AW4" s="38">
        <f t="shared" ref="AW4:AW5" ca="1" si="35">IF(TODAY()-E4&gt;335,((L4+1+(LOG(J4)*4/3))*0.189),((L4+(((TODAY()-E4)^0.5)/(336^0.5))+(LOG(J4)*4/3))*0.189))</f>
        <v>1.1992111953578526</v>
      </c>
      <c r="AX4" s="38">
        <f t="shared" ref="AX4:AX5" ca="1" si="36">IF(TODAY()-E4&gt;335,((L4+1+(LOG(J4)*4/3))*0.4),((L4+(((TODAY()-E4)^0.5)/(336^0.5))+(LOG(J4)*4/3))*0.4))</f>
        <v>2.5380131118684712</v>
      </c>
      <c r="AY4" s="38">
        <f t="shared" ref="AY4:AY5" ca="1" si="37">AW4/2</f>
        <v>0.59960559767892629</v>
      </c>
      <c r="AZ4" s="38">
        <f t="shared" ref="AZ4:AZ5" ca="1" si="38">IF(TODAY()-E4&gt;335,((M4+1+(LOG(J4)*4/3))*1),((M4+(((TODAY()-E4)^0.5)/(336^0.5))+(LOG(J4)*4/3))*1))</f>
        <v>3.3450327796711772</v>
      </c>
      <c r="BA4" s="38">
        <f t="shared" ref="BA4:BA5" ca="1" si="39">IF(TODAY()-E4&gt;335,((O4+1+(LOG(J4)*4/3))*0.253),((O4+(((TODAY()-E4)^0.5)/(336^0.5))+(LOG(J4)*4/3))*0.253))</f>
        <v>1.4534932932568079</v>
      </c>
      <c r="BB4" s="38">
        <f t="shared" ref="BB4:BB5" ca="1" si="40">IF(TODAY()-E4&gt;335,((P4+1+(LOG(J4)*4/3))*0.21)+((O4+1+(LOG(J4)*4/3))*0.341),((P4+(((TODAY()-E4)^0.5)/(336^0.5))+(LOG(J4)*4/3))*0.21)+((O4+(((TODAY()-E4)^0.5)/(336^0.5))+(LOG(J4)*4/3))*0.341))</f>
        <v>2.6622130615988189</v>
      </c>
      <c r="BC4" s="38">
        <f t="shared" ref="BC4:BC5" ca="1" si="41">BA4/2</f>
        <v>0.72674664662840394</v>
      </c>
      <c r="BD4" s="38">
        <f t="shared" ref="BD4:BD5" ca="1" si="42">IF(TODAY()-E4&gt;335,((L4+1+(LOG(J4)*4/3))*0.291),((L4+(((TODAY()-E4)^0.5)/(336^0.5))+(LOG(J4)*4/3))*0.291))</f>
        <v>1.8464045388843124</v>
      </c>
      <c r="BE4" s="38">
        <f t="shared" ref="BE4:BE5" ca="1" si="43">IF(TODAY()-E4&gt;335,((L4+1+(LOG(J4)*4/3))*0.348),((L4+(((TODAY()-E4)^0.5)/(336^0.5))+(LOG(J4)*4/3))*0.348))</f>
        <v>2.2080714073255696</v>
      </c>
      <c r="BF4" s="38">
        <f t="shared" ref="BF4:BF5" ca="1" si="44">IF(TODAY()-E4&gt;335,((M4+1+(LOG(J4)*4/3))*0.881),((M4+(((TODAY()-E4)^0.5)/(336^0.5))+(LOG(J4)*4/3))*0.881))</f>
        <v>2.946973878890307</v>
      </c>
      <c r="BG4" s="38">
        <f t="shared" ref="BG4:BG5" ca="1" si="45">IF(TODAY()-E4&gt;335,((N4+1+(LOG(J4)*4/3))*0.574)+((O4+1+(LOG(J4)*4/3))*0.315),((N4+(((TODAY()-E4)^0.5)/(336^0.5))+(LOG(J4)*4/3))*0.574)+((O4+(((TODAY()-E4)^0.5)/(336^0.5))+(LOG(J4)*4/3))*0.315))</f>
        <v>3.7297341411276763</v>
      </c>
      <c r="BH4" s="38">
        <f t="shared" ref="BH4:BH5" ca="1" si="46">IF(TODAY()-E4&gt;335,((O4+1+(LOG(J4)*4/3))*0.241),((O4+(((TODAY()-E4)^0.5)/(336^0.5))+(LOG(J4)*4/3))*0.241))</f>
        <v>1.3845528999007537</v>
      </c>
      <c r="BI4" s="38">
        <f t="shared" ref="BI4:BI5" ca="1" si="47">IF(TODAY()-E4&gt;335,((L4+1+(LOG(J4)*4/3))*0.485),((L4+(((TODAY()-E4)^0.5)/(336^0.5))+(LOG(J4)*4/3))*0.485))</f>
        <v>3.077340898140521</v>
      </c>
      <c r="BJ4" s="38">
        <f t="shared" ref="BJ4:BJ5" ca="1" si="48">IF(TODAY()-E4&gt;335,((L4+1+(LOG(J4)*4/3))*0.264),((L4+(((TODAY()-E4)^0.5)/(336^0.5))+(LOG(J4)*4/3))*0.264))</f>
        <v>1.6750886538331908</v>
      </c>
      <c r="BK4" s="38">
        <f t="shared" ref="BK4:BK5" ca="1" si="49">IF(TODAY()-E4&gt;335,((M4+1+(LOG(J4)*4/3))*0.381),((M4+(((TODAY()-E4)^0.5)/(336^0.5))+(LOG(J4)*4/3))*0.381))</f>
        <v>1.2744574890547185</v>
      </c>
      <c r="BL4" s="38">
        <f t="shared" ref="BL4:BL5" ca="1" si="50">IF(TODAY()-E4&gt;335,((N4+1+(LOG(J4)*4/3))*0.673)+((O4+1+(LOG(J4)*4/3))*0.201),((N4+(((TODAY()-E4)^0.5)/(336^0.5))+(LOG(J4)*4/3))*0.673)+((O4+(((TODAY()-E4)^0.5)/(336^0.5))+(LOG(J4)*4/3))*0.201))</f>
        <v>3.4059586494326091</v>
      </c>
      <c r="BM4" s="38">
        <f t="shared" ref="BM4:BM5" ca="1" si="51">IF(TODAY()-E4&gt;335,((O4+1+(LOG(J4)*4/3))*0.052),((O4+(((TODAY()-E4)^0.5)/(336^0.5))+(LOG(J4)*4/3))*0.052))</f>
        <v>0.29874170454290122</v>
      </c>
      <c r="BN4" s="38">
        <f t="shared" ref="BN4:BN5" ca="1" si="52">IF(TODAY()-E4&gt;335,((L4+1+(LOG(J4)*4/3))*0.18),((L4+(((TODAY()-E4)^0.5)/(336^0.5))+(LOG(J4)*4/3))*0.18))</f>
        <v>1.1421059003408118</v>
      </c>
      <c r="BO4" s="38">
        <f t="shared" ref="BO4:BO5" ca="1" si="53">IF(TODAY()-E4&gt;335,((L4+1+(LOG(J4)*4/3))*0.068),((L4+(((TODAY()-E4)^0.5)/(336^0.5))+(LOG(J4)*4/3))*0.068))</f>
        <v>0.43146222901764009</v>
      </c>
      <c r="BP4" s="38">
        <f t="shared" ref="BP4:BP5" ca="1" si="54">IF(TODAY()-E4&gt;335,((M4+1+(LOG(J4)*4/3))*0.305),((M4+(((TODAY()-E4)^0.5)/(336^0.5))+(LOG(J4)*4/3))*0.305))</f>
        <v>1.0202349977997089</v>
      </c>
      <c r="BQ4" s="38">
        <f t="shared" ref="BQ4:BQ5" ca="1" si="55">IF(TODAY()-E4&gt;335,((N4+1+(LOG(J4)*4/3))*1)+((O4+1+(LOG(J4)*4/3))*0.286),((N4+(((TODAY()-E4)^0.5)/(336^0.5))+(LOG(J4)*4/3))*1)+((O4+(((TODAY()-E4)^0.5)/(336^0.5))+(LOG(J4)*4/3))*0.286))</f>
        <v>4.9881121546571343</v>
      </c>
      <c r="BR4" s="38">
        <f t="shared" ref="BR4:BR5" ca="1" si="56">IF(TODAY()-E4&gt;335,((O4+1+(LOG(J4)*4/3))*0.135),((O4+(((TODAY()-E4)^0.5)/(336^0.5))+(LOG(J4)*4/3))*0.135))</f>
        <v>0.77557942525560897</v>
      </c>
      <c r="BS4" s="38">
        <f t="shared" ref="BS4:BS5" ca="1" si="57">IF(TODAY()-E4&gt;335,((L4+1+(LOG(J4)*4/3))*0.284),((L4+(((TODAY()-E4)^0.5)/(336^0.5))+(LOG(J4)*4/3))*0.284))</f>
        <v>1.8019893094266142</v>
      </c>
      <c r="BT4" s="38">
        <f t="shared" ref="BT4:BT5" ca="1" si="58">IF(TODAY()-E4&gt;335,((L4+1+(LOG(J4)*4/3))*0.244),((L4+(((TODAY()-E4)^0.5)/(336^0.5))+(LOG(J4)*4/3))*0.244))</f>
        <v>1.5481879982397673</v>
      </c>
      <c r="BU4" s="38">
        <f t="shared" ref="BU4:BU5" ca="1" si="59">IF(TODAY()-E4&gt;335,((M4+1+(LOG(J4)*4/3))*0.631),((M4+(((TODAY()-E4)^0.5)/(336^0.5))+(LOG(J4)*4/3))*0.631))</f>
        <v>2.1107156839725127</v>
      </c>
      <c r="BV4" s="38">
        <f t="shared" ref="BV4:BV5" ca="1" si="60">IF(TODAY()-E4&gt;335,((N4+1+(LOG(J4)*4/3))*0.702)+((O4+1+(LOG(J4)*4/3))*0.193),((N4+(((TODAY()-E4)^0.5)/(336^0.5))+(LOG(J4)*4/3))*0.702)+((O4+(((TODAY()-E4)^0.5)/(336^0.5))+(LOG(J4)*4/3))*0.193))</f>
        <v>3.4570043378057038</v>
      </c>
      <c r="BW4" s="38">
        <f t="shared" ref="BW4:BW5" ca="1" si="61">IF(TODAY()-E4&gt;335,((O4+1+(LOG(J4)*4/3))*0.148),((O4+(((TODAY()-E4)^0.5)/(336^0.5))+(LOG(J4)*4/3))*0.148))</f>
        <v>0.85026485139133423</v>
      </c>
      <c r="BX4" s="38">
        <f t="shared" ref="BX4:BX5" ca="1" si="62">IF(TODAY()-E4&gt;335,((M4+1+(LOG(J4)*4/3))*0.406),((M4+(((TODAY()-E4)^0.5)/(336^0.5))+(LOG(J4)*4/3))*0.406))</f>
        <v>1.3580833085464981</v>
      </c>
      <c r="BY4" s="38">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2.3431854115420165</v>
      </c>
      <c r="BZ4" s="38">
        <f t="shared" ref="BZ4:BZ5" ca="1" si="64">IF(D4="TEC",IF(TODAY()-E4&gt;335,((O4+1+(LOG(J4)*4/3))*0.543)+((P4+1+(LOG(J4)*4/3))*0.583),((O4+(((TODAY()-E4)^0.5)/(336^0.5))+(LOG(J4)*4/3))*0.543)+((P4+(((TODAY()-E4)^0.5)/(336^0.5))+(LOG(J4)*4/3))*0.583)),IF(TODAY()-E4&gt;335,((O4+1+(LOG(J4)*4/3))*0.543)+((P4+1+(LOG(J4)*4/3))*0.583),((O4+(((TODAY()-E4)^0.5)/(336^0.5))+(LOG(J4)*4/3))*0.543)+((P4+(((TODAY()-E4)^0.5)/(336^0.5))+(LOG(J4)*4/3))*0.583)))</f>
        <v>5.071650243243079</v>
      </c>
      <c r="CA4" s="38">
        <f t="shared" ref="CA4:CA5" ca="1" si="65">BY4</f>
        <v>2.3431854115420165</v>
      </c>
      <c r="CB4" s="38">
        <f t="shared" ref="CB4:CB5" ca="1" si="66">IF(TODAY()-E4&gt;335,((P4+1+(LOG(J4)*4/3))*0.26)+((N4+1+(LOG(J4)*4/3))*0.221)+((O4+1+(LOG(J4)*4/3))*0.142),((P4+(((TODAY()-E4)^0.5)/(336^0.5))+(LOG(J4)*4/3))*0.26)+((N4+(((TODAY()-E4)^0.5)/(336^0.5))+(LOG(J4)*4/3))*0.221)+((P4+(((TODAY()-E4)^0.5)/(336^0.5))+(LOG(J4)*4/3))*0.142))</f>
        <v>2.0852954217351436</v>
      </c>
      <c r="CC4" s="38">
        <f t="shared" ref="CC4:CC5" ca="1" si="67">IF(TODAY()-E4&gt;335,((P4+1+(LOG(J4)*4/3))*1)+((O4+1+(LOG(J4)*4/3))*0.369),((P4+(((TODAY()-E4)^0.5)/(336^0.5))+(LOG(J4)*4/3))*1)+((O4+(((TODAY()-E4)^0.5)/(336^0.5))+(LOG(J4)*4/3))*0.369))</f>
        <v>5.4682832087031752</v>
      </c>
      <c r="CD4" s="38">
        <f t="shared" ref="CD4:CD5" ca="1" si="68">CB4</f>
        <v>2.0852954217351436</v>
      </c>
      <c r="CE4" s="38">
        <f t="shared" ref="CE4:CE5" ca="1" si="69">IF(TODAY()-E4&gt;335,((M4+1+(LOG(J4)*4/3))*0.25),((M4+(((TODAY()-E4)^0.5)/(336^0.5))+(LOG(J4)*4/3))*0.25))</f>
        <v>0.8362581949177943</v>
      </c>
    </row>
    <row r="5" spans="1:83" x14ac:dyDescent="0.25">
      <c r="A5" t="str">
        <f>PLANTILLA!D6</f>
        <v>J. G. de Minaya</v>
      </c>
      <c r="B5">
        <f>PLANTILLA!E6</f>
        <v>17</v>
      </c>
      <c r="C5" s="34">
        <f ca="1">PLANTILLA!F6</f>
        <v>65</v>
      </c>
      <c r="D5" s="222" t="str">
        <f>PLANTILLA!G6</f>
        <v>TEC</v>
      </c>
      <c r="E5" s="31">
        <f>PLANTILLA!M6</f>
        <v>43081</v>
      </c>
      <c r="F5" s="48">
        <f>PLANTILLA!Q6</f>
        <v>5</v>
      </c>
      <c r="G5" s="49">
        <f t="shared" si="1"/>
        <v>0.84515425472851657</v>
      </c>
      <c r="H5" s="49">
        <f t="shared" si="2"/>
        <v>0.92504826128926143</v>
      </c>
      <c r="I5" s="52">
        <f t="shared" ca="1" si="3"/>
        <v>0.17251638983558856</v>
      </c>
      <c r="J5" s="40">
        <f>PLANTILLA!I6</f>
        <v>1.2</v>
      </c>
      <c r="K5" s="47">
        <f>PLANTILLA!X6</f>
        <v>0</v>
      </c>
      <c r="L5" s="47">
        <f>PLANTILLA!Y6</f>
        <v>6</v>
      </c>
      <c r="M5" s="47">
        <f>PLANTILLA!Z6</f>
        <v>5</v>
      </c>
      <c r="N5" s="47">
        <f>PLANTILLA!AA6</f>
        <v>6</v>
      </c>
      <c r="O5" s="47">
        <f>PLANTILLA!AB6</f>
        <v>6</v>
      </c>
      <c r="P5" s="47">
        <f>PLANTILLA!AC6</f>
        <v>4.333333333333333</v>
      </c>
      <c r="Q5" s="47">
        <f>PLANTILLA!AD6</f>
        <v>0</v>
      </c>
      <c r="R5" s="47">
        <f t="shared" si="4"/>
        <v>2.625</v>
      </c>
      <c r="S5" s="47">
        <f t="shared" si="5"/>
        <v>0.21666666666666665</v>
      </c>
      <c r="T5" s="47">
        <f t="shared" si="6"/>
        <v>0.24000000000000005</v>
      </c>
      <c r="U5" s="47">
        <f t="shared" ca="1" si="7"/>
        <v>0.23503011686909195</v>
      </c>
      <c r="V5" s="47">
        <f t="shared" ca="1" si="8"/>
        <v>0.25724795177207499</v>
      </c>
      <c r="W5" s="38">
        <f t="shared" ca="1" si="9"/>
        <v>1.8987737787259042</v>
      </c>
      <c r="X5" s="38">
        <f t="shared" ca="1" si="10"/>
        <v>2.9090159774743896</v>
      </c>
      <c r="Y5" s="38">
        <f t="shared" ca="1" si="11"/>
        <v>1.8987737787259042</v>
      </c>
      <c r="Z5" s="38">
        <f t="shared" ca="1" si="12"/>
        <v>3.2315837526644882</v>
      </c>
      <c r="AA5" s="38">
        <f t="shared" ca="1" si="13"/>
        <v>6.2780913845657551</v>
      </c>
      <c r="AB5" s="38">
        <f t="shared" ca="1" si="14"/>
        <v>1.6157918763322441</v>
      </c>
      <c r="AC5" s="38">
        <f t="shared" ca="1" si="15"/>
        <v>1.403625483484656</v>
      </c>
      <c r="AD5" s="38">
        <f t="shared" ca="1" si="16"/>
        <v>2.367322981603055</v>
      </c>
      <c r="AE5" s="38">
        <f t="shared" ca="1" si="17"/>
        <v>4.5390600710410407</v>
      </c>
      <c r="AF5" s="38">
        <f t="shared" ca="1" si="18"/>
        <v>1.1836614908015275</v>
      </c>
      <c r="AG5" s="38">
        <f t="shared" ca="1" si="19"/>
        <v>2.270570635048708</v>
      </c>
      <c r="AH5" s="38">
        <f t="shared" ca="1" si="20"/>
        <v>5.7758440738004948</v>
      </c>
      <c r="AI5" s="38">
        <f t="shared" ca="1" si="21"/>
        <v>2.6454946463427276</v>
      </c>
      <c r="AJ5" s="38">
        <f t="shared" ca="1" si="22"/>
        <v>0.88144126122248112</v>
      </c>
      <c r="AK5" s="38">
        <f t="shared" ca="1" si="23"/>
        <v>3.6915177341246639</v>
      </c>
      <c r="AL5" s="38">
        <f t="shared" ca="1" si="24"/>
        <v>4.7336809039625791</v>
      </c>
      <c r="AM5" s="38">
        <f t="shared" ca="1" si="25"/>
        <v>4.5241792502672737</v>
      </c>
      <c r="AN5" s="38">
        <f t="shared" ca="1" si="26"/>
        <v>4.6441261222481087E-2</v>
      </c>
      <c r="AO5" s="38">
        <f t="shared" ca="1" si="27"/>
        <v>0.83609031875493744</v>
      </c>
      <c r="AP5" s="38">
        <f t="shared" ca="1" si="28"/>
        <v>1.6950846738327541</v>
      </c>
      <c r="AQ5" s="38">
        <f t="shared" ca="1" si="29"/>
        <v>3.7291862824320585</v>
      </c>
      <c r="AR5" s="38">
        <f t="shared" ca="1" si="30"/>
        <v>0.84754233691637704</v>
      </c>
      <c r="AS5" s="38">
        <f t="shared" ca="1" si="31"/>
        <v>4.9825182670300725</v>
      </c>
      <c r="AT5" s="38">
        <f t="shared" ca="1" si="32"/>
        <v>0.81615187999354821</v>
      </c>
      <c r="AU5" s="38">
        <f t="shared" ca="1" si="33"/>
        <v>1.5511474423444329</v>
      </c>
      <c r="AV5" s="38">
        <f t="shared" ca="1" si="34"/>
        <v>0.40807593999677411</v>
      </c>
      <c r="AW5" s="38">
        <f t="shared" ca="1" si="35"/>
        <v>1.1865592716829276</v>
      </c>
      <c r="AX5" s="38">
        <f t="shared" ca="1" si="36"/>
        <v>2.5112365538263024</v>
      </c>
      <c r="AY5" s="38">
        <f t="shared" ca="1" si="37"/>
        <v>0.59327963584146381</v>
      </c>
      <c r="AZ5" s="38">
        <f t="shared" ca="1" si="38"/>
        <v>5.2780913845657551</v>
      </c>
      <c r="BA5" s="38">
        <f t="shared" ca="1" si="39"/>
        <v>1.5883571202951361</v>
      </c>
      <c r="BB5" s="38">
        <f t="shared" ca="1" si="40"/>
        <v>3.1092283528957312</v>
      </c>
      <c r="BC5" s="38">
        <f t="shared" ca="1" si="41"/>
        <v>0.79417856014756805</v>
      </c>
      <c r="BD5" s="38">
        <f t="shared" ca="1" si="42"/>
        <v>1.8269245929086346</v>
      </c>
      <c r="BE5" s="38">
        <f t="shared" ca="1" si="43"/>
        <v>2.1847758018288825</v>
      </c>
      <c r="BF5" s="38">
        <f t="shared" ca="1" si="44"/>
        <v>4.6499985098024306</v>
      </c>
      <c r="BG5" s="38">
        <f t="shared" ca="1" si="45"/>
        <v>5.5812232408789564</v>
      </c>
      <c r="BH5" s="38">
        <f t="shared" ca="1" si="46"/>
        <v>1.5130200236803468</v>
      </c>
      <c r="BI5" s="38">
        <f t="shared" ca="1" si="47"/>
        <v>3.0448743215143912</v>
      </c>
      <c r="BJ5" s="38">
        <f t="shared" ca="1" si="48"/>
        <v>1.6574161255253594</v>
      </c>
      <c r="BK5" s="38">
        <f t="shared" ca="1" si="49"/>
        <v>2.0109528175195526</v>
      </c>
      <c r="BL5" s="38">
        <f t="shared" ca="1" si="50"/>
        <v>5.48705187011047</v>
      </c>
      <c r="BM5" s="38">
        <f t="shared" ca="1" si="51"/>
        <v>0.32646075199741925</v>
      </c>
      <c r="BN5" s="38">
        <f t="shared" ca="1" si="52"/>
        <v>1.1300564492218359</v>
      </c>
      <c r="BO5" s="38">
        <f t="shared" ca="1" si="53"/>
        <v>0.42691021415047137</v>
      </c>
      <c r="BP5" s="38">
        <f t="shared" ca="1" si="54"/>
        <v>1.6098178722925554</v>
      </c>
      <c r="BQ5" s="38">
        <f t="shared" ca="1" si="55"/>
        <v>8.0736255205515608</v>
      </c>
      <c r="BR5" s="38">
        <f t="shared" ca="1" si="56"/>
        <v>0.84754233691637704</v>
      </c>
      <c r="BS5" s="38">
        <f t="shared" ca="1" si="57"/>
        <v>1.7829779532166743</v>
      </c>
      <c r="BT5" s="38">
        <f t="shared" ca="1" si="58"/>
        <v>1.5318542978340441</v>
      </c>
      <c r="BU5" s="38">
        <f t="shared" ca="1" si="59"/>
        <v>3.3304756636609913</v>
      </c>
      <c r="BV5" s="38">
        <f t="shared" ca="1" si="60"/>
        <v>5.6188917891863515</v>
      </c>
      <c r="BW5" s="38">
        <f t="shared" ca="1" si="61"/>
        <v>0.92915752491573167</v>
      </c>
      <c r="BX5" s="38">
        <f t="shared" ca="1" si="62"/>
        <v>2.1429051021336969</v>
      </c>
      <c r="BY5" s="38">
        <f t="shared" ca="1" si="63"/>
        <v>3.5614662554573524</v>
      </c>
      <c r="BZ5" s="38">
        <f t="shared" ca="1" si="64"/>
        <v>6.0974642323543735</v>
      </c>
      <c r="CA5" s="38">
        <f t="shared" ca="1" si="65"/>
        <v>3.5614662554573524</v>
      </c>
      <c r="CB5" s="38">
        <f t="shared" ca="1" si="66"/>
        <v>3.2412509325844652</v>
      </c>
      <c r="CC5" s="38">
        <f t="shared" ca="1" si="67"/>
        <v>6.9280404388038512</v>
      </c>
      <c r="CD5" s="38">
        <f t="shared" ca="1" si="68"/>
        <v>3.2412509325844652</v>
      </c>
      <c r="CE5" s="38">
        <f t="shared" ca="1" si="69"/>
        <v>1.3195228461414388</v>
      </c>
    </row>
    <row r="6" spans="1:83" x14ac:dyDescent="0.25">
      <c r="A6" t="str">
        <f>PLANTILLA!D7</f>
        <v>Roberto Montero</v>
      </c>
      <c r="B6">
        <f>PLANTILLA!E7</f>
        <v>17</v>
      </c>
      <c r="C6" s="34">
        <f ca="1">PLANTILLA!F7</f>
        <v>99</v>
      </c>
      <c r="D6" s="222" t="str">
        <f>PLANTILLA!G7</f>
        <v>TEC</v>
      </c>
      <c r="E6" s="31">
        <f>PLANTILLA!M7</f>
        <v>43046</v>
      </c>
      <c r="F6" s="48">
        <f>PLANTILLA!Q7</f>
        <v>5</v>
      </c>
      <c r="G6" s="49">
        <f t="shared" si="1"/>
        <v>0.84515425472851657</v>
      </c>
      <c r="H6" s="49">
        <f t="shared" si="2"/>
        <v>0.92504826128926143</v>
      </c>
      <c r="I6" s="52">
        <f t="shared" ca="1" si="3"/>
        <v>0.36596252735569995</v>
      </c>
      <c r="J6" s="40">
        <f>PLANTILLA!I7</f>
        <v>0.5</v>
      </c>
      <c r="K6" s="47">
        <f>PLANTILLA!X7</f>
        <v>0</v>
      </c>
      <c r="L6" s="47">
        <f>PLANTILLA!Y7</f>
        <v>6</v>
      </c>
      <c r="M6" s="47">
        <f>PLANTILLA!Z7</f>
        <v>4</v>
      </c>
      <c r="N6" s="47">
        <f>PLANTILLA!AA7</f>
        <v>4</v>
      </c>
      <c r="O6" s="47">
        <f>PLANTILLA!AB7</f>
        <v>3.3028</v>
      </c>
      <c r="P6" s="47">
        <f>PLANTILLA!AC7</f>
        <v>3.3333333333333335</v>
      </c>
      <c r="Q6" s="47">
        <f>PLANTILLA!AD7</f>
        <v>6</v>
      </c>
      <c r="R6" s="47">
        <f t="shared" ref="R6:R17" si="70">((2*(O6+1))+(L6+1))/8</f>
        <v>1.9506999999999999</v>
      </c>
      <c r="S6" s="47">
        <f t="shared" ref="S6:S17" si="71">(0.5*P6+ 0.3*Q6)/10</f>
        <v>0.34666666666666668</v>
      </c>
      <c r="T6" s="47">
        <f t="shared" ref="T6:T17" si="72">(0.4*L6+0.3*Q6)/10</f>
        <v>0.42000000000000004</v>
      </c>
      <c r="U6" s="47">
        <f t="shared" ref="U6:U17" ca="1" si="73">IF(TODAY()-E6&gt;335,(Q6+1+(LOG(J6)*4/3))*(F6/7)^0.5,(Q6+((TODAY()-E6)^0.5)/(336^0.5)+(LOG(J6)*4/3))*(F6/7)^0.5)</f>
        <v>5.0409979399218763</v>
      </c>
      <c r="V6" s="47">
        <f t="shared" ref="V6:V17" ca="1" si="74">IF(F6=7,U6,IF(TODAY()-E6&gt;335,(Q6+1+(LOG(J6)*4/3))*((F6+0.99)/7)^0.5,(Q6+((TODAY()-E6)^0.5)/(336^0.5)+(LOG(J6)*4/3))*((F6+0.99)/7)^0.5))</f>
        <v>5.5175328685831424</v>
      </c>
      <c r="W6" s="38">
        <f t="shared" ref="W6:W17" ca="1" si="75">IF(TODAY()-E6&gt;335,((K6+1+(LOG(J6)*4/3))*0.597)+((L6+1+(LOG(J6)*4/3))*0.276),((K6+(((TODAY()-E6)^0.5)/(336^0.5))+(LOG(J6)*4/3))*0.597)+((L6+(((TODAY()-E6)^0.5)/(336^0.5))+(LOG(J6)*4/3))*0.276))</f>
        <v>1.6250863714286521</v>
      </c>
      <c r="X6" s="38">
        <f t="shared" ref="X6:X17" ca="1" si="76">IF(TODAY()-E6&gt;335,((K6+1+(LOG(J6)*4/3))*0.866)+((L6+1+(LOG(J6)*4/3))*0.425),((K6+(((TODAY()-E6)^0.5)/(336^0.5))+(LOG(J6)*4/3))*0.866)+((L6+(((TODAY()-E6)^0.5)/(336^0.5))+(LOG(J6)*4/3))*0.425))</f>
        <v>2.5042846569466088</v>
      </c>
      <c r="Y6" s="38">
        <f t="shared" ref="Y6:Y17" ca="1" si="77">W6</f>
        <v>1.6250863714286521</v>
      </c>
      <c r="Z6" s="38">
        <f t="shared" ref="Z6:Z17" ca="1" si="78">IF(TODAY()-E6&gt;335,((L6+1+(LOG(J6)*4/3))*0.516),((L6+(((TODAY()-E6)^0.5)/(336^0.516))+(LOG(J6)*4/3))*0.516))</f>
        <v>3.0609454095748889</v>
      </c>
      <c r="AA6" s="38">
        <f t="shared" ref="AA6:AA17" ca="1" si="79">IF(TODAY()-E6&gt;335,((L6+1+(LOG(J6)*4/3))*1),((L6+(((TODAY()-E6)^0.5)/(336^0.5))+(LOG(J6)*4/3))*1))</f>
        <v>5.9645891998037248</v>
      </c>
      <c r="AB6" s="38">
        <f t="shared" ref="AB6:AB17" ca="1" si="80">Z6/2</f>
        <v>1.5304727047874445</v>
      </c>
      <c r="AC6" s="38">
        <f t="shared" ref="AC6:AC17" ca="1" si="81">IF(TODAY()-E6&gt;335,((M6+1+(LOG(J6)*4/3))*0.238),((M6+(((TODAY()-E6)^0.5)/(336^0.238))+(LOG(J6)*4/3))*0.238))</f>
        <v>1.2563391366474266</v>
      </c>
      <c r="AD6" s="38">
        <f t="shared" ref="AD6:AD17" ca="1" si="82">IF(TODAY()-E6&gt;335,((L6+1+(LOG(J6)*4/3))*0.378),((L6+(((TODAY()-E6)^0.5)/(336^0.516))+(LOG(J6)*4/3))*0.378))</f>
        <v>2.2423204744560232</v>
      </c>
      <c r="AE6" s="38">
        <f t="shared" ref="AE6:AE17" ca="1" si="83">IF(TODAY()-E6&gt;335,((L6+1+(LOG(J6)*4/3))*0.723),((L6+(((TODAY()-E6)^0.5)/(336^0.5))+(LOG(J6)*4/3))*0.723))</f>
        <v>4.3123979914580932</v>
      </c>
      <c r="AF6" s="38">
        <f t="shared" ref="AF6:AF17" ca="1" si="84">AD6/2</f>
        <v>1.1211602372280116</v>
      </c>
      <c r="AG6" s="38">
        <f t="shared" ref="AG6:AG17" ca="1" si="85">IF(TODAY()-E6&gt;335,((M6+1+(LOG(J6)*4/3))*0.385),((M6+(((TODAY()-E6)^0.5)/(336^0.238))+(LOG(J6)*4/3))*0.385))</f>
        <v>2.032313309282602</v>
      </c>
      <c r="AH6" s="38">
        <f t="shared" ref="AH6:AH17" ca="1" si="86">IF(TODAY()-E6&gt;335,((L6+1+(LOG(J6)*4/3))*0.92),((L6+(((TODAY()-E6)^0.5)/(336^0.5))+(LOG(J6)*4/3))*0.92))</f>
        <v>5.4874220638194267</v>
      </c>
      <c r="AI6" s="38">
        <f t="shared" ref="AI6:AI17" ca="1" si="87">IF(TODAY()-E6&gt;335,((L6+1+(LOG(J6)*4/3))*0.414),((L6+(((TODAY()-E6)^0.5)/(336^0.414))+(LOG(J6)*4/3))*0.414))</f>
        <v>2.5676945500420665</v>
      </c>
      <c r="AJ6" s="38">
        <f t="shared" ref="AJ6:AJ17" ca="1" si="88">IF(TODAY()-E6&gt;335,((M6+1+(LOG(J6)*4/3))*0.167),((M6+(((TODAY()-E6)^0.5)/(336^0.5))+(LOG(J6)*4/3))*0.167))</f>
        <v>0.66208639636722211</v>
      </c>
      <c r="AK6" s="38">
        <f t="shared" ref="AK6:AK17" ca="1" si="89">IF(TODAY()-E6&gt;335,((N6+1+(LOG(J6)*4/3))*0.588),((N6+(((TODAY()-E6)^0.5)/(336^0.5))+(LOG(J6)*4/3))*0.588))</f>
        <v>2.3311784494845904</v>
      </c>
      <c r="AL6" s="38">
        <f t="shared" ref="AL6:AL17" ca="1" si="90">IF(TODAY()-E6&gt;335,((L6+1+(LOG(J6)*4/3))*0.754),((L6+(((TODAY()-E6)^0.5)/(336^0.5))+(LOG(J6)*4/3))*0.754))</f>
        <v>4.4973002566520082</v>
      </c>
      <c r="AM6" s="38">
        <f t="shared" ref="AM6:AM17" ca="1" si="91">IF(TODAY()-E6&gt;335,((L6+1+(LOG(J6)*4/3))*0.708),((L6+(((TODAY()-E6)^0.5)/(336^0.414))+(LOG(J6)*4/3))*0.708))</f>
        <v>4.3911298102168672</v>
      </c>
      <c r="AN6" s="38">
        <f t="shared" ref="AN6:AN17" ca="1" si="92">IF(TODAY()-E6&gt;335,((Q6+1+(LOG(J6)*4/3))*0.167),((Q6+(((TODAY()-E6)^0.5)/(336^0.5))+(LOG(J6)*4/3))*0.167))</f>
        <v>0.99608639636722207</v>
      </c>
      <c r="AO6" s="38">
        <f t="shared" ref="AO6:AO17" ca="1" si="93">IF(TODAY()-E6&gt;335,((R6+1+(LOG(J6)*4/3))*0.288),((R6+(((TODAY()-E6)^0.5)/(336^0.5))+(LOG(J6)*4/3))*0.288))</f>
        <v>0.55160328954347282</v>
      </c>
      <c r="AP6" s="38">
        <f t="shared" ref="AP6:AP17" ca="1" si="94">IF(TODAY()-E6&gt;335,((L6+1+(LOG(J6)*4/3))*0.27),((L6+(((TODAY()-E6)^0.5)/(336^0.5))+(LOG(J6)*4/3))*0.27))</f>
        <v>1.6104390839470057</v>
      </c>
      <c r="AQ6" s="38">
        <f t="shared" ref="AQ6:AQ17" ca="1" si="95">IF(TODAY()-E6&gt;335,((L6+1+(LOG(J6)*4/3))*0.594),((L6+(((TODAY()-E6)^0.5)/(336^0.5))+(LOG(J6)*4/3))*0.594))</f>
        <v>3.5429659846834123</v>
      </c>
      <c r="AR6" s="38">
        <f t="shared" ref="AR6:AR17" ca="1" si="96">AP6/2</f>
        <v>0.80521954197350287</v>
      </c>
      <c r="AS6" s="38">
        <f t="shared" ref="AS6:AS17" ca="1" si="97">IF(TODAY()-E6&gt;335,((M6+1+(LOG(J6)*4/3))*0.944),((M6+(((TODAY()-E6)^0.5)/(336^0.5))+(LOG(J6)*4/3))*0.944))</f>
        <v>3.7425722046147163</v>
      </c>
      <c r="AT6" s="38">
        <f t="shared" ref="AT6:AT17" ca="1" si="98">IF(TODAY()-E6&gt;335,((O6+1+(LOG(J6)*4/3))*0.13),((O6+(((TODAY()-E6)^0.5)/(336^0.5))+(LOG(J6)*4/3))*0.13))</f>
        <v>0.42476059597448429</v>
      </c>
      <c r="AU6" s="38">
        <f t="shared" ref="AU6:AU17" ca="1" si="99">IF(TODAY()-E6&gt;335,((P6+1+(LOG(J6)*4/3))*0.173)+((O6+1+(LOG(J6)*4/3))*0.12),((P6+(((TODAY()-E6)^0.5)/(336^0.5))+(LOG(J6)*4/3))*0.173)+((O6+(((TODAY()-E6)^0.5)/(336^0.5))+(LOG(J6)*4/3))*0.12))</f>
        <v>0.96262730220915804</v>
      </c>
      <c r="AV6" s="38">
        <f t="shared" ref="AV6:AV17" ca="1" si="100">AT6/2</f>
        <v>0.21238029798724214</v>
      </c>
      <c r="AW6" s="38">
        <f t="shared" ref="AW6:AW17" ca="1" si="101">IF(TODAY()-E6&gt;335,((L6+1+(LOG(J6)*4/3))*0.189),((L6+(((TODAY()-E6)^0.5)/(336^0.5))+(LOG(J6)*4/3))*0.189))</f>
        <v>1.1273073587629039</v>
      </c>
      <c r="AX6" s="38">
        <f t="shared" ref="AX6:AX17" ca="1" si="102">IF(TODAY()-E6&gt;335,((L6+1+(LOG(J6)*4/3))*0.4),((L6+(((TODAY()-E6)^0.5)/(336^0.5))+(LOG(J6)*4/3))*0.4))</f>
        <v>2.3858356799214899</v>
      </c>
      <c r="AY6" s="38">
        <f t="shared" ref="AY6:AY17" ca="1" si="103">AW6/2</f>
        <v>0.56365367938145194</v>
      </c>
      <c r="AZ6" s="38">
        <f t="shared" ref="AZ6:AZ17" ca="1" si="104">IF(TODAY()-E6&gt;335,((M6+1+(LOG(J6)*4/3))*1),((M6+(((TODAY()-E6)^0.5)/(336^0.5))+(LOG(J6)*4/3))*1))</f>
        <v>3.9645891998037253</v>
      </c>
      <c r="BA6" s="38">
        <f t="shared" ref="BA6:BA17" ca="1" si="105">IF(TODAY()-E6&gt;335,((O6+1+(LOG(J6)*4/3))*0.253),((O6+(((TODAY()-E6)^0.5)/(336^0.5))+(LOG(J6)*4/3))*0.253))</f>
        <v>0.82664946755034252</v>
      </c>
      <c r="BB6" s="38">
        <f t="shared" ref="BB6:BB17" ca="1" si="106">IF(TODAY()-E6&gt;335,((P6+1+(LOG(J6)*4/3))*0.21)+((O6+1+(LOG(J6)*4/3))*0.341),((P6+(((TODAY()-E6)^0.5)/(336^0.5))+(LOG(J6)*4/3))*0.21)+((O6+(((TODAY()-E6)^0.5)/(336^0.5))+(LOG(J6)*4/3))*0.341))</f>
        <v>1.8067434490918526</v>
      </c>
      <c r="BC6" s="38">
        <f t="shared" ref="BC6:BC17" ca="1" si="107">BA6/2</f>
        <v>0.41332473377517126</v>
      </c>
      <c r="BD6" s="38">
        <f t="shared" ref="BD6:BD17" ca="1" si="108">IF(TODAY()-E6&gt;335,((L6+1+(LOG(J6)*4/3))*0.291),((L6+(((TODAY()-E6)^0.5)/(336^0.5))+(LOG(J6)*4/3))*0.291))</f>
        <v>1.7356954571428838</v>
      </c>
      <c r="BE6" s="38">
        <f t="shared" ref="BE6:BE17" ca="1" si="109">IF(TODAY()-E6&gt;335,((L6+1+(LOG(J6)*4/3))*0.348),((L6+(((TODAY()-E6)^0.5)/(336^0.5))+(LOG(J6)*4/3))*0.348))</f>
        <v>2.0756770415316961</v>
      </c>
      <c r="BF6" s="38">
        <f t="shared" ref="BF6:BF17" ca="1" si="110">IF(TODAY()-E6&gt;335,((M6+1+(LOG(J6)*4/3))*0.881),((M6+(((TODAY()-E6)^0.5)/(336^0.5))+(LOG(J6)*4/3))*0.881))</f>
        <v>3.4928030850270821</v>
      </c>
      <c r="BG6" s="38">
        <f t="shared" ref="BG6:BG17" ca="1" si="111">IF(TODAY()-E6&gt;335,((N6+1+(LOG(J6)*4/3))*0.574)+((O6+1+(LOG(J6)*4/3))*0.315),((N6+(((TODAY()-E6)^0.5)/(336^0.5))+(LOG(J6)*4/3))*0.574)+((O6+(((TODAY()-E6)^0.5)/(336^0.5))+(LOG(J6)*4/3))*0.315))</f>
        <v>3.3049017986255116</v>
      </c>
      <c r="BH6" s="38">
        <f t="shared" ref="BH6:BH17" ca="1" si="112">IF(TODAY()-E6&gt;335,((O6+1+(LOG(J6)*4/3))*0.241),((O6+(((TODAY()-E6)^0.5)/(336^0.5))+(LOG(J6)*4/3))*0.241))</f>
        <v>0.78744079715269777</v>
      </c>
      <c r="BI6" s="38">
        <f t="shared" ref="BI6:BI17" ca="1" si="113">IF(TODAY()-E6&gt;335,((L6+1+(LOG(J6)*4/3))*0.485),((L6+(((TODAY()-E6)^0.5)/(336^0.5))+(LOG(J6)*4/3))*0.485))</f>
        <v>2.8928257619048066</v>
      </c>
      <c r="BJ6" s="38">
        <f t="shared" ref="BJ6:BJ17" ca="1" si="114">IF(TODAY()-E6&gt;335,((L6+1+(LOG(J6)*4/3))*0.264),((L6+(((TODAY()-E6)^0.5)/(336^0.5))+(LOG(J6)*4/3))*0.264))</f>
        <v>1.5746515487481834</v>
      </c>
      <c r="BK6" s="38">
        <f t="shared" ref="BK6:BK17" ca="1" si="115">IF(TODAY()-E6&gt;335,((M6+1+(LOG(J6)*4/3))*0.381),((M6+(((TODAY()-E6)^0.5)/(336^0.5))+(LOG(J6)*4/3))*0.381))</f>
        <v>1.5105084851252193</v>
      </c>
      <c r="BL6" s="38">
        <f t="shared" ref="BL6:BL17" ca="1" si="116">IF(TODAY()-E6&gt;335,((N6+1+(LOG(J6)*4/3))*0.673)+((O6+1+(LOG(J6)*4/3))*0.201),((N6+(((TODAY()-E6)^0.5)/(336^0.5))+(LOG(J6)*4/3))*0.673)+((O6+(((TODAY()-E6)^0.5)/(336^0.5))+(LOG(J6)*4/3))*0.201))</f>
        <v>3.3249137606284558</v>
      </c>
      <c r="BM6" s="38">
        <f t="shared" ref="BM6:BM17" ca="1" si="117">IF(TODAY()-E6&gt;335,((O6+1+(LOG(J6)*4/3))*0.052),((O6+(((TODAY()-E6)^0.5)/(336^0.5))+(LOG(J6)*4/3))*0.052))</f>
        <v>0.16990423838979371</v>
      </c>
      <c r="BN6" s="38">
        <f t="shared" ref="BN6:BN17" ca="1" si="118">IF(TODAY()-E6&gt;335,((L6+1+(LOG(J6)*4/3))*0.18),((L6+(((TODAY()-E6)^0.5)/(336^0.5))+(LOG(J6)*4/3))*0.18))</f>
        <v>1.0736260559646704</v>
      </c>
      <c r="BO6" s="38">
        <f t="shared" ref="BO6:BO17" ca="1" si="119">IF(TODAY()-E6&gt;335,((L6+1+(LOG(J6)*4/3))*0.068),((L6+(((TODAY()-E6)^0.5)/(336^0.5))+(LOG(J6)*4/3))*0.068))</f>
        <v>0.40559206558665334</v>
      </c>
      <c r="BP6" s="38">
        <f t="shared" ref="BP6:BP17" ca="1" si="120">IF(TODAY()-E6&gt;335,((M6+1+(LOG(J6)*4/3))*0.305),((M6+(((TODAY()-E6)^0.5)/(336^0.5))+(LOG(J6)*4/3))*0.305))</f>
        <v>1.2091997059401363</v>
      </c>
      <c r="BQ6" s="38">
        <f t="shared" ref="BQ6:BQ17" ca="1" si="121">IF(TODAY()-E6&gt;335,((N6+1+(LOG(J6)*4/3))*1)+((O6+1+(LOG(J6)*4/3))*0.286),((N6+(((TODAY()-E6)^0.5)/(336^0.5))+(LOG(J6)*4/3))*1)+((O6+(((TODAY()-E6)^0.5)/(336^0.5))+(LOG(J6)*4/3))*0.286))</f>
        <v>4.8990625109475907</v>
      </c>
      <c r="BR6" s="38">
        <f t="shared" ref="BR6:BR17" ca="1" si="122">IF(TODAY()-E6&gt;335,((O6+1+(LOG(J6)*4/3))*0.135),((O6+(((TODAY()-E6)^0.5)/(336^0.5))+(LOG(J6)*4/3))*0.135))</f>
        <v>0.44109754197350293</v>
      </c>
      <c r="BS6" s="38">
        <f t="shared" ref="BS6:BS17" ca="1" si="123">IF(TODAY()-E6&gt;335,((L6+1+(LOG(J6)*4/3))*0.284),((L6+(((TODAY()-E6)^0.5)/(336^0.5))+(LOG(J6)*4/3))*0.284))</f>
        <v>1.6939433327442577</v>
      </c>
      <c r="BT6" s="38">
        <f t="shared" ref="BT6:BT17" ca="1" si="124">IF(TODAY()-E6&gt;335,((L6+1+(LOG(J6)*4/3))*0.244),((L6+(((TODAY()-E6)^0.5)/(336^0.5))+(LOG(J6)*4/3))*0.244))</f>
        <v>1.4553597647521088</v>
      </c>
      <c r="BU6" s="38">
        <f t="shared" ref="BU6:BU17" ca="1" si="125">IF(TODAY()-E6&gt;335,((M6+1+(LOG(J6)*4/3))*0.631),((M6+(((TODAY()-E6)^0.5)/(336^0.5))+(LOG(J6)*4/3))*0.631))</f>
        <v>2.5016557850761507</v>
      </c>
      <c r="BV6" s="38">
        <f t="shared" ref="BV6:BV17" ca="1" si="126">IF(TODAY()-E6&gt;335,((N6+1+(LOG(J6)*4/3))*0.702)+((O6+1+(LOG(J6)*4/3))*0.193),((N6+(((TODAY()-E6)^0.5)/(336^0.5))+(LOG(J6)*4/3))*0.702)+((O6+(((TODAY()-E6)^0.5)/(336^0.5))+(LOG(J6)*4/3))*0.193))</f>
        <v>3.4137477338243336</v>
      </c>
      <c r="BW6" s="38">
        <f t="shared" ref="BW6:BW17" ca="1" si="127">IF(TODAY()-E6&gt;335,((O6+1+(LOG(J6)*4/3))*0.148),((O6+(((TODAY()-E6)^0.5)/(336^0.5))+(LOG(J6)*4/3))*0.148))</f>
        <v>0.48357360157095131</v>
      </c>
      <c r="BX6" s="38">
        <f t="shared" ref="BX6:BX17" ca="1" si="128">IF(TODAY()-E6&gt;335,((M6+1+(LOG(J6)*4/3))*0.406),((M6+(((TODAY()-E6)^0.5)/(336^0.5))+(LOG(J6)*4/3))*0.406))</f>
        <v>1.6096232151203125</v>
      </c>
      <c r="BY6" s="38">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2.0721586424153724</v>
      </c>
      <c r="BZ6" s="38">
        <f t="shared" ref="BZ6:BZ17" ca="1" si="130">IF(D6="TEC",IF(TODAY()-E6&gt;335,((O6+1+(LOG(J6)*4/3))*0.543)+((P6+1+(LOG(J6)*4/3))*0.583),((O6+(((TODAY()-E6)^0.5)/(336^0.5))+(LOG(J6)*4/3))*0.543)+((P6+(((TODAY()-E6)^0.5)/(336^0.5))+(LOG(J6)*4/3))*0.583)),IF(TODAY()-E6&gt;335,((O6+1+(LOG(J6)*4/3))*0.543)+((P6+1+(LOG(J6)*4/3))*0.583),((O6+(((TODAY()-E6)^0.5)/(336^0.5))+(LOG(J6)*4/3))*0.543)+((P6+(((TODAY()-E6)^0.5)/(336^0.5))+(LOG(J6)*4/3))*0.583)))</f>
        <v>3.6968811723123283</v>
      </c>
      <c r="CA6" s="38">
        <f t="shared" ref="CA6:CA17" ca="1" si="131">BY6</f>
        <v>2.0721586424153724</v>
      </c>
      <c r="CB6" s="38">
        <f t="shared" ref="CB6:CB17" ca="1" si="132">IF(TODAY()-E6&gt;335,((P6+1+(LOG(J6)*4/3))*0.26)+((N6+1+(LOG(J6)*4/3))*0.221)+((O6+1+(LOG(J6)*4/3))*0.142),((P6+(((TODAY()-E6)^0.5)/(336^0.5))+(LOG(J6)*4/3))*0.26)+((N6+(((TODAY()-E6)^0.5)/(336^0.5))+(LOG(J6)*4/3))*0.221)+((P6+(((TODAY()-E6)^0.5)/(336^0.5))+(LOG(J6)*4/3))*0.142))</f>
        <v>2.2019390714777209</v>
      </c>
      <c r="CC6" s="38">
        <f t="shared" ref="CC6:CC17" ca="1" si="133">IF(TODAY()-E6&gt;335,((P6+1+(LOG(J6)*4/3))*1)+((O6+1+(LOG(J6)*4/3))*0.369),((P6+(((TODAY()-E6)^0.5)/(336^0.5))+(LOG(J6)*4/3))*1)+((O6+(((TODAY()-E6)^0.5)/(336^0.5))+(LOG(J6)*4/3))*0.369))</f>
        <v>4.5035891478646333</v>
      </c>
      <c r="CD6" s="38">
        <f t="shared" ref="CD6:CD17" ca="1" si="134">CB6</f>
        <v>2.2019390714777209</v>
      </c>
      <c r="CE6" s="38">
        <f t="shared" ref="CE6:CE17" ca="1" si="135">IF(TODAY()-E6&gt;335,((M6+1+(LOG(J6)*4/3))*0.25),((M6+(((TODAY()-E6)^0.5)/(336^0.5))+(LOG(J6)*4/3))*0.25))</f>
        <v>0.99114729995093132</v>
      </c>
    </row>
    <row r="7" spans="1:83" x14ac:dyDescent="0.25">
      <c r="A7" t="str">
        <f>PLANTILLA!D8</f>
        <v>Eckardt Hägerling</v>
      </c>
      <c r="B7">
        <f>PLANTILLA!E8</f>
        <v>17</v>
      </c>
      <c r="C7" s="34">
        <f ca="1">PLANTILLA!F8</f>
        <v>51</v>
      </c>
      <c r="D7" s="222" t="str">
        <f>PLANTILLA!G8</f>
        <v>IMP</v>
      </c>
      <c r="E7" s="31">
        <f>PLANTILLA!M8</f>
        <v>43045</v>
      </c>
      <c r="F7" s="48">
        <f>PLANTILLA!Q8</f>
        <v>7</v>
      </c>
      <c r="G7" s="49">
        <f t="shared" si="1"/>
        <v>1</v>
      </c>
      <c r="H7" s="49">
        <f t="shared" si="2"/>
        <v>1</v>
      </c>
      <c r="I7" s="52">
        <f t="shared" ca="1" si="3"/>
        <v>0.37000643495047747</v>
      </c>
      <c r="J7" s="40">
        <f>PLANTILLA!I8</f>
        <v>1</v>
      </c>
      <c r="K7" s="47">
        <f>PLANTILLA!X8</f>
        <v>0</v>
      </c>
      <c r="L7" s="47">
        <f>PLANTILLA!Y8</f>
        <v>5</v>
      </c>
      <c r="M7" s="47">
        <f>PLANTILLA!Z8</f>
        <v>3</v>
      </c>
      <c r="N7" s="47">
        <f>PLANTILLA!AA8</f>
        <v>4</v>
      </c>
      <c r="O7" s="47">
        <f>PLANTILLA!AB8</f>
        <v>2.4356</v>
      </c>
      <c r="P7" s="47">
        <f>PLANTILLA!AC8</f>
        <v>3.0666666666666669</v>
      </c>
      <c r="Q7" s="47">
        <f>PLANTILLA!AD8</f>
        <v>3</v>
      </c>
      <c r="R7" s="47">
        <f t="shared" si="70"/>
        <v>1.6089</v>
      </c>
      <c r="S7" s="47">
        <f t="shared" si="71"/>
        <v>0.24333333333333335</v>
      </c>
      <c r="T7" s="47">
        <f t="shared" si="72"/>
        <v>0.28999999999999998</v>
      </c>
      <c r="U7" s="47">
        <f t="shared" ca="1" si="73"/>
        <v>3.3700064349504775</v>
      </c>
      <c r="V7" s="47">
        <f t="shared" ca="1" si="74"/>
        <v>3.3700064349504775</v>
      </c>
      <c r="W7" s="38">
        <f t="shared" ca="1" si="75"/>
        <v>1.703015617711767</v>
      </c>
      <c r="X7" s="38">
        <f t="shared" ca="1" si="76"/>
        <v>2.6026783075210664</v>
      </c>
      <c r="Y7" s="38">
        <f t="shared" ca="1" si="77"/>
        <v>1.703015617711767</v>
      </c>
      <c r="Z7" s="38">
        <f t="shared" ca="1" si="78"/>
        <v>2.7539552539933285</v>
      </c>
      <c r="AA7" s="38">
        <f t="shared" ca="1" si="79"/>
        <v>5.3700064349504775</v>
      </c>
      <c r="AB7" s="38">
        <f t="shared" ca="1" si="80"/>
        <v>1.3769776269966643</v>
      </c>
      <c r="AC7" s="38">
        <f t="shared" ca="1" si="81"/>
        <v>1.1182845314536947</v>
      </c>
      <c r="AD7" s="38">
        <f t="shared" ca="1" si="82"/>
        <v>2.017432337227671</v>
      </c>
      <c r="AE7" s="38">
        <f t="shared" ca="1" si="83"/>
        <v>3.8825146524691951</v>
      </c>
      <c r="AF7" s="38">
        <f t="shared" ca="1" si="84"/>
        <v>1.0087161686138355</v>
      </c>
      <c r="AG7" s="38">
        <f t="shared" ca="1" si="85"/>
        <v>1.8089896832339181</v>
      </c>
      <c r="AH7" s="38">
        <f t="shared" ca="1" si="86"/>
        <v>4.9404059201544399</v>
      </c>
      <c r="AI7" s="38">
        <f t="shared" ca="1" si="87"/>
        <v>2.3226241097817146</v>
      </c>
      <c r="AJ7" s="38">
        <f t="shared" ca="1" si="88"/>
        <v>0.56279107463672973</v>
      </c>
      <c r="AK7" s="38">
        <f t="shared" ca="1" si="89"/>
        <v>2.5695637837508807</v>
      </c>
      <c r="AL7" s="38">
        <f t="shared" ca="1" si="90"/>
        <v>4.0489848519526603</v>
      </c>
      <c r="AM7" s="38">
        <f t="shared" ca="1" si="91"/>
        <v>3.9720238399165555</v>
      </c>
      <c r="AN7" s="38">
        <f t="shared" ca="1" si="92"/>
        <v>0.56279107463672973</v>
      </c>
      <c r="AO7" s="38">
        <f t="shared" ca="1" si="93"/>
        <v>0.5699250532657375</v>
      </c>
      <c r="AP7" s="38">
        <f t="shared" ca="1" si="94"/>
        <v>1.449901737436629</v>
      </c>
      <c r="AQ7" s="38">
        <f t="shared" ca="1" si="95"/>
        <v>3.1897838223605834</v>
      </c>
      <c r="AR7" s="38">
        <f t="shared" ca="1" si="96"/>
        <v>0.72495086871831449</v>
      </c>
      <c r="AS7" s="38">
        <f t="shared" ca="1" si="97"/>
        <v>3.1812860745932507</v>
      </c>
      <c r="AT7" s="38">
        <f t="shared" ca="1" si="98"/>
        <v>0.36472883654356208</v>
      </c>
      <c r="AU7" s="38">
        <f t="shared" ca="1" si="99"/>
        <v>0.93121721877382324</v>
      </c>
      <c r="AV7" s="38">
        <f t="shared" ca="1" si="100"/>
        <v>0.18236441827178104</v>
      </c>
      <c r="AW7" s="38">
        <f t="shared" ca="1" si="101"/>
        <v>1.0149312162056403</v>
      </c>
      <c r="AX7" s="38">
        <f t="shared" ca="1" si="102"/>
        <v>2.1480025739801909</v>
      </c>
      <c r="AY7" s="38">
        <f t="shared" ca="1" si="103"/>
        <v>0.50746560810282015</v>
      </c>
      <c r="AZ7" s="38">
        <f t="shared" ca="1" si="104"/>
        <v>3.3700064349504775</v>
      </c>
      <c r="BA7" s="38">
        <f t="shared" ca="1" si="105"/>
        <v>0.70981842804247075</v>
      </c>
      <c r="BB7" s="38">
        <f t="shared" ca="1" si="106"/>
        <v>1.6784131456577134</v>
      </c>
      <c r="BC7" s="38">
        <f t="shared" ca="1" si="107"/>
        <v>0.35490921402123538</v>
      </c>
      <c r="BD7" s="38">
        <f t="shared" ca="1" si="108"/>
        <v>1.5626718725705888</v>
      </c>
      <c r="BE7" s="38">
        <f t="shared" ca="1" si="109"/>
        <v>1.8687622393627661</v>
      </c>
      <c r="BF7" s="38">
        <f t="shared" ca="1" si="110"/>
        <v>2.9689756691913707</v>
      </c>
      <c r="BG7" s="38">
        <f t="shared" ca="1" si="111"/>
        <v>3.3921497206709743</v>
      </c>
      <c r="BH7" s="38">
        <f t="shared" ca="1" si="112"/>
        <v>0.67615115082306509</v>
      </c>
      <c r="BI7" s="38">
        <f t="shared" ca="1" si="113"/>
        <v>2.6044531209509816</v>
      </c>
      <c r="BJ7" s="38">
        <f t="shared" ca="1" si="114"/>
        <v>1.4176816988269261</v>
      </c>
      <c r="BK7" s="38">
        <f t="shared" ca="1" si="115"/>
        <v>1.2839724517161319</v>
      </c>
      <c r="BL7" s="38">
        <f t="shared" ca="1" si="116"/>
        <v>3.5049412241467173</v>
      </c>
      <c r="BM7" s="38">
        <f t="shared" ca="1" si="117"/>
        <v>0.14589153461742482</v>
      </c>
      <c r="BN7" s="38">
        <f t="shared" ca="1" si="118"/>
        <v>0.96660115829108595</v>
      </c>
      <c r="BO7" s="38">
        <f t="shared" ca="1" si="119"/>
        <v>0.36516043757663247</v>
      </c>
      <c r="BP7" s="38">
        <f t="shared" ca="1" si="120"/>
        <v>1.0278519626598956</v>
      </c>
      <c r="BQ7" s="38">
        <f t="shared" ca="1" si="121"/>
        <v>5.1724098753463137</v>
      </c>
      <c r="BR7" s="38">
        <f t="shared" ca="1" si="122"/>
        <v>0.37875686871831449</v>
      </c>
      <c r="BS7" s="38">
        <f t="shared" ca="1" si="123"/>
        <v>1.5250818275259355</v>
      </c>
      <c r="BT7" s="38">
        <f t="shared" ca="1" si="124"/>
        <v>1.3102815701279165</v>
      </c>
      <c r="BU7" s="38">
        <f t="shared" ca="1" si="125"/>
        <v>2.1264740604537513</v>
      </c>
      <c r="BV7" s="38">
        <f t="shared" ca="1" si="126"/>
        <v>3.6092265592806769</v>
      </c>
      <c r="BW7" s="38">
        <f t="shared" ca="1" si="127"/>
        <v>0.41522975237267062</v>
      </c>
      <c r="BX7" s="38">
        <f t="shared" ca="1" si="128"/>
        <v>1.368222612589894</v>
      </c>
      <c r="BY7" s="38">
        <f t="shared" ca="1" si="129"/>
        <v>1.7671400192758655</v>
      </c>
      <c r="BZ7" s="38">
        <f t="shared" ca="1" si="130"/>
        <v>3.5270247124209044</v>
      </c>
      <c r="CA7" s="38">
        <f t="shared" ca="1" si="131"/>
        <v>1.7671400192758655</v>
      </c>
      <c r="CB7" s="38">
        <f t="shared" ca="1" si="132"/>
        <v>2.3473140089741475</v>
      </c>
      <c r="CC7" s="38">
        <f t="shared" ca="1" si="133"/>
        <v>4.4719418761138705</v>
      </c>
      <c r="CD7" s="38">
        <f t="shared" ca="1" si="134"/>
        <v>2.3473140089741475</v>
      </c>
      <c r="CE7" s="38">
        <f t="shared" ca="1" si="135"/>
        <v>0.84250160873761937</v>
      </c>
    </row>
    <row r="8" spans="1:83" x14ac:dyDescent="0.25">
      <c r="A8" t="str">
        <f>PLANTILLA!D9</f>
        <v>Fernando Gazón</v>
      </c>
      <c r="B8">
        <f>PLANTILLA!E9</f>
        <v>17</v>
      </c>
      <c r="C8" s="34">
        <f ca="1">PLANTILLA!F9</f>
        <v>92</v>
      </c>
      <c r="D8" s="222" t="str">
        <f>PLANTILLA!G9</f>
        <v>IMP</v>
      </c>
      <c r="E8" s="31">
        <f>PLANTILLA!M9</f>
        <v>43045</v>
      </c>
      <c r="F8" s="48">
        <f>PLANTILLA!Q9</f>
        <v>6</v>
      </c>
      <c r="G8" s="49">
        <f t="shared" si="1"/>
        <v>0.92582009977255142</v>
      </c>
      <c r="H8" s="49">
        <f t="shared" si="2"/>
        <v>0.99928545900129484</v>
      </c>
      <c r="I8" s="52">
        <f t="shared" ca="1" si="3"/>
        <v>0.37000643495047747</v>
      </c>
      <c r="J8" s="40">
        <f>PLANTILLA!I9</f>
        <v>0.5</v>
      </c>
      <c r="K8" s="47">
        <f>PLANTILLA!X9</f>
        <v>0</v>
      </c>
      <c r="L8" s="47">
        <f>PLANTILLA!Y9</f>
        <v>3</v>
      </c>
      <c r="M8" s="47">
        <f>PLANTILLA!Z9</f>
        <v>6</v>
      </c>
      <c r="N8" s="47">
        <f>PLANTILLA!AA9</f>
        <v>3</v>
      </c>
      <c r="O8" s="47">
        <f>PLANTILLA!AB9</f>
        <v>4</v>
      </c>
      <c r="P8" s="47">
        <f>PLANTILLA!AC9</f>
        <v>4.333333333333333</v>
      </c>
      <c r="Q8" s="47">
        <f>PLANTILLA!AD9</f>
        <v>3</v>
      </c>
      <c r="R8" s="47">
        <f t="shared" si="70"/>
        <v>1.75</v>
      </c>
      <c r="S8" s="47">
        <f t="shared" si="71"/>
        <v>0.30666666666666664</v>
      </c>
      <c r="T8" s="47">
        <f t="shared" si="72"/>
        <v>0.21000000000000002</v>
      </c>
      <c r="U8" s="47">
        <f t="shared" ca="1" si="73"/>
        <v>2.748420199679781</v>
      </c>
      <c r="V8" s="47">
        <f t="shared" ca="1" si="74"/>
        <v>2.9665118973331528</v>
      </c>
      <c r="W8" s="38">
        <f t="shared" ca="1" si="75"/>
        <v>0.80061670275889285</v>
      </c>
      <c r="X8" s="38">
        <f t="shared" ca="1" si="76"/>
        <v>1.2345053416514669</v>
      </c>
      <c r="Y8" s="38">
        <f t="shared" ca="1" si="77"/>
        <v>0.80061670275889285</v>
      </c>
      <c r="Z8" s="38">
        <f t="shared" ca="1" si="78"/>
        <v>1.5148466169765094</v>
      </c>
      <c r="AA8" s="38">
        <f t="shared" ca="1" si="79"/>
        <v>2.9686331073985026</v>
      </c>
      <c r="AB8" s="38">
        <f t="shared" ca="1" si="80"/>
        <v>0.75742330848825468</v>
      </c>
      <c r="AC8" s="38">
        <f t="shared" ca="1" si="81"/>
        <v>1.7367576794963246</v>
      </c>
      <c r="AD8" s="38">
        <f t="shared" ca="1" si="82"/>
        <v>1.1097132194130244</v>
      </c>
      <c r="AE8" s="38">
        <f t="shared" ca="1" si="83"/>
        <v>2.1463217366491172</v>
      </c>
      <c r="AF8" s="38">
        <f t="shared" ca="1" si="84"/>
        <v>0.55485660970651218</v>
      </c>
      <c r="AG8" s="38">
        <f t="shared" ca="1" si="85"/>
        <v>2.8094609521264076</v>
      </c>
      <c r="AH8" s="38">
        <f t="shared" ca="1" si="86"/>
        <v>2.7311424588066227</v>
      </c>
      <c r="AI8" s="38">
        <f t="shared" ca="1" si="87"/>
        <v>1.3284555521751968</v>
      </c>
      <c r="AJ8" s="38">
        <f t="shared" ca="1" si="88"/>
        <v>0.99676172893554993</v>
      </c>
      <c r="AK8" s="38">
        <f t="shared" ca="1" si="89"/>
        <v>1.7455562671503195</v>
      </c>
      <c r="AL8" s="38">
        <f t="shared" ca="1" si="90"/>
        <v>2.2383493629784712</v>
      </c>
      <c r="AM8" s="38">
        <f t="shared" ca="1" si="91"/>
        <v>2.2718515240097568</v>
      </c>
      <c r="AN8" s="38">
        <f t="shared" ca="1" si="92"/>
        <v>0.49576172893554998</v>
      </c>
      <c r="AO8" s="38">
        <f t="shared" ca="1" si="93"/>
        <v>0.49496633493076869</v>
      </c>
      <c r="AP8" s="38">
        <f t="shared" ca="1" si="94"/>
        <v>0.80153093899759575</v>
      </c>
      <c r="AQ8" s="38">
        <f t="shared" ca="1" si="95"/>
        <v>1.7633680657947104</v>
      </c>
      <c r="AR8" s="38">
        <f t="shared" ca="1" si="96"/>
        <v>0.40076546949879788</v>
      </c>
      <c r="AS8" s="38">
        <f t="shared" ca="1" si="97"/>
        <v>5.6343896533841855</v>
      </c>
      <c r="AT8" s="38">
        <f t="shared" ca="1" si="98"/>
        <v>0.51592230396180538</v>
      </c>
      <c r="AU8" s="38">
        <f t="shared" ca="1" si="99"/>
        <v>1.2204761671344277</v>
      </c>
      <c r="AV8" s="38">
        <f t="shared" ca="1" si="100"/>
        <v>0.25796115198090269</v>
      </c>
      <c r="AW8" s="38">
        <f t="shared" ca="1" si="101"/>
        <v>0.56107165729831698</v>
      </c>
      <c r="AX8" s="38">
        <f t="shared" ca="1" si="102"/>
        <v>1.1874532429594011</v>
      </c>
      <c r="AY8" s="38">
        <f t="shared" ca="1" si="103"/>
        <v>0.28053582864915849</v>
      </c>
      <c r="AZ8" s="38">
        <f t="shared" ca="1" si="104"/>
        <v>5.9686331073985022</v>
      </c>
      <c r="BA8" s="38">
        <f t="shared" ca="1" si="105"/>
        <v>1.0040641761718212</v>
      </c>
      <c r="BB8" s="38">
        <f t="shared" ca="1" si="106"/>
        <v>2.2567168421765746</v>
      </c>
      <c r="BC8" s="38">
        <f t="shared" ca="1" si="107"/>
        <v>0.5020320880859106</v>
      </c>
      <c r="BD8" s="38">
        <f t="shared" ca="1" si="108"/>
        <v>0.86387223425296422</v>
      </c>
      <c r="BE8" s="38">
        <f t="shared" ca="1" si="109"/>
        <v>1.0330843213746788</v>
      </c>
      <c r="BF8" s="38">
        <f t="shared" ca="1" si="110"/>
        <v>5.2583657676180806</v>
      </c>
      <c r="BG8" s="38">
        <f t="shared" ca="1" si="111"/>
        <v>2.954114832477269</v>
      </c>
      <c r="BH8" s="38">
        <f t="shared" ca="1" si="112"/>
        <v>0.95644057888303913</v>
      </c>
      <c r="BI8" s="38">
        <f t="shared" ca="1" si="113"/>
        <v>1.4397870570882738</v>
      </c>
      <c r="BJ8" s="38">
        <f t="shared" ca="1" si="114"/>
        <v>0.78371914035320478</v>
      </c>
      <c r="BK8" s="38">
        <f t="shared" ca="1" si="115"/>
        <v>2.2740492139188295</v>
      </c>
      <c r="BL8" s="38">
        <f t="shared" ca="1" si="116"/>
        <v>2.7955853358662917</v>
      </c>
      <c r="BM8" s="38">
        <f t="shared" ca="1" si="117"/>
        <v>0.20636892158472211</v>
      </c>
      <c r="BN8" s="38">
        <f t="shared" ca="1" si="118"/>
        <v>0.53435395933173047</v>
      </c>
      <c r="BO8" s="38">
        <f t="shared" ca="1" si="119"/>
        <v>0.2018670513030982</v>
      </c>
      <c r="BP8" s="38">
        <f t="shared" ca="1" si="120"/>
        <v>1.8204330977565431</v>
      </c>
      <c r="BQ8" s="38">
        <f t="shared" ca="1" si="121"/>
        <v>4.103662176114474</v>
      </c>
      <c r="BR8" s="38">
        <f t="shared" ca="1" si="122"/>
        <v>0.53576546949879789</v>
      </c>
      <c r="BS8" s="38">
        <f t="shared" ca="1" si="123"/>
        <v>0.84309180250117466</v>
      </c>
      <c r="BT8" s="38">
        <f t="shared" ca="1" si="124"/>
        <v>0.72434647820523457</v>
      </c>
      <c r="BU8" s="38">
        <f t="shared" ca="1" si="125"/>
        <v>3.7662074907684548</v>
      </c>
      <c r="BV8" s="38">
        <f t="shared" ca="1" si="126"/>
        <v>2.8499266311216598</v>
      </c>
      <c r="BW8" s="38">
        <f t="shared" ca="1" si="127"/>
        <v>0.58735769989497832</v>
      </c>
      <c r="BX8" s="38">
        <f t="shared" ca="1" si="128"/>
        <v>2.4232650416037922</v>
      </c>
      <c r="BY8" s="38">
        <f t="shared" ca="1" si="129"/>
        <v>1.965991182287953</v>
      </c>
      <c r="BZ8" s="38">
        <f t="shared" ca="1" si="130"/>
        <v>4.6630142122640468</v>
      </c>
      <c r="CA8" s="38">
        <f t="shared" ca="1" si="131"/>
        <v>1.965991182287953</v>
      </c>
      <c r="CB8" s="38">
        <f t="shared" ca="1" si="132"/>
        <v>2.3854584259092668</v>
      </c>
      <c r="CC8" s="38">
        <f t="shared" ca="1" si="133"/>
        <v>5.7663920573618821</v>
      </c>
      <c r="CD8" s="38">
        <f t="shared" ca="1" si="134"/>
        <v>2.3854584259092668</v>
      </c>
      <c r="CE8" s="38">
        <f t="shared" ca="1" si="135"/>
        <v>1.4921582768496255</v>
      </c>
    </row>
    <row r="9" spans="1:83" x14ac:dyDescent="0.25">
      <c r="A9" t="str">
        <f>PLANTILLA!D10</f>
        <v>Roberto Abenoza</v>
      </c>
      <c r="B9">
        <f>PLANTILLA!E10</f>
        <v>17</v>
      </c>
      <c r="C9" s="34">
        <f ca="1">PLANTILLA!F10</f>
        <v>80</v>
      </c>
      <c r="D9" s="222" t="str">
        <f>PLANTILLA!G10</f>
        <v>CAB</v>
      </c>
      <c r="E9" s="31">
        <f>PLANTILLA!M10</f>
        <v>43046</v>
      </c>
      <c r="F9" s="48">
        <f>PLANTILLA!Q10</f>
        <v>6</v>
      </c>
      <c r="G9" s="49">
        <f t="shared" si="1"/>
        <v>0.92582009977255142</v>
      </c>
      <c r="H9" s="49">
        <f t="shared" si="2"/>
        <v>0.99928545900129484</v>
      </c>
      <c r="I9" s="52">
        <f t="shared" ca="1" si="3"/>
        <v>0.36596252735569995</v>
      </c>
      <c r="J9" s="40">
        <f>PLANTILLA!I10</f>
        <v>0.5</v>
      </c>
      <c r="K9" s="47">
        <f>PLANTILLA!X10</f>
        <v>0</v>
      </c>
      <c r="L9" s="47">
        <f>PLANTILLA!Y10</f>
        <v>2</v>
      </c>
      <c r="M9" s="47">
        <f>PLANTILLA!Z10</f>
        <v>5</v>
      </c>
      <c r="N9" s="47">
        <f>PLANTILLA!AA10</f>
        <v>3</v>
      </c>
      <c r="O9" s="47">
        <f>PLANTILLA!AB10</f>
        <v>2.1583999999999999</v>
      </c>
      <c r="P9" s="47">
        <f>PLANTILLA!AC10</f>
        <v>5.05</v>
      </c>
      <c r="Q9" s="47">
        <f>PLANTILLA!AD10</f>
        <v>5</v>
      </c>
      <c r="R9" s="47">
        <f t="shared" si="70"/>
        <v>1.1646000000000001</v>
      </c>
      <c r="S9" s="47">
        <f t="shared" si="71"/>
        <v>0.40250000000000002</v>
      </c>
      <c r="T9" s="47">
        <f t="shared" si="72"/>
        <v>0.22999999999999998</v>
      </c>
      <c r="U9" s="47">
        <f t="shared" ca="1" si="73"/>
        <v>4.5963164682920157</v>
      </c>
      <c r="V9" s="47">
        <f t="shared" ca="1" si="74"/>
        <v>4.9610417972787362</v>
      </c>
      <c r="W9" s="38">
        <f t="shared" ca="1" si="75"/>
        <v>0.52108637142865211</v>
      </c>
      <c r="X9" s="38">
        <f t="shared" ca="1" si="76"/>
        <v>0.80428465694660911</v>
      </c>
      <c r="Y9" s="38">
        <f t="shared" ca="1" si="77"/>
        <v>0.52108637142865211</v>
      </c>
      <c r="Z9" s="38">
        <f t="shared" ca="1" si="78"/>
        <v>0.99694540957488886</v>
      </c>
      <c r="AA9" s="38">
        <f t="shared" ca="1" si="79"/>
        <v>1.9645891998037253</v>
      </c>
      <c r="AB9" s="38">
        <f t="shared" ca="1" si="80"/>
        <v>0.49847270478744443</v>
      </c>
      <c r="AC9" s="38">
        <f t="shared" ca="1" si="81"/>
        <v>1.4943391366474266</v>
      </c>
      <c r="AD9" s="38">
        <f t="shared" ca="1" si="82"/>
        <v>0.73032047445602322</v>
      </c>
      <c r="AE9" s="38">
        <f t="shared" ca="1" si="83"/>
        <v>1.4203979914580933</v>
      </c>
      <c r="AF9" s="38">
        <f t="shared" ca="1" si="84"/>
        <v>0.36516023722801161</v>
      </c>
      <c r="AG9" s="38">
        <f t="shared" ca="1" si="85"/>
        <v>2.4173133092826022</v>
      </c>
      <c r="AH9" s="38">
        <f t="shared" ca="1" si="86"/>
        <v>1.8074220638194274</v>
      </c>
      <c r="AI9" s="38">
        <f t="shared" ca="1" si="87"/>
        <v>0.91169455004206656</v>
      </c>
      <c r="AJ9" s="38">
        <f t="shared" ca="1" si="88"/>
        <v>0.82908639636722214</v>
      </c>
      <c r="AK9" s="38">
        <f t="shared" ca="1" si="89"/>
        <v>1.7431784494845903</v>
      </c>
      <c r="AL9" s="38">
        <f t="shared" ca="1" si="90"/>
        <v>1.4813002566520088</v>
      </c>
      <c r="AM9" s="38">
        <f t="shared" ca="1" si="91"/>
        <v>1.5591298102168676</v>
      </c>
      <c r="AN9" s="38">
        <f t="shared" ca="1" si="92"/>
        <v>0.82908639636722214</v>
      </c>
      <c r="AO9" s="38">
        <f t="shared" ca="1" si="93"/>
        <v>0.32520648954347281</v>
      </c>
      <c r="AP9" s="38">
        <f t="shared" ca="1" si="94"/>
        <v>0.5304390839470059</v>
      </c>
      <c r="AQ9" s="38">
        <f t="shared" ca="1" si="95"/>
        <v>1.1669659846834128</v>
      </c>
      <c r="AR9" s="38">
        <f t="shared" ca="1" si="96"/>
        <v>0.26521954197350295</v>
      </c>
      <c r="AS9" s="38">
        <f t="shared" ca="1" si="97"/>
        <v>4.6865722046147162</v>
      </c>
      <c r="AT9" s="38">
        <f t="shared" ca="1" si="98"/>
        <v>0.27598859597448427</v>
      </c>
      <c r="AU9" s="38">
        <f t="shared" ca="1" si="99"/>
        <v>1.1222826355424913</v>
      </c>
      <c r="AV9" s="38">
        <f t="shared" ca="1" si="100"/>
        <v>0.13799429798724214</v>
      </c>
      <c r="AW9" s="38">
        <f t="shared" ca="1" si="101"/>
        <v>0.37130735876290405</v>
      </c>
      <c r="AX9" s="38">
        <f t="shared" ca="1" si="102"/>
        <v>0.78583567992149017</v>
      </c>
      <c r="AY9" s="38">
        <f t="shared" ca="1" si="103"/>
        <v>0.18565367938145202</v>
      </c>
      <c r="AZ9" s="38">
        <f t="shared" ca="1" si="104"/>
        <v>4.9645891998037248</v>
      </c>
      <c r="BA9" s="38">
        <f t="shared" ca="1" si="105"/>
        <v>0.53711626755034247</v>
      </c>
      <c r="BB9" s="38">
        <f t="shared" ca="1" si="106"/>
        <v>1.7770030490918525</v>
      </c>
      <c r="BC9" s="38">
        <f t="shared" ca="1" si="107"/>
        <v>0.26855813377517124</v>
      </c>
      <c r="BD9" s="38">
        <f t="shared" ca="1" si="108"/>
        <v>0.57169545714288406</v>
      </c>
      <c r="BE9" s="38">
        <f t="shared" ca="1" si="109"/>
        <v>0.68367704153169639</v>
      </c>
      <c r="BF9" s="38">
        <f t="shared" ca="1" si="110"/>
        <v>4.3738030850270819</v>
      </c>
      <c r="BG9" s="38">
        <f t="shared" ca="1" si="111"/>
        <v>2.3704157986255119</v>
      </c>
      <c r="BH9" s="38">
        <f t="shared" ca="1" si="112"/>
        <v>0.51164039715269771</v>
      </c>
      <c r="BI9" s="38">
        <f t="shared" ca="1" si="113"/>
        <v>0.95282576190480672</v>
      </c>
      <c r="BJ9" s="38">
        <f t="shared" ca="1" si="114"/>
        <v>0.51865154874818353</v>
      </c>
      <c r="BK9" s="38">
        <f t="shared" ca="1" si="115"/>
        <v>1.8915084851252191</v>
      </c>
      <c r="BL9" s="38">
        <f t="shared" ca="1" si="116"/>
        <v>2.4218893606284562</v>
      </c>
      <c r="BM9" s="38">
        <f t="shared" ca="1" si="117"/>
        <v>0.1103954383897937</v>
      </c>
      <c r="BN9" s="38">
        <f t="shared" ca="1" si="118"/>
        <v>0.35362605596467056</v>
      </c>
      <c r="BO9" s="38">
        <f t="shared" ca="1" si="119"/>
        <v>0.13359206558665332</v>
      </c>
      <c r="BP9" s="38">
        <f t="shared" ca="1" si="120"/>
        <v>1.514199705940136</v>
      </c>
      <c r="BQ9" s="38">
        <f t="shared" ca="1" si="121"/>
        <v>3.5717641109475906</v>
      </c>
      <c r="BR9" s="38">
        <f t="shared" ca="1" si="122"/>
        <v>0.28660354197350291</v>
      </c>
      <c r="BS9" s="38">
        <f t="shared" ca="1" si="123"/>
        <v>0.55794333274425789</v>
      </c>
      <c r="BT9" s="38">
        <f t="shared" ca="1" si="124"/>
        <v>0.47935976475210895</v>
      </c>
      <c r="BU9" s="38">
        <f t="shared" ca="1" si="125"/>
        <v>3.1326557850761505</v>
      </c>
      <c r="BV9" s="38">
        <f t="shared" ca="1" si="126"/>
        <v>2.490878533824334</v>
      </c>
      <c r="BW9" s="38">
        <f t="shared" ca="1" si="127"/>
        <v>0.31420240157095131</v>
      </c>
      <c r="BX9" s="38">
        <f t="shared" ca="1" si="128"/>
        <v>2.0156232151203124</v>
      </c>
      <c r="BY9" s="38">
        <f t="shared" ca="1" si="129"/>
        <v>1.5945009730977406</v>
      </c>
      <c r="BZ9" s="38">
        <f t="shared" ca="1" si="130"/>
        <v>4.0762886389789941</v>
      </c>
      <c r="CA9" s="38">
        <f t="shared" ca="1" si="131"/>
        <v>1.5945009730977406</v>
      </c>
      <c r="CB9" s="38">
        <f t="shared" ca="1" si="132"/>
        <v>2.6710390714777206</v>
      </c>
      <c r="CC9" s="38">
        <f t="shared" ca="1" si="133"/>
        <v>5.7979722145312991</v>
      </c>
      <c r="CD9" s="38">
        <f t="shared" ca="1" si="134"/>
        <v>2.6710390714777206</v>
      </c>
      <c r="CE9" s="38">
        <f t="shared" ca="1" si="135"/>
        <v>1.2411472999509312</v>
      </c>
    </row>
    <row r="10" spans="1:83" x14ac:dyDescent="0.25">
      <c r="A10" t="str">
        <f>PLANTILLA!D11</f>
        <v>Julio Calle</v>
      </c>
      <c r="B10">
        <f>PLANTILLA!E11</f>
        <v>17</v>
      </c>
      <c r="C10" s="34">
        <f ca="1">PLANTILLA!F11</f>
        <v>50</v>
      </c>
      <c r="D10" s="222" t="str">
        <f>PLANTILLA!G11</f>
        <v>POT</v>
      </c>
      <c r="E10" s="31">
        <f>PLANTILLA!M11</f>
        <v>43046</v>
      </c>
      <c r="F10" s="48">
        <f>PLANTILLA!Q11</f>
        <v>6</v>
      </c>
      <c r="G10" s="49">
        <f t="shared" si="1"/>
        <v>0.92582009977255142</v>
      </c>
      <c r="H10" s="49">
        <f t="shared" si="2"/>
        <v>0.99928545900129484</v>
      </c>
      <c r="I10" s="52">
        <f t="shared" ca="1" si="3"/>
        <v>0.36596252735569995</v>
      </c>
      <c r="J10" s="40">
        <f>PLANTILLA!I11</f>
        <v>0.5</v>
      </c>
      <c r="K10" s="47">
        <f>PLANTILLA!X11</f>
        <v>0</v>
      </c>
      <c r="L10" s="47">
        <f>PLANTILLA!Y11</f>
        <v>3</v>
      </c>
      <c r="M10" s="47">
        <f>PLANTILLA!Z11</f>
        <v>4</v>
      </c>
      <c r="N10" s="47">
        <f>PLANTILLA!AA11</f>
        <v>4</v>
      </c>
      <c r="O10" s="47">
        <f>PLANTILLA!AB11</f>
        <v>3.0151111111111111</v>
      </c>
      <c r="P10" s="47">
        <f>PLANTILLA!AC11</f>
        <v>4.0588235294117645</v>
      </c>
      <c r="Q10" s="47">
        <f>PLANTILLA!AD11</f>
        <v>1.3</v>
      </c>
      <c r="R10" s="47">
        <f t="shared" si="70"/>
        <v>1.5037777777777777</v>
      </c>
      <c r="S10" s="47">
        <f t="shared" si="71"/>
        <v>0.24194117647058824</v>
      </c>
      <c r="T10" s="47">
        <f t="shared" si="72"/>
        <v>0.15900000000000003</v>
      </c>
      <c r="U10" s="47">
        <f t="shared" ca="1" si="73"/>
        <v>1.1707820991335758</v>
      </c>
      <c r="V10" s="47">
        <f t="shared" ca="1" si="74"/>
        <v>1.2636855989739455</v>
      </c>
      <c r="W10" s="38">
        <f t="shared" ca="1" si="75"/>
        <v>0.79708637142865213</v>
      </c>
      <c r="X10" s="38">
        <f t="shared" ca="1" si="76"/>
        <v>1.2292846569466092</v>
      </c>
      <c r="Y10" s="38">
        <f t="shared" ca="1" si="77"/>
        <v>0.79708637142865213</v>
      </c>
      <c r="Z10" s="38">
        <f t="shared" ca="1" si="78"/>
        <v>1.5129454095748889</v>
      </c>
      <c r="AA10" s="38">
        <f t="shared" ca="1" si="79"/>
        <v>2.9645891998037253</v>
      </c>
      <c r="AB10" s="38">
        <f t="shared" ca="1" si="80"/>
        <v>0.75647270478744444</v>
      </c>
      <c r="AC10" s="38">
        <f t="shared" ca="1" si="81"/>
        <v>1.2563391366474266</v>
      </c>
      <c r="AD10" s="38">
        <f t="shared" ca="1" si="82"/>
        <v>1.1083204744560233</v>
      </c>
      <c r="AE10" s="38">
        <f t="shared" ca="1" si="83"/>
        <v>2.1433979914580932</v>
      </c>
      <c r="AF10" s="38">
        <f t="shared" ca="1" si="84"/>
        <v>0.55416023722801167</v>
      </c>
      <c r="AG10" s="38">
        <f t="shared" ca="1" si="85"/>
        <v>2.032313309282602</v>
      </c>
      <c r="AH10" s="38">
        <f t="shared" ca="1" si="86"/>
        <v>2.7274220638194273</v>
      </c>
      <c r="AI10" s="38">
        <f t="shared" ca="1" si="87"/>
        <v>1.3256945500420665</v>
      </c>
      <c r="AJ10" s="38">
        <f t="shared" ca="1" si="88"/>
        <v>0.66208639636722211</v>
      </c>
      <c r="AK10" s="38">
        <f t="shared" ca="1" si="89"/>
        <v>2.3311784494845904</v>
      </c>
      <c r="AL10" s="38">
        <f t="shared" ca="1" si="90"/>
        <v>2.235300256652009</v>
      </c>
      <c r="AM10" s="38">
        <f t="shared" ca="1" si="91"/>
        <v>2.2671298102168675</v>
      </c>
      <c r="AN10" s="38">
        <f t="shared" ca="1" si="92"/>
        <v>0.21118639636722211</v>
      </c>
      <c r="AO10" s="38">
        <f t="shared" ca="1" si="93"/>
        <v>0.42288968954347272</v>
      </c>
      <c r="AP10" s="38">
        <f t="shared" ca="1" si="94"/>
        <v>0.80043908394700591</v>
      </c>
      <c r="AQ10" s="38">
        <f t="shared" ca="1" si="95"/>
        <v>1.7609659846834127</v>
      </c>
      <c r="AR10" s="38">
        <f t="shared" ca="1" si="96"/>
        <v>0.40021954197350296</v>
      </c>
      <c r="AS10" s="38">
        <f t="shared" ca="1" si="97"/>
        <v>3.7425722046147163</v>
      </c>
      <c r="AT10" s="38">
        <f t="shared" ca="1" si="98"/>
        <v>0.38736104041892871</v>
      </c>
      <c r="AU10" s="38">
        <f t="shared" ca="1" si="99"/>
        <v>1.0536144394640599</v>
      </c>
      <c r="AV10" s="38">
        <f t="shared" ca="1" si="100"/>
        <v>0.19368052020946436</v>
      </c>
      <c r="AW10" s="38">
        <f t="shared" ca="1" si="101"/>
        <v>0.56030735876290405</v>
      </c>
      <c r="AX10" s="38">
        <f t="shared" ca="1" si="102"/>
        <v>1.1858356799214902</v>
      </c>
      <c r="AY10" s="38">
        <f t="shared" ca="1" si="103"/>
        <v>0.28015367938145203</v>
      </c>
      <c r="AZ10" s="38">
        <f t="shared" ca="1" si="104"/>
        <v>3.9645891998037253</v>
      </c>
      <c r="BA10" s="38">
        <f t="shared" ca="1" si="105"/>
        <v>0.75386417866145361</v>
      </c>
      <c r="BB10" s="38">
        <f t="shared" ca="1" si="106"/>
        <v>1.8609944791572119</v>
      </c>
      <c r="BC10" s="38">
        <f t="shared" ca="1" si="107"/>
        <v>0.3769320893307268</v>
      </c>
      <c r="BD10" s="38">
        <f t="shared" ca="1" si="108"/>
        <v>0.86269545714288398</v>
      </c>
      <c r="BE10" s="38">
        <f t="shared" ca="1" si="109"/>
        <v>1.0316770415316963</v>
      </c>
      <c r="BF10" s="38">
        <f t="shared" ca="1" si="110"/>
        <v>3.4928030850270821</v>
      </c>
      <c r="BG10" s="38">
        <f t="shared" ca="1" si="111"/>
        <v>3.2142797986255118</v>
      </c>
      <c r="BH10" s="38">
        <f t="shared" ca="1" si="112"/>
        <v>0.71810777493047551</v>
      </c>
      <c r="BI10" s="38">
        <f t="shared" ca="1" si="113"/>
        <v>1.4378257619048067</v>
      </c>
      <c r="BJ10" s="38">
        <f t="shared" ca="1" si="114"/>
        <v>0.78265154874818355</v>
      </c>
      <c r="BK10" s="38">
        <f t="shared" ca="1" si="115"/>
        <v>1.5105084851252193</v>
      </c>
      <c r="BL10" s="38">
        <f t="shared" ca="1" si="116"/>
        <v>3.2670882939617893</v>
      </c>
      <c r="BM10" s="38">
        <f t="shared" ca="1" si="117"/>
        <v>0.15494441616757149</v>
      </c>
      <c r="BN10" s="38">
        <f t="shared" ca="1" si="118"/>
        <v>0.5336260559646705</v>
      </c>
      <c r="BO10" s="38">
        <f t="shared" ca="1" si="119"/>
        <v>0.20159206558665332</v>
      </c>
      <c r="BP10" s="38">
        <f t="shared" ca="1" si="120"/>
        <v>1.2091997059401363</v>
      </c>
      <c r="BQ10" s="38">
        <f t="shared" ca="1" si="121"/>
        <v>4.8167834887253687</v>
      </c>
      <c r="BR10" s="38">
        <f t="shared" ca="1" si="122"/>
        <v>0.40225954197350294</v>
      </c>
      <c r="BS10" s="38">
        <f t="shared" ca="1" si="123"/>
        <v>0.84194333274425792</v>
      </c>
      <c r="BT10" s="38">
        <f t="shared" ca="1" si="124"/>
        <v>0.72335976475210895</v>
      </c>
      <c r="BU10" s="38">
        <f t="shared" ca="1" si="125"/>
        <v>2.5016557850761507</v>
      </c>
      <c r="BV10" s="38">
        <f t="shared" ca="1" si="126"/>
        <v>3.358223778268778</v>
      </c>
      <c r="BW10" s="38">
        <f t="shared" ca="1" si="127"/>
        <v>0.44099564601539576</v>
      </c>
      <c r="BX10" s="38">
        <f t="shared" ca="1" si="128"/>
        <v>1.6096232151203125</v>
      </c>
      <c r="BY10" s="38">
        <f t="shared" ca="1" si="129"/>
        <v>1.8267993391108126</v>
      </c>
      <c r="BZ10" s="38">
        <f t="shared" ca="1" si="130"/>
        <v>3.9636268899593863</v>
      </c>
      <c r="CA10" s="38">
        <f t="shared" ca="1" si="131"/>
        <v>1.8267993391108126</v>
      </c>
      <c r="CB10" s="38">
        <f t="shared" ca="1" si="132"/>
        <v>2.4935861303012499</v>
      </c>
      <c r="CC10" s="38">
        <f t="shared" ca="1" si="133"/>
        <v>5.1229221439430637</v>
      </c>
      <c r="CD10" s="38">
        <f t="shared" ca="1" si="134"/>
        <v>2.4935861303012499</v>
      </c>
      <c r="CE10" s="38">
        <f t="shared" ca="1" si="135"/>
        <v>0.99114729995093132</v>
      </c>
    </row>
    <row r="11" spans="1:83" x14ac:dyDescent="0.25">
      <c r="A11" t="str">
        <f>PLANTILLA!D12</f>
        <v>Enrique Cubas</v>
      </c>
      <c r="B11">
        <f>PLANTILLA!E12</f>
        <v>17</v>
      </c>
      <c r="C11" s="34">
        <f ca="1">PLANTILLA!F12</f>
        <v>51</v>
      </c>
      <c r="D11" s="222" t="str">
        <f>PLANTILLA!G12</f>
        <v>RAP</v>
      </c>
      <c r="E11" s="31">
        <f>PLANTILLA!M12</f>
        <v>43046</v>
      </c>
      <c r="F11" s="48">
        <f>PLANTILLA!Q12</f>
        <v>6</v>
      </c>
      <c r="G11" s="49">
        <f t="shared" si="1"/>
        <v>0.92582009977255142</v>
      </c>
      <c r="H11" s="49">
        <f t="shared" si="2"/>
        <v>0.99928545900129484</v>
      </c>
      <c r="I11" s="52">
        <f t="shared" ca="1" si="3"/>
        <v>0.36596252735569995</v>
      </c>
      <c r="J11" s="40">
        <f>PLANTILLA!I12</f>
        <v>1</v>
      </c>
      <c r="K11" s="47">
        <f>PLANTILLA!X12</f>
        <v>0</v>
      </c>
      <c r="L11" s="47">
        <f>PLANTILLA!Y12</f>
        <v>2</v>
      </c>
      <c r="M11" s="47">
        <f>PLANTILLA!Z12</f>
        <v>5.7</v>
      </c>
      <c r="N11" s="47">
        <f>PLANTILLA!AA12</f>
        <v>5.5</v>
      </c>
      <c r="O11" s="47">
        <f>PLANTILLA!AB12</f>
        <v>5.5</v>
      </c>
      <c r="P11" s="47">
        <f>PLANTILLA!AC12</f>
        <v>3.3333333333333335</v>
      </c>
      <c r="Q11" s="47">
        <f>PLANTILLA!AD12</f>
        <v>5</v>
      </c>
      <c r="R11" s="47">
        <f t="shared" si="70"/>
        <v>2</v>
      </c>
      <c r="S11" s="47">
        <f t="shared" si="71"/>
        <v>0.31666666666666671</v>
      </c>
      <c r="T11" s="47">
        <f t="shared" si="72"/>
        <v>0.22999999999999998</v>
      </c>
      <c r="U11" s="47">
        <f t="shared" ca="1" si="73"/>
        <v>4.9679159624522269</v>
      </c>
      <c r="V11" s="47">
        <f t="shared" ca="1" si="74"/>
        <v>5.362128327132389</v>
      </c>
      <c r="W11" s="38">
        <f t="shared" ca="1" si="75"/>
        <v>0.87148528638152611</v>
      </c>
      <c r="X11" s="38">
        <f t="shared" ca="1" si="76"/>
        <v>1.3224576228162086</v>
      </c>
      <c r="Y11" s="38">
        <f t="shared" ca="1" si="77"/>
        <v>0.87148528638152611</v>
      </c>
      <c r="Z11" s="38">
        <f t="shared" ca="1" si="78"/>
        <v>1.204054046591708</v>
      </c>
      <c r="AA11" s="38">
        <f t="shared" ca="1" si="79"/>
        <v>2.3659625273557001</v>
      </c>
      <c r="AB11" s="38">
        <f t="shared" ca="1" si="80"/>
        <v>0.602027023295854</v>
      </c>
      <c r="AC11" s="38">
        <f t="shared" ca="1" si="81"/>
        <v>1.7564659886047969</v>
      </c>
      <c r="AD11" s="38">
        <f t="shared" ca="1" si="82"/>
        <v>0.88203959227066975</v>
      </c>
      <c r="AE11" s="38">
        <f t="shared" ca="1" si="83"/>
        <v>1.7105909072781711</v>
      </c>
      <c r="AF11" s="38">
        <f t="shared" ca="1" si="84"/>
        <v>0.44101979613533487</v>
      </c>
      <c r="AG11" s="38">
        <f t="shared" ca="1" si="85"/>
        <v>2.8413420403901126</v>
      </c>
      <c r="AH11" s="38">
        <f t="shared" ca="1" si="86"/>
        <v>2.1766855251672443</v>
      </c>
      <c r="AI11" s="38">
        <f t="shared" ca="1" si="87"/>
        <v>1.0778631076485843</v>
      </c>
      <c r="AJ11" s="38">
        <f t="shared" ca="1" si="88"/>
        <v>1.0130157420684021</v>
      </c>
      <c r="AK11" s="38">
        <f t="shared" ca="1" si="89"/>
        <v>3.4491859660851514</v>
      </c>
      <c r="AL11" s="38">
        <f t="shared" ca="1" si="90"/>
        <v>1.7839357456261979</v>
      </c>
      <c r="AM11" s="38">
        <f t="shared" ca="1" si="91"/>
        <v>1.8433021261236657</v>
      </c>
      <c r="AN11" s="38">
        <f t="shared" ca="1" si="92"/>
        <v>0.89611574206840194</v>
      </c>
      <c r="AO11" s="38">
        <f t="shared" ca="1" si="93"/>
        <v>0.6813972078784416</v>
      </c>
      <c r="AP11" s="38">
        <f t="shared" ca="1" si="94"/>
        <v>0.63880988238603909</v>
      </c>
      <c r="AQ11" s="38">
        <f t="shared" ca="1" si="95"/>
        <v>1.4053817412492857</v>
      </c>
      <c r="AR11" s="38">
        <f t="shared" ca="1" si="96"/>
        <v>0.31940494119301954</v>
      </c>
      <c r="AS11" s="38">
        <f t="shared" ca="1" si="97"/>
        <v>5.7262686258237805</v>
      </c>
      <c r="AT11" s="38">
        <f t="shared" ca="1" si="98"/>
        <v>0.76257512855624099</v>
      </c>
      <c r="AU11" s="38">
        <f t="shared" ca="1" si="99"/>
        <v>1.343893687181887</v>
      </c>
      <c r="AV11" s="38">
        <f t="shared" ca="1" si="100"/>
        <v>0.38128756427812049</v>
      </c>
      <c r="AW11" s="38">
        <f t="shared" ca="1" si="101"/>
        <v>0.44716691767022732</v>
      </c>
      <c r="AX11" s="38">
        <f t="shared" ca="1" si="102"/>
        <v>0.94638501094228011</v>
      </c>
      <c r="AY11" s="38">
        <f t="shared" ca="1" si="103"/>
        <v>0.22358345883511366</v>
      </c>
      <c r="AZ11" s="38">
        <f t="shared" ca="1" si="104"/>
        <v>6.0659625273557003</v>
      </c>
      <c r="BA11" s="38">
        <f t="shared" ca="1" si="105"/>
        <v>1.4840885194209921</v>
      </c>
      <c r="BB11" s="38">
        <f t="shared" ca="1" si="106"/>
        <v>2.7771453525729912</v>
      </c>
      <c r="BC11" s="38">
        <f t="shared" ca="1" si="107"/>
        <v>0.74204425971049603</v>
      </c>
      <c r="BD11" s="38">
        <f t="shared" ca="1" si="108"/>
        <v>0.68849509546050869</v>
      </c>
      <c r="BE11" s="38">
        <f t="shared" ca="1" si="109"/>
        <v>0.82335495951978355</v>
      </c>
      <c r="BF11" s="38">
        <f t="shared" ca="1" si="110"/>
        <v>5.344112986600372</v>
      </c>
      <c r="BG11" s="38">
        <f t="shared" ca="1" si="111"/>
        <v>5.2148406868192172</v>
      </c>
      <c r="BH11" s="38">
        <f t="shared" ca="1" si="112"/>
        <v>1.4136969690927237</v>
      </c>
      <c r="BI11" s="38">
        <f t="shared" ca="1" si="113"/>
        <v>1.1474918257675146</v>
      </c>
      <c r="BJ11" s="38">
        <f t="shared" ca="1" si="114"/>
        <v>0.62461410722190491</v>
      </c>
      <c r="BK11" s="38">
        <f t="shared" ca="1" si="115"/>
        <v>2.3111317229225219</v>
      </c>
      <c r="BL11" s="38">
        <f t="shared" ca="1" si="116"/>
        <v>5.1268512489088822</v>
      </c>
      <c r="BM11" s="38">
        <f t="shared" ca="1" si="117"/>
        <v>0.3050300514224964</v>
      </c>
      <c r="BN11" s="38">
        <f t="shared" ca="1" si="118"/>
        <v>0.425873254924026</v>
      </c>
      <c r="BO11" s="38">
        <f t="shared" ca="1" si="119"/>
        <v>0.16088545186018763</v>
      </c>
      <c r="BP11" s="38">
        <f t="shared" ca="1" si="120"/>
        <v>1.8501185708434886</v>
      </c>
      <c r="BQ11" s="38">
        <f t="shared" ca="1" si="121"/>
        <v>7.5436278101794301</v>
      </c>
      <c r="BR11" s="38">
        <f t="shared" ca="1" si="122"/>
        <v>0.79190494119301957</v>
      </c>
      <c r="BS11" s="38">
        <f t="shared" ca="1" si="123"/>
        <v>0.67193335776901875</v>
      </c>
      <c r="BT11" s="38">
        <f t="shared" ca="1" si="124"/>
        <v>0.57729485667479086</v>
      </c>
      <c r="BU11" s="38">
        <f t="shared" ca="1" si="125"/>
        <v>3.8276223547614467</v>
      </c>
      <c r="BV11" s="38">
        <f t="shared" ca="1" si="126"/>
        <v>5.2500364619833508</v>
      </c>
      <c r="BW11" s="38">
        <f t="shared" ca="1" si="127"/>
        <v>0.86816245404864356</v>
      </c>
      <c r="BX11" s="38">
        <f t="shared" ca="1" si="128"/>
        <v>2.4627807861064146</v>
      </c>
      <c r="BY11" s="38">
        <f t="shared" ca="1" si="129"/>
        <v>2.7809998100856532</v>
      </c>
      <c r="BZ11" s="38">
        <f t="shared" ca="1" si="130"/>
        <v>5.3419071391358521</v>
      </c>
      <c r="CA11" s="38">
        <f t="shared" ca="1" si="131"/>
        <v>2.7809998100856532</v>
      </c>
      <c r="CB11" s="38">
        <f t="shared" ca="1" si="132"/>
        <v>2.7834946545426011</v>
      </c>
      <c r="CC11" s="38">
        <f t="shared" ca="1" si="133"/>
        <v>5.8638360332832864</v>
      </c>
      <c r="CD11" s="38">
        <f t="shared" ca="1" si="134"/>
        <v>2.7834946545426011</v>
      </c>
      <c r="CE11" s="38">
        <f t="shared" ca="1" si="135"/>
        <v>1.5164906318389251</v>
      </c>
    </row>
    <row r="12" spans="1:83" x14ac:dyDescent="0.25">
      <c r="A12" t="str">
        <f>PLANTILLA!D13</f>
        <v>J. G. Peñuela</v>
      </c>
      <c r="B12">
        <f>PLANTILLA!E13</f>
        <v>17</v>
      </c>
      <c r="C12" s="34">
        <f ca="1">PLANTILLA!F13</f>
        <v>51</v>
      </c>
      <c r="D12" s="222" t="str">
        <f>PLANTILLA!G13</f>
        <v>IMP</v>
      </c>
      <c r="E12" s="31">
        <f>PLANTILLA!M13</f>
        <v>43054</v>
      </c>
      <c r="F12" s="48">
        <f>PLANTILLA!Q13</f>
        <v>6</v>
      </c>
      <c r="G12" s="49">
        <f t="shared" si="1"/>
        <v>0.92582009977255142</v>
      </c>
      <c r="H12" s="49">
        <f t="shared" si="2"/>
        <v>0.99928545900129484</v>
      </c>
      <c r="I12" s="52">
        <f t="shared" ca="1" si="3"/>
        <v>0.33184190154205606</v>
      </c>
      <c r="J12" s="40">
        <f>PLANTILLA!I13</f>
        <v>0.5</v>
      </c>
      <c r="K12" s="47">
        <f>PLANTILLA!X13</f>
        <v>0</v>
      </c>
      <c r="L12" s="47">
        <f>PLANTILLA!Y13</f>
        <v>3</v>
      </c>
      <c r="M12" s="47">
        <f>PLANTILLA!Z13</f>
        <v>5</v>
      </c>
      <c r="N12" s="47">
        <f>PLANTILLA!AA13</f>
        <v>4</v>
      </c>
      <c r="O12" s="47">
        <f>PLANTILLA!AB13</f>
        <v>4.25</v>
      </c>
      <c r="P12" s="47">
        <f>PLANTILLA!AC13</f>
        <v>4.003333333333333</v>
      </c>
      <c r="Q12" s="47">
        <f>PLANTILLA!AD13</f>
        <v>3</v>
      </c>
      <c r="R12" s="47">
        <f t="shared" si="70"/>
        <v>1.8125</v>
      </c>
      <c r="S12" s="47">
        <f t="shared" si="71"/>
        <v>0.29016666666666663</v>
      </c>
      <c r="T12" s="47">
        <f t="shared" si="72"/>
        <v>0.21000000000000002</v>
      </c>
      <c r="U12" s="47">
        <f t="shared" ca="1" si="73"/>
        <v>2.7130867075518235</v>
      </c>
      <c r="V12" s="47">
        <f t="shared" ca="1" si="74"/>
        <v>2.9283746340485481</v>
      </c>
      <c r="W12" s="38">
        <f t="shared" ca="1" si="75"/>
        <v>0.76729906509334089</v>
      </c>
      <c r="X12" s="38">
        <f t="shared" ca="1" si="76"/>
        <v>1.1852349290211948</v>
      </c>
      <c r="Y12" s="38">
        <f t="shared" ca="1" si="77"/>
        <v>0.76729906509334089</v>
      </c>
      <c r="Z12" s="38">
        <f t="shared" ca="1" si="78"/>
        <v>1.4969038990248948</v>
      </c>
      <c r="AA12" s="38">
        <f t="shared" ca="1" si="79"/>
        <v>2.9304685739900811</v>
      </c>
      <c r="AB12" s="38">
        <f t="shared" ca="1" si="80"/>
        <v>0.74845194951244742</v>
      </c>
      <c r="AC12" s="38">
        <f t="shared" ca="1" si="81"/>
        <v>1.4570575114729289</v>
      </c>
      <c r="AD12" s="38">
        <f t="shared" ca="1" si="82"/>
        <v>1.0965691353321905</v>
      </c>
      <c r="AE12" s="38">
        <f t="shared" ca="1" si="83"/>
        <v>2.1187287789948286</v>
      </c>
      <c r="AF12" s="38">
        <f t="shared" ca="1" si="84"/>
        <v>0.54828456766609523</v>
      </c>
      <c r="AG12" s="38">
        <f t="shared" ca="1" si="85"/>
        <v>2.3570047979709146</v>
      </c>
      <c r="AH12" s="38">
        <f t="shared" ca="1" si="86"/>
        <v>2.6960310880708747</v>
      </c>
      <c r="AI12" s="38">
        <f t="shared" ca="1" si="87"/>
        <v>1.3023984883870297</v>
      </c>
      <c r="AJ12" s="38">
        <f t="shared" ca="1" si="88"/>
        <v>0.82338825185634357</v>
      </c>
      <c r="AK12" s="38">
        <f t="shared" ca="1" si="89"/>
        <v>2.3111155215061676</v>
      </c>
      <c r="AL12" s="38">
        <f t="shared" ca="1" si="90"/>
        <v>2.2095733047885213</v>
      </c>
      <c r="AM12" s="38">
        <f t="shared" ca="1" si="91"/>
        <v>2.2272901685459345</v>
      </c>
      <c r="AN12" s="38">
        <f t="shared" ca="1" si="92"/>
        <v>0.48938825185634355</v>
      </c>
      <c r="AO12" s="38">
        <f t="shared" ca="1" si="93"/>
        <v>0.50197494930914333</v>
      </c>
      <c r="AP12" s="38">
        <f t="shared" ca="1" si="94"/>
        <v>0.79122651497732199</v>
      </c>
      <c r="AQ12" s="38">
        <f t="shared" ca="1" si="95"/>
        <v>1.740698332950108</v>
      </c>
      <c r="AR12" s="38">
        <f t="shared" ca="1" si="96"/>
        <v>0.395613257488661</v>
      </c>
      <c r="AS12" s="38">
        <f t="shared" ca="1" si="97"/>
        <v>4.6543623338466356</v>
      </c>
      <c r="AT12" s="38">
        <f t="shared" ca="1" si="98"/>
        <v>0.54346091461871049</v>
      </c>
      <c r="AU12" s="38">
        <f t="shared" ca="1" si="99"/>
        <v>1.1822039588457602</v>
      </c>
      <c r="AV12" s="38">
        <f t="shared" ca="1" si="100"/>
        <v>0.27173045730935524</v>
      </c>
      <c r="AW12" s="38">
        <f t="shared" ca="1" si="101"/>
        <v>0.5538585604841253</v>
      </c>
      <c r="AX12" s="38">
        <f t="shared" ca="1" si="102"/>
        <v>1.1721874295960324</v>
      </c>
      <c r="AY12" s="38">
        <f t="shared" ca="1" si="103"/>
        <v>0.27692928024206265</v>
      </c>
      <c r="AZ12" s="38">
        <f t="shared" ca="1" si="104"/>
        <v>4.9304685739900806</v>
      </c>
      <c r="BA12" s="38">
        <f t="shared" ca="1" si="105"/>
        <v>1.0576585492194903</v>
      </c>
      <c r="BB12" s="38">
        <f t="shared" ca="1" si="106"/>
        <v>2.2516381842685345</v>
      </c>
      <c r="BC12" s="38">
        <f t="shared" ca="1" si="107"/>
        <v>0.52882927460974516</v>
      </c>
      <c r="BD12" s="38">
        <f t="shared" ca="1" si="108"/>
        <v>0.85276635503111353</v>
      </c>
      <c r="BE12" s="38">
        <f t="shared" ca="1" si="109"/>
        <v>1.0198030637485482</v>
      </c>
      <c r="BF12" s="38">
        <f t="shared" ca="1" si="110"/>
        <v>4.3437428136852612</v>
      </c>
      <c r="BG12" s="38">
        <f t="shared" ca="1" si="111"/>
        <v>3.572936562277182</v>
      </c>
      <c r="BH12" s="38">
        <f t="shared" ca="1" si="112"/>
        <v>1.0074929263316095</v>
      </c>
      <c r="BI12" s="38">
        <f t="shared" ca="1" si="113"/>
        <v>1.4212772583851894</v>
      </c>
      <c r="BJ12" s="38">
        <f t="shared" ca="1" si="114"/>
        <v>0.77364370353338141</v>
      </c>
      <c r="BK12" s="38">
        <f t="shared" ca="1" si="115"/>
        <v>1.8785085266902208</v>
      </c>
      <c r="BL12" s="38">
        <f t="shared" ca="1" si="116"/>
        <v>3.4854795336673305</v>
      </c>
      <c r="BM12" s="38">
        <f t="shared" ca="1" si="117"/>
        <v>0.21738436584748419</v>
      </c>
      <c r="BN12" s="38">
        <f t="shared" ca="1" si="118"/>
        <v>0.52748434331821459</v>
      </c>
      <c r="BO12" s="38">
        <f t="shared" ca="1" si="119"/>
        <v>0.19927186303132552</v>
      </c>
      <c r="BP12" s="38">
        <f t="shared" ca="1" si="120"/>
        <v>1.5037929150669747</v>
      </c>
      <c r="BQ12" s="38">
        <f t="shared" ca="1" si="121"/>
        <v>5.1260825861512442</v>
      </c>
      <c r="BR12" s="38">
        <f t="shared" ca="1" si="122"/>
        <v>0.5643632574886609</v>
      </c>
      <c r="BS12" s="38">
        <f t="shared" ca="1" si="123"/>
        <v>0.83225307501318291</v>
      </c>
      <c r="BT12" s="38">
        <f t="shared" ca="1" si="124"/>
        <v>0.7150343320535798</v>
      </c>
      <c r="BU12" s="38">
        <f t="shared" ca="1" si="125"/>
        <v>3.1111256701877408</v>
      </c>
      <c r="BV12" s="38">
        <f t="shared" ca="1" si="126"/>
        <v>3.5660193737211223</v>
      </c>
      <c r="BW12" s="38">
        <f t="shared" ca="1" si="127"/>
        <v>0.61870934895053187</v>
      </c>
      <c r="BX12" s="38">
        <f t="shared" ca="1" si="128"/>
        <v>2.0017702410399729</v>
      </c>
      <c r="BY12" s="38">
        <f t="shared" ca="1" si="129"/>
        <v>2.1106974603821653</v>
      </c>
      <c r="BZ12" s="38">
        <f t="shared" ca="1" si="130"/>
        <v>4.5634009476461639</v>
      </c>
      <c r="CA12" s="38">
        <f t="shared" ca="1" si="131"/>
        <v>2.1106974603821653</v>
      </c>
      <c r="CB12" s="38">
        <f t="shared" ca="1" si="132"/>
        <v>2.4500219215958201</v>
      </c>
      <c r="CC12" s="38">
        <f t="shared" ca="1" si="133"/>
        <v>5.4763948111257541</v>
      </c>
      <c r="CD12" s="38">
        <f t="shared" ca="1" si="134"/>
        <v>2.4500219215958201</v>
      </c>
      <c r="CE12" s="38">
        <f t="shared" ca="1" si="135"/>
        <v>1.2326171434975202</v>
      </c>
    </row>
    <row r="13" spans="1:83" x14ac:dyDescent="0.25">
      <c r="A13" t="str">
        <f>PLANTILLA!D14</f>
        <v>Paulo Beltrán</v>
      </c>
      <c r="B13">
        <f>PLANTILLA!E14</f>
        <v>17</v>
      </c>
      <c r="C13" s="34">
        <f ca="1">PLANTILLA!F14</f>
        <v>59</v>
      </c>
      <c r="D13" s="222" t="str">
        <f>PLANTILLA!G14</f>
        <v>RAP</v>
      </c>
      <c r="E13" s="31">
        <f>PLANTILLA!M14</f>
        <v>43046</v>
      </c>
      <c r="F13" s="48">
        <f>PLANTILLA!Q14</f>
        <v>5</v>
      </c>
      <c r="G13" s="49">
        <f t="shared" si="1"/>
        <v>0.84515425472851657</v>
      </c>
      <c r="H13" s="49">
        <f t="shared" si="2"/>
        <v>0.92504826128926143</v>
      </c>
      <c r="I13" s="52">
        <f t="shared" ca="1" si="3"/>
        <v>0.36596252735569995</v>
      </c>
      <c r="J13" s="40">
        <f>PLANTILLA!I14</f>
        <v>1</v>
      </c>
      <c r="K13" s="47">
        <f>PLANTILLA!X14</f>
        <v>0</v>
      </c>
      <c r="L13" s="47">
        <f>PLANTILLA!Y14</f>
        <v>4</v>
      </c>
      <c r="M13" s="47">
        <f>PLANTILLA!Z14</f>
        <v>2</v>
      </c>
      <c r="N13" s="47">
        <f>PLANTILLA!AA14</f>
        <v>5</v>
      </c>
      <c r="O13" s="47">
        <f>PLANTILLA!AB14</f>
        <v>4</v>
      </c>
      <c r="P13" s="47">
        <f>PLANTILLA!AC14</f>
        <v>4.0588235294117645</v>
      </c>
      <c r="Q13" s="47">
        <f>PLANTILLA!AD14</f>
        <v>4</v>
      </c>
      <c r="R13" s="47">
        <f t="shared" si="70"/>
        <v>1.875</v>
      </c>
      <c r="S13" s="47">
        <f t="shared" si="71"/>
        <v>0.32294117647058823</v>
      </c>
      <c r="T13" s="47">
        <f t="shared" si="72"/>
        <v>0.27999999999999997</v>
      </c>
      <c r="U13" s="47">
        <f t="shared" ca="1" si="73"/>
        <v>3.6899118059799374</v>
      </c>
      <c r="V13" s="47">
        <f t="shared" ca="1" si="74"/>
        <v>4.0387260447844602</v>
      </c>
      <c r="W13" s="38">
        <f t="shared" ca="1" si="75"/>
        <v>1.4234852863815262</v>
      </c>
      <c r="X13" s="38">
        <f t="shared" ca="1" si="76"/>
        <v>2.1724576228162089</v>
      </c>
      <c r="Y13" s="38">
        <f t="shared" ca="1" si="77"/>
        <v>1.4234852863815262</v>
      </c>
      <c r="Z13" s="38">
        <f t="shared" ca="1" si="78"/>
        <v>2.236054046591708</v>
      </c>
      <c r="AA13" s="38">
        <f t="shared" ca="1" si="79"/>
        <v>4.3659625273557001</v>
      </c>
      <c r="AB13" s="38">
        <f t="shared" ca="1" si="80"/>
        <v>1.118027023295854</v>
      </c>
      <c r="AC13" s="38">
        <f t="shared" ca="1" si="81"/>
        <v>0.87586598860479681</v>
      </c>
      <c r="AD13" s="38">
        <f t="shared" ca="1" si="82"/>
        <v>1.6380395922706696</v>
      </c>
      <c r="AE13" s="38">
        <f t="shared" ca="1" si="83"/>
        <v>3.1565909072781713</v>
      </c>
      <c r="AF13" s="38">
        <f t="shared" ca="1" si="84"/>
        <v>0.81901979613533482</v>
      </c>
      <c r="AG13" s="38">
        <f t="shared" ca="1" si="85"/>
        <v>1.4168420403901125</v>
      </c>
      <c r="AH13" s="38">
        <f t="shared" ca="1" si="86"/>
        <v>4.0166855251672446</v>
      </c>
      <c r="AI13" s="38">
        <f t="shared" ca="1" si="87"/>
        <v>1.9058631076485841</v>
      </c>
      <c r="AJ13" s="38">
        <f t="shared" ca="1" si="88"/>
        <v>0.39511574206840194</v>
      </c>
      <c r="AK13" s="38">
        <f t="shared" ca="1" si="89"/>
        <v>3.1551859660851513</v>
      </c>
      <c r="AL13" s="38">
        <f t="shared" ca="1" si="90"/>
        <v>3.2919357456261977</v>
      </c>
      <c r="AM13" s="38">
        <f t="shared" ca="1" si="91"/>
        <v>3.2593021261236657</v>
      </c>
      <c r="AN13" s="38">
        <f t="shared" ca="1" si="92"/>
        <v>0.72911574206840191</v>
      </c>
      <c r="AO13" s="38">
        <f t="shared" ca="1" si="93"/>
        <v>0.64539720787844157</v>
      </c>
      <c r="AP13" s="38">
        <f t="shared" ca="1" si="94"/>
        <v>1.1788098823860391</v>
      </c>
      <c r="AQ13" s="38">
        <f t="shared" ca="1" si="95"/>
        <v>2.5933817412492859</v>
      </c>
      <c r="AR13" s="38">
        <f t="shared" ca="1" si="96"/>
        <v>0.58940494119301956</v>
      </c>
      <c r="AS13" s="38">
        <f t="shared" ca="1" si="97"/>
        <v>2.2334686258237806</v>
      </c>
      <c r="AT13" s="38">
        <f t="shared" ca="1" si="98"/>
        <v>0.56757512855624104</v>
      </c>
      <c r="AU13" s="38">
        <f t="shared" ca="1" si="99"/>
        <v>1.2894034911034553</v>
      </c>
      <c r="AV13" s="38">
        <f t="shared" ca="1" si="100"/>
        <v>0.28378756427812052</v>
      </c>
      <c r="AW13" s="38">
        <f t="shared" ca="1" si="101"/>
        <v>0.82516691767022732</v>
      </c>
      <c r="AX13" s="38">
        <f t="shared" ca="1" si="102"/>
        <v>1.74638501094228</v>
      </c>
      <c r="AY13" s="38">
        <f t="shared" ca="1" si="103"/>
        <v>0.41258345883511366</v>
      </c>
      <c r="AZ13" s="38">
        <f t="shared" ca="1" si="104"/>
        <v>2.3659625273557001</v>
      </c>
      <c r="BA13" s="38">
        <f t="shared" ca="1" si="105"/>
        <v>1.1045885194209921</v>
      </c>
      <c r="BB13" s="38">
        <f t="shared" ca="1" si="106"/>
        <v>2.4179982937494611</v>
      </c>
      <c r="BC13" s="38">
        <f t="shared" ca="1" si="107"/>
        <v>0.55229425971049606</v>
      </c>
      <c r="BD13" s="38">
        <f t="shared" ca="1" si="108"/>
        <v>1.2704950954605088</v>
      </c>
      <c r="BE13" s="38">
        <f t="shared" ca="1" si="109"/>
        <v>1.5193549595197835</v>
      </c>
      <c r="BF13" s="38">
        <f t="shared" ca="1" si="110"/>
        <v>2.084412986600372</v>
      </c>
      <c r="BG13" s="38">
        <f t="shared" ca="1" si="111"/>
        <v>4.4553406868192171</v>
      </c>
      <c r="BH13" s="38">
        <f t="shared" ca="1" si="112"/>
        <v>1.0521969690927238</v>
      </c>
      <c r="BI13" s="38">
        <f t="shared" ca="1" si="113"/>
        <v>2.1174918257675146</v>
      </c>
      <c r="BJ13" s="38">
        <f t="shared" ca="1" si="114"/>
        <v>1.1526141072219049</v>
      </c>
      <c r="BK13" s="38">
        <f t="shared" ca="1" si="115"/>
        <v>0.90143172292252172</v>
      </c>
      <c r="BL13" s="38">
        <f t="shared" ca="1" si="116"/>
        <v>4.4888512489088823</v>
      </c>
      <c r="BM13" s="38">
        <f t="shared" ca="1" si="117"/>
        <v>0.22703005142249641</v>
      </c>
      <c r="BN13" s="38">
        <f t="shared" ca="1" si="118"/>
        <v>0.78587325492402604</v>
      </c>
      <c r="BO13" s="38">
        <f t="shared" ca="1" si="119"/>
        <v>0.29688545186018761</v>
      </c>
      <c r="BP13" s="38">
        <f t="shared" ca="1" si="120"/>
        <v>0.72161857084348857</v>
      </c>
      <c r="BQ13" s="38">
        <f t="shared" ca="1" si="121"/>
        <v>6.6146278101794298</v>
      </c>
      <c r="BR13" s="38">
        <f t="shared" ca="1" si="122"/>
        <v>0.58940494119301956</v>
      </c>
      <c r="BS13" s="38">
        <f t="shared" ca="1" si="123"/>
        <v>1.2399333577690188</v>
      </c>
      <c r="BT13" s="38">
        <f t="shared" ca="1" si="124"/>
        <v>1.0652948566747908</v>
      </c>
      <c r="BU13" s="38">
        <f t="shared" ca="1" si="125"/>
        <v>1.4929223547614467</v>
      </c>
      <c r="BV13" s="38">
        <f t="shared" ca="1" si="126"/>
        <v>4.6095364619833514</v>
      </c>
      <c r="BW13" s="38">
        <f t="shared" ca="1" si="127"/>
        <v>0.64616245404864359</v>
      </c>
      <c r="BX13" s="38">
        <f t="shared" ca="1" si="128"/>
        <v>0.96058078610641429</v>
      </c>
      <c r="BY13" s="38">
        <f t="shared" ca="1" si="129"/>
        <v>2.4261370649876137</v>
      </c>
      <c r="BZ13" s="38">
        <f t="shared" ca="1" si="130"/>
        <v>4.9503679234495772</v>
      </c>
      <c r="CA13" s="38">
        <f t="shared" ca="1" si="131"/>
        <v>2.4261370649876137</v>
      </c>
      <c r="CB13" s="38">
        <f t="shared" ca="1" si="132"/>
        <v>2.96464171336613</v>
      </c>
      <c r="CC13" s="38">
        <f t="shared" ca="1" si="133"/>
        <v>6.0358262293617182</v>
      </c>
      <c r="CD13" s="38">
        <f t="shared" ca="1" si="134"/>
        <v>2.96464171336613</v>
      </c>
      <c r="CE13" s="38">
        <f t="shared" ca="1" si="135"/>
        <v>0.59149063183892503</v>
      </c>
    </row>
    <row r="14" spans="1:83" x14ac:dyDescent="0.25">
      <c r="A14" t="str">
        <f>PLANTILLA!D15</f>
        <v>Santiago Serra</v>
      </c>
      <c r="B14">
        <f>PLANTILLA!E15</f>
        <v>17</v>
      </c>
      <c r="C14" s="34">
        <f ca="1">PLANTILLA!F15</f>
        <v>49</v>
      </c>
      <c r="D14" s="222" t="str">
        <f>PLANTILLA!G15</f>
        <v>CAB</v>
      </c>
      <c r="E14" s="31">
        <f>PLANTILLA!M15</f>
        <v>43045</v>
      </c>
      <c r="F14" s="48">
        <f>PLANTILLA!Q15</f>
        <v>4</v>
      </c>
      <c r="G14" s="49">
        <f t="shared" si="1"/>
        <v>0.7559289460184544</v>
      </c>
      <c r="H14" s="49">
        <f t="shared" si="2"/>
        <v>0.84430867747355465</v>
      </c>
      <c r="I14" s="52">
        <f t="shared" ca="1" si="3"/>
        <v>0.37000643495047747</v>
      </c>
      <c r="J14" s="40">
        <f>PLANTILLA!I15</f>
        <v>1</v>
      </c>
      <c r="K14" s="47">
        <f>PLANTILLA!X15</f>
        <v>1</v>
      </c>
      <c r="L14" s="47">
        <f>PLANTILLA!Y15</f>
        <v>4</v>
      </c>
      <c r="M14" s="47">
        <f>PLANTILLA!Z15</f>
        <v>2</v>
      </c>
      <c r="N14" s="47">
        <f>PLANTILLA!AA15</f>
        <v>3</v>
      </c>
      <c r="O14" s="47">
        <f>PLANTILLA!AB15</f>
        <v>4.5</v>
      </c>
      <c r="P14" s="47">
        <f>PLANTILLA!AC15</f>
        <v>5.05</v>
      </c>
      <c r="Q14" s="47">
        <f>PLANTILLA!AD15</f>
        <v>6</v>
      </c>
      <c r="R14" s="47">
        <f t="shared" si="70"/>
        <v>2</v>
      </c>
      <c r="S14" s="47">
        <f t="shared" si="71"/>
        <v>0.43249999999999994</v>
      </c>
      <c r="T14" s="47">
        <f t="shared" si="72"/>
        <v>0.33999999999999997</v>
      </c>
      <c r="U14" s="47">
        <f t="shared" ca="1" si="73"/>
        <v>4.8152722505028862</v>
      </c>
      <c r="V14" s="47">
        <f t="shared" ca="1" si="74"/>
        <v>5.3782517085910699</v>
      </c>
      <c r="W14" s="38">
        <f t="shared" ca="1" si="75"/>
        <v>2.024015617711767</v>
      </c>
      <c r="X14" s="38">
        <f t="shared" ca="1" si="76"/>
        <v>3.0436783075210663</v>
      </c>
      <c r="Y14" s="38">
        <f t="shared" ca="1" si="77"/>
        <v>2.024015617711767</v>
      </c>
      <c r="Z14" s="38">
        <f t="shared" ca="1" si="78"/>
        <v>2.2379552539933285</v>
      </c>
      <c r="AA14" s="38">
        <f t="shared" ca="1" si="79"/>
        <v>4.3700064349504775</v>
      </c>
      <c r="AB14" s="38">
        <f t="shared" ca="1" si="80"/>
        <v>1.1189776269966643</v>
      </c>
      <c r="AC14" s="38">
        <f t="shared" ca="1" si="81"/>
        <v>0.88028453145369479</v>
      </c>
      <c r="AD14" s="38">
        <f t="shared" ca="1" si="82"/>
        <v>1.6394323372276709</v>
      </c>
      <c r="AE14" s="38">
        <f t="shared" ca="1" si="83"/>
        <v>3.1595146524691953</v>
      </c>
      <c r="AF14" s="38">
        <f t="shared" ca="1" si="84"/>
        <v>0.81971616861383545</v>
      </c>
      <c r="AG14" s="38">
        <f t="shared" ca="1" si="85"/>
        <v>1.4239896832339181</v>
      </c>
      <c r="AH14" s="38">
        <f t="shared" ca="1" si="86"/>
        <v>4.0204059201544391</v>
      </c>
      <c r="AI14" s="38">
        <f t="shared" ca="1" si="87"/>
        <v>1.9086241097817145</v>
      </c>
      <c r="AJ14" s="38">
        <f t="shared" ca="1" si="88"/>
        <v>0.39579107463672974</v>
      </c>
      <c r="AK14" s="38">
        <f t="shared" ca="1" si="89"/>
        <v>1.9815637837508806</v>
      </c>
      <c r="AL14" s="38">
        <f t="shared" ca="1" si="90"/>
        <v>3.2949848519526599</v>
      </c>
      <c r="AM14" s="38">
        <f t="shared" ca="1" si="91"/>
        <v>3.2640238399165553</v>
      </c>
      <c r="AN14" s="38">
        <f t="shared" ca="1" si="92"/>
        <v>1.0637910746367298</v>
      </c>
      <c r="AO14" s="38">
        <f t="shared" ca="1" si="93"/>
        <v>0.68256185326573748</v>
      </c>
      <c r="AP14" s="38">
        <f t="shared" ca="1" si="94"/>
        <v>1.179901737436629</v>
      </c>
      <c r="AQ14" s="38">
        <f t="shared" ca="1" si="95"/>
        <v>2.5957838223605836</v>
      </c>
      <c r="AR14" s="38">
        <f t="shared" ca="1" si="96"/>
        <v>0.58995086871831448</v>
      </c>
      <c r="AS14" s="38">
        <f t="shared" ca="1" si="97"/>
        <v>2.2372860745932508</v>
      </c>
      <c r="AT14" s="38">
        <f t="shared" ca="1" si="98"/>
        <v>0.63310083654356208</v>
      </c>
      <c r="AU14" s="38">
        <f t="shared" ca="1" si="99"/>
        <v>1.5220618854404897</v>
      </c>
      <c r="AV14" s="38">
        <f t="shared" ca="1" si="100"/>
        <v>0.31655041827178104</v>
      </c>
      <c r="AW14" s="38">
        <f t="shared" ca="1" si="101"/>
        <v>0.82593121620564025</v>
      </c>
      <c r="AX14" s="38">
        <f t="shared" ca="1" si="102"/>
        <v>1.748002573980191</v>
      </c>
      <c r="AY14" s="38">
        <f t="shared" ca="1" si="103"/>
        <v>0.41296560810282013</v>
      </c>
      <c r="AZ14" s="38">
        <f t="shared" ca="1" si="104"/>
        <v>2.3700064349504775</v>
      </c>
      <c r="BA14" s="38">
        <f t="shared" ca="1" si="105"/>
        <v>1.2321116280424709</v>
      </c>
      <c r="BB14" s="38">
        <f t="shared" ca="1" si="106"/>
        <v>2.7988735456577132</v>
      </c>
      <c r="BC14" s="38">
        <f t="shared" ca="1" si="107"/>
        <v>0.61605581402123544</v>
      </c>
      <c r="BD14" s="38">
        <f t="shared" ca="1" si="108"/>
        <v>1.2716718725705889</v>
      </c>
      <c r="BE14" s="38">
        <f t="shared" ca="1" si="109"/>
        <v>1.520762239362766</v>
      </c>
      <c r="BF14" s="38">
        <f t="shared" ca="1" si="110"/>
        <v>2.0879756691913705</v>
      </c>
      <c r="BG14" s="38">
        <f t="shared" ca="1" si="111"/>
        <v>3.4684357206709744</v>
      </c>
      <c r="BH14" s="38">
        <f t="shared" ca="1" si="112"/>
        <v>1.1736715508230651</v>
      </c>
      <c r="BI14" s="38">
        <f t="shared" ca="1" si="113"/>
        <v>2.1194531209509817</v>
      </c>
      <c r="BJ14" s="38">
        <f t="shared" ca="1" si="114"/>
        <v>1.1536816988269261</v>
      </c>
      <c r="BK14" s="38">
        <f t="shared" ca="1" si="115"/>
        <v>0.90297245171613194</v>
      </c>
      <c r="BL14" s="38">
        <f t="shared" ca="1" si="116"/>
        <v>3.2468856241467172</v>
      </c>
      <c r="BM14" s="38">
        <f t="shared" ca="1" si="117"/>
        <v>0.25324033461742479</v>
      </c>
      <c r="BN14" s="38">
        <f t="shared" ca="1" si="118"/>
        <v>0.7866011582910859</v>
      </c>
      <c r="BO14" s="38">
        <f t="shared" ca="1" si="119"/>
        <v>0.29716043757663246</v>
      </c>
      <c r="BP14" s="38">
        <f t="shared" ca="1" si="120"/>
        <v>0.7228519626598956</v>
      </c>
      <c r="BQ14" s="38">
        <f t="shared" ca="1" si="121"/>
        <v>4.7628282753463136</v>
      </c>
      <c r="BR14" s="38">
        <f t="shared" ca="1" si="122"/>
        <v>0.65745086871831449</v>
      </c>
      <c r="BS14" s="38">
        <f t="shared" ca="1" si="123"/>
        <v>1.2410818275259354</v>
      </c>
      <c r="BT14" s="38">
        <f t="shared" ca="1" si="124"/>
        <v>1.0662815701279165</v>
      </c>
      <c r="BU14" s="38">
        <f t="shared" ca="1" si="125"/>
        <v>1.4954740604537513</v>
      </c>
      <c r="BV14" s="38">
        <f t="shared" ca="1" si="126"/>
        <v>3.3056557592806772</v>
      </c>
      <c r="BW14" s="38">
        <f t="shared" ca="1" si="127"/>
        <v>0.72076095237267068</v>
      </c>
      <c r="BX14" s="38">
        <f t="shared" ca="1" si="128"/>
        <v>0.96222261258989394</v>
      </c>
      <c r="BY14" s="38">
        <f t="shared" ca="1" si="129"/>
        <v>2.3911233526091986</v>
      </c>
      <c r="BZ14" s="38">
        <f t="shared" ca="1" si="130"/>
        <v>5.8042772457542373</v>
      </c>
      <c r="CA14" s="38">
        <f t="shared" ca="1" si="131"/>
        <v>2.3911233526091986</v>
      </c>
      <c r="CB14" s="38">
        <f t="shared" ca="1" si="132"/>
        <v>2.9236140089741478</v>
      </c>
      <c r="CC14" s="38">
        <f t="shared" ca="1" si="133"/>
        <v>7.2170388094472031</v>
      </c>
      <c r="CD14" s="38">
        <f t="shared" ca="1" si="134"/>
        <v>2.9236140089741478</v>
      </c>
      <c r="CE14" s="38">
        <f t="shared" ca="1" si="135"/>
        <v>0.59250160873761937</v>
      </c>
    </row>
    <row r="15" spans="1:83" x14ac:dyDescent="0.25">
      <c r="A15" t="str">
        <f>PLANTILLA!D16</f>
        <v>Nicolás Eans</v>
      </c>
      <c r="B15">
        <f>PLANTILLA!E16</f>
        <v>17</v>
      </c>
      <c r="C15" s="34">
        <f ca="1">PLANTILLA!F16</f>
        <v>92</v>
      </c>
      <c r="D15" s="222" t="str">
        <f>PLANTILLA!G16</f>
        <v>TEC</v>
      </c>
      <c r="E15" s="31">
        <f>PLANTILLA!M16</f>
        <v>43046</v>
      </c>
      <c r="F15" s="48">
        <f>PLANTILLA!Q16</f>
        <v>7</v>
      </c>
      <c r="G15" s="49">
        <f t="shared" si="1"/>
        <v>1</v>
      </c>
      <c r="H15" s="49">
        <f t="shared" si="2"/>
        <v>1</v>
      </c>
      <c r="I15" s="52">
        <f t="shared" ca="1" si="3"/>
        <v>0.36596252735569995</v>
      </c>
      <c r="J15" s="40">
        <f>PLANTILLA!I16</f>
        <v>0.5</v>
      </c>
      <c r="K15" s="47">
        <f>PLANTILLA!X16</f>
        <v>0</v>
      </c>
      <c r="L15" s="47">
        <f>PLANTILLA!Y16</f>
        <v>5</v>
      </c>
      <c r="M15" s="47">
        <f>PLANTILLA!Z16</f>
        <v>2</v>
      </c>
      <c r="N15" s="47">
        <f>PLANTILLA!AA16</f>
        <v>3</v>
      </c>
      <c r="O15" s="47">
        <f>PLANTILLA!AB16</f>
        <v>4.75</v>
      </c>
      <c r="P15" s="47">
        <f>PLANTILLA!AC16</f>
        <v>6.0434782608695654</v>
      </c>
      <c r="Q15" s="47">
        <f>PLANTILLA!AD16</f>
        <v>3</v>
      </c>
      <c r="R15" s="47">
        <f t="shared" si="70"/>
        <v>2.1875</v>
      </c>
      <c r="S15" s="47">
        <f t="shared" si="71"/>
        <v>0.39217391304347826</v>
      </c>
      <c r="T15" s="47">
        <f t="shared" si="72"/>
        <v>0.28999999999999998</v>
      </c>
      <c r="U15" s="47">
        <f t="shared" ca="1" si="73"/>
        <v>2.9645891998037253</v>
      </c>
      <c r="V15" s="47">
        <f t="shared" ca="1" si="74"/>
        <v>2.9645891998037253</v>
      </c>
      <c r="W15" s="38">
        <f t="shared" ca="1" si="75"/>
        <v>1.3490863714286521</v>
      </c>
      <c r="X15" s="38">
        <f t="shared" ca="1" si="76"/>
        <v>2.0792846569466086</v>
      </c>
      <c r="Y15" s="38">
        <f t="shared" ca="1" si="77"/>
        <v>1.3490863714286521</v>
      </c>
      <c r="Z15" s="38">
        <f t="shared" ca="1" si="78"/>
        <v>2.5449454095748889</v>
      </c>
      <c r="AA15" s="38">
        <f t="shared" ca="1" si="79"/>
        <v>4.9645891998037248</v>
      </c>
      <c r="AB15" s="38">
        <f t="shared" ca="1" si="80"/>
        <v>1.2724727047874445</v>
      </c>
      <c r="AC15" s="38">
        <f t="shared" ca="1" si="81"/>
        <v>0.78033913664742682</v>
      </c>
      <c r="AD15" s="38">
        <f t="shared" ca="1" si="82"/>
        <v>1.8643204744560231</v>
      </c>
      <c r="AE15" s="38">
        <f t="shared" ca="1" si="83"/>
        <v>3.5893979914580929</v>
      </c>
      <c r="AF15" s="38">
        <f t="shared" ca="1" si="84"/>
        <v>0.93216023722801156</v>
      </c>
      <c r="AG15" s="38">
        <f t="shared" ca="1" si="85"/>
        <v>1.2623133092826022</v>
      </c>
      <c r="AH15" s="38">
        <f t="shared" ca="1" si="86"/>
        <v>4.5674220638194267</v>
      </c>
      <c r="AI15" s="38">
        <f t="shared" ca="1" si="87"/>
        <v>2.1536945500420663</v>
      </c>
      <c r="AJ15" s="38">
        <f t="shared" ca="1" si="88"/>
        <v>0.32808639636722214</v>
      </c>
      <c r="AK15" s="38">
        <f t="shared" ca="1" si="89"/>
        <v>1.7431784494845903</v>
      </c>
      <c r="AL15" s="38">
        <f t="shared" ca="1" si="90"/>
        <v>3.7433002566520086</v>
      </c>
      <c r="AM15" s="38">
        <f t="shared" ca="1" si="91"/>
        <v>3.683129810216867</v>
      </c>
      <c r="AN15" s="38">
        <f t="shared" ca="1" si="92"/>
        <v>0.49508639636722213</v>
      </c>
      <c r="AO15" s="38">
        <f t="shared" ca="1" si="93"/>
        <v>0.61980168954347281</v>
      </c>
      <c r="AP15" s="38">
        <f t="shared" ca="1" si="94"/>
        <v>1.3404390839470057</v>
      </c>
      <c r="AQ15" s="38">
        <f t="shared" ca="1" si="95"/>
        <v>2.9489659846834124</v>
      </c>
      <c r="AR15" s="38">
        <f t="shared" ca="1" si="96"/>
        <v>0.67021954197350286</v>
      </c>
      <c r="AS15" s="38">
        <f t="shared" ca="1" si="97"/>
        <v>1.8545722046147166</v>
      </c>
      <c r="AT15" s="38">
        <f t="shared" ca="1" si="98"/>
        <v>0.6128965959744842</v>
      </c>
      <c r="AU15" s="38">
        <f t="shared" ca="1" si="99"/>
        <v>1.605146374672926</v>
      </c>
      <c r="AV15" s="38">
        <f t="shared" ca="1" si="100"/>
        <v>0.3064482979872421</v>
      </c>
      <c r="AW15" s="38">
        <f t="shared" ca="1" si="101"/>
        <v>0.93830735876290394</v>
      </c>
      <c r="AX15" s="38">
        <f t="shared" ca="1" si="102"/>
        <v>1.98583567992149</v>
      </c>
      <c r="AY15" s="38">
        <f t="shared" ca="1" si="103"/>
        <v>0.46915367938145197</v>
      </c>
      <c r="AZ15" s="38">
        <f t="shared" ca="1" si="104"/>
        <v>1.9645891998037253</v>
      </c>
      <c r="BA15" s="38">
        <f t="shared" ca="1" si="105"/>
        <v>1.1927910675503424</v>
      </c>
      <c r="BB15" s="38">
        <f t="shared" ca="1" si="106"/>
        <v>2.869369083874461</v>
      </c>
      <c r="BC15" s="38">
        <f t="shared" ca="1" si="107"/>
        <v>0.59639553377517118</v>
      </c>
      <c r="BD15" s="38">
        <f t="shared" ca="1" si="108"/>
        <v>1.4446954571428838</v>
      </c>
      <c r="BE15" s="38">
        <f t="shared" ca="1" si="109"/>
        <v>1.7276770415316962</v>
      </c>
      <c r="BF15" s="38">
        <f t="shared" ca="1" si="110"/>
        <v>1.7308030850270819</v>
      </c>
      <c r="BG15" s="38">
        <f t="shared" ca="1" si="111"/>
        <v>3.1867697986255115</v>
      </c>
      <c r="BH15" s="38">
        <f t="shared" ca="1" si="112"/>
        <v>1.1362159971526977</v>
      </c>
      <c r="BI15" s="38">
        <f t="shared" ca="1" si="113"/>
        <v>2.4078257619048067</v>
      </c>
      <c r="BJ15" s="38">
        <f t="shared" ca="1" si="114"/>
        <v>1.3106515487481833</v>
      </c>
      <c r="BK15" s="38">
        <f t="shared" ca="1" si="115"/>
        <v>0.74850848512521928</v>
      </c>
      <c r="BL15" s="38">
        <f t="shared" ca="1" si="116"/>
        <v>2.942800960628456</v>
      </c>
      <c r="BM15" s="38">
        <f t="shared" ca="1" si="117"/>
        <v>0.24515863838979368</v>
      </c>
      <c r="BN15" s="38">
        <f t="shared" ca="1" si="118"/>
        <v>0.89362605596467048</v>
      </c>
      <c r="BO15" s="38">
        <f t="shared" ca="1" si="119"/>
        <v>0.33759206558665333</v>
      </c>
      <c r="BP15" s="38">
        <f t="shared" ca="1" si="120"/>
        <v>0.59919970594013616</v>
      </c>
      <c r="BQ15" s="38">
        <f t="shared" ca="1" si="121"/>
        <v>4.3129617109475902</v>
      </c>
      <c r="BR15" s="38">
        <f t="shared" ca="1" si="122"/>
        <v>0.63646954197350292</v>
      </c>
      <c r="BS15" s="38">
        <f t="shared" ca="1" si="123"/>
        <v>1.4099433327442576</v>
      </c>
      <c r="BT15" s="38">
        <f t="shared" ca="1" si="124"/>
        <v>1.2113597647521088</v>
      </c>
      <c r="BU15" s="38">
        <f t="shared" ca="1" si="125"/>
        <v>1.2396557850761507</v>
      </c>
      <c r="BV15" s="38">
        <f t="shared" ca="1" si="126"/>
        <v>2.991057333824334</v>
      </c>
      <c r="BW15" s="38">
        <f t="shared" ca="1" si="127"/>
        <v>0.69775920157095128</v>
      </c>
      <c r="BX15" s="38">
        <f t="shared" ca="1" si="128"/>
        <v>0.79762321512031253</v>
      </c>
      <c r="BY15" s="38">
        <f t="shared" ca="1" si="129"/>
        <v>2.7352398482124736</v>
      </c>
      <c r="BZ15" s="38">
        <f t="shared" ca="1" si="130"/>
        <v>6.06272526506595</v>
      </c>
      <c r="CA15" s="38">
        <f t="shared" ca="1" si="131"/>
        <v>2.7352398482124736</v>
      </c>
      <c r="CB15" s="38">
        <f t="shared" ca="1" si="132"/>
        <v>3.0704173323472861</v>
      </c>
      <c r="CC15" s="38">
        <f t="shared" ca="1" si="133"/>
        <v>7.7477508754008646</v>
      </c>
      <c r="CD15" s="38">
        <f t="shared" ca="1" si="134"/>
        <v>3.0704173323472861</v>
      </c>
      <c r="CE15" s="38">
        <f t="shared" ca="1" si="135"/>
        <v>0.49114729995093132</v>
      </c>
    </row>
    <row r="16" spans="1:83" x14ac:dyDescent="0.25">
      <c r="A16" t="str">
        <f>PLANTILLA!D17</f>
        <v>Noel Fuster</v>
      </c>
      <c r="B16">
        <f>PLANTILLA!E17</f>
        <v>17</v>
      </c>
      <c r="C16" s="34">
        <f ca="1">PLANTILLA!F17</f>
        <v>48</v>
      </c>
      <c r="D16" s="222" t="str">
        <f>PLANTILLA!G17</f>
        <v>IMP</v>
      </c>
      <c r="E16" s="31">
        <f>PLANTILLA!M17</f>
        <v>43046</v>
      </c>
      <c r="F16" s="48">
        <f>PLANTILLA!Q17</f>
        <v>7</v>
      </c>
      <c r="G16" s="49">
        <f t="shared" si="1"/>
        <v>1</v>
      </c>
      <c r="H16" s="49">
        <f t="shared" si="2"/>
        <v>1</v>
      </c>
      <c r="I16" s="52">
        <f t="shared" ca="1" si="3"/>
        <v>0.36596252735569995</v>
      </c>
      <c r="J16" s="40">
        <f>PLANTILLA!I17</f>
        <v>0.5</v>
      </c>
      <c r="K16" s="47">
        <f>PLANTILLA!X17</f>
        <v>0</v>
      </c>
      <c r="L16" s="47">
        <f>PLANTILLA!Y17</f>
        <v>4</v>
      </c>
      <c r="M16" s="47">
        <f>PLANTILLA!Z17</f>
        <v>2</v>
      </c>
      <c r="N16" s="47">
        <f>PLANTILLA!AA17</f>
        <v>2</v>
      </c>
      <c r="O16" s="47">
        <f>PLANTILLA!AB17</f>
        <v>3.0496666666666665</v>
      </c>
      <c r="P16" s="47">
        <f>PLANTILLA!AC17</f>
        <v>5.05</v>
      </c>
      <c r="Q16" s="47">
        <f>PLANTILLA!AD17</f>
        <v>2.5</v>
      </c>
      <c r="R16" s="47">
        <f t="shared" si="70"/>
        <v>1.6374166666666667</v>
      </c>
      <c r="S16" s="47">
        <f t="shared" si="71"/>
        <v>0.32750000000000001</v>
      </c>
      <c r="T16" s="47">
        <f t="shared" si="72"/>
        <v>0.23500000000000001</v>
      </c>
      <c r="U16" s="47">
        <f t="shared" ca="1" si="73"/>
        <v>2.4645891998037253</v>
      </c>
      <c r="V16" s="47">
        <f t="shared" ca="1" si="74"/>
        <v>2.4645891998037253</v>
      </c>
      <c r="W16" s="38">
        <f t="shared" ca="1" si="75"/>
        <v>1.0730863714286523</v>
      </c>
      <c r="X16" s="38">
        <f t="shared" ca="1" si="76"/>
        <v>1.6542846569466092</v>
      </c>
      <c r="Y16" s="38">
        <f t="shared" ca="1" si="77"/>
        <v>1.0730863714286523</v>
      </c>
      <c r="Z16" s="38">
        <f t="shared" ca="1" si="78"/>
        <v>2.0289454095748889</v>
      </c>
      <c r="AA16" s="38">
        <f t="shared" ca="1" si="79"/>
        <v>3.9645891998037253</v>
      </c>
      <c r="AB16" s="38">
        <f t="shared" ca="1" si="80"/>
        <v>1.0144727047874444</v>
      </c>
      <c r="AC16" s="38">
        <f t="shared" ca="1" si="81"/>
        <v>0.78033913664742682</v>
      </c>
      <c r="AD16" s="38">
        <f t="shared" ca="1" si="82"/>
        <v>1.4863204744560232</v>
      </c>
      <c r="AE16" s="38">
        <f t="shared" ca="1" si="83"/>
        <v>2.8663979914580935</v>
      </c>
      <c r="AF16" s="38">
        <f t="shared" ca="1" si="84"/>
        <v>0.74316023722801161</v>
      </c>
      <c r="AG16" s="38">
        <f t="shared" ca="1" si="85"/>
        <v>1.2623133092826022</v>
      </c>
      <c r="AH16" s="38">
        <f t="shared" ca="1" si="86"/>
        <v>3.6474220638194272</v>
      </c>
      <c r="AI16" s="38">
        <f t="shared" ca="1" si="87"/>
        <v>1.7396945500420664</v>
      </c>
      <c r="AJ16" s="38">
        <f t="shared" ca="1" si="88"/>
        <v>0.32808639636722214</v>
      </c>
      <c r="AK16" s="38">
        <f t="shared" ca="1" si="89"/>
        <v>1.1551784494845905</v>
      </c>
      <c r="AL16" s="38">
        <f t="shared" ca="1" si="90"/>
        <v>2.989300256652009</v>
      </c>
      <c r="AM16" s="38">
        <f t="shared" ca="1" si="91"/>
        <v>2.9751298102168673</v>
      </c>
      <c r="AN16" s="38">
        <f t="shared" ca="1" si="92"/>
        <v>0.41158639636722216</v>
      </c>
      <c r="AO16" s="38">
        <f t="shared" ca="1" si="93"/>
        <v>0.46137768954347286</v>
      </c>
      <c r="AP16" s="38">
        <f t="shared" ca="1" si="94"/>
        <v>1.0704390839470059</v>
      </c>
      <c r="AQ16" s="38">
        <f t="shared" ca="1" si="95"/>
        <v>2.3549659846834126</v>
      </c>
      <c r="AR16" s="38">
        <f t="shared" ca="1" si="96"/>
        <v>0.53521954197350297</v>
      </c>
      <c r="AS16" s="38">
        <f t="shared" ca="1" si="97"/>
        <v>1.8545722046147166</v>
      </c>
      <c r="AT16" s="38">
        <f t="shared" ca="1" si="98"/>
        <v>0.39185326264115095</v>
      </c>
      <c r="AU16" s="38">
        <f t="shared" ca="1" si="99"/>
        <v>1.2292346355424915</v>
      </c>
      <c r="AV16" s="38">
        <f t="shared" ca="1" si="100"/>
        <v>0.19592663132057547</v>
      </c>
      <c r="AW16" s="38">
        <f t="shared" ca="1" si="101"/>
        <v>0.74930735876290411</v>
      </c>
      <c r="AX16" s="38">
        <f t="shared" ca="1" si="102"/>
        <v>1.5858356799214901</v>
      </c>
      <c r="AY16" s="38">
        <f t="shared" ca="1" si="103"/>
        <v>0.37465367938145205</v>
      </c>
      <c r="AZ16" s="38">
        <f t="shared" ca="1" si="104"/>
        <v>1.9645891998037253</v>
      </c>
      <c r="BA16" s="38">
        <f t="shared" ca="1" si="105"/>
        <v>0.76260673421700909</v>
      </c>
      <c r="BB16" s="38">
        <f t="shared" ca="1" si="106"/>
        <v>2.0809249824251861</v>
      </c>
      <c r="BC16" s="38">
        <f t="shared" ca="1" si="107"/>
        <v>0.38130336710850454</v>
      </c>
      <c r="BD16" s="38">
        <f t="shared" ca="1" si="108"/>
        <v>1.1536954571428839</v>
      </c>
      <c r="BE16" s="38">
        <f t="shared" ca="1" si="109"/>
        <v>1.3796770415316963</v>
      </c>
      <c r="BF16" s="38">
        <f t="shared" ca="1" si="110"/>
        <v>1.7308030850270819</v>
      </c>
      <c r="BG16" s="38">
        <f t="shared" ca="1" si="111"/>
        <v>2.0771647986255117</v>
      </c>
      <c r="BH16" s="38">
        <f t="shared" ca="1" si="112"/>
        <v>0.72643566381936442</v>
      </c>
      <c r="BI16" s="38">
        <f t="shared" ca="1" si="113"/>
        <v>1.9228257619048068</v>
      </c>
      <c r="BJ16" s="38">
        <f t="shared" ca="1" si="114"/>
        <v>1.0466515487481836</v>
      </c>
      <c r="BK16" s="38">
        <f t="shared" ca="1" si="115"/>
        <v>0.74850848512521928</v>
      </c>
      <c r="BL16" s="38">
        <f t="shared" ca="1" si="116"/>
        <v>1.928033960628456</v>
      </c>
      <c r="BM16" s="38">
        <f t="shared" ca="1" si="117"/>
        <v>0.15674130505646036</v>
      </c>
      <c r="BN16" s="38">
        <f t="shared" ca="1" si="118"/>
        <v>0.71362605596467055</v>
      </c>
      <c r="BO16" s="38">
        <f t="shared" ca="1" si="119"/>
        <v>0.26959206558665333</v>
      </c>
      <c r="BP16" s="38">
        <f t="shared" ca="1" si="120"/>
        <v>0.59919970594013616</v>
      </c>
      <c r="BQ16" s="38">
        <f t="shared" ca="1" si="121"/>
        <v>2.8266663776142571</v>
      </c>
      <c r="BR16" s="38">
        <f t="shared" ca="1" si="122"/>
        <v>0.40692454197350292</v>
      </c>
      <c r="BS16" s="38">
        <f t="shared" ca="1" si="123"/>
        <v>1.1259433327442578</v>
      </c>
      <c r="BT16" s="38">
        <f t="shared" ca="1" si="124"/>
        <v>0.96735976475210894</v>
      </c>
      <c r="BU16" s="38">
        <f t="shared" ca="1" si="125"/>
        <v>1.2396557850761507</v>
      </c>
      <c r="BV16" s="38">
        <f t="shared" ca="1" si="126"/>
        <v>1.9608930004910008</v>
      </c>
      <c r="BW16" s="38">
        <f t="shared" ca="1" si="127"/>
        <v>0.44610986823761795</v>
      </c>
      <c r="BX16" s="38">
        <f t="shared" ca="1" si="128"/>
        <v>0.79762321512031253</v>
      </c>
      <c r="BY16" s="38">
        <f t="shared" ca="1" si="129"/>
        <v>1.6733176397644076</v>
      </c>
      <c r="BZ16" s="38">
        <f t="shared" ca="1" si="130"/>
        <v>4.5602464389789947</v>
      </c>
      <c r="CA16" s="38">
        <f t="shared" ca="1" si="131"/>
        <v>1.6733176397644076</v>
      </c>
      <c r="CB16" s="38">
        <f t="shared" ca="1" si="132"/>
        <v>2.4500390714777205</v>
      </c>
      <c r="CC16" s="38">
        <f t="shared" ca="1" si="133"/>
        <v>6.1268496145312987</v>
      </c>
      <c r="CD16" s="38">
        <f t="shared" ca="1" si="134"/>
        <v>2.4500390714777205</v>
      </c>
      <c r="CE16" s="38">
        <f t="shared" ca="1" si="135"/>
        <v>0.49114729995093132</v>
      </c>
    </row>
    <row r="17" spans="1:83" x14ac:dyDescent="0.25">
      <c r="A17" t="str">
        <f>PLANTILLA!D19</f>
        <v>Mario Omarini</v>
      </c>
      <c r="B17">
        <f>PLANTILLA!E19</f>
        <v>32</v>
      </c>
      <c r="C17" s="34">
        <f ca="1">PLANTILLA!F19</f>
        <v>26</v>
      </c>
      <c r="D17" s="222" t="str">
        <f>PLANTILLA!G19</f>
        <v>TEC</v>
      </c>
      <c r="E17" s="31">
        <f>PLANTILLA!M19</f>
        <v>42828</v>
      </c>
      <c r="F17" s="48">
        <f>PLANTILLA!Q19</f>
        <v>4</v>
      </c>
      <c r="G17" s="49">
        <f t="shared" si="1"/>
        <v>0.7559289460184544</v>
      </c>
      <c r="H17" s="49">
        <f t="shared" si="2"/>
        <v>0.84430867747355465</v>
      </c>
      <c r="I17" s="52">
        <f t="shared" ca="1" si="3"/>
        <v>0.88472486979743903</v>
      </c>
      <c r="J17" s="40">
        <f>PLANTILLA!I19</f>
        <v>9.6999999999999993</v>
      </c>
      <c r="K17" s="47">
        <f>PLANTILLA!X19</f>
        <v>0</v>
      </c>
      <c r="L17" s="47">
        <f>PLANTILLA!Y19</f>
        <v>14</v>
      </c>
      <c r="M17" s="47">
        <f>PLANTILLA!Z19</f>
        <v>7.1099999999999994</v>
      </c>
      <c r="N17" s="47">
        <f>PLANTILLA!AA19</f>
        <v>11.035714285714286</v>
      </c>
      <c r="O17" s="47">
        <f>PLANTILLA!AB19</f>
        <v>7.0707999999999993</v>
      </c>
      <c r="P17" s="47">
        <f>PLANTILLA!AC19</f>
        <v>2.0199999999999996</v>
      </c>
      <c r="Q17" s="47">
        <f>PLANTILLA!AD19</f>
        <v>15.83333333333333</v>
      </c>
      <c r="R17" s="47">
        <f t="shared" si="70"/>
        <v>3.8926999999999996</v>
      </c>
      <c r="S17" s="47">
        <f t="shared" si="71"/>
        <v>0.57599999999999985</v>
      </c>
      <c r="T17" s="47">
        <f t="shared" si="72"/>
        <v>1.0349999999999999</v>
      </c>
      <c r="U17" s="47">
        <f t="shared" ca="1" si="73"/>
        <v>13.632236539694064</v>
      </c>
      <c r="V17" s="47">
        <f t="shared" ca="1" si="74"/>
        <v>15.226054861980076</v>
      </c>
      <c r="W17" s="38">
        <f t="shared" ca="1" si="75"/>
        <v>5.7849671100190738</v>
      </c>
      <c r="X17" s="38">
        <f t="shared" ca="1" si="76"/>
        <v>8.7907428854921239</v>
      </c>
      <c r="Y17" s="38">
        <f t="shared" ca="1" si="77"/>
        <v>5.7849671100190738</v>
      </c>
      <c r="Z17" s="38">
        <f t="shared" ca="1" si="78"/>
        <v>8.3188445284472028</v>
      </c>
      <c r="AA17" s="38">
        <f t="shared" ca="1" si="79"/>
        <v>16.200420515485767</v>
      </c>
      <c r="AB17" s="38">
        <f t="shared" ca="1" si="80"/>
        <v>4.1594222642236014</v>
      </c>
      <c r="AC17" s="38">
        <f t="shared" ca="1" si="81"/>
        <v>2.9720030200672798</v>
      </c>
      <c r="AD17" s="38">
        <f t="shared" ca="1" si="82"/>
        <v>6.0940372708392294</v>
      </c>
      <c r="AE17" s="38">
        <f t="shared" ca="1" si="83"/>
        <v>11.71290403269621</v>
      </c>
      <c r="AF17" s="38">
        <f t="shared" ca="1" si="84"/>
        <v>3.0470186354196147</v>
      </c>
      <c r="AG17" s="38">
        <f t="shared" ca="1" si="85"/>
        <v>4.8076519442264827</v>
      </c>
      <c r="AH17" s="38">
        <f t="shared" ca="1" si="86"/>
        <v>14.904386874246907</v>
      </c>
      <c r="AI17" s="38">
        <f t="shared" ca="1" si="87"/>
        <v>6.9447492016250632</v>
      </c>
      <c r="AJ17" s="38">
        <f t="shared" ca="1" si="88"/>
        <v>1.5548402260861229</v>
      </c>
      <c r="AK17" s="38">
        <f t="shared" ca="1" si="89"/>
        <v>7.78284726310563</v>
      </c>
      <c r="AL17" s="38">
        <f t="shared" ca="1" si="90"/>
        <v>12.215117068676269</v>
      </c>
      <c r="AM17" s="38">
        <f t="shared" ca="1" si="91"/>
        <v>11.876527620170398</v>
      </c>
      <c r="AN17" s="38">
        <f t="shared" ca="1" si="92"/>
        <v>3.0116368927527892</v>
      </c>
      <c r="AO17" s="38">
        <f t="shared" ca="1" si="93"/>
        <v>1.7548187084599003</v>
      </c>
      <c r="AP17" s="38">
        <f t="shared" ca="1" si="94"/>
        <v>4.3741135391811579</v>
      </c>
      <c r="AQ17" s="38">
        <f t="shared" ca="1" si="95"/>
        <v>9.6230497861985445</v>
      </c>
      <c r="AR17" s="38">
        <f t="shared" ca="1" si="96"/>
        <v>2.1870567695905789</v>
      </c>
      <c r="AS17" s="38">
        <f t="shared" ca="1" si="97"/>
        <v>8.7890369666185624</v>
      </c>
      <c r="AT17" s="38">
        <f t="shared" ca="1" si="98"/>
        <v>1.2052586670131493</v>
      </c>
      <c r="AU17" s="38">
        <f t="shared" ca="1" si="99"/>
        <v>1.8426792110373289</v>
      </c>
      <c r="AV17" s="38">
        <f t="shared" ca="1" si="100"/>
        <v>0.60262933350657466</v>
      </c>
      <c r="AW17" s="38">
        <f t="shared" ca="1" si="101"/>
        <v>3.0618794774268099</v>
      </c>
      <c r="AX17" s="38">
        <f t="shared" ca="1" si="102"/>
        <v>6.4801682061943069</v>
      </c>
      <c r="AY17" s="38">
        <f t="shared" ca="1" si="103"/>
        <v>1.5309397387134049</v>
      </c>
      <c r="AZ17" s="38">
        <f t="shared" ca="1" si="104"/>
        <v>9.3104205154857649</v>
      </c>
      <c r="BA17" s="38">
        <f t="shared" ca="1" si="105"/>
        <v>2.3456187904178982</v>
      </c>
      <c r="BB17" s="38">
        <f t="shared" ca="1" si="106"/>
        <v>4.0477745040326569</v>
      </c>
      <c r="BC17" s="38">
        <f t="shared" ca="1" si="107"/>
        <v>1.1728093952089491</v>
      </c>
      <c r="BD17" s="38">
        <f t="shared" ca="1" si="108"/>
        <v>4.7143223700063581</v>
      </c>
      <c r="BE17" s="38">
        <f t="shared" ca="1" si="109"/>
        <v>5.6377463393890466</v>
      </c>
      <c r="BF17" s="38">
        <f t="shared" ca="1" si="110"/>
        <v>8.2024804741429591</v>
      </c>
      <c r="BG17" s="38">
        <f t="shared" ca="1" si="111"/>
        <v>10.517975838266844</v>
      </c>
      <c r="BH17" s="38">
        <f t="shared" ca="1" si="112"/>
        <v>2.2343641442320692</v>
      </c>
      <c r="BI17" s="38">
        <f t="shared" ca="1" si="113"/>
        <v>7.8572039500105966</v>
      </c>
      <c r="BJ17" s="38">
        <f t="shared" ca="1" si="114"/>
        <v>4.2769110160882429</v>
      </c>
      <c r="BK17" s="38">
        <f t="shared" ca="1" si="115"/>
        <v>3.5472702164000767</v>
      </c>
      <c r="BL17" s="38">
        <f t="shared" ca="1" si="116"/>
        <v>10.771434044820275</v>
      </c>
      <c r="BM17" s="38">
        <f t="shared" ca="1" si="117"/>
        <v>0.48210346680525967</v>
      </c>
      <c r="BN17" s="38">
        <f t="shared" ca="1" si="118"/>
        <v>2.9160756927874378</v>
      </c>
      <c r="BO17" s="38">
        <f t="shared" ca="1" si="119"/>
        <v>1.1016285950530322</v>
      </c>
      <c r="BP17" s="38">
        <f t="shared" ca="1" si="120"/>
        <v>2.839678257223158</v>
      </c>
      <c r="BQ17" s="38">
        <f t="shared" ca="1" si="121"/>
        <v>15.88770386862898</v>
      </c>
      <c r="BR17" s="38">
        <f t="shared" ca="1" si="122"/>
        <v>1.2516147695905782</v>
      </c>
      <c r="BS17" s="38">
        <f t="shared" ca="1" si="123"/>
        <v>4.6009194263979571</v>
      </c>
      <c r="BT17" s="38">
        <f t="shared" ca="1" si="124"/>
        <v>3.9529026057785273</v>
      </c>
      <c r="BU17" s="38">
        <f t="shared" ca="1" si="125"/>
        <v>5.8748753452715174</v>
      </c>
      <c r="BV17" s="38">
        <f t="shared" ca="1" si="126"/>
        <v>11.081112189931188</v>
      </c>
      <c r="BW17" s="38">
        <f t="shared" ca="1" si="127"/>
        <v>1.3721406362918931</v>
      </c>
      <c r="BX17" s="38">
        <f t="shared" ca="1" si="128"/>
        <v>3.7800307292872208</v>
      </c>
      <c r="BY17" s="38">
        <f t="shared" ca="1" si="129"/>
        <v>5.5252890726640871</v>
      </c>
      <c r="BZ17" s="38">
        <f t="shared" ca="1" si="130"/>
        <v>7.4947779004369712</v>
      </c>
      <c r="CA17" s="38">
        <f t="shared" ca="1" si="131"/>
        <v>5.5252890726640871</v>
      </c>
      <c r="CB17" s="38">
        <f t="shared" ca="1" si="132"/>
        <v>4.621794838290489</v>
      </c>
      <c r="CC17" s="38">
        <f t="shared" ca="1" si="133"/>
        <v>7.6415008857000117</v>
      </c>
      <c r="CD17" s="38">
        <f t="shared" ca="1" si="134"/>
        <v>4.621794838290489</v>
      </c>
      <c r="CE17" s="38">
        <f t="shared" ca="1" si="135"/>
        <v>2.3276051288714412</v>
      </c>
    </row>
    <row r="18" spans="1:83" x14ac:dyDescent="0.25">
      <c r="A18" t="str">
        <f>PLANTILLA!D20</f>
        <v>Mateuz Brzostowski</v>
      </c>
      <c r="B18">
        <f>PLANTILLA!E20</f>
        <v>31</v>
      </c>
      <c r="C18" s="34">
        <f ca="1">PLANTILLA!F20</f>
        <v>60</v>
      </c>
      <c r="D18" s="222">
        <f>PLANTILLA!G20</f>
        <v>0</v>
      </c>
      <c r="E18" s="31">
        <f>PLANTILLA!M20</f>
        <v>42948</v>
      </c>
      <c r="F18" s="48">
        <f>PLANTILLA!Q20</f>
        <v>6</v>
      </c>
      <c r="G18" s="49">
        <f t="shared" si="1"/>
        <v>0.92582009977255142</v>
      </c>
      <c r="H18" s="49">
        <f t="shared" si="2"/>
        <v>0.99928545900129484</v>
      </c>
      <c r="I18" s="52">
        <f t="shared" ca="1" si="3"/>
        <v>0.65237660756286941</v>
      </c>
      <c r="J18" s="40">
        <f>PLANTILLA!I20</f>
        <v>8.9</v>
      </c>
      <c r="K18" s="47">
        <f>PLANTILLA!X20</f>
        <v>0</v>
      </c>
      <c r="L18" s="47">
        <f>PLANTILLA!Y20</f>
        <v>14</v>
      </c>
      <c r="M18" s="47">
        <f>PLANTILLA!Z20</f>
        <v>5.0199999999999996</v>
      </c>
      <c r="N18" s="47">
        <f>PLANTILLA!AA20</f>
        <v>10.01</v>
      </c>
      <c r="O18" s="47">
        <f>PLANTILLA!AB20</f>
        <v>9.044533333333332</v>
      </c>
      <c r="P18" s="47">
        <f>PLANTILLA!AC20</f>
        <v>1.02</v>
      </c>
      <c r="Q18" s="47">
        <f>PLANTILLA!AD20</f>
        <v>14.224444444444442</v>
      </c>
      <c r="R18" s="47">
        <f t="shared" ref="R18:R20" si="136">((2*(O18+1))+(L18+1))/8</f>
        <v>4.3861333333333334</v>
      </c>
      <c r="S18" s="47">
        <f t="shared" ref="S18:S20" si="137">(0.5*P18+ 0.3*Q18)/10</f>
        <v>0.47773333333333323</v>
      </c>
      <c r="T18" s="47">
        <f t="shared" ref="T18:T20" si="138">(0.4*L18+0.3*Q18)/10</f>
        <v>0.98673333333333324</v>
      </c>
      <c r="U18" s="47">
        <f t="shared" ref="U18:U20" ca="1" si="139">IF(TODAY()-E18&gt;335,(Q18+1+(LOG(J18)*4/3))*(F18/7)^0.5,(Q18+((TODAY()-E18)^0.5)/(336^0.5)+(LOG(J18)*4/3))*(F18/7)^0.5)</f>
        <v>14.945212418234545</v>
      </c>
      <c r="V18" s="47">
        <f t="shared" ref="V18:V20" ca="1" si="140">IF(F18=7,U18,IF(TODAY()-E18&gt;335,(Q18+1+(LOG(J18)*4/3))*((F18+0.99)/7)^0.5,(Q18+((TODAY()-E18)^0.5)/(336^0.5)+(LOG(J18)*4/3))*((F18+0.99)/7)^0.5))</f>
        <v>16.131139791517125</v>
      </c>
      <c r="W18" s="38">
        <f t="shared" ref="W18:W20" ca="1" si="141">IF(TODAY()-E18&gt;335,((K18+1+(LOG(J18)*4/3))*0.597)+((L18+1+(LOG(J18)*4/3))*0.276),((K18+(((TODAY()-E18)^0.5)/(336^0.5))+(LOG(J18)*4/3))*0.597)+((L18+(((TODAY()-E18)^0.5)/(336^0.5))+(LOG(J18)*4/3))*0.276))</f>
        <v>5.5386147461370641</v>
      </c>
      <c r="X18" s="38">
        <f t="shared" ref="X18:X20" ca="1" si="142">IF(TODAY()-E18&gt;335,((K18+1+(LOG(J18)*4/3))*0.866)+((L18+1+(LOG(J18)*4/3))*0.425),((K18+(((TODAY()-E18)^0.5)/(336^0.5))+(LOG(J18)*4/3))*0.866)+((L18+(((TODAY()-E18)^0.5)/(336^0.5))+(LOG(J18)*4/3))*0.425))</f>
        <v>8.4264348651351071</v>
      </c>
      <c r="Y18" s="38">
        <f t="shared" ref="Y18:Y20" ca="1" si="143">W18</f>
        <v>5.5386147461370641</v>
      </c>
      <c r="Z18" s="38">
        <f t="shared" ref="Z18:Z20" ca="1" si="144">IF(TODAY()-E18&gt;335,((L18+1+(LOG(J18)*4/3))*0.516),((L18+(((TODAY()-E18)^0.5)/(336^0.516))+(LOG(J18)*4/3))*0.516))</f>
        <v>8.1838894186529796</v>
      </c>
      <c r="AA18" s="38">
        <f t="shared" ref="AA18:AA20" ca="1" si="145">IF(TODAY()-E18&gt;335,((L18+1+(LOG(J18)*4/3))*1),((L18+(((TODAY()-E18)^0.5)/(336^0.5))+(LOG(J18)*4/3))*1))</f>
        <v>15.918229949756087</v>
      </c>
      <c r="AB18" s="38">
        <f t="shared" ref="AB18:AB20" ca="1" si="146">Z18/2</f>
        <v>4.0919447093264898</v>
      </c>
      <c r="AC18" s="38">
        <f t="shared" ref="AC18:AC20" ca="1" si="147">IF(TODAY()-E18&gt;335,((M18+1+(LOG(J18)*4/3))*0.238),((M18+(((TODAY()-E18)^0.5)/(336^0.238))+(LOG(J18)*4/3))*0.238))</f>
        <v>2.208847106785345</v>
      </c>
      <c r="AD18" s="38">
        <f t="shared" ref="AD18:AD20" ca="1" si="148">IF(TODAY()-E18&gt;335,((L18+1+(LOG(J18)*4/3))*0.378),((L18+(((TODAY()-E18)^0.5)/(336^0.516))+(LOG(J18)*4/3))*0.378))</f>
        <v>5.9951748066876478</v>
      </c>
      <c r="AE18" s="38">
        <f t="shared" ref="AE18:AE20" ca="1" si="149">IF(TODAY()-E18&gt;335,((L18+1+(LOG(J18)*4/3))*0.723),((L18+(((TODAY()-E18)^0.5)/(336^0.5))+(LOG(J18)*4/3))*0.723))</f>
        <v>11.508880253673651</v>
      </c>
      <c r="AF18" s="38">
        <f t="shared" ref="AF18:AF20" ca="1" si="150">AD18/2</f>
        <v>2.9975874033438239</v>
      </c>
      <c r="AG18" s="38">
        <f t="shared" ref="AG18:AG20" ca="1" si="151">IF(TODAY()-E18&gt;335,((M18+1+(LOG(J18)*4/3))*0.385),((M18+(((TODAY()-E18)^0.5)/(336^0.238))+(LOG(J18)*4/3))*0.385))</f>
        <v>3.5731350256821761</v>
      </c>
      <c r="AH18" s="38">
        <f t="shared" ref="AH18:AH20" ca="1" si="152">IF(TODAY()-E18&gt;335,((L18+1+(LOG(J18)*4/3))*0.92),((L18+(((TODAY()-E18)^0.5)/(336^0.5))+(LOG(J18)*4/3))*0.92))</f>
        <v>14.644771553775602</v>
      </c>
      <c r="AI18" s="38">
        <f t="shared" ref="AI18:AI20" ca="1" si="153">IF(TODAY()-E18&gt;335,((L18+1+(LOG(J18)*4/3))*0.414),((L18+(((TODAY()-E18)^0.5)/(336^0.414))+(LOG(J18)*4/3))*0.414))</f>
        <v>6.7654773201834448</v>
      </c>
      <c r="AJ18" s="38">
        <f t="shared" ref="AJ18:AJ20" ca="1" si="154">IF(TODAY()-E18&gt;335,((M18+1+(LOG(J18)*4/3))*0.167),((M18+(((TODAY()-E18)^0.5)/(336^0.5))+(LOG(J18)*4/3))*0.167))</f>
        <v>1.1586844016092663</v>
      </c>
      <c r="AK18" s="38">
        <f t="shared" ref="AK18:AK20" ca="1" si="155">IF(TODAY()-E18&gt;335,((N18+1+(LOG(J18)*4/3))*0.588),((N18+(((TODAY()-E18)^0.5)/(336^0.5))+(LOG(J18)*4/3))*0.588))</f>
        <v>7.0137992104565789</v>
      </c>
      <c r="AL18" s="38">
        <f t="shared" ref="AL18:AL20" ca="1" si="156">IF(TODAY()-E18&gt;335,((L18+1+(LOG(J18)*4/3))*0.754),((L18+(((TODAY()-E18)^0.5)/(336^0.5))+(LOG(J18)*4/3))*0.754))</f>
        <v>12.00234538211609</v>
      </c>
      <c r="AM18" s="38">
        <f t="shared" ref="AM18:AM20" ca="1" si="157">IF(TODAY()-E18&gt;335,((L18+1+(LOG(J18)*4/3))*0.708),((L18+(((TODAY()-E18)^0.5)/(336^0.414))+(LOG(J18)*4/3))*0.708))</f>
        <v>11.569946721473137</v>
      </c>
      <c r="AN18" s="38">
        <f t="shared" ref="AN18:AN20" ca="1" si="158">IF(TODAY()-E18&gt;335,((Q18+1+(LOG(J18)*4/3))*0.167),((Q18+(((TODAY()-E18)^0.5)/(336^0.5))+(LOG(J18)*4/3))*0.167))</f>
        <v>2.6958266238314885</v>
      </c>
      <c r="AO18" s="38">
        <f t="shared" ref="AO18:AO20" ca="1" si="159">IF(TODAY()-E18&gt;335,((R18+1+(LOG(J18)*4/3))*0.288),((R18+(((TODAY()-E18)^0.5)/(336^0.5))+(LOG(J18)*4/3))*0.288))</f>
        <v>1.8156566255297528</v>
      </c>
      <c r="AP18" s="38">
        <f t="shared" ref="AP18:AP20" ca="1" si="160">IF(TODAY()-E18&gt;335,((L18+1+(LOG(J18)*4/3))*0.27),((L18+(((TODAY()-E18)^0.5)/(336^0.5))+(LOG(J18)*4/3))*0.27))</f>
        <v>4.2979220864341441</v>
      </c>
      <c r="AQ18" s="38">
        <f t="shared" ref="AQ18:AQ20" ca="1" si="161">IF(TODAY()-E18&gt;335,((L18+1+(LOG(J18)*4/3))*0.594),((L18+(((TODAY()-E18)^0.5)/(336^0.5))+(LOG(J18)*4/3))*0.594))</f>
        <v>9.4554285901551154</v>
      </c>
      <c r="AR18" s="38">
        <f t="shared" ref="AR18:AR20" ca="1" si="162">AP18/2</f>
        <v>2.148961043217072</v>
      </c>
      <c r="AS18" s="38">
        <f t="shared" ref="AS18:AS20" ca="1" si="163">IF(TODAY()-E18&gt;335,((M18+1+(LOG(J18)*4/3))*0.944),((M18+(((TODAY()-E18)^0.5)/(336^0.5))+(LOG(J18)*4/3))*0.944))</f>
        <v>6.5496890725697448</v>
      </c>
      <c r="AT18" s="38">
        <f t="shared" ref="AT18:AT20" ca="1" si="164">IF(TODAY()-E18&gt;335,((O18+1+(LOG(J18)*4/3))*0.13),((O18+(((TODAY()-E18)^0.5)/(336^0.5))+(LOG(J18)*4/3))*0.13))</f>
        <v>1.4251592268016247</v>
      </c>
      <c r="AU18" s="38">
        <f t="shared" ref="AU18:AU20" ca="1" si="165">IF(TODAY()-E18&gt;335,((P18+1+(LOG(J18)*4/3))*0.173)+((O18+1+(LOG(J18)*4/3))*0.12),((P18+(((TODAY()-E18)^0.5)/(336^0.5))+(LOG(J18)*4/3))*0.173)+((O18+(((TODAY()-E18)^0.5)/(336^0.5))+(LOG(J18)*4/3))*0.12))</f>
        <v>1.8238453752785331</v>
      </c>
      <c r="AV18" s="38">
        <f t="shared" ref="AV18:AV20" ca="1" si="166">AT18/2</f>
        <v>0.71257961340081233</v>
      </c>
      <c r="AW18" s="38">
        <f t="shared" ref="AW18:AW20" ca="1" si="167">IF(TODAY()-E18&gt;335,((L18+1+(LOG(J18)*4/3))*0.189),((L18+(((TODAY()-E18)^0.5)/(336^0.5))+(LOG(J18)*4/3))*0.189))</f>
        <v>3.0085454605039006</v>
      </c>
      <c r="AX18" s="38">
        <f t="shared" ref="AX18:AX20" ca="1" si="168">IF(TODAY()-E18&gt;335,((L18+1+(LOG(J18)*4/3))*0.4),((L18+(((TODAY()-E18)^0.5)/(336^0.5))+(LOG(J18)*4/3))*0.4))</f>
        <v>6.3672919799024355</v>
      </c>
      <c r="AY18" s="38">
        <f t="shared" ref="AY18:AY20" ca="1" si="169">AW18/2</f>
        <v>1.5042727302519503</v>
      </c>
      <c r="AZ18" s="38">
        <f t="shared" ref="AZ18:AZ20" ca="1" si="170">IF(TODAY()-E18&gt;335,((M18+1+(LOG(J18)*4/3))*1),((M18+(((TODAY()-E18)^0.5)/(336^0.5))+(LOG(J18)*4/3))*1))</f>
        <v>6.938229949756086</v>
      </c>
      <c r="BA18" s="38">
        <f t="shared" ref="BA18:BA20" ca="1" si="171">IF(TODAY()-E18&gt;335,((O18+1+(LOG(J18)*4/3))*0.253),((O18+(((TODAY()-E18)^0.5)/(336^0.5))+(LOG(J18)*4/3))*0.253))</f>
        <v>2.7735791106216232</v>
      </c>
      <c r="BB18" s="38">
        <f t="shared" ref="BB18:BB20" ca="1" si="172">IF(TODAY()-E18&gt;335,((P18+1+(LOG(J18)*4/3))*0.21)+((O18+1+(LOG(J18)*4/3))*0.341),((P18+(((TODAY()-E18)^0.5)/(336^0.5))+(LOG(J18)*4/3))*0.21)+((O18+(((TODAY()-E18)^0.5)/(336^0.5))+(LOG(J18)*4/3))*0.341))</f>
        <v>4.3553305689822706</v>
      </c>
      <c r="BC18" s="38">
        <f t="shared" ref="BC18:BC20" ca="1" si="173">BA18/2</f>
        <v>1.3867895553108116</v>
      </c>
      <c r="BD18" s="38">
        <f t="shared" ref="BD18:BD20" ca="1" si="174">IF(TODAY()-E18&gt;335,((L18+1+(LOG(J18)*4/3))*0.291),((L18+(((TODAY()-E18)^0.5)/(336^0.5))+(LOG(J18)*4/3))*0.291))</f>
        <v>4.6322049153790212</v>
      </c>
      <c r="BE18" s="38">
        <f t="shared" ref="BE18:BE20" ca="1" si="175">IF(TODAY()-E18&gt;335,((L18+1+(LOG(J18)*4/3))*0.348),((L18+(((TODAY()-E18)^0.5)/(336^0.5))+(LOG(J18)*4/3))*0.348))</f>
        <v>5.539544022515118</v>
      </c>
      <c r="BF18" s="38">
        <f t="shared" ref="BF18:BF20" ca="1" si="176">IF(TODAY()-E18&gt;335,((M18+1+(LOG(J18)*4/3))*0.881),((M18+(((TODAY()-E18)^0.5)/(336^0.5))+(LOG(J18)*4/3))*0.881))</f>
        <v>6.1125805857351114</v>
      </c>
      <c r="BG18" s="38">
        <f t="shared" ref="BG18:BG20" ca="1" si="177">IF(TODAY()-E18&gt;335,((N18+1+(LOG(J18)*4/3))*0.574)+((O18+1+(LOG(J18)*4/3))*0.315),((N18+(((TODAY()-E18)^0.5)/(336^0.5))+(LOG(J18)*4/3))*0.574)+((O18+(((TODAY()-E18)^0.5)/(336^0.5))+(LOG(J18)*4/3))*0.315))</f>
        <v>10.300074425333161</v>
      </c>
      <c r="BH18" s="38">
        <f t="shared" ref="BH18:BH20" ca="1" si="178">IF(TODAY()-E18&gt;335,((O18+1+(LOG(J18)*4/3))*0.241),((O18+(((TODAY()-E18)^0.5)/(336^0.5))+(LOG(J18)*4/3))*0.241))</f>
        <v>2.6420259512245501</v>
      </c>
      <c r="BI18" s="38">
        <f t="shared" ref="BI18:BI20" ca="1" si="179">IF(TODAY()-E18&gt;335,((L18+1+(LOG(J18)*4/3))*0.485),((L18+(((TODAY()-E18)^0.5)/(336^0.5))+(LOG(J18)*4/3))*0.485))</f>
        <v>7.7203415256317021</v>
      </c>
      <c r="BJ18" s="38">
        <f t="shared" ref="BJ18:BJ20" ca="1" si="180">IF(TODAY()-E18&gt;335,((L18+1+(LOG(J18)*4/3))*0.264),((L18+(((TODAY()-E18)^0.5)/(336^0.5))+(LOG(J18)*4/3))*0.264))</f>
        <v>4.2024127067356076</v>
      </c>
      <c r="BK18" s="38">
        <f t="shared" ref="BK18:BK20" ca="1" si="181">IF(TODAY()-E18&gt;335,((M18+1+(LOG(J18)*4/3))*0.381),((M18+(((TODAY()-E18)^0.5)/(336^0.5))+(LOG(J18)*4/3))*0.381))</f>
        <v>2.6434656108570689</v>
      </c>
      <c r="BL18" s="38">
        <f t="shared" ref="BL18:BL20" ca="1" si="182">IF(TODAY()-E18&gt;335,((N18+1+(LOG(J18)*4/3))*0.673)+((O18+1+(LOG(J18)*4/3))*0.201),((N18+(((TODAY()-E18)^0.5)/(336^0.5))+(LOG(J18)*4/3))*0.673)+((O18+(((TODAY()-E18)^0.5)/(336^0.5))+(LOG(J18)*4/3))*0.201))</f>
        <v>10.231214176086821</v>
      </c>
      <c r="BM18" s="38">
        <f t="shared" ref="BM18:BM20" ca="1" si="183">IF(TODAY()-E18&gt;335,((O18+1+(LOG(J18)*4/3))*0.052),((O18+(((TODAY()-E18)^0.5)/(336^0.5))+(LOG(J18)*4/3))*0.052))</f>
        <v>0.57006369072064977</v>
      </c>
      <c r="BN18" s="38">
        <f t="shared" ref="BN18:BN20" ca="1" si="184">IF(TODAY()-E18&gt;335,((L18+1+(LOG(J18)*4/3))*0.18),((L18+(((TODAY()-E18)^0.5)/(336^0.5))+(LOG(J18)*4/3))*0.18))</f>
        <v>2.8652813909560955</v>
      </c>
      <c r="BO18" s="38">
        <f t="shared" ref="BO18:BO20" ca="1" si="185">IF(TODAY()-E18&gt;335,((L18+1+(LOG(J18)*4/3))*0.068),((L18+(((TODAY()-E18)^0.5)/(336^0.5))+(LOG(J18)*4/3))*0.068))</f>
        <v>1.0824396365834139</v>
      </c>
      <c r="BP18" s="38">
        <f t="shared" ref="BP18:BP20" ca="1" si="186">IF(TODAY()-E18&gt;335,((M18+1+(LOG(J18)*4/3))*0.305),((M18+(((TODAY()-E18)^0.5)/(336^0.5))+(LOG(J18)*4/3))*0.305))</f>
        <v>2.116160134675606</v>
      </c>
      <c r="BQ18" s="38">
        <f t="shared" ref="BQ18:BQ20" ca="1" si="187">IF(TODAY()-E18&gt;335,((N18+1+(LOG(J18)*4/3))*1)+((O18+1+(LOG(J18)*4/3))*0.286),((N18+(((TODAY()-E18)^0.5)/(336^0.5))+(LOG(J18)*4/3))*1)+((O18+(((TODAY()-E18)^0.5)/(336^0.5))+(LOG(J18)*4/3))*0.286))</f>
        <v>15.06358024871966</v>
      </c>
      <c r="BR18" s="38">
        <f t="shared" ref="BR18:BR20" ca="1" si="188">IF(TODAY()-E18&gt;335,((O18+1+(LOG(J18)*4/3))*0.135),((O18+(((TODAY()-E18)^0.5)/(336^0.5))+(LOG(J18)*4/3))*0.135))</f>
        <v>1.4799730432170717</v>
      </c>
      <c r="BS18" s="38">
        <f t="shared" ref="BS18:BS20" ca="1" si="189">IF(TODAY()-E18&gt;335,((L18+1+(LOG(J18)*4/3))*0.284),((L18+(((TODAY()-E18)^0.5)/(336^0.5))+(LOG(J18)*4/3))*0.284))</f>
        <v>4.5207773057307286</v>
      </c>
      <c r="BT18" s="38">
        <f t="shared" ref="BT18:BT20" ca="1" si="190">IF(TODAY()-E18&gt;335,((L18+1+(LOG(J18)*4/3))*0.244),((L18+(((TODAY()-E18)^0.5)/(336^0.5))+(LOG(J18)*4/3))*0.244))</f>
        <v>3.8840481077404854</v>
      </c>
      <c r="BU18" s="38">
        <f t="shared" ref="BU18:BU20" ca="1" si="191">IF(TODAY()-E18&gt;335,((M18+1+(LOG(J18)*4/3))*0.631),((M18+(((TODAY()-E18)^0.5)/(336^0.5))+(LOG(J18)*4/3))*0.631))</f>
        <v>4.3780230982960902</v>
      </c>
      <c r="BV18" s="38">
        <f t="shared" ref="BV18:BV20" ca="1" si="192">IF(TODAY()-E18&gt;335,((N18+1+(LOG(J18)*4/3))*0.702)+((O18+1+(LOG(J18)*4/3))*0.193),((N18+(((TODAY()-E18)^0.5)/(336^0.5))+(LOG(J18)*4/3))*0.702)+((O18+(((TODAY()-E18)^0.5)/(336^0.5))+(LOG(J18)*4/3))*0.193))</f>
        <v>10.48943073836503</v>
      </c>
      <c r="BW18" s="38">
        <f t="shared" ref="BW18:BW20" ca="1" si="193">IF(TODAY()-E18&gt;335,((O18+1+(LOG(J18)*4/3))*0.148),((O18+(((TODAY()-E18)^0.5)/(336^0.5))+(LOG(J18)*4/3))*0.148))</f>
        <v>1.6224889658972339</v>
      </c>
      <c r="BX18" s="38">
        <f t="shared" ref="BX18:BX20" ca="1" si="194">IF(TODAY()-E18&gt;335,((M18+1+(LOG(J18)*4/3))*0.406),((M18+(((TODAY()-E18)^0.5)/(336^0.5))+(LOG(J18)*4/3))*0.406))</f>
        <v>2.816921359600971</v>
      </c>
      <c r="BY18" s="38">
        <f t="shared" ref="BY18:BY20"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4.8315111371562534</v>
      </c>
      <c r="BZ18" s="38">
        <f t="shared" ref="BZ18:BZ20" ca="1" si="196">IF(D18="TEC",IF(TODAY()-E18&gt;335,((O18+1+(LOG(J18)*4/3))*0.543)+((P18+1+(LOG(J18)*4/3))*0.583),((O18+(((TODAY()-E18)^0.5)/(336^0.5))+(LOG(J18)*4/3))*0.543)+((P18+(((TODAY()-E18)^0.5)/(336^0.5))+(LOG(J18)*4/3))*0.583)),IF(TODAY()-E18&gt;335,((O18+1+(LOG(J18)*4/3))*0.543)+((P18+1+(LOG(J18)*4/3))*0.583),((O18+(((TODAY()-E18)^0.5)/(336^0.5))+(LOG(J18)*4/3))*0.543)+((P18+(((TODAY()-E18)^0.5)/(336^0.5))+(LOG(J18)*4/3))*0.583)))</f>
        <v>7.6657685234253528</v>
      </c>
      <c r="CA18" s="38">
        <f t="shared" ref="CA18:CA20" ca="1" si="197">BY18</f>
        <v>4.8315111371562534</v>
      </c>
      <c r="CB18" s="38">
        <f t="shared" ref="CB18:CB20" ca="1" si="198">IF(TODAY()-E18&gt;335,((P18+1+(LOG(J18)*4/3))*0.26)+((N18+1+(LOG(J18)*4/3))*0.221)+((O18+1+(LOG(J18)*4/3))*0.142),((P18+(((TODAY()-E18)^0.5)/(336^0.5))+(LOG(J18)*4/3))*0.26)+((N18+(((TODAY()-E18)^0.5)/(336^0.5))+(LOG(J18)*4/3))*0.221)+((P18+(((TODAY()-E18)^0.5)/(336^0.5))+(LOG(J18)*4/3))*0.142))</f>
        <v>3.8173072586980421</v>
      </c>
      <c r="CC18" s="38">
        <f t="shared" ref="CC18:CC20" ca="1" si="199">IF(TODAY()-E18&gt;335,((P18+1+(LOG(J18)*4/3))*1)+((O18+1+(LOG(J18)*4/3))*0.369),((P18+(((TODAY()-E18)^0.5)/(336^0.5))+(LOG(J18)*4/3))*1)+((O18+(((TODAY()-E18)^0.5)/(336^0.5))+(LOG(J18)*4/3))*0.369))</f>
        <v>6.9834896012160819</v>
      </c>
      <c r="CD18" s="38">
        <f t="shared" ref="CD18:CD20" ca="1" si="200">CB18</f>
        <v>3.8173072586980421</v>
      </c>
      <c r="CE18" s="38">
        <f t="shared" ref="CE18:CE20" ca="1" si="201">IF(TODAY()-E18&gt;335,((M18+1+(LOG(J18)*4/3))*0.25),((M18+(((TODAY()-E18)^0.5)/(336^0.5))+(LOG(J18)*4/3))*0.25))</f>
        <v>1.7345574874390215</v>
      </c>
    </row>
    <row r="19" spans="1:83" x14ac:dyDescent="0.25">
      <c r="A19" t="str">
        <f>PLANTILLA!D21</f>
        <v>Morgan Thomas</v>
      </c>
      <c r="B19">
        <f>PLANTILLA!E21</f>
        <v>33</v>
      </c>
      <c r="C19" s="34">
        <f ca="1">PLANTILLA!F21</f>
        <v>24</v>
      </c>
      <c r="D19" s="222" t="str">
        <f>PLANTILLA!G21</f>
        <v>CAB</v>
      </c>
      <c r="E19" s="31">
        <f>PLANTILLA!M21</f>
        <v>42712</v>
      </c>
      <c r="F19" s="48">
        <f>PLANTILLA!Q21</f>
        <v>6</v>
      </c>
      <c r="G19" s="49">
        <f t="shared" si="1"/>
        <v>0.92582009977255142</v>
      </c>
      <c r="H19" s="49">
        <f t="shared" si="2"/>
        <v>0.99928545900129484</v>
      </c>
      <c r="I19" s="52">
        <f t="shared" ca="1" si="3"/>
        <v>1</v>
      </c>
      <c r="J19" s="40">
        <f>PLANTILLA!I21</f>
        <v>10.199999999999999</v>
      </c>
      <c r="K19" s="47">
        <f>PLANTILLA!X21</f>
        <v>0</v>
      </c>
      <c r="L19" s="47">
        <f>PLANTILLA!Y21</f>
        <v>1.037037037037037</v>
      </c>
      <c r="M19" s="47">
        <f>PLANTILLA!Z21</f>
        <v>13.230909090909091</v>
      </c>
      <c r="N19" s="47">
        <f>PLANTILLA!AA21</f>
        <v>14.058518518518518</v>
      </c>
      <c r="O19" s="47">
        <f>PLANTILLA!AB21</f>
        <v>10.916666666666666</v>
      </c>
      <c r="P19" s="47">
        <f>PLANTILLA!AC21</f>
        <v>2.95</v>
      </c>
      <c r="Q19" s="47">
        <f>PLANTILLA!AD21</f>
        <v>11</v>
      </c>
      <c r="R19" s="47">
        <f t="shared" si="136"/>
        <v>3.2337962962962963</v>
      </c>
      <c r="S19" s="47">
        <f t="shared" si="137"/>
        <v>0.47750000000000004</v>
      </c>
      <c r="T19" s="47">
        <f t="shared" si="138"/>
        <v>0.37148148148148147</v>
      </c>
      <c r="U19" s="47">
        <f t="shared" ca="1" si="139"/>
        <v>12.354884279472259</v>
      </c>
      <c r="V19" s="47">
        <f t="shared" ca="1" si="140"/>
        <v>13.335264822132729</v>
      </c>
      <c r="W19" s="38">
        <f t="shared" ca="1" si="141"/>
        <v>2.3332328221530942</v>
      </c>
      <c r="X19" s="38">
        <f t="shared" ca="1" si="142"/>
        <v>3.4678778364002545</v>
      </c>
      <c r="Y19" s="38">
        <f t="shared" ca="1" si="143"/>
        <v>2.3332328221530942</v>
      </c>
      <c r="Z19" s="38">
        <f t="shared" ca="1" si="144"/>
        <v>1.7450280292833105</v>
      </c>
      <c r="AA19" s="38">
        <f t="shared" ca="1" si="145"/>
        <v>3.3818372660529272</v>
      </c>
      <c r="AB19" s="38">
        <f t="shared" ca="1" si="146"/>
        <v>0.87251401464165523</v>
      </c>
      <c r="AC19" s="38">
        <f t="shared" ca="1" si="147"/>
        <v>3.7070188181421453</v>
      </c>
      <c r="AD19" s="38">
        <f t="shared" ca="1" si="148"/>
        <v>1.2783344865680064</v>
      </c>
      <c r="AE19" s="38">
        <f t="shared" ca="1" si="149"/>
        <v>2.4450683433562661</v>
      </c>
      <c r="AF19" s="38">
        <f t="shared" ca="1" si="150"/>
        <v>0.63916724328400321</v>
      </c>
      <c r="AG19" s="38">
        <f t="shared" ca="1" si="151"/>
        <v>5.9966480881711179</v>
      </c>
      <c r="AH19" s="38">
        <f t="shared" ca="1" si="152"/>
        <v>3.1112902847686934</v>
      </c>
      <c r="AI19" s="38">
        <f t="shared" ca="1" si="153"/>
        <v>1.4000806281459117</v>
      </c>
      <c r="AJ19" s="38">
        <f t="shared" ca="1" si="154"/>
        <v>2.6011434564274718</v>
      </c>
      <c r="AK19" s="38">
        <f t="shared" ca="1" si="155"/>
        <v>9.6451514235502298</v>
      </c>
      <c r="AL19" s="38">
        <f t="shared" ca="1" si="156"/>
        <v>2.5499052986039072</v>
      </c>
      <c r="AM19" s="38">
        <f t="shared" ca="1" si="157"/>
        <v>2.3943407843654723</v>
      </c>
      <c r="AN19" s="38">
        <f t="shared" ca="1" si="158"/>
        <v>2.2285816382456538</v>
      </c>
      <c r="AO19" s="38">
        <f t="shared" ca="1" si="159"/>
        <v>1.6066357992899094</v>
      </c>
      <c r="AP19" s="38">
        <f t="shared" ca="1" si="160"/>
        <v>0.91309606183429037</v>
      </c>
      <c r="AQ19" s="38">
        <f t="shared" ca="1" si="161"/>
        <v>2.0088113360354387</v>
      </c>
      <c r="AR19" s="38">
        <f t="shared" ca="1" si="162"/>
        <v>0.45654803091714519</v>
      </c>
      <c r="AS19" s="38">
        <f t="shared" ca="1" si="163"/>
        <v>14.70346959800918</v>
      </c>
      <c r="AT19" s="38">
        <f t="shared" ca="1" si="164"/>
        <v>1.7239906964387324</v>
      </c>
      <c r="AU19" s="38">
        <f t="shared" ca="1" si="165"/>
        <v>2.5073764671016558</v>
      </c>
      <c r="AV19" s="38">
        <f t="shared" ca="1" si="166"/>
        <v>0.86199534821936619</v>
      </c>
      <c r="AW19" s="38">
        <f t="shared" ca="1" si="167"/>
        <v>0.63916724328400321</v>
      </c>
      <c r="AX19" s="38">
        <f t="shared" ca="1" si="168"/>
        <v>1.3527349064211709</v>
      </c>
      <c r="AY19" s="38">
        <f t="shared" ca="1" si="169"/>
        <v>0.3195836216420016</v>
      </c>
      <c r="AZ19" s="38">
        <f t="shared" ca="1" si="170"/>
        <v>15.575709319924981</v>
      </c>
      <c r="BA19" s="38">
        <f t="shared" ca="1" si="171"/>
        <v>3.3551511246076866</v>
      </c>
      <c r="BB19" s="38">
        <f t="shared" ca="1" si="172"/>
        <v>5.6340682595210891</v>
      </c>
      <c r="BC19" s="38">
        <f t="shared" ca="1" si="173"/>
        <v>1.6775755623038433</v>
      </c>
      <c r="BD19" s="38">
        <f t="shared" ca="1" si="174"/>
        <v>0.98411464442140173</v>
      </c>
      <c r="BE19" s="38">
        <f t="shared" ca="1" si="175"/>
        <v>1.1768793685864185</v>
      </c>
      <c r="BF19" s="38">
        <f t="shared" ca="1" si="176"/>
        <v>13.722199910853908</v>
      </c>
      <c r="BG19" s="38">
        <f t="shared" ca="1" si="177"/>
        <v>13.592867033224753</v>
      </c>
      <c r="BH19" s="38">
        <f t="shared" ca="1" si="178"/>
        <v>3.1960135218594958</v>
      </c>
      <c r="BI19" s="38">
        <f t="shared" ca="1" si="179"/>
        <v>1.6401910740356695</v>
      </c>
      <c r="BJ19" s="38">
        <f t="shared" ca="1" si="180"/>
        <v>0.89280503823797286</v>
      </c>
      <c r="BK19" s="38">
        <f t="shared" ca="1" si="181"/>
        <v>5.9343452508914174</v>
      </c>
      <c r="BL19" s="38">
        <f t="shared" ca="1" si="182"/>
        <v>13.704988363122849</v>
      </c>
      <c r="BM19" s="38">
        <f t="shared" ca="1" si="183"/>
        <v>0.68959627857549288</v>
      </c>
      <c r="BN19" s="38">
        <f t="shared" ca="1" si="184"/>
        <v>0.60873070788952688</v>
      </c>
      <c r="BO19" s="38">
        <f t="shared" ca="1" si="185"/>
        <v>0.22996493409159907</v>
      </c>
      <c r="BP19" s="38">
        <f t="shared" ca="1" si="186"/>
        <v>4.7505913425771187</v>
      </c>
      <c r="BQ19" s="38">
        <f t="shared" ca="1" si="187"/>
        <v>20.196098279699619</v>
      </c>
      <c r="BR19" s="38">
        <f t="shared" ca="1" si="188"/>
        <v>1.7902980309171452</v>
      </c>
      <c r="BS19" s="38">
        <f t="shared" ca="1" si="189"/>
        <v>0.9604417835590312</v>
      </c>
      <c r="BT19" s="38">
        <f t="shared" ca="1" si="190"/>
        <v>0.82516829291691418</v>
      </c>
      <c r="BU19" s="38">
        <f t="shared" ca="1" si="191"/>
        <v>9.8282725808726621</v>
      </c>
      <c r="BV19" s="38">
        <f t="shared" ca="1" si="192"/>
        <v>14.074592871635886</v>
      </c>
      <c r="BW19" s="38">
        <f t="shared" ca="1" si="193"/>
        <v>1.9626971005610183</v>
      </c>
      <c r="BX19" s="38">
        <f t="shared" ca="1" si="194"/>
        <v>6.3237379838895427</v>
      </c>
      <c r="BY19" s="38">
        <f t="shared" ca="1" si="195"/>
        <v>6.349884252650611</v>
      </c>
      <c r="BZ19" s="38">
        <f t="shared" ca="1" si="196"/>
        <v>10.287845057871891</v>
      </c>
      <c r="CA19" s="38">
        <f t="shared" ca="1" si="197"/>
        <v>6.349884252650611</v>
      </c>
      <c r="CB19" s="38">
        <f t="shared" ca="1" si="198"/>
        <v>6.8849098019361579</v>
      </c>
      <c r="CC19" s="38">
        <f t="shared" ca="1" si="199"/>
        <v>10.188281513522753</v>
      </c>
      <c r="CD19" s="38">
        <f t="shared" ca="1" si="200"/>
        <v>6.8849098019361579</v>
      </c>
      <c r="CE19" s="38">
        <f t="shared" ca="1" si="201"/>
        <v>3.8939273299812451</v>
      </c>
    </row>
    <row r="20" spans="1:83" x14ac:dyDescent="0.25">
      <c r="A20" t="str">
        <f>PLANTILLA!D22</f>
        <v>Rasheed Da'na</v>
      </c>
      <c r="B20">
        <f>PLANTILLA!E22</f>
        <v>29</v>
      </c>
      <c r="C20" s="34">
        <f ca="1">PLANTILLA!F22</f>
        <v>97</v>
      </c>
      <c r="D20" s="222" t="str">
        <f>PLANTILLA!G22</f>
        <v>RAP</v>
      </c>
      <c r="E20" s="31">
        <f>PLANTILLA!M22</f>
        <v>42267</v>
      </c>
      <c r="F20" s="48">
        <f>PLANTILLA!Q22</f>
        <v>6</v>
      </c>
      <c r="G20" s="49">
        <f t="shared" si="1"/>
        <v>0.92582009977255142</v>
      </c>
      <c r="H20" s="49">
        <f t="shared" si="2"/>
        <v>0.99928545900129484</v>
      </c>
      <c r="I20" s="52">
        <f t="shared" ca="1" si="3"/>
        <v>1</v>
      </c>
      <c r="J20" s="40">
        <f>PLANTILLA!I22</f>
        <v>9.5</v>
      </c>
      <c r="K20" s="47">
        <f>PLANTILLA!X22</f>
        <v>0</v>
      </c>
      <c r="L20" s="47">
        <f>PLANTILLA!Y22</f>
        <v>2.0384615384615383</v>
      </c>
      <c r="M20" s="47">
        <f>PLANTILLA!Z22</f>
        <v>13.499999999999998</v>
      </c>
      <c r="N20" s="47">
        <f>PLANTILLA!AA22</f>
        <v>4.0999999999999996</v>
      </c>
      <c r="O20" s="47">
        <f>PLANTILLA!AB22</f>
        <v>14.402222222222223</v>
      </c>
      <c r="P20" s="47">
        <f>PLANTILLA!AC22</f>
        <v>10.095333333333334</v>
      </c>
      <c r="Q20" s="47">
        <f>PLANTILLA!AD22</f>
        <v>15.399999999999999</v>
      </c>
      <c r="R20" s="47">
        <f t="shared" si="136"/>
        <v>4.2303632478632478</v>
      </c>
      <c r="S20" s="47">
        <f t="shared" si="137"/>
        <v>0.96676666666666655</v>
      </c>
      <c r="T20" s="47">
        <f t="shared" si="138"/>
        <v>0.54353846153846141</v>
      </c>
      <c r="U20" s="47">
        <f t="shared" ca="1" si="139"/>
        <v>16.39037785733451</v>
      </c>
      <c r="V20" s="47">
        <f t="shared" ca="1" si="140"/>
        <v>17.690981503204526</v>
      </c>
      <c r="W20" s="38">
        <f t="shared" ca="1" si="141"/>
        <v>2.5736856611716035</v>
      </c>
      <c r="X20" s="38">
        <f t="shared" ca="1" si="142"/>
        <v>3.8403343864166906</v>
      </c>
      <c r="Y20" s="38">
        <f t="shared" ca="1" si="143"/>
        <v>2.5736856611716035</v>
      </c>
      <c r="Z20" s="38">
        <f t="shared" ca="1" si="144"/>
        <v>2.240519994284881</v>
      </c>
      <c r="AA20" s="38">
        <f t="shared" ca="1" si="145"/>
        <v>4.3420930121800021</v>
      </c>
      <c r="AB20" s="38">
        <f t="shared" ca="1" si="146"/>
        <v>1.1202599971424405</v>
      </c>
      <c r="AC20" s="38">
        <f t="shared" ca="1" si="147"/>
        <v>3.7612642907449936</v>
      </c>
      <c r="AD20" s="38">
        <f t="shared" ca="1" si="148"/>
        <v>1.6413111586040408</v>
      </c>
      <c r="AE20" s="38">
        <f t="shared" ca="1" si="149"/>
        <v>3.1393332478061415</v>
      </c>
      <c r="AF20" s="38">
        <f t="shared" ca="1" si="150"/>
        <v>0.82065557930202038</v>
      </c>
      <c r="AG20" s="38">
        <f t="shared" ca="1" si="151"/>
        <v>6.0843981173816077</v>
      </c>
      <c r="AH20" s="38">
        <f t="shared" ca="1" si="152"/>
        <v>3.9947255712056022</v>
      </c>
      <c r="AI20" s="38">
        <f t="shared" ca="1" si="153"/>
        <v>1.7976265070425208</v>
      </c>
      <c r="AJ20" s="38">
        <f t="shared" ca="1" si="154"/>
        <v>2.6392064561109834</v>
      </c>
      <c r="AK20" s="38">
        <f t="shared" ca="1" si="155"/>
        <v>3.7653353065464561</v>
      </c>
      <c r="AL20" s="38">
        <f t="shared" ca="1" si="156"/>
        <v>3.2739381311837215</v>
      </c>
      <c r="AM20" s="38">
        <f t="shared" ca="1" si="157"/>
        <v>3.0742018526234411</v>
      </c>
      <c r="AN20" s="38">
        <f t="shared" ca="1" si="158"/>
        <v>2.9565064561109837</v>
      </c>
      <c r="AO20" s="38">
        <f t="shared" ca="1" si="159"/>
        <v>1.8817904798155327</v>
      </c>
      <c r="AP20" s="38">
        <f t="shared" ca="1" si="160"/>
        <v>1.1723651132886006</v>
      </c>
      <c r="AQ20" s="38">
        <f t="shared" ca="1" si="161"/>
        <v>2.5792032492349213</v>
      </c>
      <c r="AR20" s="38">
        <f t="shared" ca="1" si="162"/>
        <v>0.5861825566443003</v>
      </c>
      <c r="AS20" s="38">
        <f t="shared" ca="1" si="163"/>
        <v>14.918628111190227</v>
      </c>
      <c r="AT20" s="38">
        <f t="shared" ca="1" si="164"/>
        <v>2.171760980472289</v>
      </c>
      <c r="AU20" s="38">
        <f t="shared" ca="1" si="165"/>
        <v>4.149723355132843</v>
      </c>
      <c r="AV20" s="38">
        <f t="shared" ca="1" si="166"/>
        <v>1.0858804902361445</v>
      </c>
      <c r="AW20" s="38">
        <f t="shared" ca="1" si="167"/>
        <v>0.82065557930202038</v>
      </c>
      <c r="AX20" s="38">
        <f t="shared" ca="1" si="168"/>
        <v>1.7368372048720009</v>
      </c>
      <c r="AY20" s="38">
        <f t="shared" ca="1" si="169"/>
        <v>0.41032778965101019</v>
      </c>
      <c r="AZ20" s="38">
        <f t="shared" ca="1" si="170"/>
        <v>15.803631473718461</v>
      </c>
      <c r="BA20" s="38">
        <f t="shared" ca="1" si="171"/>
        <v>4.2265809850729932</v>
      </c>
      <c r="BB20" s="38">
        <f t="shared" ca="1" si="172"/>
        <v>8.3004787197966508</v>
      </c>
      <c r="BC20" s="38">
        <f t="shared" ca="1" si="173"/>
        <v>2.1132904925364966</v>
      </c>
      <c r="BD20" s="38">
        <f t="shared" ca="1" si="174"/>
        <v>1.2635490665443805</v>
      </c>
      <c r="BE20" s="38">
        <f t="shared" ca="1" si="175"/>
        <v>1.5110483682386406</v>
      </c>
      <c r="BF20" s="38">
        <f t="shared" ca="1" si="176"/>
        <v>13.922999328345965</v>
      </c>
      <c r="BG20" s="38">
        <f t="shared" ca="1" si="177"/>
        <v>8.9380283801357141</v>
      </c>
      <c r="BH20" s="38">
        <f t="shared" ca="1" si="178"/>
        <v>4.0261107407217054</v>
      </c>
      <c r="BI20" s="38">
        <f t="shared" ca="1" si="179"/>
        <v>2.1059151109073011</v>
      </c>
      <c r="BJ20" s="38">
        <f t="shared" ca="1" si="180"/>
        <v>1.1463125552155207</v>
      </c>
      <c r="BK20" s="38">
        <f t="shared" ca="1" si="181"/>
        <v>6.021183591486734</v>
      </c>
      <c r="BL20" s="38">
        <f t="shared" ca="1" si="182"/>
        <v>7.6675205746966038</v>
      </c>
      <c r="BM20" s="38">
        <f t="shared" ca="1" si="183"/>
        <v>0.8687043921889156</v>
      </c>
      <c r="BN20" s="38">
        <f t="shared" ca="1" si="184"/>
        <v>0.78157674219240036</v>
      </c>
      <c r="BO20" s="38">
        <f t="shared" ca="1" si="185"/>
        <v>0.29526232482824016</v>
      </c>
      <c r="BP20" s="38">
        <f t="shared" ca="1" si="186"/>
        <v>4.8201075994841309</v>
      </c>
      <c r="BQ20" s="38">
        <f t="shared" ca="1" si="187"/>
        <v>11.181505630757499</v>
      </c>
      <c r="BR20" s="38">
        <f t="shared" ca="1" si="188"/>
        <v>2.2552902489519928</v>
      </c>
      <c r="BS20" s="38">
        <f t="shared" ca="1" si="189"/>
        <v>1.2331544154591205</v>
      </c>
      <c r="BT20" s="38">
        <f t="shared" ca="1" si="190"/>
        <v>1.0594706949719206</v>
      </c>
      <c r="BU20" s="38">
        <f t="shared" ca="1" si="191"/>
        <v>9.9720914599163493</v>
      </c>
      <c r="BV20" s="38">
        <f t="shared" ca="1" si="192"/>
        <v>7.7195790578669135</v>
      </c>
      <c r="BW20" s="38">
        <f t="shared" ca="1" si="193"/>
        <v>2.4724663469992212</v>
      </c>
      <c r="BX20" s="38">
        <f t="shared" ca="1" si="194"/>
        <v>6.416274378329696</v>
      </c>
      <c r="BY20" s="38">
        <f t="shared" ca="1" si="195"/>
        <v>6.673254886696208</v>
      </c>
      <c r="BZ20" s="38">
        <f t="shared" ca="1" si="196"/>
        <v>16.299875039406992</v>
      </c>
      <c r="CA20" s="38">
        <f t="shared" ca="1" si="197"/>
        <v>6.673254886696208</v>
      </c>
      <c r="CB20" s="38">
        <f t="shared" ca="1" si="198"/>
        <v>7.0111646303488246</v>
      </c>
      <c r="CC20" s="38">
        <f t="shared" ca="1" si="199"/>
        <v>18.563424820853911</v>
      </c>
      <c r="CD20" s="38">
        <f t="shared" ca="1" si="200"/>
        <v>7.0111646303488246</v>
      </c>
      <c r="CE20" s="38">
        <f t="shared" ca="1" si="201"/>
        <v>3.9509078684296153</v>
      </c>
    </row>
    <row r="21" spans="1:83" x14ac:dyDescent="0.25">
      <c r="C21" s="34"/>
      <c r="D21" s="195"/>
      <c r="E21" s="31"/>
      <c r="F21" s="48"/>
      <c r="G21" s="49"/>
      <c r="H21" s="49"/>
      <c r="I21" s="52"/>
      <c r="J21" s="40"/>
      <c r="K21" s="47"/>
      <c r="L21" s="47"/>
      <c r="M21" s="47"/>
      <c r="N21" s="47"/>
      <c r="O21" s="47"/>
      <c r="P21" s="47"/>
      <c r="Q21" s="47"/>
      <c r="R21" s="47"/>
      <c r="S21" s="47"/>
      <c r="T21" s="47"/>
      <c r="U21" s="47"/>
      <c r="V21" s="47"/>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row>
    <row r="22" spans="1:83" x14ac:dyDescent="0.25">
      <c r="C22" s="34"/>
      <c r="D22" s="195"/>
      <c r="E22" s="31"/>
      <c r="F22" s="48"/>
      <c r="G22" s="49"/>
      <c r="H22" s="49"/>
      <c r="I22" s="52"/>
      <c r="J22" s="40"/>
      <c r="K22" s="47"/>
      <c r="L22" s="47"/>
      <c r="M22" s="47"/>
      <c r="N22" s="47"/>
      <c r="O22" s="47"/>
      <c r="P22" s="47"/>
      <c r="Q22" s="47"/>
      <c r="R22" s="47"/>
      <c r="S22" s="47"/>
      <c r="T22" s="47"/>
      <c r="U22" s="47"/>
      <c r="V22" s="47"/>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row>
    <row r="25" spans="1:83" x14ac:dyDescent="0.25">
      <c r="M25" s="38"/>
      <c r="N25" s="38"/>
      <c r="AH25" s="38" t="e">
        <f>#REF!*#REF!</f>
        <v>#REF!</v>
      </c>
      <c r="AI25" s="38" t="e">
        <f>#REF!*#REF!</f>
        <v>#REF!</v>
      </c>
    </row>
    <row r="26" spans="1:83" ht="18.75" x14ac:dyDescent="0.3">
      <c r="A26" s="104" t="s">
        <v>163</v>
      </c>
      <c r="B26" s="104" t="s">
        <v>164</v>
      </c>
      <c r="C26" s="104"/>
      <c r="D26" s="105"/>
      <c r="Z26" s="38"/>
      <c r="AA26" s="38"/>
      <c r="BV26" s="38"/>
      <c r="BW26" s="38"/>
    </row>
    <row r="27" spans="1:83" x14ac:dyDescent="0.25">
      <c r="A27" s="106" t="s">
        <v>165</v>
      </c>
      <c r="B27" s="107">
        <v>1</v>
      </c>
      <c r="C27" s="109">
        <v>0.624</v>
      </c>
      <c r="D27" s="110">
        <v>0.245</v>
      </c>
      <c r="AH27" s="38" t="e">
        <f>#REF!*#REF!</f>
        <v>#REF!</v>
      </c>
      <c r="AI27" s="38" t="e">
        <f>#REF!*#REF!</f>
        <v>#REF!</v>
      </c>
    </row>
    <row r="28" spans="1:83" x14ac:dyDescent="0.25">
      <c r="A28" s="106" t="s">
        <v>166</v>
      </c>
      <c r="B28" s="107">
        <v>1</v>
      </c>
      <c r="C28" s="109">
        <v>1.002</v>
      </c>
      <c r="D28" s="110">
        <v>0.34</v>
      </c>
      <c r="AG28" s="117"/>
      <c r="AH28" s="118"/>
    </row>
    <row r="29" spans="1:83" x14ac:dyDescent="0.25">
      <c r="A29" s="106" t="s">
        <v>167</v>
      </c>
      <c r="B29" s="107">
        <v>1</v>
      </c>
      <c r="C29" s="109">
        <v>0.46800000000000003</v>
      </c>
      <c r="D29" s="110">
        <v>0.125</v>
      </c>
      <c r="Z29" s="38"/>
      <c r="AA29" s="38"/>
      <c r="AH29" s="119" t="e">
        <f>(AI25-AH27)/AI25</f>
        <v>#REF!</v>
      </c>
      <c r="AI29" s="119" t="e">
        <f>(AH25-AI27)/AH25</f>
        <v>#REF!</v>
      </c>
      <c r="BV29" s="38"/>
      <c r="BW29" s="38"/>
    </row>
    <row r="30" spans="1:83" x14ac:dyDescent="0.25">
      <c r="A30" s="106" t="s">
        <v>168</v>
      </c>
      <c r="B30" s="107">
        <v>1</v>
      </c>
      <c r="C30" s="109">
        <v>0.877</v>
      </c>
      <c r="D30" s="110">
        <v>0.25</v>
      </c>
      <c r="W30" s="118"/>
    </row>
    <row r="31" spans="1:83" x14ac:dyDescent="0.25">
      <c r="A31" s="106" t="s">
        <v>169</v>
      </c>
      <c r="B31" s="107">
        <v>1</v>
      </c>
      <c r="C31" s="109">
        <v>0.59299999999999997</v>
      </c>
      <c r="D31" s="110">
        <v>0.19</v>
      </c>
      <c r="W31" s="118"/>
    </row>
    <row r="33" spans="26:75" x14ac:dyDescent="0.25">
      <c r="Z33" s="118"/>
      <c r="AA33" s="118"/>
      <c r="BV33" s="118"/>
      <c r="BW33" s="118"/>
    </row>
  </sheetData>
  <conditionalFormatting sqref="U3:V22">
    <cfRule type="cellIs" dxfId="10" priority="20" operator="greaterThan">
      <formula>15</formula>
    </cfRule>
  </conditionalFormatting>
  <conditionalFormatting sqref="R3:R22">
    <cfRule type="cellIs" dxfId="9" priority="19" operator="greaterThan">
      <formula>3.2</formula>
    </cfRule>
  </conditionalFormatting>
  <conditionalFormatting sqref="S3:T22">
    <cfRule type="cellIs" dxfId="8" priority="18" operator="greaterThan">
      <formula>0.6</formula>
    </cfRule>
  </conditionalFormatting>
  <conditionalFormatting sqref="AK3:AM22 AO3:BD22 BF3:CE22 W3:AI22">
    <cfRule type="cellIs" dxfId="7" priority="17" operator="greaterThan">
      <formula>12.5</formula>
    </cfRule>
  </conditionalFormatting>
  <conditionalFormatting sqref="J3:J22">
    <cfRule type="cellIs" dxfId="6" priority="14" operator="greaterThan">
      <formula>7</formula>
    </cfRule>
  </conditionalFormatting>
  <conditionalFormatting sqref="K3:Q22">
    <cfRule type="colorScale" priority="4959">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0" t="s">
        <v>207</v>
      </c>
      <c r="B1" s="230"/>
      <c r="C1" s="230"/>
      <c r="D1" s="230"/>
      <c r="F1" s="11" t="s">
        <v>3</v>
      </c>
      <c r="G1" s="11" t="s">
        <v>4</v>
      </c>
      <c r="H1" s="11" t="s">
        <v>5</v>
      </c>
      <c r="I1" s="35" t="s">
        <v>88</v>
      </c>
      <c r="J1" s="35" t="s">
        <v>7</v>
      </c>
      <c r="K1" s="35" t="s">
        <v>69</v>
      </c>
      <c r="L1" s="35" t="s">
        <v>187</v>
      </c>
      <c r="M1" s="35" t="s">
        <v>272</v>
      </c>
      <c r="N1" s="133" t="s">
        <v>188</v>
      </c>
      <c r="O1" s="133" t="s">
        <v>189</v>
      </c>
      <c r="P1" s="133" t="s">
        <v>267</v>
      </c>
      <c r="Q1" s="133" t="s">
        <v>120</v>
      </c>
      <c r="R1" s="134" t="s">
        <v>190</v>
      </c>
      <c r="S1" s="134" t="s">
        <v>191</v>
      </c>
      <c r="T1" s="134" t="s">
        <v>267</v>
      </c>
      <c r="U1" s="134" t="s">
        <v>120</v>
      </c>
    </row>
    <row r="2" spans="1:21" x14ac:dyDescent="0.25">
      <c r="A2" s="231" t="s">
        <v>208</v>
      </c>
      <c r="B2" s="232" t="s">
        <v>209</v>
      </c>
      <c r="C2" s="232" t="s">
        <v>210</v>
      </c>
      <c r="D2" s="232" t="s">
        <v>211</v>
      </c>
      <c r="F2" s="214" t="s">
        <v>358</v>
      </c>
      <c r="G2">
        <v>36</v>
      </c>
      <c r="H2">
        <v>92</v>
      </c>
      <c r="I2" s="112">
        <v>14.3</v>
      </c>
      <c r="J2" s="114">
        <v>4</v>
      </c>
      <c r="K2" s="71">
        <v>2448</v>
      </c>
      <c r="L2" s="71">
        <v>1000</v>
      </c>
      <c r="M2" s="129">
        <v>3</v>
      </c>
      <c r="N2" s="71">
        <v>325000</v>
      </c>
      <c r="O2" s="71">
        <f>L2+N2</f>
        <v>326000</v>
      </c>
      <c r="P2" s="135">
        <v>6.5</v>
      </c>
      <c r="Q2" s="163">
        <f>O2/P2</f>
        <v>50153.846153846156</v>
      </c>
      <c r="R2" s="71">
        <v>2375000</v>
      </c>
      <c r="S2" s="71">
        <f>R2+L2</f>
        <v>2376000</v>
      </c>
      <c r="T2" s="136">
        <f>P2</f>
        <v>6.5</v>
      </c>
      <c r="U2" s="163">
        <f>S2/T2</f>
        <v>365538.46153846156</v>
      </c>
    </row>
    <row r="3" spans="1:21" x14ac:dyDescent="0.25">
      <c r="A3" s="231"/>
      <c r="B3" s="232"/>
      <c r="C3" s="232"/>
      <c r="D3" s="232"/>
      <c r="F3" s="214" t="s">
        <v>359</v>
      </c>
      <c r="G3">
        <v>40</v>
      </c>
      <c r="H3">
        <v>26</v>
      </c>
      <c r="I3" s="112">
        <v>14.1</v>
      </c>
      <c r="J3" s="114">
        <v>5</v>
      </c>
      <c r="K3" s="71">
        <v>468</v>
      </c>
      <c r="L3" s="71">
        <v>410000</v>
      </c>
      <c r="M3" s="129">
        <v>3</v>
      </c>
      <c r="N3" s="71">
        <v>335000</v>
      </c>
      <c r="O3" s="71">
        <f>L3+N3</f>
        <v>745000</v>
      </c>
      <c r="P3" s="135">
        <v>8</v>
      </c>
      <c r="Q3" s="163">
        <f>O3/P3</f>
        <v>93125</v>
      </c>
      <c r="R3" s="71">
        <v>2390000</v>
      </c>
      <c r="S3" s="71">
        <f>R3+L3</f>
        <v>2800000</v>
      </c>
      <c r="T3" s="136">
        <f>P3</f>
        <v>8</v>
      </c>
      <c r="U3" s="163">
        <f>S3/T3</f>
        <v>350000</v>
      </c>
    </row>
    <row r="4" spans="1:21" x14ac:dyDescent="0.25">
      <c r="A4" s="159" t="s">
        <v>209</v>
      </c>
      <c r="B4" s="160" t="s">
        <v>212</v>
      </c>
      <c r="C4" s="160" t="s">
        <v>213</v>
      </c>
      <c r="D4" s="160" t="s">
        <v>213</v>
      </c>
      <c r="F4" s="214" t="s">
        <v>360</v>
      </c>
      <c r="G4">
        <v>35</v>
      </c>
      <c r="H4">
        <v>85</v>
      </c>
      <c r="I4" s="112">
        <v>18.2</v>
      </c>
      <c r="J4" s="114">
        <v>4</v>
      </c>
      <c r="K4" s="71">
        <v>14808</v>
      </c>
      <c r="L4" s="71">
        <v>1245000</v>
      </c>
      <c r="M4" s="129">
        <v>3</v>
      </c>
      <c r="N4" s="71">
        <v>259000</v>
      </c>
      <c r="O4" s="71">
        <f>L4+N4</f>
        <v>1504000</v>
      </c>
      <c r="P4" s="135">
        <v>6.5</v>
      </c>
      <c r="Q4" s="163">
        <f>O4/P4</f>
        <v>231384.61538461538</v>
      </c>
      <c r="R4" s="71">
        <v>1850000</v>
      </c>
      <c r="S4" s="71">
        <f>R4+L4</f>
        <v>3095000</v>
      </c>
      <c r="T4" s="136">
        <f>P4</f>
        <v>6.5</v>
      </c>
      <c r="U4" s="163">
        <f>S4/T4</f>
        <v>476153.84615384613</v>
      </c>
    </row>
    <row r="5" spans="1:21" x14ac:dyDescent="0.25">
      <c r="A5" s="161" t="s">
        <v>210</v>
      </c>
      <c r="B5" s="162" t="s">
        <v>214</v>
      </c>
      <c r="C5" s="162" t="s">
        <v>215</v>
      </c>
      <c r="D5" s="162" t="s">
        <v>213</v>
      </c>
      <c r="F5" s="214" t="s">
        <v>361</v>
      </c>
      <c r="G5">
        <v>36</v>
      </c>
      <c r="H5">
        <v>97</v>
      </c>
      <c r="I5" s="112">
        <v>14</v>
      </c>
      <c r="J5" s="114">
        <v>5</v>
      </c>
      <c r="K5" s="71">
        <v>4956</v>
      </c>
      <c r="L5" s="71">
        <v>405000</v>
      </c>
      <c r="M5" s="129">
        <v>3</v>
      </c>
      <c r="N5" s="137">
        <v>337500</v>
      </c>
      <c r="O5" s="71">
        <f>L5+N5</f>
        <v>742500</v>
      </c>
      <c r="P5" s="135">
        <v>8</v>
      </c>
      <c r="Q5" s="163">
        <f>O5/P5</f>
        <v>92812.5</v>
      </c>
      <c r="R5" s="71">
        <v>2400000</v>
      </c>
      <c r="S5" s="71">
        <f>R5+L5</f>
        <v>2805000</v>
      </c>
      <c r="T5" s="136">
        <f>P5</f>
        <v>8</v>
      </c>
      <c r="U5" s="163">
        <f>S5/T5</f>
        <v>350625</v>
      </c>
    </row>
    <row r="6" spans="1:21" x14ac:dyDescent="0.25">
      <c r="A6" s="159" t="s">
        <v>211</v>
      </c>
      <c r="B6" s="160" t="s">
        <v>216</v>
      </c>
      <c r="C6" s="160" t="s">
        <v>217</v>
      </c>
      <c r="D6" s="160" t="s">
        <v>218</v>
      </c>
      <c r="F6" s="214" t="s">
        <v>363</v>
      </c>
      <c r="G6">
        <v>40</v>
      </c>
      <c r="H6">
        <v>71</v>
      </c>
      <c r="I6" s="112">
        <v>15.3</v>
      </c>
      <c r="J6" s="114">
        <v>5</v>
      </c>
      <c r="K6" s="71">
        <v>840</v>
      </c>
      <c r="L6" s="71">
        <v>325000</v>
      </c>
      <c r="M6" s="129">
        <v>3</v>
      </c>
      <c r="N6" s="71">
        <v>305000</v>
      </c>
      <c r="O6" s="71">
        <f>L6+N6</f>
        <v>630000</v>
      </c>
      <c r="P6" s="135">
        <v>8</v>
      </c>
      <c r="Q6" s="163">
        <f>O6/P6</f>
        <v>78750</v>
      </c>
      <c r="R6" s="71">
        <v>2200000</v>
      </c>
      <c r="S6" s="71">
        <f>R6+L6</f>
        <v>2525000</v>
      </c>
      <c r="T6" s="136">
        <f>P6</f>
        <v>8</v>
      </c>
      <c r="U6" s="163">
        <f>S6/T6</f>
        <v>315625</v>
      </c>
    </row>
    <row r="7" spans="1:21" x14ac:dyDescent="0.25">
      <c r="A7" s="161" t="s">
        <v>219</v>
      </c>
      <c r="B7" s="162" t="s">
        <v>220</v>
      </c>
      <c r="C7" s="162" t="s">
        <v>221</v>
      </c>
      <c r="D7" s="162" t="s">
        <v>222</v>
      </c>
      <c r="I7" s="112">
        <v>0</v>
      </c>
      <c r="J7" s="114">
        <v>0</v>
      </c>
      <c r="K7" s="71"/>
      <c r="L7" s="71"/>
      <c r="M7" s="129">
        <v>3</v>
      </c>
      <c r="N7" s="71"/>
      <c r="O7" s="71">
        <f t="shared" ref="O7:O14" si="0">L7+N7</f>
        <v>0</v>
      </c>
      <c r="P7" s="135">
        <v>9</v>
      </c>
      <c r="Q7" s="163">
        <f t="shared" ref="Q7:Q14" si="1">O7/P7</f>
        <v>0</v>
      </c>
      <c r="R7" s="71"/>
      <c r="S7" s="71">
        <f t="shared" ref="S7:S14" si="2">R7+L7</f>
        <v>0</v>
      </c>
      <c r="T7" s="136">
        <f t="shared" ref="T7:T14" si="3">P7</f>
        <v>9</v>
      </c>
      <c r="U7" s="163">
        <f t="shared" ref="U7:U14" si="4">S7/T7</f>
        <v>0</v>
      </c>
    </row>
    <row r="8" spans="1:21" x14ac:dyDescent="0.25">
      <c r="A8" s="159" t="s">
        <v>223</v>
      </c>
      <c r="B8" s="160" t="s">
        <v>224</v>
      </c>
      <c r="C8" s="160" t="s">
        <v>225</v>
      </c>
      <c r="D8" s="160" t="s">
        <v>226</v>
      </c>
      <c r="F8" s="214" t="s">
        <v>362</v>
      </c>
      <c r="G8">
        <v>38</v>
      </c>
      <c r="H8">
        <v>105</v>
      </c>
      <c r="I8" s="112">
        <v>17.8</v>
      </c>
      <c r="J8" s="114">
        <v>4</v>
      </c>
      <c r="K8" s="71">
        <v>1080</v>
      </c>
      <c r="L8" s="71">
        <v>320000</v>
      </c>
      <c r="M8" s="129">
        <v>3</v>
      </c>
      <c r="N8" s="71">
        <v>269000</v>
      </c>
      <c r="O8" s="71">
        <f t="shared" si="0"/>
        <v>589000</v>
      </c>
      <c r="P8" s="135">
        <v>6.5</v>
      </c>
      <c r="Q8" s="163">
        <f t="shared" si="1"/>
        <v>90615.38461538461</v>
      </c>
      <c r="R8" s="71">
        <v>1900000</v>
      </c>
      <c r="S8" s="71">
        <f t="shared" si="2"/>
        <v>2220000</v>
      </c>
      <c r="T8" s="136">
        <f t="shared" si="3"/>
        <v>6.5</v>
      </c>
      <c r="U8" s="163">
        <f t="shared" si="4"/>
        <v>341538.46153846156</v>
      </c>
    </row>
    <row r="9" spans="1:21" x14ac:dyDescent="0.25">
      <c r="A9" s="161" t="s">
        <v>227</v>
      </c>
      <c r="B9" s="162" t="s">
        <v>228</v>
      </c>
      <c r="C9" s="162" t="s">
        <v>229</v>
      </c>
      <c r="D9" s="162" t="s">
        <v>230</v>
      </c>
      <c r="F9" s="214" t="s">
        <v>364</v>
      </c>
      <c r="G9">
        <v>40</v>
      </c>
      <c r="H9">
        <v>43</v>
      </c>
      <c r="I9" s="112">
        <v>33.4</v>
      </c>
      <c r="J9" s="114">
        <v>4</v>
      </c>
      <c r="K9" s="71">
        <f>470*1.2</f>
        <v>564</v>
      </c>
      <c r="L9" s="71">
        <v>920000</v>
      </c>
      <c r="M9" s="129">
        <v>3</v>
      </c>
      <c r="N9" s="71">
        <v>125000</v>
      </c>
      <c r="O9" s="71">
        <f t="shared" si="0"/>
        <v>1045000</v>
      </c>
      <c r="P9" s="135">
        <v>6.5</v>
      </c>
      <c r="Q9" s="163">
        <f t="shared" si="1"/>
        <v>160769.23076923078</v>
      </c>
      <c r="R9" s="71">
        <v>1050000</v>
      </c>
      <c r="S9" s="71">
        <f t="shared" si="2"/>
        <v>1970000</v>
      </c>
      <c r="T9" s="136">
        <f t="shared" si="3"/>
        <v>6.5</v>
      </c>
      <c r="U9" s="163">
        <f t="shared" si="4"/>
        <v>303076.92307692306</v>
      </c>
    </row>
    <row r="10" spans="1:21" x14ac:dyDescent="0.25">
      <c r="A10" s="159" t="s">
        <v>231</v>
      </c>
      <c r="B10" s="160" t="s">
        <v>232</v>
      </c>
      <c r="C10" s="160" t="s">
        <v>233</v>
      </c>
      <c r="D10" s="160" t="s">
        <v>234</v>
      </c>
      <c r="F10" s="214" t="s">
        <v>365</v>
      </c>
      <c r="G10">
        <v>38</v>
      </c>
      <c r="H10">
        <v>73</v>
      </c>
      <c r="I10" s="112">
        <v>15.5</v>
      </c>
      <c r="J10" s="114">
        <v>4</v>
      </c>
      <c r="K10" s="71">
        <v>1280</v>
      </c>
      <c r="L10" s="71">
        <v>10000</v>
      </c>
      <c r="M10" s="129">
        <v>3</v>
      </c>
      <c r="N10" s="71">
        <v>305000</v>
      </c>
      <c r="O10" s="71">
        <f t="shared" si="0"/>
        <v>315000</v>
      </c>
      <c r="P10" s="135">
        <v>6.5</v>
      </c>
      <c r="Q10" s="163">
        <f t="shared" si="1"/>
        <v>48461.538461538461</v>
      </c>
      <c r="R10" s="71">
        <v>2200000</v>
      </c>
      <c r="S10" s="71">
        <f t="shared" si="2"/>
        <v>2210000</v>
      </c>
      <c r="T10" s="136">
        <f t="shared" si="3"/>
        <v>6.5</v>
      </c>
      <c r="U10" s="163">
        <f t="shared" si="4"/>
        <v>340000</v>
      </c>
    </row>
    <row r="11" spans="1:21" x14ac:dyDescent="0.25">
      <c r="A11" s="161" t="s">
        <v>235</v>
      </c>
      <c r="B11" s="162" t="s">
        <v>236</v>
      </c>
      <c r="C11" s="162" t="s">
        <v>237</v>
      </c>
      <c r="D11" s="162" t="s">
        <v>238</v>
      </c>
      <c r="F11" s="214" t="s">
        <v>366</v>
      </c>
      <c r="G11">
        <v>38</v>
      </c>
      <c r="H11">
        <v>33</v>
      </c>
      <c r="I11" s="112">
        <v>16.7</v>
      </c>
      <c r="J11" s="114">
        <v>4</v>
      </c>
      <c r="K11" s="71">
        <v>1224</v>
      </c>
      <c r="L11" s="71">
        <v>10000</v>
      </c>
      <c r="M11" s="129">
        <v>3</v>
      </c>
      <c r="N11" s="137">
        <v>283000</v>
      </c>
      <c r="O11" s="71">
        <f t="shared" si="0"/>
        <v>293000</v>
      </c>
      <c r="P11" s="135">
        <v>6.5</v>
      </c>
      <c r="Q11" s="163">
        <f t="shared" si="1"/>
        <v>45076.923076923078</v>
      </c>
      <c r="R11" s="71">
        <v>2005000</v>
      </c>
      <c r="S11" s="71">
        <f t="shared" si="2"/>
        <v>2015000</v>
      </c>
      <c r="T11" s="136">
        <f t="shared" si="3"/>
        <v>6.5</v>
      </c>
      <c r="U11" s="163">
        <f t="shared" si="4"/>
        <v>310000</v>
      </c>
    </row>
    <row r="12" spans="1:21" x14ac:dyDescent="0.25">
      <c r="A12" s="159" t="s">
        <v>239</v>
      </c>
      <c r="B12" s="160" t="s">
        <v>240</v>
      </c>
      <c r="C12" s="160" t="s">
        <v>241</v>
      </c>
      <c r="D12" s="160" t="s">
        <v>242</v>
      </c>
      <c r="F12" s="214" t="s">
        <v>367</v>
      </c>
      <c r="G12">
        <v>38</v>
      </c>
      <c r="H12">
        <v>106</v>
      </c>
      <c r="I12" s="112">
        <v>15.1</v>
      </c>
      <c r="J12" s="114">
        <v>4</v>
      </c>
      <c r="K12" s="71">
        <v>1368</v>
      </c>
      <c r="L12" s="71">
        <v>5000</v>
      </c>
      <c r="M12" s="129">
        <v>3</v>
      </c>
      <c r="N12" s="71">
        <v>315000</v>
      </c>
      <c r="O12" s="71">
        <f t="shared" si="0"/>
        <v>320000</v>
      </c>
      <c r="P12" s="135">
        <v>6.5</v>
      </c>
      <c r="Q12" s="163">
        <f t="shared" si="1"/>
        <v>49230.769230769234</v>
      </c>
      <c r="R12" s="71">
        <v>2242290</v>
      </c>
      <c r="S12" s="71">
        <f t="shared" si="2"/>
        <v>2247290</v>
      </c>
      <c r="T12" s="136">
        <f t="shared" si="3"/>
        <v>6.5</v>
      </c>
      <c r="U12" s="163">
        <f t="shared" si="4"/>
        <v>345736.92307692306</v>
      </c>
    </row>
    <row r="13" spans="1:21" x14ac:dyDescent="0.25">
      <c r="A13" s="161" t="s">
        <v>243</v>
      </c>
      <c r="B13" s="162" t="s">
        <v>244</v>
      </c>
      <c r="C13" s="162" t="s">
        <v>245</v>
      </c>
      <c r="D13" s="162" t="s">
        <v>246</v>
      </c>
      <c r="F13" s="214" t="s">
        <v>380</v>
      </c>
      <c r="G13">
        <v>58</v>
      </c>
      <c r="H13">
        <v>49</v>
      </c>
      <c r="I13" s="112">
        <v>16</v>
      </c>
      <c r="J13" s="114">
        <v>4</v>
      </c>
      <c r="K13" s="71">
        <v>300</v>
      </c>
      <c r="L13" s="71">
        <v>125000</v>
      </c>
      <c r="M13" s="129">
        <v>3</v>
      </c>
      <c r="N13" s="71">
        <v>296000</v>
      </c>
      <c r="O13" s="71">
        <f t="shared" si="0"/>
        <v>421000</v>
      </c>
      <c r="P13" s="135">
        <v>6.5</v>
      </c>
      <c r="Q13" s="163">
        <f t="shared" si="1"/>
        <v>64769.230769230766</v>
      </c>
      <c r="R13" s="71">
        <v>2105000</v>
      </c>
      <c r="S13" s="71">
        <f t="shared" si="2"/>
        <v>2230000</v>
      </c>
      <c r="T13" s="136">
        <f t="shared" si="3"/>
        <v>6.5</v>
      </c>
      <c r="U13" s="163">
        <f t="shared" si="4"/>
        <v>343076.92307692306</v>
      </c>
    </row>
    <row r="14" spans="1:21" x14ac:dyDescent="0.25">
      <c r="A14" s="159" t="s">
        <v>247</v>
      </c>
      <c r="B14" s="160" t="s">
        <v>248</v>
      </c>
      <c r="C14" s="160" t="s">
        <v>249</v>
      </c>
      <c r="D14" s="160" t="s">
        <v>250</v>
      </c>
      <c r="I14" s="112">
        <v>0</v>
      </c>
      <c r="J14" s="114">
        <v>0</v>
      </c>
      <c r="K14" s="71"/>
      <c r="L14" s="71"/>
      <c r="M14" s="129">
        <v>3</v>
      </c>
      <c r="N14" s="71"/>
      <c r="O14" s="71">
        <f t="shared" si="0"/>
        <v>0</v>
      </c>
      <c r="P14" s="135">
        <v>9</v>
      </c>
      <c r="Q14" s="163">
        <f t="shared" si="1"/>
        <v>0</v>
      </c>
      <c r="R14" s="71"/>
      <c r="S14" s="71">
        <f t="shared" si="2"/>
        <v>0</v>
      </c>
      <c r="T14" s="136">
        <f t="shared" si="3"/>
        <v>9</v>
      </c>
      <c r="U14" s="163">
        <f t="shared" si="4"/>
        <v>0</v>
      </c>
    </row>
    <row r="15" spans="1:21" x14ac:dyDescent="0.25">
      <c r="A15" s="161" t="s">
        <v>251</v>
      </c>
      <c r="B15" s="162" t="s">
        <v>252</v>
      </c>
      <c r="C15" s="162" t="s">
        <v>253</v>
      </c>
      <c r="D15" s="162" t="s">
        <v>254</v>
      </c>
      <c r="I15" s="112">
        <v>0</v>
      </c>
      <c r="J15" s="114">
        <v>0</v>
      </c>
      <c r="K15" s="71"/>
      <c r="L15" s="71"/>
      <c r="M15" s="129">
        <v>3</v>
      </c>
      <c r="N15" s="71"/>
      <c r="O15" s="71">
        <f t="shared" ref="O15:O46" si="5">L15+N15</f>
        <v>0</v>
      </c>
      <c r="P15" s="135">
        <v>9</v>
      </c>
      <c r="Q15" s="163">
        <f t="shared" ref="Q15:Q46" si="6">O15/P15</f>
        <v>0</v>
      </c>
      <c r="R15" s="71"/>
      <c r="S15" s="71">
        <f t="shared" ref="S15:S46" si="7">R15+L15</f>
        <v>0</v>
      </c>
      <c r="T15" s="136">
        <f t="shared" ref="T15:T46" si="8">P15</f>
        <v>9</v>
      </c>
      <c r="U15" s="163">
        <f t="shared" ref="U15:U46" si="9">S15/T15</f>
        <v>0</v>
      </c>
    </row>
    <row r="16" spans="1:21" x14ac:dyDescent="0.25">
      <c r="A16" s="159" t="s">
        <v>255</v>
      </c>
      <c r="B16" s="160" t="s">
        <v>256</v>
      </c>
      <c r="C16" s="160" t="s">
        <v>257</v>
      </c>
      <c r="D16" s="160" t="s">
        <v>258</v>
      </c>
      <c r="I16" s="112">
        <v>0</v>
      </c>
      <c r="J16" s="114">
        <v>0</v>
      </c>
      <c r="K16" s="71"/>
      <c r="L16" s="71"/>
      <c r="M16" s="129">
        <v>3</v>
      </c>
      <c r="N16" s="137"/>
      <c r="O16" s="71">
        <f t="shared" si="5"/>
        <v>0</v>
      </c>
      <c r="P16" s="135">
        <v>9</v>
      </c>
      <c r="Q16" s="163">
        <f t="shared" si="6"/>
        <v>0</v>
      </c>
      <c r="R16" s="71"/>
      <c r="S16" s="71">
        <f t="shared" si="7"/>
        <v>0</v>
      </c>
      <c r="T16" s="136">
        <f t="shared" si="8"/>
        <v>9</v>
      </c>
      <c r="U16" s="163">
        <f t="shared" si="9"/>
        <v>0</v>
      </c>
    </row>
    <row r="17" spans="1:21" x14ac:dyDescent="0.25">
      <c r="A17" s="161" t="s">
        <v>259</v>
      </c>
      <c r="B17" s="162" t="s">
        <v>260</v>
      </c>
      <c r="C17" s="162" t="s">
        <v>261</v>
      </c>
      <c r="D17" s="162" t="s">
        <v>262</v>
      </c>
      <c r="I17" s="112">
        <v>0</v>
      </c>
      <c r="J17" s="114">
        <v>0</v>
      </c>
      <c r="K17" s="71"/>
      <c r="L17" s="71"/>
      <c r="M17" s="129">
        <v>3</v>
      </c>
      <c r="N17" s="71"/>
      <c r="O17" s="71">
        <f t="shared" si="5"/>
        <v>0</v>
      </c>
      <c r="P17" s="135">
        <v>9</v>
      </c>
      <c r="Q17" s="163">
        <f t="shared" si="6"/>
        <v>0</v>
      </c>
      <c r="R17" s="71"/>
      <c r="S17" s="71">
        <f t="shared" si="7"/>
        <v>0</v>
      </c>
      <c r="T17" s="136">
        <f t="shared" si="8"/>
        <v>9</v>
      </c>
      <c r="U17" s="163">
        <f t="shared" si="9"/>
        <v>0</v>
      </c>
    </row>
    <row r="18" spans="1:21" x14ac:dyDescent="0.25">
      <c r="A18" s="159" t="s">
        <v>263</v>
      </c>
      <c r="B18" s="160" t="s">
        <v>264</v>
      </c>
      <c r="C18" s="160" t="s">
        <v>265</v>
      </c>
      <c r="D18" s="160" t="s">
        <v>266</v>
      </c>
      <c r="I18" s="112">
        <v>0</v>
      </c>
      <c r="J18" s="114">
        <v>0</v>
      </c>
      <c r="K18" s="71"/>
      <c r="L18" s="71"/>
      <c r="M18" s="129">
        <v>3</v>
      </c>
      <c r="N18" s="71"/>
      <c r="O18" s="71">
        <f t="shared" si="5"/>
        <v>0</v>
      </c>
      <c r="P18" s="135">
        <v>9</v>
      </c>
      <c r="Q18" s="163">
        <f t="shared" si="6"/>
        <v>0</v>
      </c>
      <c r="R18" s="71"/>
      <c r="S18" s="71">
        <f t="shared" si="7"/>
        <v>0</v>
      </c>
      <c r="T18" s="136">
        <f t="shared" si="8"/>
        <v>9</v>
      </c>
      <c r="U18" s="163">
        <f t="shared" si="9"/>
        <v>0</v>
      </c>
    </row>
    <row r="19" spans="1:21" x14ac:dyDescent="0.25">
      <c r="I19" s="112">
        <v>0</v>
      </c>
      <c r="J19" s="114">
        <v>0</v>
      </c>
      <c r="K19" s="71"/>
      <c r="L19" s="71"/>
      <c r="M19" s="129">
        <v>3</v>
      </c>
      <c r="N19" s="71"/>
      <c r="O19" s="71">
        <f t="shared" si="5"/>
        <v>0</v>
      </c>
      <c r="P19" s="135">
        <v>9</v>
      </c>
      <c r="Q19" s="163">
        <f t="shared" si="6"/>
        <v>0</v>
      </c>
      <c r="R19" s="71"/>
      <c r="S19" s="71">
        <f t="shared" si="7"/>
        <v>0</v>
      </c>
      <c r="T19" s="136">
        <f t="shared" si="8"/>
        <v>9</v>
      </c>
      <c r="U19" s="163">
        <f t="shared" si="9"/>
        <v>0</v>
      </c>
    </row>
    <row r="20" spans="1:21" x14ac:dyDescent="0.25">
      <c r="A20" s="11" t="s">
        <v>205</v>
      </c>
      <c r="B20" s="11" t="s">
        <v>206</v>
      </c>
      <c r="I20" s="112">
        <v>0</v>
      </c>
      <c r="J20" s="114">
        <v>0</v>
      </c>
      <c r="K20" s="71"/>
      <c r="L20" s="71"/>
      <c r="M20" s="129">
        <v>3</v>
      </c>
      <c r="N20" s="71"/>
      <c r="O20" s="71">
        <f t="shared" si="5"/>
        <v>0</v>
      </c>
      <c r="P20" s="135">
        <v>9</v>
      </c>
      <c r="Q20" s="163">
        <f t="shared" si="6"/>
        <v>0</v>
      </c>
      <c r="R20" s="71"/>
      <c r="S20" s="71">
        <f t="shared" si="7"/>
        <v>0</v>
      </c>
      <c r="T20" s="136">
        <f t="shared" si="8"/>
        <v>9</v>
      </c>
      <c r="U20" s="163">
        <f t="shared" si="9"/>
        <v>0</v>
      </c>
    </row>
    <row r="21" spans="1:21" x14ac:dyDescent="0.25">
      <c r="A21" s="193" t="s">
        <v>204</v>
      </c>
      <c r="B21" s="193">
        <v>2</v>
      </c>
      <c r="I21" s="112">
        <v>0</v>
      </c>
      <c r="J21" s="114">
        <v>0</v>
      </c>
      <c r="K21" s="71"/>
      <c r="L21" s="71"/>
      <c r="M21" s="129">
        <v>3</v>
      </c>
      <c r="N21" s="137"/>
      <c r="O21" s="71">
        <f t="shared" si="5"/>
        <v>0</v>
      </c>
      <c r="P21" s="135">
        <v>9</v>
      </c>
      <c r="Q21" s="163">
        <f t="shared" si="6"/>
        <v>0</v>
      </c>
      <c r="R21" s="71"/>
      <c r="S21" s="71">
        <f t="shared" si="7"/>
        <v>0</v>
      </c>
      <c r="T21" s="136">
        <f t="shared" si="8"/>
        <v>9</v>
      </c>
      <c r="U21" s="163">
        <f t="shared" si="9"/>
        <v>0</v>
      </c>
    </row>
    <row r="22" spans="1:21" x14ac:dyDescent="0.25">
      <c r="A22" s="193" t="s">
        <v>203</v>
      </c>
      <c r="B22" s="193">
        <v>1.5</v>
      </c>
      <c r="I22" s="112">
        <v>0</v>
      </c>
      <c r="J22" s="114">
        <v>0</v>
      </c>
      <c r="K22" s="71"/>
      <c r="L22" s="71"/>
      <c r="M22" s="129">
        <v>3</v>
      </c>
      <c r="N22" s="71"/>
      <c r="O22" s="71">
        <f t="shared" si="5"/>
        <v>0</v>
      </c>
      <c r="P22" s="135">
        <v>9</v>
      </c>
      <c r="Q22" s="163">
        <f t="shared" si="6"/>
        <v>0</v>
      </c>
      <c r="R22" s="71"/>
      <c r="S22" s="71">
        <f t="shared" si="7"/>
        <v>0</v>
      </c>
      <c r="T22" s="136">
        <f t="shared" si="8"/>
        <v>9</v>
      </c>
      <c r="U22" s="163">
        <f t="shared" si="9"/>
        <v>0</v>
      </c>
    </row>
    <row r="23" spans="1:21" x14ac:dyDescent="0.25">
      <c r="A23" s="193" t="s">
        <v>202</v>
      </c>
      <c r="B23" s="193">
        <v>1.5</v>
      </c>
      <c r="I23" s="112">
        <v>0</v>
      </c>
      <c r="J23" s="114">
        <v>0</v>
      </c>
      <c r="K23" s="71"/>
      <c r="L23" s="71"/>
      <c r="M23" s="129">
        <v>3</v>
      </c>
      <c r="N23" s="71"/>
      <c r="O23" s="71">
        <f t="shared" si="5"/>
        <v>0</v>
      </c>
      <c r="P23" s="135">
        <v>9</v>
      </c>
      <c r="Q23" s="163">
        <f t="shared" si="6"/>
        <v>0</v>
      </c>
      <c r="R23" s="71"/>
      <c r="S23" s="71">
        <f t="shared" si="7"/>
        <v>0</v>
      </c>
      <c r="T23" s="136">
        <f t="shared" si="8"/>
        <v>9</v>
      </c>
      <c r="U23" s="163">
        <f t="shared" si="9"/>
        <v>0</v>
      </c>
    </row>
    <row r="24" spans="1:21" x14ac:dyDescent="0.25">
      <c r="A24" s="193" t="s">
        <v>199</v>
      </c>
      <c r="B24" s="193">
        <v>1.5</v>
      </c>
      <c r="I24" s="112">
        <v>0</v>
      </c>
      <c r="J24" s="114">
        <v>0</v>
      </c>
      <c r="K24" s="71"/>
      <c r="L24" s="71"/>
      <c r="M24" s="129">
        <v>3</v>
      </c>
      <c r="N24" s="71"/>
      <c r="O24" s="71">
        <f t="shared" si="5"/>
        <v>0</v>
      </c>
      <c r="P24" s="135">
        <v>9</v>
      </c>
      <c r="Q24" s="163">
        <f t="shared" si="6"/>
        <v>0</v>
      </c>
      <c r="R24" s="71"/>
      <c r="S24" s="71">
        <f t="shared" si="7"/>
        <v>0</v>
      </c>
      <c r="T24" s="136">
        <f t="shared" si="8"/>
        <v>9</v>
      </c>
      <c r="U24" s="163">
        <f t="shared" si="9"/>
        <v>0</v>
      </c>
    </row>
    <row r="25" spans="1:21" x14ac:dyDescent="0.25">
      <c r="A25" s="193" t="s">
        <v>200</v>
      </c>
      <c r="B25" s="193">
        <v>1.5</v>
      </c>
      <c r="I25" s="112">
        <v>0</v>
      </c>
      <c r="J25" s="114">
        <v>0</v>
      </c>
      <c r="K25" s="71"/>
      <c r="L25" s="71"/>
      <c r="M25" s="129">
        <v>3</v>
      </c>
      <c r="N25" s="71"/>
      <c r="O25" s="71">
        <f t="shared" si="5"/>
        <v>0</v>
      </c>
      <c r="P25" s="135">
        <v>9</v>
      </c>
      <c r="Q25" s="163">
        <f t="shared" si="6"/>
        <v>0</v>
      </c>
      <c r="R25" s="71"/>
      <c r="S25" s="71">
        <f t="shared" si="7"/>
        <v>0</v>
      </c>
      <c r="T25" s="136">
        <f t="shared" si="8"/>
        <v>9</v>
      </c>
      <c r="U25" s="163">
        <f t="shared" si="9"/>
        <v>0</v>
      </c>
    </row>
    <row r="26" spans="1:21" x14ac:dyDescent="0.25">
      <c r="A26" s="193" t="s">
        <v>201</v>
      </c>
      <c r="B26" s="193">
        <v>1.5</v>
      </c>
      <c r="I26" s="112">
        <v>0</v>
      </c>
      <c r="J26" s="114">
        <v>0</v>
      </c>
      <c r="K26" s="71"/>
      <c r="L26" s="71"/>
      <c r="M26" s="129">
        <v>3</v>
      </c>
      <c r="N26" s="137"/>
      <c r="O26" s="71">
        <f t="shared" si="5"/>
        <v>0</v>
      </c>
      <c r="P26" s="135">
        <v>9</v>
      </c>
      <c r="Q26" s="163">
        <f t="shared" si="6"/>
        <v>0</v>
      </c>
      <c r="R26" s="71"/>
      <c r="S26" s="71">
        <f t="shared" si="7"/>
        <v>0</v>
      </c>
      <c r="T26" s="136">
        <f t="shared" si="8"/>
        <v>9</v>
      </c>
      <c r="U26" s="163">
        <f t="shared" si="9"/>
        <v>0</v>
      </c>
    </row>
    <row r="27" spans="1:21" x14ac:dyDescent="0.25">
      <c r="A27" s="193"/>
      <c r="B27" s="193"/>
      <c r="I27" s="112">
        <v>0</v>
      </c>
      <c r="J27" s="114">
        <v>0</v>
      </c>
      <c r="K27" s="71"/>
      <c r="L27" s="71"/>
      <c r="M27" s="129">
        <v>3</v>
      </c>
      <c r="N27" s="71"/>
      <c r="O27" s="71">
        <f t="shared" si="5"/>
        <v>0</v>
      </c>
      <c r="P27" s="135">
        <v>9</v>
      </c>
      <c r="Q27" s="163">
        <f t="shared" si="6"/>
        <v>0</v>
      </c>
      <c r="R27" s="71"/>
      <c r="S27" s="71">
        <f t="shared" si="7"/>
        <v>0</v>
      </c>
      <c r="T27" s="136">
        <f t="shared" si="8"/>
        <v>9</v>
      </c>
      <c r="U27" s="163">
        <f t="shared" si="9"/>
        <v>0</v>
      </c>
    </row>
    <row r="28" spans="1:21" x14ac:dyDescent="0.25">
      <c r="A28" s="11" t="s">
        <v>268</v>
      </c>
      <c r="B28" s="11" t="s">
        <v>269</v>
      </c>
      <c r="I28" s="112">
        <v>0</v>
      </c>
      <c r="J28" s="114">
        <v>0</v>
      </c>
      <c r="K28" s="71"/>
      <c r="L28" s="71"/>
      <c r="M28" s="129">
        <v>3</v>
      </c>
      <c r="N28" s="71"/>
      <c r="O28" s="71">
        <f t="shared" si="5"/>
        <v>0</v>
      </c>
      <c r="P28" s="135">
        <v>9</v>
      </c>
      <c r="Q28" s="163">
        <f t="shared" si="6"/>
        <v>0</v>
      </c>
      <c r="R28" s="71"/>
      <c r="S28" s="71">
        <f t="shared" si="7"/>
        <v>0</v>
      </c>
      <c r="T28" s="136">
        <f t="shared" si="8"/>
        <v>9</v>
      </c>
      <c r="U28" s="163">
        <f t="shared" si="9"/>
        <v>0</v>
      </c>
    </row>
    <row r="29" spans="1:21" x14ac:dyDescent="0.25">
      <c r="A29" s="193" t="s">
        <v>138</v>
      </c>
      <c r="B29" s="40">
        <v>9.5</v>
      </c>
      <c r="I29" s="112">
        <v>0</v>
      </c>
      <c r="J29" s="114">
        <v>0</v>
      </c>
      <c r="K29" s="71"/>
      <c r="L29" s="71"/>
      <c r="M29" s="129">
        <v>3</v>
      </c>
      <c r="N29" s="71"/>
      <c r="O29" s="71">
        <f t="shared" si="5"/>
        <v>0</v>
      </c>
      <c r="P29" s="135">
        <v>9</v>
      </c>
      <c r="Q29" s="163">
        <f t="shared" si="6"/>
        <v>0</v>
      </c>
      <c r="R29" s="71"/>
      <c r="S29" s="71">
        <f t="shared" si="7"/>
        <v>0</v>
      </c>
      <c r="T29" s="136">
        <f t="shared" si="8"/>
        <v>9</v>
      </c>
      <c r="U29" s="163">
        <f t="shared" si="9"/>
        <v>0</v>
      </c>
    </row>
    <row r="30" spans="1:21" x14ac:dyDescent="0.25">
      <c r="A30" s="193" t="s">
        <v>106</v>
      </c>
      <c r="B30" s="40">
        <v>8</v>
      </c>
      <c r="I30" s="112">
        <v>0</v>
      </c>
      <c r="J30" s="114">
        <v>0</v>
      </c>
      <c r="K30" s="71"/>
      <c r="L30" s="71"/>
      <c r="M30" s="129">
        <v>3</v>
      </c>
      <c r="N30" s="71"/>
      <c r="O30" s="71">
        <f t="shared" si="5"/>
        <v>0</v>
      </c>
      <c r="P30" s="135">
        <v>9</v>
      </c>
      <c r="Q30" s="163">
        <f t="shared" si="6"/>
        <v>0</v>
      </c>
      <c r="R30" s="71"/>
      <c r="S30" s="71">
        <f t="shared" si="7"/>
        <v>0</v>
      </c>
      <c r="T30" s="136">
        <f t="shared" si="8"/>
        <v>9</v>
      </c>
      <c r="U30" s="163">
        <f t="shared" si="9"/>
        <v>0</v>
      </c>
    </row>
    <row r="31" spans="1:21" x14ac:dyDescent="0.25">
      <c r="A31" s="193" t="s">
        <v>107</v>
      </c>
      <c r="B31" s="40">
        <f>B30-1.5</f>
        <v>6.5</v>
      </c>
      <c r="I31" s="112">
        <v>0</v>
      </c>
      <c r="J31" s="114">
        <v>0</v>
      </c>
      <c r="K31" s="71"/>
      <c r="L31" s="71"/>
      <c r="M31" s="129">
        <v>3</v>
      </c>
      <c r="N31" s="137"/>
      <c r="O31" s="71">
        <f t="shared" si="5"/>
        <v>0</v>
      </c>
      <c r="P31" s="135">
        <v>9</v>
      </c>
      <c r="Q31" s="163">
        <f t="shared" si="6"/>
        <v>0</v>
      </c>
      <c r="R31" s="71"/>
      <c r="S31" s="71">
        <f t="shared" si="7"/>
        <v>0</v>
      </c>
      <c r="T31" s="136">
        <f t="shared" si="8"/>
        <v>9</v>
      </c>
      <c r="U31" s="163">
        <f t="shared" si="9"/>
        <v>0</v>
      </c>
    </row>
    <row r="32" spans="1:21" x14ac:dyDescent="0.25">
      <c r="A32" s="193" t="s">
        <v>108</v>
      </c>
      <c r="B32" s="40">
        <f>B31-1.5</f>
        <v>5</v>
      </c>
      <c r="I32" s="112">
        <v>0</v>
      </c>
      <c r="J32" s="114">
        <v>0</v>
      </c>
      <c r="K32" s="71"/>
      <c r="L32" s="71"/>
      <c r="M32" s="129">
        <v>3</v>
      </c>
      <c r="N32" s="71"/>
      <c r="O32" s="71">
        <f t="shared" si="5"/>
        <v>0</v>
      </c>
      <c r="P32" s="135">
        <v>9</v>
      </c>
      <c r="Q32" s="163">
        <f t="shared" si="6"/>
        <v>0</v>
      </c>
      <c r="R32" s="71"/>
      <c r="S32" s="71">
        <f t="shared" si="7"/>
        <v>0</v>
      </c>
      <c r="T32" s="136">
        <f t="shared" si="8"/>
        <v>9</v>
      </c>
      <c r="U32" s="163">
        <f t="shared" si="9"/>
        <v>0</v>
      </c>
    </row>
    <row r="33" spans="1:21" x14ac:dyDescent="0.25">
      <c r="A33" s="193" t="s">
        <v>109</v>
      </c>
      <c r="B33" s="40">
        <f>2+1.5</f>
        <v>3.5</v>
      </c>
      <c r="I33" s="112">
        <v>0</v>
      </c>
      <c r="J33" s="114">
        <v>0</v>
      </c>
      <c r="K33" s="71"/>
      <c r="L33" s="71"/>
      <c r="M33" s="129">
        <v>3</v>
      </c>
      <c r="N33" s="71"/>
      <c r="O33" s="71">
        <f t="shared" si="5"/>
        <v>0</v>
      </c>
      <c r="P33" s="135">
        <v>9</v>
      </c>
      <c r="Q33" s="163">
        <f t="shared" si="6"/>
        <v>0</v>
      </c>
      <c r="R33" s="71"/>
      <c r="S33" s="71">
        <f t="shared" si="7"/>
        <v>0</v>
      </c>
      <c r="T33" s="136">
        <f t="shared" si="8"/>
        <v>9</v>
      </c>
      <c r="U33" s="163">
        <f t="shared" si="9"/>
        <v>0</v>
      </c>
    </row>
    <row r="34" spans="1:21" x14ac:dyDescent="0.25">
      <c r="A34" s="193" t="s">
        <v>271</v>
      </c>
      <c r="B34" s="40">
        <v>2</v>
      </c>
      <c r="I34" s="112">
        <v>0</v>
      </c>
      <c r="J34" s="114">
        <v>0</v>
      </c>
      <c r="K34" s="71"/>
      <c r="L34" s="71"/>
      <c r="M34" s="129">
        <v>3</v>
      </c>
      <c r="N34" s="71"/>
      <c r="O34" s="71">
        <f t="shared" si="5"/>
        <v>0</v>
      </c>
      <c r="P34" s="135">
        <v>9</v>
      </c>
      <c r="Q34" s="163">
        <f t="shared" si="6"/>
        <v>0</v>
      </c>
      <c r="R34" s="71"/>
      <c r="S34" s="71">
        <f t="shared" si="7"/>
        <v>0</v>
      </c>
      <c r="T34" s="136">
        <f t="shared" si="8"/>
        <v>9</v>
      </c>
      <c r="U34" s="163">
        <f t="shared" si="9"/>
        <v>0</v>
      </c>
    </row>
    <row r="35" spans="1:21" x14ac:dyDescent="0.25">
      <c r="A35" s="193" t="s">
        <v>270</v>
      </c>
      <c r="B35" s="40">
        <v>1</v>
      </c>
      <c r="I35" s="112">
        <v>0</v>
      </c>
      <c r="J35" s="114">
        <v>0</v>
      </c>
      <c r="K35" s="71"/>
      <c r="L35" s="71"/>
      <c r="M35" s="129">
        <v>3</v>
      </c>
      <c r="N35" s="71"/>
      <c r="O35" s="71">
        <f t="shared" si="5"/>
        <v>0</v>
      </c>
      <c r="P35" s="135">
        <v>9</v>
      </c>
      <c r="Q35" s="163">
        <f t="shared" si="6"/>
        <v>0</v>
      </c>
      <c r="R35" s="71"/>
      <c r="S35" s="71">
        <f t="shared" si="7"/>
        <v>0</v>
      </c>
      <c r="T35" s="136">
        <f t="shared" si="8"/>
        <v>9</v>
      </c>
      <c r="U35" s="163">
        <f t="shared" si="9"/>
        <v>0</v>
      </c>
    </row>
    <row r="36" spans="1:21" x14ac:dyDescent="0.25">
      <c r="I36" s="112">
        <v>0</v>
      </c>
      <c r="J36" s="114">
        <v>0</v>
      </c>
      <c r="K36" s="71"/>
      <c r="L36" s="71"/>
      <c r="M36" s="129">
        <v>3</v>
      </c>
      <c r="N36" s="137"/>
      <c r="O36" s="71">
        <f t="shared" si="5"/>
        <v>0</v>
      </c>
      <c r="P36" s="135">
        <v>9</v>
      </c>
      <c r="Q36" s="163">
        <f t="shared" si="6"/>
        <v>0</v>
      </c>
      <c r="R36" s="71"/>
      <c r="S36" s="71">
        <f t="shared" si="7"/>
        <v>0</v>
      </c>
      <c r="T36" s="136">
        <f t="shared" si="8"/>
        <v>9</v>
      </c>
      <c r="U36" s="163">
        <f t="shared" si="9"/>
        <v>0</v>
      </c>
    </row>
    <row r="37" spans="1:21" x14ac:dyDescent="0.25">
      <c r="I37" s="112">
        <v>0</v>
      </c>
      <c r="J37" s="114">
        <v>0</v>
      </c>
      <c r="K37" s="71"/>
      <c r="L37" s="71"/>
      <c r="M37" s="129">
        <v>3</v>
      </c>
      <c r="N37" s="71"/>
      <c r="O37" s="71">
        <f t="shared" si="5"/>
        <v>0</v>
      </c>
      <c r="P37" s="135">
        <v>9</v>
      </c>
      <c r="Q37" s="163">
        <f t="shared" si="6"/>
        <v>0</v>
      </c>
      <c r="R37" s="71"/>
      <c r="S37" s="71">
        <f t="shared" si="7"/>
        <v>0</v>
      </c>
      <c r="T37" s="136">
        <f t="shared" si="8"/>
        <v>9</v>
      </c>
      <c r="U37" s="163">
        <f t="shared" si="9"/>
        <v>0</v>
      </c>
    </row>
    <row r="38" spans="1:21" x14ac:dyDescent="0.25">
      <c r="I38" s="112">
        <v>0</v>
      </c>
      <c r="J38" s="114">
        <v>0</v>
      </c>
      <c r="K38" s="71"/>
      <c r="L38" s="71"/>
      <c r="M38" s="129">
        <v>3</v>
      </c>
      <c r="N38" s="71"/>
      <c r="O38" s="71">
        <f t="shared" si="5"/>
        <v>0</v>
      </c>
      <c r="P38" s="135">
        <v>9</v>
      </c>
      <c r="Q38" s="163">
        <f t="shared" si="6"/>
        <v>0</v>
      </c>
      <c r="R38" s="71"/>
      <c r="S38" s="71">
        <f t="shared" si="7"/>
        <v>0</v>
      </c>
      <c r="T38" s="136">
        <f t="shared" si="8"/>
        <v>9</v>
      </c>
      <c r="U38" s="163">
        <f t="shared" si="9"/>
        <v>0</v>
      </c>
    </row>
    <row r="39" spans="1:21" x14ac:dyDescent="0.25">
      <c r="I39" s="112">
        <v>0</v>
      </c>
      <c r="J39" s="114">
        <v>0</v>
      </c>
      <c r="K39" s="71"/>
      <c r="L39" s="71"/>
      <c r="M39" s="129">
        <v>3</v>
      </c>
      <c r="N39" s="71"/>
      <c r="O39" s="71">
        <f t="shared" si="5"/>
        <v>0</v>
      </c>
      <c r="P39" s="135">
        <v>9</v>
      </c>
      <c r="Q39" s="163">
        <f t="shared" si="6"/>
        <v>0</v>
      </c>
      <c r="R39" s="71"/>
      <c r="S39" s="71">
        <f t="shared" si="7"/>
        <v>0</v>
      </c>
      <c r="T39" s="136">
        <f t="shared" si="8"/>
        <v>9</v>
      </c>
      <c r="U39" s="163">
        <f t="shared" si="9"/>
        <v>0</v>
      </c>
    </row>
    <row r="40" spans="1:21" x14ac:dyDescent="0.25">
      <c r="I40" s="112">
        <v>0</v>
      </c>
      <c r="J40" s="114">
        <v>0</v>
      </c>
      <c r="K40" s="71"/>
      <c r="L40" s="71"/>
      <c r="M40" s="129">
        <v>3</v>
      </c>
      <c r="N40" s="71"/>
      <c r="O40" s="71">
        <f t="shared" si="5"/>
        <v>0</v>
      </c>
      <c r="P40" s="135">
        <v>9</v>
      </c>
      <c r="Q40" s="163">
        <f t="shared" si="6"/>
        <v>0</v>
      </c>
      <c r="R40" s="71"/>
      <c r="S40" s="71">
        <f t="shared" si="7"/>
        <v>0</v>
      </c>
      <c r="T40" s="136">
        <f t="shared" si="8"/>
        <v>9</v>
      </c>
      <c r="U40" s="163">
        <f t="shared" si="9"/>
        <v>0</v>
      </c>
    </row>
    <row r="41" spans="1:21" x14ac:dyDescent="0.25">
      <c r="I41" s="112">
        <v>0</v>
      </c>
      <c r="J41" s="114">
        <v>0</v>
      </c>
      <c r="K41" s="71"/>
      <c r="L41" s="71"/>
      <c r="M41" s="129">
        <v>3</v>
      </c>
      <c r="N41" s="137"/>
      <c r="O41" s="71">
        <f t="shared" si="5"/>
        <v>0</v>
      </c>
      <c r="P41" s="135">
        <v>9</v>
      </c>
      <c r="Q41" s="163">
        <f t="shared" si="6"/>
        <v>0</v>
      </c>
      <c r="R41" s="71"/>
      <c r="S41" s="71">
        <f t="shared" si="7"/>
        <v>0</v>
      </c>
      <c r="T41" s="136">
        <f t="shared" si="8"/>
        <v>9</v>
      </c>
      <c r="U41" s="163">
        <f t="shared" si="9"/>
        <v>0</v>
      </c>
    </row>
    <row r="42" spans="1:21" x14ac:dyDescent="0.25">
      <c r="I42" s="112">
        <v>0</v>
      </c>
      <c r="J42" s="114">
        <v>0</v>
      </c>
      <c r="K42" s="71"/>
      <c r="L42" s="71"/>
      <c r="M42" s="129">
        <v>3</v>
      </c>
      <c r="N42" s="71"/>
      <c r="O42" s="71">
        <f t="shared" si="5"/>
        <v>0</v>
      </c>
      <c r="P42" s="135">
        <v>9</v>
      </c>
      <c r="Q42" s="163">
        <f t="shared" si="6"/>
        <v>0</v>
      </c>
      <c r="R42" s="71"/>
      <c r="S42" s="71">
        <f t="shared" si="7"/>
        <v>0</v>
      </c>
      <c r="T42" s="136">
        <f t="shared" si="8"/>
        <v>9</v>
      </c>
      <c r="U42" s="163">
        <f t="shared" si="9"/>
        <v>0</v>
      </c>
    </row>
    <row r="43" spans="1:21" x14ac:dyDescent="0.25">
      <c r="I43" s="112">
        <v>0</v>
      </c>
      <c r="J43" s="114">
        <v>0</v>
      </c>
      <c r="K43" s="71"/>
      <c r="L43" s="71"/>
      <c r="M43" s="129">
        <v>3</v>
      </c>
      <c r="N43" s="71"/>
      <c r="O43" s="71">
        <f t="shared" si="5"/>
        <v>0</v>
      </c>
      <c r="P43" s="135">
        <v>9</v>
      </c>
      <c r="Q43" s="163">
        <f t="shared" si="6"/>
        <v>0</v>
      </c>
      <c r="R43" s="71"/>
      <c r="S43" s="71">
        <f t="shared" si="7"/>
        <v>0</v>
      </c>
      <c r="T43" s="136">
        <f t="shared" si="8"/>
        <v>9</v>
      </c>
      <c r="U43" s="163">
        <f t="shared" si="9"/>
        <v>0</v>
      </c>
    </row>
    <row r="44" spans="1:21" x14ac:dyDescent="0.25">
      <c r="I44" s="112">
        <v>0</v>
      </c>
      <c r="J44" s="114">
        <v>0</v>
      </c>
      <c r="K44" s="71"/>
      <c r="L44" s="71"/>
      <c r="M44" s="129">
        <v>3</v>
      </c>
      <c r="N44" s="71"/>
      <c r="O44" s="71">
        <f t="shared" si="5"/>
        <v>0</v>
      </c>
      <c r="P44" s="135">
        <v>9</v>
      </c>
      <c r="Q44" s="163">
        <f t="shared" si="6"/>
        <v>0</v>
      </c>
      <c r="R44" s="71"/>
      <c r="S44" s="71">
        <f t="shared" si="7"/>
        <v>0</v>
      </c>
      <c r="T44" s="136">
        <f t="shared" si="8"/>
        <v>9</v>
      </c>
      <c r="U44" s="163">
        <f t="shared" si="9"/>
        <v>0</v>
      </c>
    </row>
    <row r="45" spans="1:21" x14ac:dyDescent="0.25">
      <c r="I45" s="112">
        <v>0</v>
      </c>
      <c r="J45" s="114">
        <v>0</v>
      </c>
      <c r="K45" s="71"/>
      <c r="L45" s="71"/>
      <c r="M45" s="129">
        <v>3</v>
      </c>
      <c r="N45" s="71"/>
      <c r="O45" s="71">
        <f t="shared" si="5"/>
        <v>0</v>
      </c>
      <c r="P45" s="135">
        <v>9</v>
      </c>
      <c r="Q45" s="163">
        <f t="shared" si="6"/>
        <v>0</v>
      </c>
      <c r="R45" s="71"/>
      <c r="S45" s="71">
        <f t="shared" si="7"/>
        <v>0</v>
      </c>
      <c r="T45" s="136">
        <f t="shared" si="8"/>
        <v>9</v>
      </c>
      <c r="U45" s="163">
        <f t="shared" si="9"/>
        <v>0</v>
      </c>
    </row>
    <row r="46" spans="1:21" x14ac:dyDescent="0.25">
      <c r="I46" s="112">
        <v>0</v>
      </c>
      <c r="J46" s="114">
        <v>0</v>
      </c>
      <c r="K46" s="71"/>
      <c r="L46" s="71"/>
      <c r="M46" s="129">
        <v>3</v>
      </c>
      <c r="N46" s="71"/>
      <c r="O46" s="71">
        <f t="shared" si="5"/>
        <v>0</v>
      </c>
      <c r="P46" s="135">
        <v>9</v>
      </c>
      <c r="Q46" s="163">
        <f t="shared" si="6"/>
        <v>0</v>
      </c>
      <c r="R46" s="71"/>
      <c r="S46" s="71">
        <f t="shared" si="7"/>
        <v>0</v>
      </c>
      <c r="T46" s="136">
        <f t="shared" si="8"/>
        <v>9</v>
      </c>
      <c r="U46" s="163">
        <f t="shared" si="9"/>
        <v>0</v>
      </c>
    </row>
    <row r="47" spans="1:21" x14ac:dyDescent="0.25">
      <c r="I47" s="112">
        <v>0</v>
      </c>
      <c r="J47" s="114">
        <v>0</v>
      </c>
      <c r="K47" s="71"/>
      <c r="L47" s="71"/>
      <c r="M47" s="129">
        <v>3</v>
      </c>
      <c r="N47" s="137"/>
      <c r="O47" s="71">
        <f t="shared" ref="O47:O76" si="10">L47+N47</f>
        <v>0</v>
      </c>
      <c r="P47" s="135">
        <v>9</v>
      </c>
      <c r="Q47" s="163">
        <f t="shared" ref="Q47:Q76" si="11">O47/P47</f>
        <v>0</v>
      </c>
      <c r="R47" s="71"/>
      <c r="S47" s="71">
        <f t="shared" ref="S47:S76" si="12">R47+L47</f>
        <v>0</v>
      </c>
      <c r="T47" s="136">
        <f t="shared" ref="T47:T76" si="13">P47</f>
        <v>9</v>
      </c>
      <c r="U47" s="163">
        <f t="shared" ref="U47:U76" si="14">S47/T47</f>
        <v>0</v>
      </c>
    </row>
    <row r="48" spans="1:21" x14ac:dyDescent="0.25">
      <c r="I48" s="112">
        <v>0</v>
      </c>
      <c r="J48" s="114">
        <v>0</v>
      </c>
      <c r="K48" s="71"/>
      <c r="L48" s="71"/>
      <c r="M48" s="129">
        <v>3</v>
      </c>
      <c r="N48" s="71"/>
      <c r="O48" s="71">
        <f t="shared" si="10"/>
        <v>0</v>
      </c>
      <c r="P48" s="135">
        <v>9</v>
      </c>
      <c r="Q48" s="163">
        <f t="shared" si="11"/>
        <v>0</v>
      </c>
      <c r="R48" s="71"/>
      <c r="S48" s="71">
        <f t="shared" si="12"/>
        <v>0</v>
      </c>
      <c r="T48" s="136">
        <f t="shared" si="13"/>
        <v>9</v>
      </c>
      <c r="U48" s="163">
        <f t="shared" si="14"/>
        <v>0</v>
      </c>
    </row>
    <row r="49" spans="1:21" x14ac:dyDescent="0.25">
      <c r="I49" s="112">
        <v>0</v>
      </c>
      <c r="J49" s="114">
        <v>0</v>
      </c>
      <c r="K49" s="71"/>
      <c r="L49" s="71"/>
      <c r="M49" s="129">
        <v>3</v>
      </c>
      <c r="N49" s="71"/>
      <c r="O49" s="71">
        <f t="shared" si="10"/>
        <v>0</v>
      </c>
      <c r="P49" s="135">
        <v>9</v>
      </c>
      <c r="Q49" s="163">
        <f t="shared" si="11"/>
        <v>0</v>
      </c>
      <c r="R49" s="71"/>
      <c r="S49" s="71">
        <f t="shared" si="12"/>
        <v>0</v>
      </c>
      <c r="T49" s="136">
        <f t="shared" si="13"/>
        <v>9</v>
      </c>
      <c r="U49" s="163">
        <f t="shared" si="14"/>
        <v>0</v>
      </c>
    </row>
    <row r="50" spans="1:21" x14ac:dyDescent="0.25">
      <c r="A50" s="31"/>
      <c r="I50" s="112">
        <v>0</v>
      </c>
      <c r="J50" s="114">
        <v>0</v>
      </c>
      <c r="K50" s="71"/>
      <c r="L50" s="71"/>
      <c r="M50" s="129">
        <v>3</v>
      </c>
      <c r="N50" s="71"/>
      <c r="O50" s="71">
        <f t="shared" si="10"/>
        <v>0</v>
      </c>
      <c r="P50" s="135">
        <v>9</v>
      </c>
      <c r="Q50" s="163">
        <f t="shared" si="11"/>
        <v>0</v>
      </c>
      <c r="R50" s="71"/>
      <c r="S50" s="71">
        <f t="shared" si="12"/>
        <v>0</v>
      </c>
      <c r="T50" s="136">
        <f t="shared" si="13"/>
        <v>9</v>
      </c>
      <c r="U50" s="163">
        <f t="shared" si="14"/>
        <v>0</v>
      </c>
    </row>
    <row r="51" spans="1:21" x14ac:dyDescent="0.25">
      <c r="A51" s="31"/>
      <c r="I51" s="112">
        <v>0</v>
      </c>
      <c r="J51" s="114">
        <v>0</v>
      </c>
      <c r="K51" s="71"/>
      <c r="L51" s="71"/>
      <c r="M51" s="129">
        <v>3</v>
      </c>
      <c r="N51" s="71"/>
      <c r="O51" s="71">
        <f t="shared" si="10"/>
        <v>0</v>
      </c>
      <c r="P51" s="135">
        <v>9</v>
      </c>
      <c r="Q51" s="163">
        <f t="shared" si="11"/>
        <v>0</v>
      </c>
      <c r="R51" s="71"/>
      <c r="S51" s="71">
        <f t="shared" si="12"/>
        <v>0</v>
      </c>
      <c r="T51" s="136">
        <f t="shared" si="13"/>
        <v>9</v>
      </c>
      <c r="U51" s="163">
        <f t="shared" si="14"/>
        <v>0</v>
      </c>
    </row>
    <row r="52" spans="1:21" x14ac:dyDescent="0.25">
      <c r="A52" s="31"/>
      <c r="I52" s="112">
        <v>0</v>
      </c>
      <c r="J52" s="114">
        <v>0</v>
      </c>
      <c r="K52" s="71"/>
      <c r="L52" s="71"/>
      <c r="M52" s="129">
        <v>3</v>
      </c>
      <c r="N52" s="137"/>
      <c r="O52" s="71">
        <f t="shared" si="10"/>
        <v>0</v>
      </c>
      <c r="P52" s="135">
        <v>9</v>
      </c>
      <c r="Q52" s="163">
        <f t="shared" si="11"/>
        <v>0</v>
      </c>
      <c r="R52" s="71"/>
      <c r="S52" s="71">
        <f t="shared" si="12"/>
        <v>0</v>
      </c>
      <c r="T52" s="136">
        <f t="shared" si="13"/>
        <v>9</v>
      </c>
      <c r="U52" s="163">
        <f t="shared" si="14"/>
        <v>0</v>
      </c>
    </row>
    <row r="53" spans="1:21" x14ac:dyDescent="0.25">
      <c r="I53" s="112">
        <v>0</v>
      </c>
      <c r="J53" s="114">
        <v>0</v>
      </c>
      <c r="K53" s="71"/>
      <c r="L53" s="71"/>
      <c r="M53" s="129">
        <v>3</v>
      </c>
      <c r="N53" s="71"/>
      <c r="O53" s="71">
        <f t="shared" si="10"/>
        <v>0</v>
      </c>
      <c r="P53" s="135">
        <v>9</v>
      </c>
      <c r="Q53" s="163">
        <f t="shared" si="11"/>
        <v>0</v>
      </c>
      <c r="R53" s="71"/>
      <c r="S53" s="71">
        <f t="shared" si="12"/>
        <v>0</v>
      </c>
      <c r="T53" s="136">
        <f t="shared" si="13"/>
        <v>9</v>
      </c>
      <c r="U53" s="163">
        <f t="shared" si="14"/>
        <v>0</v>
      </c>
    </row>
    <row r="54" spans="1:21" x14ac:dyDescent="0.25">
      <c r="I54" s="112">
        <v>0</v>
      </c>
      <c r="J54" s="114">
        <v>0</v>
      </c>
      <c r="K54" s="71"/>
      <c r="L54" s="71"/>
      <c r="M54" s="129">
        <v>3</v>
      </c>
      <c r="N54" s="71"/>
      <c r="O54" s="71">
        <f t="shared" si="10"/>
        <v>0</v>
      </c>
      <c r="P54" s="135">
        <v>9</v>
      </c>
      <c r="Q54" s="163">
        <f t="shared" si="11"/>
        <v>0</v>
      </c>
      <c r="R54" s="71"/>
      <c r="S54" s="71">
        <f t="shared" si="12"/>
        <v>0</v>
      </c>
      <c r="T54" s="136">
        <f t="shared" si="13"/>
        <v>9</v>
      </c>
      <c r="U54" s="163">
        <f t="shared" si="14"/>
        <v>0</v>
      </c>
    </row>
    <row r="55" spans="1:21" x14ac:dyDescent="0.25">
      <c r="I55" s="112">
        <v>0</v>
      </c>
      <c r="J55" s="114">
        <v>0</v>
      </c>
      <c r="K55" s="71"/>
      <c r="L55" s="71"/>
      <c r="M55" s="129">
        <v>3</v>
      </c>
      <c r="N55" s="71"/>
      <c r="O55" s="71">
        <f t="shared" si="10"/>
        <v>0</v>
      </c>
      <c r="P55" s="135">
        <v>9</v>
      </c>
      <c r="Q55" s="163">
        <f t="shared" si="11"/>
        <v>0</v>
      </c>
      <c r="R55" s="71"/>
      <c r="S55" s="71">
        <f t="shared" si="12"/>
        <v>0</v>
      </c>
      <c r="T55" s="136">
        <f t="shared" si="13"/>
        <v>9</v>
      </c>
      <c r="U55" s="163">
        <f t="shared" si="14"/>
        <v>0</v>
      </c>
    </row>
    <row r="56" spans="1:21" x14ac:dyDescent="0.25">
      <c r="I56" s="112">
        <v>0</v>
      </c>
      <c r="J56" s="114">
        <v>0</v>
      </c>
      <c r="K56" s="71"/>
      <c r="L56" s="71"/>
      <c r="M56" s="129">
        <v>3</v>
      </c>
      <c r="N56" s="71"/>
      <c r="O56" s="71">
        <f t="shared" si="10"/>
        <v>0</v>
      </c>
      <c r="P56" s="135">
        <v>9</v>
      </c>
      <c r="Q56" s="163">
        <f t="shared" si="11"/>
        <v>0</v>
      </c>
      <c r="R56" s="71"/>
      <c r="S56" s="71">
        <f t="shared" si="12"/>
        <v>0</v>
      </c>
      <c r="T56" s="136">
        <f t="shared" si="13"/>
        <v>9</v>
      </c>
      <c r="U56" s="163">
        <f t="shared" si="14"/>
        <v>0</v>
      </c>
    </row>
    <row r="57" spans="1:21" x14ac:dyDescent="0.25">
      <c r="A57" s="31"/>
      <c r="I57" s="112">
        <v>0</v>
      </c>
      <c r="J57" s="114">
        <v>0</v>
      </c>
      <c r="K57" s="71"/>
      <c r="L57" s="71"/>
      <c r="M57" s="129">
        <v>3</v>
      </c>
      <c r="N57" s="71"/>
      <c r="O57" s="71">
        <f t="shared" si="10"/>
        <v>0</v>
      </c>
      <c r="P57" s="135">
        <v>9</v>
      </c>
      <c r="Q57" s="163">
        <f t="shared" si="11"/>
        <v>0</v>
      </c>
      <c r="R57" s="71"/>
      <c r="S57" s="71">
        <f t="shared" si="12"/>
        <v>0</v>
      </c>
      <c r="T57" s="136">
        <f t="shared" si="13"/>
        <v>9</v>
      </c>
      <c r="U57" s="163">
        <f t="shared" si="14"/>
        <v>0</v>
      </c>
    </row>
    <row r="58" spans="1:21" x14ac:dyDescent="0.25">
      <c r="A58" s="31"/>
      <c r="I58" s="112">
        <v>0</v>
      </c>
      <c r="J58" s="114">
        <v>0</v>
      </c>
      <c r="K58" s="71"/>
      <c r="L58" s="71"/>
      <c r="M58" s="129">
        <v>3</v>
      </c>
      <c r="N58" s="137"/>
      <c r="O58" s="71">
        <f t="shared" si="10"/>
        <v>0</v>
      </c>
      <c r="P58" s="135">
        <v>9</v>
      </c>
      <c r="Q58" s="163">
        <f t="shared" si="11"/>
        <v>0</v>
      </c>
      <c r="R58" s="71"/>
      <c r="S58" s="71">
        <f t="shared" si="12"/>
        <v>0</v>
      </c>
      <c r="T58" s="136">
        <f t="shared" si="13"/>
        <v>9</v>
      </c>
      <c r="U58" s="163">
        <f t="shared" si="14"/>
        <v>0</v>
      </c>
    </row>
    <row r="59" spans="1:21" x14ac:dyDescent="0.25">
      <c r="A59" s="31"/>
      <c r="I59" s="112">
        <v>0</v>
      </c>
      <c r="J59" s="114">
        <v>0</v>
      </c>
      <c r="K59" s="71"/>
      <c r="L59" s="71"/>
      <c r="M59" s="129">
        <v>3</v>
      </c>
      <c r="N59" s="71"/>
      <c r="O59" s="71">
        <f t="shared" si="10"/>
        <v>0</v>
      </c>
      <c r="P59" s="135">
        <v>9</v>
      </c>
      <c r="Q59" s="163">
        <f t="shared" si="11"/>
        <v>0</v>
      </c>
      <c r="R59" s="71"/>
      <c r="S59" s="71">
        <f t="shared" si="12"/>
        <v>0</v>
      </c>
      <c r="T59" s="136">
        <f t="shared" si="13"/>
        <v>9</v>
      </c>
      <c r="U59" s="163">
        <f t="shared" si="14"/>
        <v>0</v>
      </c>
    </row>
    <row r="60" spans="1:21" x14ac:dyDescent="0.25">
      <c r="I60" s="112">
        <v>0</v>
      </c>
      <c r="J60" s="114">
        <v>0</v>
      </c>
      <c r="K60" s="71"/>
      <c r="L60" s="71"/>
      <c r="M60" s="129">
        <v>3</v>
      </c>
      <c r="N60" s="71"/>
      <c r="O60" s="71">
        <f t="shared" si="10"/>
        <v>0</v>
      </c>
      <c r="P60" s="135">
        <v>9</v>
      </c>
      <c r="Q60" s="163">
        <f t="shared" si="11"/>
        <v>0</v>
      </c>
      <c r="R60" s="71"/>
      <c r="S60" s="71">
        <f t="shared" si="12"/>
        <v>0</v>
      </c>
      <c r="T60" s="136">
        <f t="shared" si="13"/>
        <v>9</v>
      </c>
      <c r="U60" s="163">
        <f t="shared" si="14"/>
        <v>0</v>
      </c>
    </row>
    <row r="61" spans="1:21" x14ac:dyDescent="0.25">
      <c r="I61" s="112">
        <v>0</v>
      </c>
      <c r="J61" s="114">
        <v>0</v>
      </c>
      <c r="K61" s="71"/>
      <c r="L61" s="71"/>
      <c r="M61" s="129">
        <v>3</v>
      </c>
      <c r="N61" s="71"/>
      <c r="O61" s="71">
        <f t="shared" si="10"/>
        <v>0</v>
      </c>
      <c r="P61" s="135">
        <v>9</v>
      </c>
      <c r="Q61" s="163">
        <f t="shared" si="11"/>
        <v>0</v>
      </c>
      <c r="R61" s="71"/>
      <c r="S61" s="71">
        <f t="shared" si="12"/>
        <v>0</v>
      </c>
      <c r="T61" s="136">
        <f t="shared" si="13"/>
        <v>9</v>
      </c>
      <c r="U61" s="163">
        <f t="shared" si="14"/>
        <v>0</v>
      </c>
    </row>
    <row r="62" spans="1:21" x14ac:dyDescent="0.25">
      <c r="I62" s="112">
        <v>0</v>
      </c>
      <c r="J62" s="114">
        <v>0</v>
      </c>
      <c r="K62" s="71"/>
      <c r="L62" s="71"/>
      <c r="M62" s="129">
        <v>3</v>
      </c>
      <c r="N62" s="71"/>
      <c r="O62" s="71">
        <f t="shared" si="10"/>
        <v>0</v>
      </c>
      <c r="P62" s="135">
        <v>9</v>
      </c>
      <c r="Q62" s="163">
        <f t="shared" si="11"/>
        <v>0</v>
      </c>
      <c r="R62" s="71"/>
      <c r="S62" s="71">
        <f t="shared" si="12"/>
        <v>0</v>
      </c>
      <c r="T62" s="136">
        <f t="shared" si="13"/>
        <v>9</v>
      </c>
      <c r="U62" s="163">
        <f t="shared" si="14"/>
        <v>0</v>
      </c>
    </row>
    <row r="63" spans="1:21" x14ac:dyDescent="0.25">
      <c r="I63" s="112">
        <v>0</v>
      </c>
      <c r="J63" s="114">
        <v>0</v>
      </c>
      <c r="K63" s="71"/>
      <c r="L63" s="71"/>
      <c r="M63" s="129">
        <v>3</v>
      </c>
      <c r="N63" s="137"/>
      <c r="O63" s="71">
        <f t="shared" si="10"/>
        <v>0</v>
      </c>
      <c r="P63" s="135">
        <v>9</v>
      </c>
      <c r="Q63" s="163">
        <f t="shared" si="11"/>
        <v>0</v>
      </c>
      <c r="R63" s="71"/>
      <c r="S63" s="71">
        <f t="shared" si="12"/>
        <v>0</v>
      </c>
      <c r="T63" s="136">
        <f t="shared" si="13"/>
        <v>9</v>
      </c>
      <c r="U63" s="163">
        <f t="shared" si="14"/>
        <v>0</v>
      </c>
    </row>
    <row r="64" spans="1:21" x14ac:dyDescent="0.25">
      <c r="I64" s="112">
        <v>0</v>
      </c>
      <c r="J64" s="114">
        <v>0</v>
      </c>
      <c r="K64" s="71"/>
      <c r="L64" s="71"/>
      <c r="M64" s="129">
        <v>3</v>
      </c>
      <c r="N64" s="71"/>
      <c r="O64" s="71">
        <f t="shared" si="10"/>
        <v>0</v>
      </c>
      <c r="P64" s="135">
        <v>9</v>
      </c>
      <c r="Q64" s="163">
        <f t="shared" si="11"/>
        <v>0</v>
      </c>
      <c r="R64" s="71"/>
      <c r="S64" s="71">
        <f t="shared" si="12"/>
        <v>0</v>
      </c>
      <c r="T64" s="136">
        <f t="shared" si="13"/>
        <v>9</v>
      </c>
      <c r="U64" s="163">
        <f t="shared" si="14"/>
        <v>0</v>
      </c>
    </row>
    <row r="65" spans="9:21" x14ac:dyDescent="0.25">
      <c r="I65" s="112">
        <v>0</v>
      </c>
      <c r="J65" s="114">
        <v>0</v>
      </c>
      <c r="K65" s="71"/>
      <c r="L65" s="71"/>
      <c r="M65" s="129">
        <v>3</v>
      </c>
      <c r="N65" s="71"/>
      <c r="O65" s="71">
        <f t="shared" si="10"/>
        <v>0</v>
      </c>
      <c r="P65" s="135">
        <v>9</v>
      </c>
      <c r="Q65" s="163">
        <f t="shared" si="11"/>
        <v>0</v>
      </c>
      <c r="R65" s="71"/>
      <c r="S65" s="71">
        <f t="shared" si="12"/>
        <v>0</v>
      </c>
      <c r="T65" s="136">
        <f t="shared" si="13"/>
        <v>9</v>
      </c>
      <c r="U65" s="163">
        <f t="shared" si="14"/>
        <v>0</v>
      </c>
    </row>
    <row r="66" spans="9:21" x14ac:dyDescent="0.25">
      <c r="I66" s="112">
        <v>0</v>
      </c>
      <c r="J66" s="114">
        <v>0</v>
      </c>
      <c r="K66" s="71"/>
      <c r="L66" s="71"/>
      <c r="M66" s="129">
        <v>3</v>
      </c>
      <c r="N66" s="71"/>
      <c r="O66" s="71">
        <f t="shared" si="10"/>
        <v>0</v>
      </c>
      <c r="P66" s="135">
        <v>9</v>
      </c>
      <c r="Q66" s="163">
        <f t="shared" si="11"/>
        <v>0</v>
      </c>
      <c r="R66" s="71"/>
      <c r="S66" s="71">
        <f t="shared" si="12"/>
        <v>0</v>
      </c>
      <c r="T66" s="136">
        <f t="shared" si="13"/>
        <v>9</v>
      </c>
      <c r="U66" s="163">
        <f t="shared" si="14"/>
        <v>0</v>
      </c>
    </row>
    <row r="67" spans="9:21" x14ac:dyDescent="0.25">
      <c r="I67" s="112">
        <v>0</v>
      </c>
      <c r="J67" s="114">
        <v>0</v>
      </c>
      <c r="K67" s="71"/>
      <c r="L67" s="71"/>
      <c r="M67" s="129">
        <v>3</v>
      </c>
      <c r="N67" s="71"/>
      <c r="O67" s="71">
        <f t="shared" si="10"/>
        <v>0</v>
      </c>
      <c r="P67" s="135">
        <v>9</v>
      </c>
      <c r="Q67" s="163">
        <f t="shared" si="11"/>
        <v>0</v>
      </c>
      <c r="R67" s="71"/>
      <c r="S67" s="71">
        <f t="shared" si="12"/>
        <v>0</v>
      </c>
      <c r="T67" s="136">
        <f t="shared" si="13"/>
        <v>9</v>
      </c>
      <c r="U67" s="163">
        <f t="shared" si="14"/>
        <v>0</v>
      </c>
    </row>
    <row r="68" spans="9:21" x14ac:dyDescent="0.25">
      <c r="I68" s="112">
        <v>0</v>
      </c>
      <c r="J68" s="114">
        <v>0</v>
      </c>
      <c r="K68" s="71"/>
      <c r="L68" s="71"/>
      <c r="M68" s="129">
        <v>3</v>
      </c>
      <c r="N68" s="71"/>
      <c r="O68" s="71">
        <f t="shared" si="10"/>
        <v>0</v>
      </c>
      <c r="P68" s="135">
        <v>9</v>
      </c>
      <c r="Q68" s="163">
        <f t="shared" si="11"/>
        <v>0</v>
      </c>
      <c r="R68" s="71"/>
      <c r="S68" s="71">
        <f t="shared" si="12"/>
        <v>0</v>
      </c>
      <c r="T68" s="136">
        <f t="shared" si="13"/>
        <v>9</v>
      </c>
      <c r="U68" s="163">
        <f t="shared" si="14"/>
        <v>0</v>
      </c>
    </row>
    <row r="69" spans="9:21" x14ac:dyDescent="0.25">
      <c r="I69" s="112">
        <v>0</v>
      </c>
      <c r="J69" s="114">
        <v>0</v>
      </c>
      <c r="K69" s="71"/>
      <c r="L69" s="71"/>
      <c r="M69" s="129">
        <v>3</v>
      </c>
      <c r="N69" s="137"/>
      <c r="O69" s="71">
        <f t="shared" si="10"/>
        <v>0</v>
      </c>
      <c r="P69" s="135">
        <v>9</v>
      </c>
      <c r="Q69" s="163">
        <f t="shared" si="11"/>
        <v>0</v>
      </c>
      <c r="R69" s="71"/>
      <c r="S69" s="71">
        <f t="shared" si="12"/>
        <v>0</v>
      </c>
      <c r="T69" s="136">
        <f t="shared" si="13"/>
        <v>9</v>
      </c>
      <c r="U69" s="163">
        <f t="shared" si="14"/>
        <v>0</v>
      </c>
    </row>
    <row r="70" spans="9:21" x14ac:dyDescent="0.25">
      <c r="I70" s="112">
        <v>0</v>
      </c>
      <c r="J70" s="114">
        <v>0</v>
      </c>
      <c r="K70" s="71"/>
      <c r="L70" s="71"/>
      <c r="M70" s="129">
        <v>3</v>
      </c>
      <c r="N70" s="71"/>
      <c r="O70" s="71">
        <f t="shared" si="10"/>
        <v>0</v>
      </c>
      <c r="P70" s="135">
        <v>9</v>
      </c>
      <c r="Q70" s="163">
        <f t="shared" si="11"/>
        <v>0</v>
      </c>
      <c r="R70" s="71"/>
      <c r="S70" s="71">
        <f t="shared" si="12"/>
        <v>0</v>
      </c>
      <c r="T70" s="136">
        <f t="shared" si="13"/>
        <v>9</v>
      </c>
      <c r="U70" s="163">
        <f t="shared" si="14"/>
        <v>0</v>
      </c>
    </row>
    <row r="71" spans="9:21" x14ac:dyDescent="0.25">
      <c r="I71" s="112">
        <v>0</v>
      </c>
      <c r="J71" s="114">
        <v>0</v>
      </c>
      <c r="K71" s="71"/>
      <c r="L71" s="71"/>
      <c r="M71" s="129">
        <v>3</v>
      </c>
      <c r="N71" s="71"/>
      <c r="O71" s="71">
        <f t="shared" si="10"/>
        <v>0</v>
      </c>
      <c r="P71" s="135">
        <v>9</v>
      </c>
      <c r="Q71" s="163">
        <f t="shared" si="11"/>
        <v>0</v>
      </c>
      <c r="R71" s="71"/>
      <c r="S71" s="71">
        <f t="shared" si="12"/>
        <v>0</v>
      </c>
      <c r="T71" s="136">
        <f t="shared" si="13"/>
        <v>9</v>
      </c>
      <c r="U71" s="163">
        <f t="shared" si="14"/>
        <v>0</v>
      </c>
    </row>
    <row r="72" spans="9:21" x14ac:dyDescent="0.25">
      <c r="I72" s="112">
        <v>0</v>
      </c>
      <c r="J72" s="114">
        <v>0</v>
      </c>
      <c r="K72" s="71"/>
      <c r="L72" s="71"/>
      <c r="M72" s="129">
        <v>3</v>
      </c>
      <c r="N72" s="71"/>
      <c r="O72" s="71">
        <f t="shared" si="10"/>
        <v>0</v>
      </c>
      <c r="P72" s="135">
        <v>9</v>
      </c>
      <c r="Q72" s="163">
        <f t="shared" si="11"/>
        <v>0</v>
      </c>
      <c r="R72" s="71"/>
      <c r="S72" s="71">
        <f t="shared" si="12"/>
        <v>0</v>
      </c>
      <c r="T72" s="136">
        <f t="shared" si="13"/>
        <v>9</v>
      </c>
      <c r="U72" s="163">
        <f t="shared" si="14"/>
        <v>0</v>
      </c>
    </row>
    <row r="73" spans="9:21" x14ac:dyDescent="0.25">
      <c r="I73" s="112">
        <v>0</v>
      </c>
      <c r="J73" s="114">
        <v>0</v>
      </c>
      <c r="K73" s="71"/>
      <c r="L73" s="71"/>
      <c r="M73" s="129">
        <v>3</v>
      </c>
      <c r="N73" s="71"/>
      <c r="O73" s="71">
        <f t="shared" si="10"/>
        <v>0</v>
      </c>
      <c r="P73" s="135">
        <v>9</v>
      </c>
      <c r="Q73" s="163">
        <f t="shared" si="11"/>
        <v>0</v>
      </c>
      <c r="R73" s="71"/>
      <c r="S73" s="71">
        <f t="shared" si="12"/>
        <v>0</v>
      </c>
      <c r="T73" s="136">
        <f t="shared" si="13"/>
        <v>9</v>
      </c>
      <c r="U73" s="163">
        <f t="shared" si="14"/>
        <v>0</v>
      </c>
    </row>
    <row r="74" spans="9:21" x14ac:dyDescent="0.25">
      <c r="I74" s="112">
        <v>0</v>
      </c>
      <c r="J74" s="114">
        <v>0</v>
      </c>
      <c r="K74" s="71"/>
      <c r="L74" s="71"/>
      <c r="M74" s="129">
        <v>3</v>
      </c>
      <c r="N74" s="137"/>
      <c r="O74" s="71">
        <f t="shared" si="10"/>
        <v>0</v>
      </c>
      <c r="P74" s="135">
        <v>9</v>
      </c>
      <c r="Q74" s="163">
        <f t="shared" si="11"/>
        <v>0</v>
      </c>
      <c r="R74" s="71"/>
      <c r="S74" s="71">
        <f t="shared" si="12"/>
        <v>0</v>
      </c>
      <c r="T74" s="136">
        <f t="shared" si="13"/>
        <v>9</v>
      </c>
      <c r="U74" s="163">
        <f t="shared" si="14"/>
        <v>0</v>
      </c>
    </row>
    <row r="75" spans="9:21" x14ac:dyDescent="0.25">
      <c r="I75" s="112">
        <v>0</v>
      </c>
      <c r="J75" s="114">
        <v>0</v>
      </c>
      <c r="K75" s="71"/>
      <c r="L75" s="71"/>
      <c r="M75" s="129">
        <v>3</v>
      </c>
      <c r="N75" s="71"/>
      <c r="O75" s="71">
        <f t="shared" si="10"/>
        <v>0</v>
      </c>
      <c r="P75" s="135">
        <v>9</v>
      </c>
      <c r="Q75" s="163">
        <f t="shared" si="11"/>
        <v>0</v>
      </c>
      <c r="R75" s="71"/>
      <c r="S75" s="71">
        <f t="shared" si="12"/>
        <v>0</v>
      </c>
      <c r="T75" s="136">
        <f t="shared" si="13"/>
        <v>9</v>
      </c>
      <c r="U75" s="163">
        <f t="shared" si="14"/>
        <v>0</v>
      </c>
    </row>
    <row r="76" spans="9:21" x14ac:dyDescent="0.25">
      <c r="I76" s="112">
        <v>0</v>
      </c>
      <c r="J76" s="114">
        <v>0</v>
      </c>
      <c r="K76" s="71"/>
      <c r="L76" s="71"/>
      <c r="M76" s="129">
        <v>3</v>
      </c>
      <c r="N76" s="71"/>
      <c r="O76" s="71">
        <f t="shared" si="10"/>
        <v>0</v>
      </c>
      <c r="P76" s="135">
        <v>9</v>
      </c>
      <c r="Q76" s="163">
        <f t="shared" si="11"/>
        <v>0</v>
      </c>
      <c r="R76" s="71"/>
      <c r="S76" s="71">
        <f t="shared" si="12"/>
        <v>0</v>
      </c>
      <c r="T76" s="136">
        <f t="shared" si="13"/>
        <v>9</v>
      </c>
      <c r="U76" s="163">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1"/>
  <sheetViews>
    <sheetView zoomScaleNormal="100" workbookViewId="0">
      <selection activeCell="R14" sqref="R14"/>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8"/>
      <c r="D1" s="111"/>
      <c r="G1" s="66"/>
      <c r="H1" s="53"/>
      <c r="J1" s="66"/>
      <c r="K1" s="66"/>
      <c r="M1" s="139"/>
      <c r="T1" s="233"/>
      <c r="U1" s="233"/>
      <c r="V1" s="233"/>
      <c r="W1" s="140"/>
      <c r="X1" s="233" t="s">
        <v>170</v>
      </c>
      <c r="Y1" s="233"/>
      <c r="Z1" s="115">
        <f>T2+U2+V2+W2+X2+Y2+Z2</f>
        <v>47</v>
      </c>
      <c r="AA1" s="33">
        <f>Z1/16</f>
        <v>2.9375</v>
      </c>
      <c r="AC1" s="66"/>
      <c r="AD1" s="66"/>
      <c r="AE1" s="66"/>
      <c r="AF1" s="66"/>
      <c r="AG1" s="66"/>
      <c r="AH1" s="66"/>
      <c r="AI1" s="66"/>
      <c r="AJ1" s="66"/>
    </row>
    <row r="2" spans="1:36" x14ac:dyDescent="0.25">
      <c r="A2" s="141"/>
      <c r="B2" s="141"/>
      <c r="C2" s="142"/>
      <c r="D2" s="143">
        <f ca="1">TODAY()</f>
        <v>43091</v>
      </c>
      <c r="G2" s="66"/>
      <c r="H2" s="144"/>
      <c r="I2" s="144"/>
      <c r="J2" s="145"/>
      <c r="K2" s="145"/>
      <c r="L2" s="144"/>
      <c r="M2" s="146"/>
      <c r="N2" s="144"/>
      <c r="O2" s="144"/>
      <c r="P2" s="144"/>
      <c r="Q2" s="144"/>
      <c r="R2" s="144"/>
      <c r="S2" s="144"/>
      <c r="T2" s="149">
        <v>0</v>
      </c>
      <c r="U2" s="150">
        <v>0</v>
      </c>
      <c r="V2" s="150">
        <v>0</v>
      </c>
      <c r="W2" s="149">
        <v>29</v>
      </c>
      <c r="X2" s="151">
        <v>0</v>
      </c>
      <c r="Y2" s="151">
        <v>18</v>
      </c>
      <c r="Z2" s="151">
        <v>0</v>
      </c>
      <c r="AA2" s="147"/>
      <c r="AB2" s="148"/>
      <c r="AC2" s="148"/>
      <c r="AD2" s="148"/>
      <c r="AE2" s="148"/>
      <c r="AF2" s="148"/>
      <c r="AG2" s="148"/>
      <c r="AH2" s="148"/>
      <c r="AI2" s="148"/>
      <c r="AJ2" s="148"/>
    </row>
    <row r="3" spans="1:36" x14ac:dyDescent="0.25">
      <c r="A3" s="11" t="s">
        <v>1</v>
      </c>
      <c r="B3" s="11" t="s">
        <v>2</v>
      </c>
      <c r="C3" s="12" t="s">
        <v>186</v>
      </c>
      <c r="D3" s="13" t="s">
        <v>3</v>
      </c>
      <c r="E3" s="11" t="s">
        <v>4</v>
      </c>
      <c r="F3" s="11" t="s">
        <v>5</v>
      </c>
      <c r="G3" s="11" t="s">
        <v>6</v>
      </c>
      <c r="H3" s="11" t="s">
        <v>7</v>
      </c>
      <c r="I3" s="11" t="s">
        <v>8</v>
      </c>
      <c r="J3" s="11" t="s">
        <v>9</v>
      </c>
      <c r="K3" s="14" t="s">
        <v>192</v>
      </c>
      <c r="L3" s="14" t="s">
        <v>193</v>
      </c>
      <c r="M3" s="11" t="s">
        <v>15</v>
      </c>
      <c r="N3" s="11" t="s">
        <v>16</v>
      </c>
      <c r="O3" s="11" t="s">
        <v>17</v>
      </c>
      <c r="P3" s="11" t="s">
        <v>18</v>
      </c>
      <c r="Q3" s="11" t="s">
        <v>19</v>
      </c>
      <c r="R3" s="11" t="s">
        <v>20</v>
      </c>
      <c r="S3" s="11" t="s">
        <v>6</v>
      </c>
      <c r="T3" s="153" t="s">
        <v>15</v>
      </c>
      <c r="U3" s="153" t="s">
        <v>16</v>
      </c>
      <c r="V3" s="153" t="s">
        <v>17</v>
      </c>
      <c r="W3" s="153" t="s">
        <v>18</v>
      </c>
      <c r="X3" s="153" t="s">
        <v>19</v>
      </c>
      <c r="Y3" s="153" t="s">
        <v>20</v>
      </c>
      <c r="Z3" s="153" t="s">
        <v>6</v>
      </c>
      <c r="AA3" s="152" t="s">
        <v>4</v>
      </c>
      <c r="AB3" s="152" t="s">
        <v>5</v>
      </c>
      <c r="AC3" s="153" t="s">
        <v>8</v>
      </c>
      <c r="AD3" s="153" t="s">
        <v>15</v>
      </c>
      <c r="AE3" s="153" t="s">
        <v>16</v>
      </c>
      <c r="AF3" s="153" t="s">
        <v>17</v>
      </c>
      <c r="AG3" s="153" t="s">
        <v>18</v>
      </c>
      <c r="AH3" s="153" t="s">
        <v>19</v>
      </c>
      <c r="AI3" s="153" t="s">
        <v>20</v>
      </c>
      <c r="AJ3" s="153" t="s">
        <v>6</v>
      </c>
    </row>
    <row r="4" spans="1:36" ht="16.5" customHeight="1" x14ac:dyDescent="0.25">
      <c r="A4" s="16" t="str">
        <f>PLANTILLA!A4</f>
        <v>#28</v>
      </c>
      <c r="B4" s="16" t="str">
        <f>PLANTILLA!B4</f>
        <v>CEN</v>
      </c>
      <c r="C4" s="122">
        <f ca="1">PLANTILLA!C4</f>
        <v>15.535714285714286</v>
      </c>
      <c r="D4" s="29" t="str">
        <f>PLANTILLA!D4</f>
        <v>Marc Dolz</v>
      </c>
      <c r="E4" s="17">
        <f>PLANTILLA!E4</f>
        <v>17</v>
      </c>
      <c r="F4" s="18">
        <f ca="1">PLANTILLA!F4</f>
        <v>52</v>
      </c>
      <c r="G4" s="19" t="str">
        <f>PLANTILLA!G4</f>
        <v>POT</v>
      </c>
      <c r="H4" s="5">
        <f>PLANTILLA!H4</f>
        <v>3</v>
      </c>
      <c r="I4" s="28">
        <f>PLANTILLA!I4</f>
        <v>1</v>
      </c>
      <c r="J4" s="20">
        <f>PLANTILLA!O4</f>
        <v>5.2</v>
      </c>
      <c r="K4" s="7">
        <f t="shared" ref="K4" si="0">(H4)*(H4)*(I4)</f>
        <v>9</v>
      </c>
      <c r="L4" s="7">
        <f t="shared" ref="L4" si="1">(H4+1)*(H4+1)*I4</f>
        <v>16</v>
      </c>
      <c r="M4" s="22">
        <f>PLANTILLA!X4</f>
        <v>0</v>
      </c>
      <c r="N4" s="22">
        <f>PLANTILLA!Y4</f>
        <v>4</v>
      </c>
      <c r="O4" s="22">
        <f>PLANTILLA!Z4</f>
        <v>4</v>
      </c>
      <c r="P4" s="22">
        <f>PLANTILLA!AA4</f>
        <v>3</v>
      </c>
      <c r="Q4" s="22">
        <f>PLANTILLA!AB4</f>
        <v>4.2526666666666664</v>
      </c>
      <c r="R4" s="22">
        <f>PLANTILLA!AC4</f>
        <v>3.0666666666666669</v>
      </c>
      <c r="S4" s="22">
        <f>PLANTILLA!AD4</f>
        <v>0.4</v>
      </c>
      <c r="T4" s="156">
        <v>0</v>
      </c>
      <c r="U4" s="156">
        <v>0</v>
      </c>
      <c r="V4" s="156">
        <v>0</v>
      </c>
      <c r="W4" s="156">
        <v>0.13</v>
      </c>
      <c r="X4" s="156">
        <v>0</v>
      </c>
      <c r="Y4" s="156">
        <f t="shared" ref="Y4:Y17" si="2">0.17</f>
        <v>0.17</v>
      </c>
      <c r="Z4" s="156">
        <v>0</v>
      </c>
      <c r="AA4" s="154">
        <v>20</v>
      </c>
      <c r="AB4" s="155">
        <v>56</v>
      </c>
      <c r="AC4" s="26">
        <f t="shared" ref="AC4:AC17" si="3">I4+$AC$2</f>
        <v>1</v>
      </c>
      <c r="AD4" s="157">
        <f>M4</f>
        <v>0</v>
      </c>
      <c r="AE4" s="157">
        <f>N4</f>
        <v>4</v>
      </c>
      <c r="AF4" s="157">
        <f>O4</f>
        <v>4</v>
      </c>
      <c r="AG4" s="157">
        <v>5</v>
      </c>
      <c r="AH4" s="157">
        <f>Q4</f>
        <v>4.2526666666666664</v>
      </c>
      <c r="AI4" s="157">
        <f>4+4/17</f>
        <v>4.2352941176470589</v>
      </c>
      <c r="AJ4" s="157">
        <f>S4+(Z$2/7)</f>
        <v>0.4</v>
      </c>
    </row>
    <row r="5" spans="1:36" ht="16.5" customHeight="1" x14ac:dyDescent="0.25">
      <c r="A5" s="16" t="str">
        <f>PLANTILLA!A5</f>
        <v>#5</v>
      </c>
      <c r="B5" s="16" t="str">
        <f>PLANTILLA!B5</f>
        <v>LAT</v>
      </c>
      <c r="C5" s="122">
        <f ca="1">PLANTILLA!C5</f>
        <v>15.508928571428571</v>
      </c>
      <c r="D5" s="29" t="str">
        <f>PLANTILLA!D5</f>
        <v>Valeri Gomis</v>
      </c>
      <c r="E5" s="17">
        <f>PLANTILLA!E5</f>
        <v>17</v>
      </c>
      <c r="F5" s="18">
        <f ca="1">PLANTILLA!F5</f>
        <v>55</v>
      </c>
      <c r="G5" s="19" t="str">
        <f>PLANTILLA!G5</f>
        <v>IMP</v>
      </c>
      <c r="H5" s="5">
        <f>PLANTILLA!H5</f>
        <v>6</v>
      </c>
      <c r="I5" s="28">
        <f>PLANTILLA!I5</f>
        <v>1</v>
      </c>
      <c r="J5" s="20">
        <f>PLANTILLA!O5</f>
        <v>5.2</v>
      </c>
      <c r="K5" s="7">
        <f t="shared" ref="K5:K17" si="4">(H5)*(H5)*(I5)</f>
        <v>36</v>
      </c>
      <c r="L5" s="7">
        <f t="shared" ref="L5:L17" si="5">(H5+1)*(H5+1)*I5</f>
        <v>49</v>
      </c>
      <c r="M5" s="22">
        <f>PLANTILLA!X5</f>
        <v>0</v>
      </c>
      <c r="N5" s="22">
        <f>PLANTILLA!Y5</f>
        <v>6</v>
      </c>
      <c r="O5" s="22">
        <f>PLANTILLA!Z5</f>
        <v>3</v>
      </c>
      <c r="P5" s="22">
        <f>PLANTILLA!AA5</f>
        <v>3</v>
      </c>
      <c r="Q5" s="22">
        <f>PLANTILLA!AB5</f>
        <v>5.4</v>
      </c>
      <c r="R5" s="22">
        <f>PLANTILLA!AC5</f>
        <v>3.0033333333333334</v>
      </c>
      <c r="S5" s="22">
        <f>PLANTILLA!AD5</f>
        <v>3</v>
      </c>
      <c r="T5" s="156">
        <v>0</v>
      </c>
      <c r="U5" s="156">
        <v>0</v>
      </c>
      <c r="V5" s="156">
        <v>0</v>
      </c>
      <c r="W5" s="156">
        <v>1</v>
      </c>
      <c r="X5" s="156">
        <v>0</v>
      </c>
      <c r="Y5" s="156">
        <v>1</v>
      </c>
      <c r="Z5" s="156">
        <v>0</v>
      </c>
      <c r="AA5" s="154">
        <v>20</v>
      </c>
      <c r="AB5" s="155">
        <v>59</v>
      </c>
      <c r="AC5" s="26">
        <f t="shared" si="3"/>
        <v>1</v>
      </c>
      <c r="AD5" s="157">
        <f t="shared" ref="AD5:AD17" si="6">M5</f>
        <v>0</v>
      </c>
      <c r="AE5" s="157">
        <f t="shared" ref="AE5:AE17" si="7">N5</f>
        <v>6</v>
      </c>
      <c r="AF5" s="157">
        <f t="shared" ref="AF5:AF17" si="8">O5</f>
        <v>3</v>
      </c>
      <c r="AG5" s="157">
        <f>12+1/5</f>
        <v>12.2</v>
      </c>
      <c r="AH5" s="157">
        <f>Q5+(X$2/16)</f>
        <v>5.4</v>
      </c>
      <c r="AI5" s="157">
        <v>8</v>
      </c>
      <c r="AJ5" s="157">
        <f>S5+(Z$2/4)</f>
        <v>3</v>
      </c>
    </row>
    <row r="6" spans="1:36" ht="16.5" customHeight="1" x14ac:dyDescent="0.25">
      <c r="A6" s="16" t="str">
        <f>PLANTILLA!A6</f>
        <v>#6</v>
      </c>
      <c r="B6" s="16" t="str">
        <f>PLANTILLA!B6</f>
        <v>LAT</v>
      </c>
      <c r="C6" s="122">
        <f ca="1">PLANTILLA!C6</f>
        <v>15.419642857142858</v>
      </c>
      <c r="D6" s="29" t="str">
        <f>PLANTILLA!D6</f>
        <v>J. G. de Minaya</v>
      </c>
      <c r="E6" s="17">
        <f>PLANTILLA!E6</f>
        <v>17</v>
      </c>
      <c r="F6" s="18">
        <f ca="1">PLANTILLA!F6</f>
        <v>65</v>
      </c>
      <c r="G6" s="19" t="str">
        <f>PLANTILLA!G6</f>
        <v>TEC</v>
      </c>
      <c r="H6" s="5">
        <f>PLANTILLA!H6</f>
        <v>0</v>
      </c>
      <c r="I6" s="28">
        <f>PLANTILLA!I6</f>
        <v>1.2</v>
      </c>
      <c r="J6" s="20">
        <f>PLANTILLA!O6</f>
        <v>3.7</v>
      </c>
      <c r="K6" s="7">
        <f t="shared" si="4"/>
        <v>0</v>
      </c>
      <c r="L6" s="7">
        <f t="shared" si="5"/>
        <v>1.2</v>
      </c>
      <c r="M6" s="22">
        <f>PLANTILLA!X6</f>
        <v>0</v>
      </c>
      <c r="N6" s="22">
        <f>PLANTILLA!Y6</f>
        <v>6</v>
      </c>
      <c r="O6" s="22">
        <f>PLANTILLA!Z6</f>
        <v>5</v>
      </c>
      <c r="P6" s="22">
        <f>PLANTILLA!AA6</f>
        <v>6</v>
      </c>
      <c r="Q6" s="22">
        <f>PLANTILLA!AB6</f>
        <v>6</v>
      </c>
      <c r="R6" s="22">
        <f>PLANTILLA!AC6</f>
        <v>4.333333333333333</v>
      </c>
      <c r="S6" s="22">
        <f>PLANTILLA!AD6</f>
        <v>0</v>
      </c>
      <c r="T6" s="156">
        <v>0</v>
      </c>
      <c r="U6" s="156">
        <v>0</v>
      </c>
      <c r="V6" s="156">
        <v>0</v>
      </c>
      <c r="W6" s="156">
        <v>1</v>
      </c>
      <c r="X6" s="156">
        <v>0</v>
      </c>
      <c r="Y6" s="156">
        <v>1</v>
      </c>
      <c r="Z6" s="156">
        <v>0</v>
      </c>
      <c r="AA6" s="154">
        <v>20</v>
      </c>
      <c r="AB6" s="155">
        <v>69</v>
      </c>
      <c r="AC6" s="26">
        <f t="shared" si="3"/>
        <v>1.2</v>
      </c>
      <c r="AD6" s="157">
        <f t="shared" si="6"/>
        <v>0</v>
      </c>
      <c r="AE6" s="157">
        <f t="shared" si="7"/>
        <v>6</v>
      </c>
      <c r="AF6" s="157">
        <f t="shared" si="8"/>
        <v>5</v>
      </c>
      <c r="AG6" s="157">
        <f>13+1/6</f>
        <v>13.166666666666666</v>
      </c>
      <c r="AH6" s="157">
        <f>Q6+(X$2/7)</f>
        <v>6</v>
      </c>
      <c r="AI6" s="157">
        <v>9</v>
      </c>
      <c r="AJ6" s="157">
        <f>S6+(Z$2/3)</f>
        <v>0</v>
      </c>
    </row>
    <row r="7" spans="1:36" ht="16.5" customHeight="1" x14ac:dyDescent="0.25">
      <c r="A7" s="16" t="str">
        <f>PLANTILLA!A7</f>
        <v>#20</v>
      </c>
      <c r="B7" s="16" t="str">
        <f>PLANTILLA!B7</f>
        <v>LAT</v>
      </c>
      <c r="C7" s="122">
        <f ca="1">PLANTILLA!C7</f>
        <v>15.116071428571429</v>
      </c>
      <c r="D7" s="29" t="str">
        <f>PLANTILLA!D7</f>
        <v>Roberto Montero</v>
      </c>
      <c r="E7" s="17">
        <f>PLANTILLA!E7</f>
        <v>17</v>
      </c>
      <c r="F7" s="18">
        <f ca="1">PLANTILLA!F7</f>
        <v>99</v>
      </c>
      <c r="G7" s="19" t="str">
        <f>PLANTILLA!G7</f>
        <v>TEC</v>
      </c>
      <c r="H7" s="5">
        <f>PLANTILLA!H7</f>
        <v>2</v>
      </c>
      <c r="I7" s="28">
        <f>PLANTILLA!I7</f>
        <v>0.5</v>
      </c>
      <c r="J7" s="20">
        <f>PLANTILLA!O7</f>
        <v>6</v>
      </c>
      <c r="K7" s="7">
        <f t="shared" si="4"/>
        <v>2</v>
      </c>
      <c r="L7" s="7">
        <f t="shared" si="5"/>
        <v>4.5</v>
      </c>
      <c r="M7" s="22">
        <f>PLANTILLA!X7</f>
        <v>0</v>
      </c>
      <c r="N7" s="22">
        <f>PLANTILLA!Y7</f>
        <v>6</v>
      </c>
      <c r="O7" s="22">
        <f>PLANTILLA!Z7</f>
        <v>4</v>
      </c>
      <c r="P7" s="22">
        <f>PLANTILLA!AA7</f>
        <v>4</v>
      </c>
      <c r="Q7" s="22">
        <f>PLANTILLA!AB7</f>
        <v>3.3028</v>
      </c>
      <c r="R7" s="22">
        <f>PLANTILLA!AC7</f>
        <v>3.3333333333333335</v>
      </c>
      <c r="S7" s="22">
        <f>PLANTILLA!AD7</f>
        <v>6</v>
      </c>
      <c r="T7" s="156">
        <v>0</v>
      </c>
      <c r="U7" s="156">
        <v>0</v>
      </c>
      <c r="V7" s="156">
        <v>0</v>
      </c>
      <c r="W7" s="156">
        <v>0.13</v>
      </c>
      <c r="X7" s="156">
        <v>0</v>
      </c>
      <c r="Y7" s="156">
        <v>0.17</v>
      </c>
      <c r="Z7" s="156">
        <v>0</v>
      </c>
      <c r="AA7" s="154">
        <v>20</v>
      </c>
      <c r="AB7" s="155">
        <v>103</v>
      </c>
      <c r="AC7" s="26">
        <f t="shared" si="3"/>
        <v>0.5</v>
      </c>
      <c r="AD7" s="157">
        <f t="shared" si="6"/>
        <v>0</v>
      </c>
      <c r="AE7" s="157">
        <f t="shared" si="7"/>
        <v>6</v>
      </c>
      <c r="AF7" s="157">
        <f t="shared" si="8"/>
        <v>4</v>
      </c>
      <c r="AG7" s="157">
        <f>5+7/17</f>
        <v>5.4117647058823533</v>
      </c>
      <c r="AH7" s="157">
        <f>Q7+(X$2/6)</f>
        <v>3.3028</v>
      </c>
      <c r="AI7" s="157">
        <f>4+4/17</f>
        <v>4.2352941176470589</v>
      </c>
      <c r="AJ7" s="157">
        <f>S7+(Z$2/2.5)</f>
        <v>6</v>
      </c>
    </row>
    <row r="8" spans="1:36" ht="16.5" customHeight="1" x14ac:dyDescent="0.25">
      <c r="A8" s="16" t="str">
        <f>PLANTILLA!A8</f>
        <v>#23</v>
      </c>
      <c r="B8" s="16" t="str">
        <f>PLANTILLA!B8</f>
        <v>LAT</v>
      </c>
      <c r="C8" s="122">
        <f ca="1">PLANTILLA!C8</f>
        <v>15.544642857142858</v>
      </c>
      <c r="D8" s="29" t="str">
        <f>PLANTILLA!D8</f>
        <v>Eckardt Hägerling</v>
      </c>
      <c r="E8" s="17">
        <f>PLANTILLA!E8</f>
        <v>17</v>
      </c>
      <c r="F8" s="18">
        <f ca="1">PLANTILLA!F8</f>
        <v>51</v>
      </c>
      <c r="G8" s="19" t="str">
        <f>PLANTILLA!G8</f>
        <v>IMP</v>
      </c>
      <c r="H8" s="5">
        <f>PLANTILLA!H8</f>
        <v>3</v>
      </c>
      <c r="I8" s="28">
        <f>PLANTILLA!I8</f>
        <v>1</v>
      </c>
      <c r="J8" s="20">
        <f>PLANTILLA!O8</f>
        <v>6</v>
      </c>
      <c r="K8" s="7">
        <f t="shared" si="4"/>
        <v>9</v>
      </c>
      <c r="L8" s="7">
        <f t="shared" si="5"/>
        <v>16</v>
      </c>
      <c r="M8" s="22">
        <f>PLANTILLA!X8</f>
        <v>0</v>
      </c>
      <c r="N8" s="22">
        <f>PLANTILLA!Y8</f>
        <v>5</v>
      </c>
      <c r="O8" s="22">
        <f>PLANTILLA!Z8</f>
        <v>3</v>
      </c>
      <c r="P8" s="22">
        <f>PLANTILLA!AA8</f>
        <v>4</v>
      </c>
      <c r="Q8" s="22">
        <f>PLANTILLA!AB8</f>
        <v>2.4356</v>
      </c>
      <c r="R8" s="22">
        <f>PLANTILLA!AC8</f>
        <v>3.0666666666666669</v>
      </c>
      <c r="S8" s="22">
        <f>PLANTILLA!AD8</f>
        <v>3</v>
      </c>
      <c r="T8" s="156">
        <v>0</v>
      </c>
      <c r="U8" s="156">
        <v>0</v>
      </c>
      <c r="V8" s="156">
        <v>0</v>
      </c>
      <c r="W8" s="156">
        <v>0.13</v>
      </c>
      <c r="X8" s="156">
        <v>0</v>
      </c>
      <c r="Y8" s="156">
        <f t="shared" si="2"/>
        <v>0.17</v>
      </c>
      <c r="Z8" s="156">
        <v>0</v>
      </c>
      <c r="AA8" s="154">
        <v>20</v>
      </c>
      <c r="AB8" s="155">
        <v>55</v>
      </c>
      <c r="AC8" s="26">
        <f t="shared" si="3"/>
        <v>1</v>
      </c>
      <c r="AD8" s="157">
        <f t="shared" si="6"/>
        <v>0</v>
      </c>
      <c r="AE8" s="157">
        <f t="shared" si="7"/>
        <v>5</v>
      </c>
      <c r="AF8" s="157">
        <f t="shared" si="8"/>
        <v>3</v>
      </c>
      <c r="AG8" s="157">
        <f>5+14/18</f>
        <v>5.7777777777777777</v>
      </c>
      <c r="AH8" s="157">
        <f>Q8+(X$2/14)</f>
        <v>2.4356</v>
      </c>
      <c r="AI8" s="157">
        <f>4+4/17</f>
        <v>4.2352941176470589</v>
      </c>
      <c r="AJ8" s="157">
        <f>S8+(Z$2/1)</f>
        <v>3</v>
      </c>
    </row>
    <row r="9" spans="1:36" ht="16.5" customHeight="1" x14ac:dyDescent="0.25">
      <c r="A9" s="16" t="str">
        <f>PLANTILLA!A9</f>
        <v>#21</v>
      </c>
      <c r="B9" s="16" t="str">
        <f>PLANTILLA!B9</f>
        <v>MED</v>
      </c>
      <c r="C9" s="122">
        <f ca="1">PLANTILLA!C9</f>
        <v>15.178571428571429</v>
      </c>
      <c r="D9" s="29" t="str">
        <f>PLANTILLA!D9</f>
        <v>Fernando Gazón</v>
      </c>
      <c r="E9" s="17">
        <f>PLANTILLA!E9</f>
        <v>17</v>
      </c>
      <c r="F9" s="18">
        <f ca="1">PLANTILLA!F9</f>
        <v>92</v>
      </c>
      <c r="G9" s="19" t="str">
        <f>PLANTILLA!G9</f>
        <v>IMP</v>
      </c>
      <c r="H9" s="5">
        <f>PLANTILLA!H9</f>
        <v>3</v>
      </c>
      <c r="I9" s="28">
        <f>PLANTILLA!I9</f>
        <v>0.5</v>
      </c>
      <c r="J9" s="20">
        <f>PLANTILLA!O9</f>
        <v>6</v>
      </c>
      <c r="K9" s="7">
        <f t="shared" si="4"/>
        <v>4.5</v>
      </c>
      <c r="L9" s="7">
        <f t="shared" si="5"/>
        <v>8</v>
      </c>
      <c r="M9" s="22">
        <f>PLANTILLA!X9</f>
        <v>0</v>
      </c>
      <c r="N9" s="22">
        <f>PLANTILLA!Y9</f>
        <v>3</v>
      </c>
      <c r="O9" s="22">
        <f>PLANTILLA!Z9</f>
        <v>6</v>
      </c>
      <c r="P9" s="22">
        <f>PLANTILLA!AA9</f>
        <v>3</v>
      </c>
      <c r="Q9" s="22">
        <f>PLANTILLA!AB9</f>
        <v>4</v>
      </c>
      <c r="R9" s="22">
        <f>PLANTILLA!AC9</f>
        <v>4.333333333333333</v>
      </c>
      <c r="S9" s="22">
        <f>PLANTILLA!AD9</f>
        <v>3</v>
      </c>
      <c r="T9" s="156">
        <v>0</v>
      </c>
      <c r="U9" s="156">
        <v>0</v>
      </c>
      <c r="V9" s="156">
        <v>0</v>
      </c>
      <c r="W9" s="156">
        <v>0.5</v>
      </c>
      <c r="X9" s="156">
        <v>0</v>
      </c>
      <c r="Y9" s="156">
        <v>1</v>
      </c>
      <c r="Z9" s="156">
        <v>0</v>
      </c>
      <c r="AA9" s="154">
        <v>20</v>
      </c>
      <c r="AB9" s="155">
        <v>96</v>
      </c>
      <c r="AC9" s="26">
        <f t="shared" si="3"/>
        <v>0.5</v>
      </c>
      <c r="AD9" s="157">
        <f t="shared" si="6"/>
        <v>0</v>
      </c>
      <c r="AE9" s="157">
        <f t="shared" si="7"/>
        <v>3</v>
      </c>
      <c r="AF9" s="157">
        <f t="shared" si="8"/>
        <v>6</v>
      </c>
      <c r="AG9" s="157">
        <v>9</v>
      </c>
      <c r="AH9" s="157">
        <f>Q9+(X$2/5)</f>
        <v>4</v>
      </c>
      <c r="AI9" s="157">
        <v>9</v>
      </c>
      <c r="AJ9" s="157">
        <f>S9+(Z$2/1)</f>
        <v>3</v>
      </c>
    </row>
    <row r="10" spans="1:36" ht="16.5" customHeight="1" x14ac:dyDescent="0.25">
      <c r="A10" s="16" t="str">
        <f>PLANTILLA!A10</f>
        <v>#26</v>
      </c>
      <c r="B10" s="16" t="str">
        <f>PLANTILLA!B10</f>
        <v>MED</v>
      </c>
      <c r="C10" s="122">
        <f ca="1">PLANTILLA!C10</f>
        <v>15.285714285714286</v>
      </c>
      <c r="D10" s="29" t="str">
        <f>PLANTILLA!D10</f>
        <v>Roberto Abenoza</v>
      </c>
      <c r="E10" s="17">
        <f>PLANTILLA!E10</f>
        <v>17</v>
      </c>
      <c r="F10" s="18">
        <f ca="1">PLANTILLA!F10</f>
        <v>80</v>
      </c>
      <c r="G10" s="19" t="str">
        <f>PLANTILLA!G10</f>
        <v>CAB</v>
      </c>
      <c r="H10" s="5">
        <f>PLANTILLA!H10</f>
        <v>4</v>
      </c>
      <c r="I10" s="28">
        <f>PLANTILLA!I10</f>
        <v>0.5</v>
      </c>
      <c r="J10" s="20">
        <f>PLANTILLA!O10</f>
        <v>6</v>
      </c>
      <c r="K10" s="7">
        <f t="shared" si="4"/>
        <v>8</v>
      </c>
      <c r="L10" s="7">
        <f t="shared" si="5"/>
        <v>12.5</v>
      </c>
      <c r="M10" s="22">
        <f>PLANTILLA!X10</f>
        <v>0</v>
      </c>
      <c r="N10" s="22">
        <f>PLANTILLA!Y10</f>
        <v>2</v>
      </c>
      <c r="O10" s="22">
        <f>PLANTILLA!Z10</f>
        <v>5</v>
      </c>
      <c r="P10" s="22">
        <f>PLANTILLA!AA10</f>
        <v>3</v>
      </c>
      <c r="Q10" s="22">
        <f>PLANTILLA!AB10</f>
        <v>2.1583999999999999</v>
      </c>
      <c r="R10" s="22">
        <f>PLANTILLA!AC10</f>
        <v>5.05</v>
      </c>
      <c r="S10" s="22">
        <f>PLANTILLA!AD10</f>
        <v>5</v>
      </c>
      <c r="T10" s="156">
        <v>0</v>
      </c>
      <c r="U10" s="156">
        <v>0</v>
      </c>
      <c r="V10" s="156">
        <v>0</v>
      </c>
      <c r="W10" s="156">
        <v>0.13</v>
      </c>
      <c r="X10" s="156">
        <v>0</v>
      </c>
      <c r="Y10" s="156">
        <f t="shared" si="2"/>
        <v>0.17</v>
      </c>
      <c r="Z10" s="156">
        <v>0</v>
      </c>
      <c r="AA10" s="154">
        <v>20</v>
      </c>
      <c r="AB10" s="155">
        <v>84</v>
      </c>
      <c r="AC10" s="26">
        <f t="shared" si="3"/>
        <v>0.5</v>
      </c>
      <c r="AD10" s="157">
        <f t="shared" si="6"/>
        <v>0</v>
      </c>
      <c r="AE10" s="157">
        <f t="shared" si="7"/>
        <v>2</v>
      </c>
      <c r="AF10" s="157">
        <f t="shared" si="8"/>
        <v>5</v>
      </c>
      <c r="AG10" s="157">
        <f>5</f>
        <v>5</v>
      </c>
      <c r="AH10" s="157">
        <f>Q10+(X$2/16)</f>
        <v>2.1583999999999999</v>
      </c>
      <c r="AI10" s="157">
        <f>5+18/19</f>
        <v>5.9473684210526319</v>
      </c>
      <c r="AJ10" s="157">
        <f>S10+(Z$2/5)</f>
        <v>5</v>
      </c>
    </row>
    <row r="11" spans="1:36" ht="16.5" customHeight="1" x14ac:dyDescent="0.25">
      <c r="A11" s="16" t="str">
        <f>PLANTILLA!A11</f>
        <v>#29</v>
      </c>
      <c r="B11" s="16" t="str">
        <f>PLANTILLA!B11</f>
        <v>MED</v>
      </c>
      <c r="C11" s="122">
        <f ca="1">PLANTILLA!C11</f>
        <v>15.553571428571429</v>
      </c>
      <c r="D11" s="29" t="str">
        <f>PLANTILLA!D11</f>
        <v>Julio Calle</v>
      </c>
      <c r="E11" s="17">
        <f>PLANTILLA!E11</f>
        <v>17</v>
      </c>
      <c r="F11" s="18">
        <f ca="1">PLANTILLA!F11</f>
        <v>50</v>
      </c>
      <c r="G11" s="19" t="str">
        <f>PLANTILLA!G11</f>
        <v>POT</v>
      </c>
      <c r="H11" s="5">
        <f>PLANTILLA!H11</f>
        <v>3</v>
      </c>
      <c r="I11" s="28">
        <f>PLANTILLA!I11</f>
        <v>0.5</v>
      </c>
      <c r="J11" s="20">
        <f>PLANTILLA!O11</f>
        <v>5</v>
      </c>
      <c r="K11" s="7">
        <f t="shared" si="4"/>
        <v>4.5</v>
      </c>
      <c r="L11" s="7">
        <f t="shared" si="5"/>
        <v>8</v>
      </c>
      <c r="M11" s="22">
        <f>PLANTILLA!X11</f>
        <v>0</v>
      </c>
      <c r="N11" s="22">
        <f>PLANTILLA!Y11</f>
        <v>3</v>
      </c>
      <c r="O11" s="22">
        <f>PLANTILLA!Z11</f>
        <v>4</v>
      </c>
      <c r="P11" s="22">
        <f>PLANTILLA!AA11</f>
        <v>4</v>
      </c>
      <c r="Q11" s="22">
        <f>PLANTILLA!AB11</f>
        <v>3.0151111111111111</v>
      </c>
      <c r="R11" s="22">
        <f>PLANTILLA!AC11</f>
        <v>4.0588235294117645</v>
      </c>
      <c r="S11" s="22">
        <f>PLANTILLA!AD11</f>
        <v>1.3</v>
      </c>
      <c r="T11" s="156">
        <v>0</v>
      </c>
      <c r="U11" s="156">
        <v>0</v>
      </c>
      <c r="V11" s="156">
        <v>0</v>
      </c>
      <c r="W11" s="156">
        <v>0.13</v>
      </c>
      <c r="X11" s="156">
        <v>0</v>
      </c>
      <c r="Y11" s="156">
        <f t="shared" si="2"/>
        <v>0.17</v>
      </c>
      <c r="Z11" s="156">
        <v>0</v>
      </c>
      <c r="AA11" s="154">
        <v>20</v>
      </c>
      <c r="AB11" s="155">
        <v>54</v>
      </c>
      <c r="AC11" s="26">
        <f t="shared" si="3"/>
        <v>0.5</v>
      </c>
      <c r="AD11" s="157">
        <f t="shared" si="6"/>
        <v>0</v>
      </c>
      <c r="AE11" s="157">
        <f t="shared" si="7"/>
        <v>3</v>
      </c>
      <c r="AF11" s="157">
        <f t="shared" si="8"/>
        <v>4</v>
      </c>
      <c r="AG11" s="157">
        <f>5+14/18</f>
        <v>5.7777777777777777</v>
      </c>
      <c r="AH11" s="157">
        <f>Q11+(X$2/9)</f>
        <v>3.0151111111111111</v>
      </c>
      <c r="AI11" s="157">
        <f>5+2/20</f>
        <v>5.0999999999999996</v>
      </c>
      <c r="AJ11" s="157">
        <f>S11+(Z$2/3)</f>
        <v>1.3</v>
      </c>
    </row>
    <row r="12" spans="1:36" ht="16.5" customHeight="1" x14ac:dyDescent="0.25">
      <c r="A12" s="16" t="str">
        <f>PLANTILLA!A12</f>
        <v>#8</v>
      </c>
      <c r="B12" s="16" t="str">
        <f>PLANTILLA!B12</f>
        <v>EXT</v>
      </c>
      <c r="C12" s="122">
        <f ca="1">PLANTILLA!C12</f>
        <v>15.544642857142858</v>
      </c>
      <c r="D12" s="29" t="str">
        <f>PLANTILLA!D12</f>
        <v>Enrique Cubas</v>
      </c>
      <c r="E12" s="17">
        <f>PLANTILLA!E12</f>
        <v>17</v>
      </c>
      <c r="F12" s="18">
        <f ca="1">PLANTILLA!F12</f>
        <v>51</v>
      </c>
      <c r="G12" s="19" t="str">
        <f>PLANTILLA!G12</f>
        <v>RAP</v>
      </c>
      <c r="H12" s="5">
        <f>PLANTILLA!H12</f>
        <v>1</v>
      </c>
      <c r="I12" s="28">
        <f>PLANTILLA!I12</f>
        <v>1</v>
      </c>
      <c r="J12" s="20">
        <f>PLANTILLA!O12</f>
        <v>6</v>
      </c>
      <c r="K12" s="7">
        <f t="shared" si="4"/>
        <v>1</v>
      </c>
      <c r="L12" s="7">
        <f t="shared" si="5"/>
        <v>4</v>
      </c>
      <c r="M12" s="22">
        <f>PLANTILLA!X12</f>
        <v>0</v>
      </c>
      <c r="N12" s="22">
        <f>PLANTILLA!Y12</f>
        <v>2</v>
      </c>
      <c r="O12" s="22">
        <f>PLANTILLA!Z12</f>
        <v>5.7</v>
      </c>
      <c r="P12" s="22">
        <f>PLANTILLA!AA12</f>
        <v>5.5</v>
      </c>
      <c r="Q12" s="22">
        <f>PLANTILLA!AB12</f>
        <v>5.5</v>
      </c>
      <c r="R12" s="22">
        <f>PLANTILLA!AC12</f>
        <v>3.3333333333333335</v>
      </c>
      <c r="S12" s="22">
        <f>PLANTILLA!AD12</f>
        <v>5</v>
      </c>
      <c r="T12" s="156">
        <v>0</v>
      </c>
      <c r="U12" s="156">
        <v>0</v>
      </c>
      <c r="V12" s="156">
        <v>0</v>
      </c>
      <c r="W12" s="156">
        <v>1</v>
      </c>
      <c r="X12" s="156">
        <v>0</v>
      </c>
      <c r="Y12" s="156">
        <v>1</v>
      </c>
      <c r="Z12" s="156">
        <v>0</v>
      </c>
      <c r="AA12" s="154">
        <v>20</v>
      </c>
      <c r="AB12" s="155">
        <v>55</v>
      </c>
      <c r="AC12" s="26">
        <f t="shared" si="3"/>
        <v>1</v>
      </c>
      <c r="AD12" s="157">
        <f t="shared" si="6"/>
        <v>0</v>
      </c>
      <c r="AE12" s="157">
        <f t="shared" si="7"/>
        <v>2</v>
      </c>
      <c r="AF12" s="157">
        <f t="shared" si="8"/>
        <v>5.7</v>
      </c>
      <c r="AG12" s="157">
        <f>12+5/6</f>
        <v>12.833333333333334</v>
      </c>
      <c r="AH12" s="157">
        <f>Q12+(X$2/6)</f>
        <v>5.5</v>
      </c>
      <c r="AI12" s="157">
        <f>8+2/4</f>
        <v>8.5</v>
      </c>
      <c r="AJ12" s="157">
        <f>S12+(Z$2/2.5)</f>
        <v>5</v>
      </c>
    </row>
    <row r="13" spans="1:36" ht="16.5" customHeight="1" x14ac:dyDescent="0.25">
      <c r="A13" s="16" t="str">
        <f>PLANTILLA!A13</f>
        <v>#11</v>
      </c>
      <c r="B13" s="16" t="str">
        <f>PLANTILLA!B13</f>
        <v>EXT</v>
      </c>
      <c r="C13" s="122">
        <f ca="1">PLANTILLA!C13</f>
        <v>15.544642857142858</v>
      </c>
      <c r="D13" s="29" t="str">
        <f>PLANTILLA!D13</f>
        <v>J. G. Peñuela</v>
      </c>
      <c r="E13" s="17">
        <f>PLANTILLA!E13</f>
        <v>17</v>
      </c>
      <c r="F13" s="18">
        <f ca="1">PLANTILLA!F13</f>
        <v>51</v>
      </c>
      <c r="G13" s="19" t="str">
        <f>PLANTILLA!G13</f>
        <v>IMP</v>
      </c>
      <c r="H13" s="5">
        <f>PLANTILLA!H13</f>
        <v>6</v>
      </c>
      <c r="I13" s="28">
        <f>PLANTILLA!I13</f>
        <v>0.5</v>
      </c>
      <c r="J13" s="20">
        <f>PLANTILLA!O13</f>
        <v>5.0999999999999996</v>
      </c>
      <c r="K13" s="7">
        <f t="shared" si="4"/>
        <v>18</v>
      </c>
      <c r="L13" s="7">
        <f t="shared" si="5"/>
        <v>24.5</v>
      </c>
      <c r="M13" s="22">
        <f>PLANTILLA!X13</f>
        <v>0</v>
      </c>
      <c r="N13" s="22">
        <f>PLANTILLA!Y13</f>
        <v>3</v>
      </c>
      <c r="O13" s="22">
        <f>PLANTILLA!Z13</f>
        <v>5</v>
      </c>
      <c r="P13" s="22">
        <f>PLANTILLA!AA13</f>
        <v>4</v>
      </c>
      <c r="Q13" s="22">
        <f>PLANTILLA!AB13</f>
        <v>4.25</v>
      </c>
      <c r="R13" s="22">
        <f>PLANTILLA!AC13</f>
        <v>4.003333333333333</v>
      </c>
      <c r="S13" s="22">
        <f>PLANTILLA!AD13</f>
        <v>3</v>
      </c>
      <c r="T13" s="156">
        <v>0</v>
      </c>
      <c r="U13" s="156">
        <v>0</v>
      </c>
      <c r="V13" s="156">
        <v>0</v>
      </c>
      <c r="W13" s="156">
        <v>1</v>
      </c>
      <c r="X13" s="156">
        <v>0</v>
      </c>
      <c r="Y13" s="156">
        <v>1</v>
      </c>
      <c r="Z13" s="156">
        <v>0</v>
      </c>
      <c r="AA13" s="154">
        <v>20</v>
      </c>
      <c r="AB13" s="155">
        <v>55</v>
      </c>
      <c r="AC13" s="26">
        <f t="shared" si="3"/>
        <v>0.5</v>
      </c>
      <c r="AD13" s="157">
        <f t="shared" si="6"/>
        <v>0</v>
      </c>
      <c r="AE13" s="157">
        <f t="shared" si="7"/>
        <v>3</v>
      </c>
      <c r="AF13" s="157">
        <f t="shared" si="8"/>
        <v>5</v>
      </c>
      <c r="AG13" s="157">
        <f>12+3/6</f>
        <v>12.5</v>
      </c>
      <c r="AH13" s="157">
        <f>Q13+(X$2/16)</f>
        <v>4.25</v>
      </c>
      <c r="AI13" s="157">
        <f>8+2/4</f>
        <v>8.5</v>
      </c>
      <c r="AJ13" s="157">
        <f>S13+(Z$2/2)</f>
        <v>3</v>
      </c>
    </row>
    <row r="14" spans="1:36" ht="16.5" customHeight="1" x14ac:dyDescent="0.25">
      <c r="A14" s="16" t="str">
        <f>PLANTILLA!A14</f>
        <v>#24</v>
      </c>
      <c r="B14" s="16" t="str">
        <f>PLANTILLA!B14</f>
        <v>EXT</v>
      </c>
      <c r="C14" s="122">
        <f ca="1">PLANTILLA!C14</f>
        <v>15.473214285714286</v>
      </c>
      <c r="D14" s="29" t="str">
        <f>PLANTILLA!D14</f>
        <v>Paulo Beltrán</v>
      </c>
      <c r="E14" s="17">
        <f>PLANTILLA!E14</f>
        <v>17</v>
      </c>
      <c r="F14" s="18">
        <f ca="1">PLANTILLA!F14</f>
        <v>59</v>
      </c>
      <c r="G14" s="19" t="str">
        <f>PLANTILLA!G14</f>
        <v>RAP</v>
      </c>
      <c r="H14" s="5">
        <f>PLANTILLA!H14</f>
        <v>3</v>
      </c>
      <c r="I14" s="28">
        <f>PLANTILLA!I14</f>
        <v>1</v>
      </c>
      <c r="J14" s="20">
        <f>PLANTILLA!O14</f>
        <v>6</v>
      </c>
      <c r="K14" s="7">
        <f t="shared" si="4"/>
        <v>9</v>
      </c>
      <c r="L14" s="7">
        <f t="shared" si="5"/>
        <v>16</v>
      </c>
      <c r="M14" s="22">
        <f>PLANTILLA!X14</f>
        <v>0</v>
      </c>
      <c r="N14" s="22">
        <f>PLANTILLA!Y14</f>
        <v>4</v>
      </c>
      <c r="O14" s="22">
        <f>PLANTILLA!Z14</f>
        <v>2</v>
      </c>
      <c r="P14" s="22">
        <f>PLANTILLA!AA14</f>
        <v>5</v>
      </c>
      <c r="Q14" s="22">
        <f>PLANTILLA!AB14</f>
        <v>4</v>
      </c>
      <c r="R14" s="22">
        <f>PLANTILLA!AC14</f>
        <v>4.0588235294117645</v>
      </c>
      <c r="S14" s="22">
        <f>PLANTILLA!AD14</f>
        <v>4</v>
      </c>
      <c r="T14" s="156">
        <v>0</v>
      </c>
      <c r="U14" s="156">
        <v>0</v>
      </c>
      <c r="V14" s="156">
        <v>0</v>
      </c>
      <c r="W14" s="156">
        <v>0.13</v>
      </c>
      <c r="X14" s="156">
        <v>0</v>
      </c>
      <c r="Y14" s="156">
        <f t="shared" si="2"/>
        <v>0.17</v>
      </c>
      <c r="Z14" s="156">
        <v>0</v>
      </c>
      <c r="AA14" s="154">
        <v>20</v>
      </c>
      <c r="AB14" s="155">
        <v>63</v>
      </c>
      <c r="AC14" s="26">
        <f t="shared" si="3"/>
        <v>1</v>
      </c>
      <c r="AD14" s="157">
        <f t="shared" si="6"/>
        <v>0</v>
      </c>
      <c r="AE14" s="157">
        <f t="shared" si="7"/>
        <v>4</v>
      </c>
      <c r="AF14" s="157">
        <f t="shared" si="8"/>
        <v>2</v>
      </c>
      <c r="AG14" s="157">
        <f>6+11/20</f>
        <v>6.55</v>
      </c>
      <c r="AH14" s="157">
        <f>Q14+(X$2/12)</f>
        <v>4</v>
      </c>
      <c r="AI14" s="157">
        <f>5+2/20</f>
        <v>5.0999999999999996</v>
      </c>
      <c r="AJ14" s="157">
        <f>S14+(Z$2/2)</f>
        <v>4</v>
      </c>
    </row>
    <row r="15" spans="1:36" ht="16.5" customHeight="1" x14ac:dyDescent="0.25">
      <c r="A15" s="16" t="str">
        <f>PLANTILLA!A15</f>
        <v>#22</v>
      </c>
      <c r="B15" s="16" t="str">
        <f>PLANTILLA!B15</f>
        <v>DAV</v>
      </c>
      <c r="C15" s="122">
        <f ca="1">PLANTILLA!C15</f>
        <v>15.5625</v>
      </c>
      <c r="D15" s="29" t="str">
        <f>PLANTILLA!D15</f>
        <v>Santiago Serra</v>
      </c>
      <c r="E15" s="17">
        <f>PLANTILLA!E15</f>
        <v>17</v>
      </c>
      <c r="F15" s="18">
        <f ca="1">PLANTILLA!F15</f>
        <v>49</v>
      </c>
      <c r="G15" s="19" t="str">
        <f>PLANTILLA!G15</f>
        <v>CAB</v>
      </c>
      <c r="H15" s="5">
        <f>PLANTILLA!H15</f>
        <v>4</v>
      </c>
      <c r="I15" s="28">
        <f>PLANTILLA!I15</f>
        <v>1</v>
      </c>
      <c r="J15" s="20">
        <f>PLANTILLA!O15</f>
        <v>6</v>
      </c>
      <c r="K15" s="7">
        <f t="shared" si="4"/>
        <v>16</v>
      </c>
      <c r="L15" s="7">
        <f t="shared" si="5"/>
        <v>25</v>
      </c>
      <c r="M15" s="22">
        <f>PLANTILLA!X15</f>
        <v>1</v>
      </c>
      <c r="N15" s="22">
        <f>PLANTILLA!Y15</f>
        <v>4</v>
      </c>
      <c r="O15" s="22">
        <f>PLANTILLA!Z15</f>
        <v>2</v>
      </c>
      <c r="P15" s="22">
        <f>PLANTILLA!AA15</f>
        <v>3</v>
      </c>
      <c r="Q15" s="22">
        <f>PLANTILLA!AB15</f>
        <v>4.5</v>
      </c>
      <c r="R15" s="22">
        <f>PLANTILLA!AC15</f>
        <v>5.05</v>
      </c>
      <c r="S15" s="22">
        <f>PLANTILLA!AD15</f>
        <v>6</v>
      </c>
      <c r="T15" s="156">
        <v>0</v>
      </c>
      <c r="U15" s="156">
        <v>0</v>
      </c>
      <c r="V15" s="156">
        <v>0</v>
      </c>
      <c r="W15" s="156">
        <v>0.5</v>
      </c>
      <c r="X15" s="156">
        <v>0</v>
      </c>
      <c r="Y15" s="156">
        <f t="shared" si="2"/>
        <v>0.17</v>
      </c>
      <c r="Z15" s="156">
        <v>0</v>
      </c>
      <c r="AA15" s="154">
        <v>20</v>
      </c>
      <c r="AB15" s="155">
        <v>53</v>
      </c>
      <c r="AC15" s="26">
        <f t="shared" si="3"/>
        <v>1</v>
      </c>
      <c r="AD15" s="157">
        <f t="shared" si="6"/>
        <v>1</v>
      </c>
      <c r="AE15" s="157">
        <f t="shared" si="7"/>
        <v>4</v>
      </c>
      <c r="AF15" s="157">
        <f t="shared" si="8"/>
        <v>2</v>
      </c>
      <c r="AG15" s="157">
        <f>5</f>
        <v>5</v>
      </c>
      <c r="AH15" s="157">
        <f>Q15+(X$2/13)</f>
        <v>4.5</v>
      </c>
      <c r="AI15" s="157">
        <f>5+19/20</f>
        <v>5.95</v>
      </c>
      <c r="AJ15" s="157">
        <f>S15+(Z$2/3)</f>
        <v>6</v>
      </c>
    </row>
    <row r="16" spans="1:36" ht="16.5" customHeight="1" x14ac:dyDescent="0.25">
      <c r="A16" s="16" t="str">
        <f>PLANTILLA!A16</f>
        <v>#25</v>
      </c>
      <c r="B16" s="16" t="str">
        <f>PLANTILLA!B16</f>
        <v>DAV</v>
      </c>
      <c r="C16" s="122">
        <f ca="1">PLANTILLA!C16</f>
        <v>15.178571428571429</v>
      </c>
      <c r="D16" s="29" t="str">
        <f>PLANTILLA!D16</f>
        <v>Nicolás Eans</v>
      </c>
      <c r="E16" s="17">
        <f>PLANTILLA!E16</f>
        <v>17</v>
      </c>
      <c r="F16" s="18">
        <f ca="1">PLANTILLA!F16</f>
        <v>92</v>
      </c>
      <c r="G16" s="19" t="str">
        <f>PLANTILLA!G16</f>
        <v>TEC</v>
      </c>
      <c r="H16" s="5">
        <f>PLANTILLA!H16</f>
        <v>3</v>
      </c>
      <c r="I16" s="28">
        <f>PLANTILLA!I16</f>
        <v>0.5</v>
      </c>
      <c r="J16" s="20">
        <f>PLANTILLA!O16</f>
        <v>6</v>
      </c>
      <c r="K16" s="7">
        <f t="shared" si="4"/>
        <v>4.5</v>
      </c>
      <c r="L16" s="7">
        <f t="shared" si="5"/>
        <v>8</v>
      </c>
      <c r="M16" s="22">
        <f>PLANTILLA!X16</f>
        <v>0</v>
      </c>
      <c r="N16" s="22">
        <f>PLANTILLA!Y16</f>
        <v>5</v>
      </c>
      <c r="O16" s="22">
        <f>PLANTILLA!Z16</f>
        <v>2</v>
      </c>
      <c r="P16" s="22">
        <f>PLANTILLA!AA16</f>
        <v>3</v>
      </c>
      <c r="Q16" s="22">
        <f>PLANTILLA!AB16</f>
        <v>4.75</v>
      </c>
      <c r="R16" s="22">
        <f>PLANTILLA!AC16</f>
        <v>6.0434782608695654</v>
      </c>
      <c r="S16" s="22">
        <f>PLANTILLA!AD16</f>
        <v>3</v>
      </c>
      <c r="T16" s="156">
        <v>0</v>
      </c>
      <c r="U16" s="156">
        <v>0</v>
      </c>
      <c r="V16" s="156">
        <v>0</v>
      </c>
      <c r="W16" s="156">
        <v>0.5</v>
      </c>
      <c r="X16" s="156">
        <v>0</v>
      </c>
      <c r="Y16" s="156">
        <f t="shared" si="2"/>
        <v>0.17</v>
      </c>
      <c r="Z16" s="156">
        <v>0</v>
      </c>
      <c r="AA16" s="154">
        <v>20</v>
      </c>
      <c r="AB16" s="155">
        <v>96</v>
      </c>
      <c r="AC16" s="26">
        <f t="shared" si="3"/>
        <v>0.5</v>
      </c>
      <c r="AD16" s="157">
        <f t="shared" si="6"/>
        <v>0</v>
      </c>
      <c r="AE16" s="157">
        <f t="shared" si="7"/>
        <v>5</v>
      </c>
      <c r="AF16" s="157">
        <f t="shared" si="8"/>
        <v>2</v>
      </c>
      <c r="AG16" s="157">
        <f>5</f>
        <v>5</v>
      </c>
      <c r="AH16" s="157">
        <f>Q16+(X$2/13)</f>
        <v>4.75</v>
      </c>
      <c r="AI16" s="157">
        <f>6+19/23</f>
        <v>6.8260869565217392</v>
      </c>
      <c r="AJ16" s="157">
        <f>S16+(Z$2/3)</f>
        <v>3</v>
      </c>
    </row>
    <row r="17" spans="1:36" ht="16.5" customHeight="1" x14ac:dyDescent="0.25">
      <c r="A17" s="16" t="str">
        <f>PLANTILLA!A17</f>
        <v>#27</v>
      </c>
      <c r="B17" s="16" t="str">
        <f>PLANTILLA!B17</f>
        <v>DAV</v>
      </c>
      <c r="C17" s="122">
        <f ca="1">PLANTILLA!C17</f>
        <v>15.571428571428571</v>
      </c>
      <c r="D17" s="29" t="str">
        <f>PLANTILLA!D17</f>
        <v>Noel Fuster</v>
      </c>
      <c r="E17" s="17">
        <f>PLANTILLA!E17</f>
        <v>17</v>
      </c>
      <c r="F17" s="18">
        <f ca="1">PLANTILLA!F17</f>
        <v>48</v>
      </c>
      <c r="G17" s="19" t="str">
        <f>PLANTILLA!G17</f>
        <v>IMP</v>
      </c>
      <c r="H17" s="5">
        <f>PLANTILLA!H17</f>
        <v>4</v>
      </c>
      <c r="I17" s="28">
        <f>PLANTILLA!I17</f>
        <v>0.5</v>
      </c>
      <c r="J17" s="20">
        <f>PLANTILLA!O17</f>
        <v>5.5</v>
      </c>
      <c r="K17" s="7">
        <f t="shared" si="4"/>
        <v>8</v>
      </c>
      <c r="L17" s="7">
        <f t="shared" si="5"/>
        <v>12.5</v>
      </c>
      <c r="M17" s="22">
        <f>PLANTILLA!X17</f>
        <v>0</v>
      </c>
      <c r="N17" s="22">
        <f>PLANTILLA!Y17</f>
        <v>4</v>
      </c>
      <c r="O17" s="22">
        <f>PLANTILLA!Z17</f>
        <v>2</v>
      </c>
      <c r="P17" s="22">
        <f>PLANTILLA!AA17</f>
        <v>2</v>
      </c>
      <c r="Q17" s="22">
        <f>PLANTILLA!AB17</f>
        <v>3.0496666666666665</v>
      </c>
      <c r="R17" s="22">
        <f>PLANTILLA!AC17</f>
        <v>5.05</v>
      </c>
      <c r="S17" s="22">
        <f>PLANTILLA!AD17</f>
        <v>2.5</v>
      </c>
      <c r="T17" s="156">
        <v>0</v>
      </c>
      <c r="U17" s="156">
        <v>0</v>
      </c>
      <c r="V17" s="156">
        <v>0</v>
      </c>
      <c r="W17" s="156">
        <v>0.13</v>
      </c>
      <c r="X17" s="156">
        <v>0</v>
      </c>
      <c r="Y17" s="156">
        <f t="shared" si="2"/>
        <v>0.17</v>
      </c>
      <c r="Z17" s="156">
        <v>0</v>
      </c>
      <c r="AA17" s="154">
        <v>20</v>
      </c>
      <c r="AB17" s="155">
        <v>52</v>
      </c>
      <c r="AC17" s="26">
        <f t="shared" si="3"/>
        <v>0.5</v>
      </c>
      <c r="AD17" s="157">
        <f t="shared" si="6"/>
        <v>0</v>
      </c>
      <c r="AE17" s="157">
        <f t="shared" si="7"/>
        <v>4</v>
      </c>
      <c r="AF17" s="157">
        <f t="shared" si="8"/>
        <v>2</v>
      </c>
      <c r="AG17" s="157">
        <f>4+4/15</f>
        <v>4.2666666666666666</v>
      </c>
      <c r="AH17" s="157">
        <f>Q17+(X$2/13)</f>
        <v>3.0496666666666665</v>
      </c>
      <c r="AI17" s="157">
        <f>5+19/20</f>
        <v>5.95</v>
      </c>
      <c r="AJ17" s="157">
        <f>S17+(Z$2/3)</f>
        <v>2.5</v>
      </c>
    </row>
    <row r="18" spans="1:36" ht="16.5" customHeight="1" x14ac:dyDescent="0.25">
      <c r="A18" s="16" t="str">
        <f>PLANTILLA!A18</f>
        <v>#9</v>
      </c>
      <c r="B18" s="16" t="str">
        <f>PLANTILLA!B18</f>
        <v>DAV</v>
      </c>
      <c r="C18" s="122">
        <f ca="1">PLANTILLA!C18</f>
        <v>15.892857142857142</v>
      </c>
      <c r="D18" s="29" t="str">
        <f>PLANTILLA!D18</f>
        <v>Casildo Abraldes</v>
      </c>
      <c r="E18" s="17">
        <f>PLANTILLA!E18</f>
        <v>17</v>
      </c>
      <c r="F18" s="18">
        <f ca="1">PLANTILLA!F18</f>
        <v>12</v>
      </c>
      <c r="G18" s="19"/>
      <c r="H18" s="5">
        <f>PLANTILLA!H18</f>
        <v>0</v>
      </c>
      <c r="I18" s="28">
        <f>PLANTILLA!I18</f>
        <v>1</v>
      </c>
      <c r="J18" s="20">
        <f>PLANTILLA!O18</f>
        <v>3.5</v>
      </c>
      <c r="K18" s="7">
        <f t="shared" ref="K18" si="9">(H18)*(H18)*(I18)</f>
        <v>0</v>
      </c>
      <c r="L18" s="7">
        <f t="shared" ref="L18" si="10">(H18+1)*(H18+1)*I18</f>
        <v>1</v>
      </c>
      <c r="M18" s="22">
        <f>PLANTILLA!X18</f>
        <v>0</v>
      </c>
      <c r="N18" s="22">
        <f>PLANTILLA!Y18</f>
        <v>3</v>
      </c>
      <c r="O18" s="22">
        <f>PLANTILLA!Z18</f>
        <v>2</v>
      </c>
      <c r="P18" s="22">
        <f>PLANTILLA!AA18</f>
        <v>5</v>
      </c>
      <c r="Q18" s="22">
        <f>PLANTILLA!AB18</f>
        <v>5</v>
      </c>
      <c r="R18" s="22">
        <f>PLANTILLA!AC18</f>
        <v>6</v>
      </c>
      <c r="S18" s="22">
        <f>PLANTILLA!AD18</f>
        <v>4</v>
      </c>
      <c r="T18" s="156">
        <v>0</v>
      </c>
      <c r="U18" s="156">
        <v>0</v>
      </c>
      <c r="V18" s="156">
        <v>0</v>
      </c>
      <c r="W18" s="156">
        <v>0.5</v>
      </c>
      <c r="X18" s="156">
        <v>0</v>
      </c>
      <c r="Y18" s="156">
        <v>1</v>
      </c>
      <c r="Z18" s="156">
        <v>0</v>
      </c>
      <c r="AA18" s="154">
        <v>20</v>
      </c>
      <c r="AB18" s="155">
        <v>53</v>
      </c>
      <c r="AC18" s="26">
        <f t="shared" ref="AC18" si="11">I18+$AC$2</f>
        <v>1</v>
      </c>
      <c r="AD18" s="157">
        <f t="shared" ref="AD18" si="12">M18</f>
        <v>0</v>
      </c>
      <c r="AE18" s="157">
        <f t="shared" ref="AE18" si="13">N18</f>
        <v>3</v>
      </c>
      <c r="AF18" s="157">
        <f t="shared" ref="AF18" si="14">O18</f>
        <v>2</v>
      </c>
      <c r="AG18" s="157">
        <v>10</v>
      </c>
      <c r="AH18" s="157">
        <f>Q18+(X$2/13)</f>
        <v>5</v>
      </c>
      <c r="AI18" s="157">
        <v>10</v>
      </c>
      <c r="AJ18" s="157">
        <f>S18+(Z$2/3)</f>
        <v>4</v>
      </c>
    </row>
    <row r="19" spans="1:36" ht="16.5" customHeight="1" x14ac:dyDescent="0.25">
      <c r="A19" s="16" t="str">
        <f>PLANTILLA!A19</f>
        <v>#91</v>
      </c>
      <c r="B19" s="16" t="str">
        <f>PLANTILLA!B19</f>
        <v>DEF</v>
      </c>
      <c r="C19" s="122">
        <f ca="1">PLANTILLA!C19</f>
        <v>0.7678571428571429</v>
      </c>
      <c r="D19" s="29" t="str">
        <f>PLANTILLA!D19</f>
        <v>Mario Omarini</v>
      </c>
      <c r="E19" s="222"/>
      <c r="F19" s="222"/>
      <c r="G19" s="222"/>
      <c r="H19" s="222"/>
      <c r="I19" s="222"/>
      <c r="J19" s="222"/>
      <c r="K19" s="222"/>
      <c r="L19" s="222"/>
      <c r="M19" s="222"/>
      <c r="N19" s="222"/>
      <c r="O19" s="222"/>
      <c r="P19" s="222"/>
      <c r="Q19" s="222"/>
      <c r="R19" s="222"/>
      <c r="S19" s="222"/>
      <c r="T19" s="222"/>
      <c r="U19" s="222"/>
      <c r="V19" s="222"/>
      <c r="W19" s="222"/>
      <c r="X19" s="222"/>
      <c r="Y19" s="222"/>
      <c r="Z19" s="222"/>
      <c r="AA19" s="222"/>
      <c r="AB19" s="222"/>
      <c r="AC19" s="222"/>
      <c r="AD19" s="66"/>
      <c r="AE19" s="66"/>
      <c r="AF19" s="66"/>
      <c r="AG19" s="66"/>
      <c r="AH19" s="66"/>
      <c r="AI19" s="66"/>
      <c r="AJ19" s="66"/>
    </row>
    <row r="20" spans="1:36" ht="16.5" customHeight="1" x14ac:dyDescent="0.25">
      <c r="A20" s="16" t="str">
        <f>PLANTILLA!A20</f>
        <v>#92</v>
      </c>
      <c r="B20" s="16" t="str">
        <f>PLANTILLA!B20</f>
        <v>DEF</v>
      </c>
      <c r="C20" s="122">
        <f ca="1">PLANTILLA!C20</f>
        <v>1.4642857142857142</v>
      </c>
      <c r="D20" s="29" t="str">
        <f>PLANTILLA!D20</f>
        <v>Mateuz Brzostowski</v>
      </c>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66"/>
      <c r="AE20" s="66"/>
      <c r="AF20" s="66"/>
      <c r="AG20" s="66"/>
      <c r="AH20" s="66"/>
      <c r="AI20" s="66"/>
      <c r="AJ20" s="66"/>
    </row>
    <row r="21" spans="1:36" ht="16.5" customHeight="1" x14ac:dyDescent="0.25">
      <c r="A21" s="16" t="str">
        <f>PLANTILLA!A21</f>
        <v>#95</v>
      </c>
      <c r="B21" s="16" t="str">
        <f>PLANTILLA!B21</f>
        <v>EXT</v>
      </c>
      <c r="C21" s="122">
        <f ca="1">PLANTILLA!C21</f>
        <v>-0.21428571428571427</v>
      </c>
      <c r="D21" s="29" t="str">
        <f>PLANTILLA!D21</f>
        <v>Morgan Thomas</v>
      </c>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66"/>
      <c r="AE21" s="66"/>
      <c r="AF21" s="66"/>
      <c r="AG21" s="66"/>
      <c r="AH21" s="66"/>
      <c r="AI21" s="66"/>
      <c r="AJ21" s="66"/>
    </row>
    <row r="22" spans="1:36" ht="16.5" customHeight="1" x14ac:dyDescent="0.25">
      <c r="A22" s="16" t="str">
        <f>PLANTILLA!A22</f>
        <v>#98</v>
      </c>
      <c r="B22" s="16" t="str">
        <f>PLANTILLA!B22</f>
        <v>DAV</v>
      </c>
      <c r="C22" s="122">
        <f ca="1">PLANTILLA!C22</f>
        <v>3.1339285714285716</v>
      </c>
      <c r="D22" s="29" t="str">
        <f>PLANTILLA!D22</f>
        <v>Rasheed Da'na</v>
      </c>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66"/>
      <c r="AE22" s="66"/>
      <c r="AF22" s="66"/>
      <c r="AG22" s="66"/>
      <c r="AH22" s="66"/>
      <c r="AI22" s="66"/>
      <c r="AJ22" s="66"/>
    </row>
    <row r="23" spans="1:36" ht="16.5" customHeight="1" x14ac:dyDescent="0.25">
      <c r="A23" s="16">
        <f>PLANTILLA!A23</f>
        <v>0</v>
      </c>
      <c r="B23" s="16">
        <f>PLANTILLA!B23</f>
        <v>0</v>
      </c>
      <c r="C23" s="122">
        <f>PLANTILLA!C23</f>
        <v>0</v>
      </c>
      <c r="D23" s="29" t="str">
        <f>PLANTILLA!D23</f>
        <v>A. Ilisie</v>
      </c>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66"/>
      <c r="AE23" s="66"/>
      <c r="AF23" s="66"/>
      <c r="AG23" s="66"/>
      <c r="AH23" s="66"/>
      <c r="AI23" s="66"/>
      <c r="AJ23" s="66"/>
    </row>
    <row r="24" spans="1:36" x14ac:dyDescent="0.25">
      <c r="C24" s="138"/>
      <c r="D24" s="111"/>
      <c r="G24" s="66"/>
      <c r="H24" s="53"/>
      <c r="J24" s="66"/>
      <c r="K24" s="66"/>
      <c r="M24" s="139"/>
      <c r="T24" s="66"/>
      <c r="U24" s="66"/>
      <c r="V24" s="66"/>
      <c r="W24" s="66"/>
      <c r="X24" s="66"/>
      <c r="Y24" s="66"/>
      <c r="Z24" s="66"/>
      <c r="AA24" s="66"/>
      <c r="AB24" s="66"/>
      <c r="AC24" s="66"/>
      <c r="AD24" s="47"/>
      <c r="AE24" s="47"/>
      <c r="AF24" s="47"/>
      <c r="AG24" s="47"/>
      <c r="AH24" s="47"/>
      <c r="AI24" s="47"/>
      <c r="AJ24" s="47"/>
    </row>
    <row r="25" spans="1:36" x14ac:dyDescent="0.25">
      <c r="C25" s="138"/>
      <c r="D25" s="111"/>
      <c r="G25" s="66"/>
      <c r="H25" s="53"/>
      <c r="J25" s="66"/>
      <c r="K25" s="66"/>
      <c r="M25" s="139"/>
      <c r="T25" s="66"/>
      <c r="U25" s="66"/>
      <c r="V25" s="66"/>
      <c r="W25" s="66"/>
      <c r="X25" s="66"/>
      <c r="Y25" s="66"/>
      <c r="Z25" s="66"/>
      <c r="AA25" s="66"/>
      <c r="AB25" s="66"/>
      <c r="AC25" s="66"/>
      <c r="AD25" s="47"/>
      <c r="AE25" s="47"/>
      <c r="AF25" s="47"/>
      <c r="AG25" s="47"/>
      <c r="AH25" s="47"/>
      <c r="AI25" s="47"/>
      <c r="AJ25" s="47"/>
    </row>
    <row r="26" spans="1:36" x14ac:dyDescent="0.25">
      <c r="C26" s="138"/>
      <c r="D26" s="111"/>
      <c r="G26" s="66"/>
      <c r="H26" s="53"/>
      <c r="J26" s="66"/>
      <c r="K26" s="66"/>
      <c r="M26" s="139"/>
      <c r="T26" s="66"/>
      <c r="U26" s="66"/>
      <c r="V26" s="66"/>
      <c r="W26" s="66"/>
      <c r="X26" s="66"/>
      <c r="Y26" s="66"/>
      <c r="Z26" s="66"/>
      <c r="AA26" s="66"/>
      <c r="AB26" s="66"/>
      <c r="AC26" s="66"/>
      <c r="AD26" s="47"/>
      <c r="AE26" s="47"/>
      <c r="AF26" s="47"/>
      <c r="AG26" s="47"/>
      <c r="AH26" s="47"/>
      <c r="AI26" s="47"/>
      <c r="AJ26" s="47"/>
    </row>
    <row r="27" spans="1:36" x14ac:dyDescent="0.25">
      <c r="C27" s="138"/>
      <c r="D27" s="111"/>
      <c r="G27" s="66"/>
      <c r="H27" s="53"/>
      <c r="J27" s="66"/>
      <c r="K27" s="66"/>
      <c r="M27" s="139"/>
      <c r="T27" s="66"/>
      <c r="U27" s="66"/>
      <c r="V27" s="66"/>
      <c r="W27" s="66"/>
      <c r="X27" s="66"/>
      <c r="Y27" s="66"/>
      <c r="Z27" s="66"/>
      <c r="AA27" s="66"/>
      <c r="AB27" s="66"/>
      <c r="AC27" s="66"/>
      <c r="AD27" s="47"/>
      <c r="AE27" s="47"/>
      <c r="AF27" s="47"/>
      <c r="AG27" s="47"/>
      <c r="AH27" s="47"/>
      <c r="AI27" s="47"/>
      <c r="AJ27" s="47"/>
    </row>
    <row r="28" spans="1:36" x14ac:dyDescent="0.25">
      <c r="C28" s="138"/>
      <c r="D28" s="111"/>
      <c r="G28" s="66"/>
      <c r="H28" s="53"/>
      <c r="J28" s="66"/>
      <c r="K28" s="66"/>
      <c r="M28" s="139"/>
      <c r="T28" s="66"/>
      <c r="U28" s="66"/>
      <c r="V28" s="66"/>
      <c r="W28" s="66"/>
      <c r="X28" s="66"/>
      <c r="Y28" s="66"/>
      <c r="Z28" s="66"/>
      <c r="AA28" s="66"/>
      <c r="AB28" s="66"/>
      <c r="AC28" s="66"/>
      <c r="AD28" s="47"/>
      <c r="AE28" s="47"/>
      <c r="AF28" s="47"/>
      <c r="AG28" s="47"/>
      <c r="AH28" s="47"/>
      <c r="AI28" s="47"/>
      <c r="AJ28" s="47"/>
    </row>
    <row r="29" spans="1:36" x14ac:dyDescent="0.25">
      <c r="C29" s="138"/>
      <c r="D29" s="111"/>
      <c r="G29" s="66"/>
      <c r="H29" s="53"/>
      <c r="J29" s="66"/>
      <c r="K29" s="66"/>
      <c r="M29" s="139"/>
      <c r="T29" s="66"/>
      <c r="U29" s="66"/>
      <c r="V29" s="66"/>
      <c r="W29" s="66"/>
      <c r="X29" s="66"/>
      <c r="Y29" s="66"/>
      <c r="Z29" s="66"/>
      <c r="AA29" s="66"/>
      <c r="AB29" s="66"/>
      <c r="AC29" s="66"/>
      <c r="AD29" s="47"/>
      <c r="AE29" s="47"/>
      <c r="AF29" s="47"/>
      <c r="AG29" s="47"/>
      <c r="AH29" s="47"/>
      <c r="AI29" s="47"/>
      <c r="AJ29" s="47"/>
    </row>
    <row r="30" spans="1:36" x14ac:dyDescent="0.25">
      <c r="C30" s="138"/>
      <c r="D30" s="111"/>
      <c r="G30" s="66"/>
      <c r="H30" s="53"/>
      <c r="J30" s="66"/>
      <c r="K30" s="66"/>
      <c r="M30" s="139"/>
      <c r="T30" s="66"/>
      <c r="U30" s="66"/>
      <c r="V30" s="66"/>
      <c r="W30" s="66"/>
      <c r="X30" s="66"/>
      <c r="Y30" s="66"/>
      <c r="Z30" s="66"/>
      <c r="AA30" s="66"/>
      <c r="AB30" s="66"/>
      <c r="AC30" s="66"/>
      <c r="AD30" s="66"/>
      <c r="AE30" s="66"/>
      <c r="AF30" s="66"/>
      <c r="AG30" s="66"/>
      <c r="AH30" s="66"/>
      <c r="AI30" s="66"/>
      <c r="AJ30" s="66"/>
    </row>
    <row r="31" spans="1:36" x14ac:dyDescent="0.25">
      <c r="C31" s="138"/>
      <c r="D31" s="111"/>
      <c r="G31" s="66"/>
      <c r="H31" s="53"/>
      <c r="J31" s="66"/>
      <c r="K31" s="66"/>
      <c r="M31" s="139"/>
      <c r="T31" s="66"/>
      <c r="U31" s="66"/>
      <c r="V31" s="66"/>
      <c r="W31" s="66"/>
      <c r="X31" s="66"/>
      <c r="Y31" s="66"/>
      <c r="Z31" s="66"/>
      <c r="AA31" s="66"/>
      <c r="AB31" s="66"/>
      <c r="AC31" s="66"/>
      <c r="AD31" s="66"/>
      <c r="AE31" s="66"/>
      <c r="AF31" s="66"/>
      <c r="AG31" s="66"/>
      <c r="AH31" s="66"/>
      <c r="AI31" s="66"/>
      <c r="AJ31" s="66"/>
    </row>
    <row r="32" spans="1:36" x14ac:dyDescent="0.25">
      <c r="C32" s="138"/>
      <c r="D32" s="111"/>
      <c r="G32" s="66"/>
      <c r="H32" s="53"/>
      <c r="J32" s="66"/>
      <c r="K32" s="66"/>
      <c r="M32" s="139"/>
      <c r="T32" s="66"/>
      <c r="U32" s="66"/>
      <c r="V32" s="66"/>
      <c r="W32" s="66"/>
      <c r="X32" s="66"/>
      <c r="Y32" s="66"/>
      <c r="Z32" s="66"/>
      <c r="AA32" s="66"/>
      <c r="AB32" s="66"/>
      <c r="AC32" s="66"/>
      <c r="AD32" s="66"/>
      <c r="AE32" s="66"/>
      <c r="AF32" s="66"/>
      <c r="AG32" s="66"/>
      <c r="AH32" s="66"/>
      <c r="AI32" s="66"/>
      <c r="AJ32" s="66"/>
    </row>
    <row r="33" spans="3:36" x14ac:dyDescent="0.25">
      <c r="C33" s="138"/>
      <c r="D33" s="111"/>
      <c r="G33" s="66"/>
      <c r="H33" s="53"/>
      <c r="J33" s="66"/>
      <c r="K33" s="66"/>
      <c r="M33" s="139"/>
      <c r="T33" s="66"/>
      <c r="U33" s="66"/>
      <c r="V33" s="66"/>
      <c r="W33" s="66"/>
      <c r="X33" s="66"/>
      <c r="Y33" s="66"/>
      <c r="Z33" s="66"/>
      <c r="AA33" s="66"/>
      <c r="AB33" s="66"/>
      <c r="AC33" s="66"/>
      <c r="AD33" s="66"/>
      <c r="AE33" s="66"/>
      <c r="AF33" s="66"/>
      <c r="AG33" s="66"/>
      <c r="AH33" s="66"/>
      <c r="AI33" s="66"/>
      <c r="AJ33" s="66"/>
    </row>
    <row r="34" spans="3:36" x14ac:dyDescent="0.25">
      <c r="C34" s="138"/>
      <c r="D34" s="111"/>
      <c r="G34" s="66"/>
      <c r="H34" s="53"/>
      <c r="J34" s="66"/>
      <c r="K34" s="66"/>
      <c r="M34" s="139"/>
      <c r="T34" s="66"/>
      <c r="U34" s="66"/>
      <c r="V34" s="66"/>
      <c r="W34" s="66"/>
      <c r="X34" s="66"/>
      <c r="Y34" s="66"/>
      <c r="Z34" s="66"/>
      <c r="AA34" s="66"/>
      <c r="AB34" s="66"/>
      <c r="AC34" s="66"/>
      <c r="AD34" s="66"/>
      <c r="AE34" s="66"/>
      <c r="AF34" s="66"/>
      <c r="AG34" s="66"/>
      <c r="AH34" s="66"/>
      <c r="AI34" s="66"/>
      <c r="AJ34" s="66"/>
    </row>
    <row r="35" spans="3:36" x14ac:dyDescent="0.25">
      <c r="C35" s="138"/>
      <c r="D35" s="111"/>
      <c r="G35" s="66"/>
      <c r="H35" s="53"/>
      <c r="J35" s="66"/>
      <c r="K35" s="66"/>
      <c r="M35" s="139"/>
      <c r="T35" s="66"/>
      <c r="U35" s="66"/>
      <c r="V35" s="66"/>
      <c r="W35" s="66"/>
      <c r="X35" s="66"/>
      <c r="Y35" s="66"/>
      <c r="Z35" s="66"/>
      <c r="AA35" s="66"/>
      <c r="AB35" s="66"/>
      <c r="AC35" s="66"/>
      <c r="AD35" s="66"/>
      <c r="AE35" s="66"/>
      <c r="AF35" s="66"/>
      <c r="AG35" s="66"/>
      <c r="AH35" s="66"/>
      <c r="AI35" s="66"/>
      <c r="AJ35" s="66"/>
    </row>
    <row r="36" spans="3:36" x14ac:dyDescent="0.25">
      <c r="C36" s="138"/>
      <c r="D36" s="111"/>
      <c r="G36" s="66"/>
      <c r="H36" s="53"/>
      <c r="J36" s="66"/>
      <c r="K36" s="66"/>
      <c r="M36" s="139"/>
      <c r="T36" s="66"/>
      <c r="U36" s="66"/>
      <c r="V36" s="66"/>
      <c r="W36" s="66"/>
      <c r="X36" s="66"/>
      <c r="Y36" s="66"/>
      <c r="Z36" s="66"/>
      <c r="AA36" s="66"/>
      <c r="AB36" s="66"/>
      <c r="AC36" s="66"/>
      <c r="AD36" s="66"/>
      <c r="AE36" s="66"/>
      <c r="AF36" s="66"/>
      <c r="AG36" s="66"/>
      <c r="AH36" s="66"/>
      <c r="AI36" s="66"/>
      <c r="AJ36" s="66"/>
    </row>
    <row r="37" spans="3:36" x14ac:dyDescent="0.25">
      <c r="C37" s="138"/>
      <c r="D37" s="111"/>
      <c r="G37" s="66"/>
      <c r="H37" s="53"/>
      <c r="J37" s="66"/>
      <c r="K37" s="66"/>
      <c r="M37" s="139"/>
      <c r="T37" s="66"/>
      <c r="U37" s="66"/>
      <c r="V37" s="66"/>
      <c r="W37" s="66"/>
      <c r="X37" s="66"/>
      <c r="Y37" s="66"/>
      <c r="Z37" s="66"/>
      <c r="AA37" s="66"/>
      <c r="AB37" s="66"/>
      <c r="AC37" s="66"/>
      <c r="AD37" s="66"/>
      <c r="AE37" s="66"/>
      <c r="AF37" s="66"/>
      <c r="AG37" s="66"/>
      <c r="AH37" s="66"/>
      <c r="AI37" s="66"/>
      <c r="AJ37" s="66"/>
    </row>
    <row r="38" spans="3:36" x14ac:dyDescent="0.25">
      <c r="C38" s="138"/>
      <c r="D38" s="111"/>
      <c r="G38" s="66"/>
      <c r="H38" s="53"/>
      <c r="J38" s="66"/>
      <c r="K38" s="66"/>
      <c r="M38" s="139"/>
      <c r="T38" s="66"/>
      <c r="U38" s="66"/>
      <c r="V38" s="66"/>
      <c r="W38" s="66"/>
      <c r="X38" s="66"/>
      <c r="Y38" s="66"/>
      <c r="Z38" s="66"/>
      <c r="AA38" s="66"/>
      <c r="AB38" s="66"/>
      <c r="AC38" s="66"/>
      <c r="AD38" s="66"/>
      <c r="AE38" s="66"/>
      <c r="AF38" s="66"/>
      <c r="AG38" s="66"/>
      <c r="AH38" s="66"/>
      <c r="AI38" s="66"/>
      <c r="AJ38" s="66"/>
    </row>
    <row r="39" spans="3:36" x14ac:dyDescent="0.25">
      <c r="C39" s="138"/>
      <c r="D39" s="111"/>
      <c r="G39" s="66"/>
      <c r="H39" s="53"/>
      <c r="J39" s="66"/>
      <c r="K39" s="66"/>
      <c r="M39" s="139"/>
      <c r="T39" s="66"/>
      <c r="U39" s="66"/>
      <c r="V39" s="66"/>
      <c r="W39" s="66"/>
      <c r="X39" s="66"/>
      <c r="Y39" s="66"/>
      <c r="Z39" s="66"/>
      <c r="AA39" s="66"/>
      <c r="AB39" s="66"/>
      <c r="AC39" s="66"/>
      <c r="AD39" s="66"/>
      <c r="AE39" s="66"/>
      <c r="AF39" s="66"/>
      <c r="AG39" s="66"/>
      <c r="AH39" s="66"/>
      <c r="AI39" s="66"/>
      <c r="AJ39" s="66"/>
    </row>
    <row r="40" spans="3:36" x14ac:dyDescent="0.25">
      <c r="C40" s="138"/>
      <c r="D40" s="111"/>
      <c r="G40" s="66"/>
      <c r="H40" s="53"/>
      <c r="J40" s="66"/>
      <c r="K40" s="66"/>
      <c r="M40" s="139"/>
      <c r="T40" s="66"/>
      <c r="U40" s="66"/>
      <c r="V40" s="66"/>
      <c r="W40" s="66"/>
      <c r="X40" s="66"/>
      <c r="Y40" s="66"/>
      <c r="Z40" s="66"/>
      <c r="AA40" s="66"/>
      <c r="AB40" s="66"/>
      <c r="AC40" s="66"/>
      <c r="AD40" s="66"/>
      <c r="AE40" s="66"/>
      <c r="AF40" s="66"/>
      <c r="AG40" s="66"/>
      <c r="AH40" s="66"/>
      <c r="AI40" s="66"/>
      <c r="AJ40" s="66"/>
    </row>
    <row r="41" spans="3:36" x14ac:dyDescent="0.25">
      <c r="C41" s="138"/>
      <c r="D41" s="111"/>
      <c r="G41" s="66"/>
      <c r="H41" s="53"/>
      <c r="J41" s="66"/>
      <c r="K41" s="66"/>
      <c r="M41" s="139"/>
      <c r="T41" s="66"/>
      <c r="U41" s="66"/>
      <c r="V41" s="66"/>
      <c r="W41" s="66"/>
      <c r="X41" s="66"/>
      <c r="Y41" s="66"/>
      <c r="Z41" s="66"/>
      <c r="AA41" s="66"/>
      <c r="AB41" s="66"/>
      <c r="AC41" s="66"/>
      <c r="AD41" s="66"/>
      <c r="AE41" s="66"/>
      <c r="AF41" s="66"/>
      <c r="AG41" s="66"/>
      <c r="AH41" s="66"/>
      <c r="AI41" s="66"/>
      <c r="AJ41" s="66"/>
    </row>
    <row r="42" spans="3:36" x14ac:dyDescent="0.25">
      <c r="C42" s="138"/>
      <c r="D42" s="111"/>
      <c r="G42" s="66"/>
      <c r="H42" s="53"/>
      <c r="J42" s="66"/>
      <c r="K42" s="66"/>
      <c r="M42" s="139"/>
      <c r="T42" s="66"/>
      <c r="U42" s="66"/>
      <c r="V42" s="66"/>
      <c r="W42" s="66"/>
      <c r="X42" s="66"/>
      <c r="Y42" s="66"/>
      <c r="Z42" s="66"/>
      <c r="AA42" s="66"/>
      <c r="AB42" s="66"/>
      <c r="AC42" s="66"/>
      <c r="AD42" s="66"/>
      <c r="AE42" s="66"/>
      <c r="AF42" s="66"/>
      <c r="AG42" s="66"/>
      <c r="AH42" s="66"/>
      <c r="AI42" s="66"/>
      <c r="AJ42" s="66"/>
    </row>
    <row r="43" spans="3:36" x14ac:dyDescent="0.25">
      <c r="C43" s="138"/>
      <c r="D43" s="111"/>
      <c r="G43" s="66"/>
      <c r="H43" s="53"/>
      <c r="J43" s="66"/>
      <c r="K43" s="66"/>
      <c r="M43" s="139"/>
      <c r="T43" s="66"/>
      <c r="U43" s="66"/>
      <c r="V43" s="66"/>
      <c r="W43" s="66"/>
      <c r="X43" s="66"/>
      <c r="Y43" s="66"/>
      <c r="Z43" s="66"/>
      <c r="AA43" s="66"/>
      <c r="AB43" s="66"/>
      <c r="AC43" s="66"/>
      <c r="AD43" s="66"/>
      <c r="AE43" s="66"/>
      <c r="AF43" s="66"/>
      <c r="AG43" s="66"/>
      <c r="AH43" s="66"/>
      <c r="AI43" s="66"/>
      <c r="AJ43" s="66"/>
    </row>
    <row r="44" spans="3:36" x14ac:dyDescent="0.25">
      <c r="C44" s="138"/>
      <c r="D44" s="111"/>
      <c r="G44" s="66"/>
      <c r="H44" s="53"/>
      <c r="J44" s="66"/>
      <c r="K44" s="66"/>
      <c r="M44" s="139"/>
      <c r="T44" s="66"/>
      <c r="U44" s="66"/>
      <c r="V44" s="66"/>
      <c r="W44" s="66"/>
      <c r="X44" s="66"/>
      <c r="Y44" s="66"/>
      <c r="Z44" s="66"/>
      <c r="AA44" s="66"/>
      <c r="AB44" s="66"/>
      <c r="AC44" s="66"/>
      <c r="AD44" s="66"/>
      <c r="AE44" s="66"/>
      <c r="AF44" s="66"/>
      <c r="AG44" s="66"/>
      <c r="AH44" s="66"/>
      <c r="AI44" s="66"/>
      <c r="AJ44" s="66"/>
    </row>
    <row r="45" spans="3:36" x14ac:dyDescent="0.25">
      <c r="C45" s="138"/>
      <c r="D45" s="111"/>
      <c r="G45" s="66"/>
      <c r="H45" s="53"/>
      <c r="J45" s="66"/>
      <c r="K45" s="66"/>
      <c r="M45" s="139"/>
      <c r="T45" s="66"/>
      <c r="U45" s="66"/>
      <c r="V45" s="66"/>
      <c r="W45" s="66"/>
      <c r="X45" s="66"/>
      <c r="Y45" s="66"/>
      <c r="Z45" s="66"/>
      <c r="AA45" s="66"/>
      <c r="AB45" s="66"/>
      <c r="AC45" s="66"/>
      <c r="AD45" s="66"/>
      <c r="AE45" s="66"/>
      <c r="AF45" s="66"/>
      <c r="AG45" s="66"/>
      <c r="AH45" s="66"/>
      <c r="AI45" s="66"/>
      <c r="AJ45" s="66"/>
    </row>
    <row r="46" spans="3:36" x14ac:dyDescent="0.25">
      <c r="C46" s="138"/>
      <c r="D46" s="111"/>
      <c r="G46" s="66"/>
      <c r="H46" s="53"/>
      <c r="J46" s="66"/>
      <c r="K46" s="66"/>
      <c r="M46" s="139"/>
      <c r="T46" s="66"/>
      <c r="U46" s="66"/>
      <c r="V46" s="66"/>
      <c r="W46" s="66"/>
      <c r="X46" s="66"/>
      <c r="Y46" s="66"/>
      <c r="Z46" s="66"/>
      <c r="AA46" s="66"/>
      <c r="AB46" s="66"/>
      <c r="AC46" s="66"/>
      <c r="AD46" s="66"/>
      <c r="AE46" s="66"/>
      <c r="AF46" s="66"/>
      <c r="AG46" s="66"/>
      <c r="AH46" s="66"/>
      <c r="AI46" s="66"/>
      <c r="AJ46" s="66"/>
    </row>
    <row r="47" spans="3:36" x14ac:dyDescent="0.25">
      <c r="C47" s="138"/>
      <c r="D47" s="111"/>
      <c r="G47" s="66"/>
      <c r="H47" s="53"/>
      <c r="J47" s="66"/>
      <c r="K47" s="66"/>
      <c r="M47" s="139"/>
      <c r="T47" s="66"/>
      <c r="U47" s="66"/>
      <c r="V47" s="66"/>
      <c r="W47" s="66"/>
      <c r="X47" s="66"/>
      <c r="Y47" s="66"/>
      <c r="Z47" s="66"/>
      <c r="AA47" s="66"/>
      <c r="AB47" s="66"/>
      <c r="AC47" s="66"/>
      <c r="AD47" s="66"/>
      <c r="AE47" s="66"/>
      <c r="AF47" s="66"/>
      <c r="AG47" s="66"/>
      <c r="AH47" s="66"/>
      <c r="AI47" s="66"/>
      <c r="AJ47" s="66"/>
    </row>
    <row r="48" spans="3:36" x14ac:dyDescent="0.25">
      <c r="C48" s="138"/>
      <c r="D48" s="111"/>
      <c r="G48" s="66"/>
      <c r="H48" s="53"/>
      <c r="J48" s="66"/>
      <c r="K48" s="66"/>
      <c r="M48" s="139"/>
      <c r="T48" s="66"/>
      <c r="U48" s="66"/>
      <c r="V48" s="66"/>
      <c r="W48" s="66"/>
      <c r="X48" s="66"/>
      <c r="Y48" s="66"/>
      <c r="Z48" s="66"/>
      <c r="AA48" s="66"/>
      <c r="AB48" s="66"/>
      <c r="AC48" s="66"/>
      <c r="AD48" s="66"/>
      <c r="AE48" s="66"/>
      <c r="AF48" s="66"/>
      <c r="AG48" s="66"/>
      <c r="AH48" s="66"/>
      <c r="AI48" s="66"/>
      <c r="AJ48" s="66"/>
    </row>
    <row r="49" spans="3:36" x14ac:dyDescent="0.25">
      <c r="C49" s="138"/>
      <c r="D49" s="111"/>
      <c r="G49" s="66"/>
      <c r="H49" s="53"/>
      <c r="J49" s="66"/>
      <c r="K49" s="66"/>
      <c r="M49" s="139"/>
      <c r="T49" s="66"/>
      <c r="U49" s="66"/>
      <c r="V49" s="66"/>
      <c r="W49" s="66"/>
      <c r="X49" s="66"/>
      <c r="Y49" s="66"/>
      <c r="Z49" s="66"/>
      <c r="AA49" s="66"/>
      <c r="AB49" s="66"/>
      <c r="AC49" s="66"/>
      <c r="AD49" s="66"/>
      <c r="AE49" s="66"/>
      <c r="AF49" s="66"/>
      <c r="AG49" s="66"/>
      <c r="AH49" s="66"/>
      <c r="AI49" s="66"/>
      <c r="AJ49" s="66"/>
    </row>
    <row r="50" spans="3:36" x14ac:dyDescent="0.25">
      <c r="C50" s="138"/>
      <c r="D50" s="111"/>
      <c r="G50" s="66"/>
      <c r="H50" s="53"/>
      <c r="J50" s="66"/>
      <c r="K50" s="66"/>
      <c r="M50" s="139"/>
      <c r="T50" s="66"/>
      <c r="U50" s="66"/>
      <c r="V50" s="66"/>
      <c r="W50" s="66"/>
      <c r="X50" s="66"/>
      <c r="Y50" s="66"/>
      <c r="Z50" s="66"/>
      <c r="AA50" s="66"/>
      <c r="AB50" s="66"/>
      <c r="AC50" s="66"/>
      <c r="AD50" s="66"/>
      <c r="AE50" s="66"/>
      <c r="AF50" s="66"/>
      <c r="AG50" s="66"/>
      <c r="AH50" s="66"/>
      <c r="AI50" s="66"/>
      <c r="AJ50" s="66"/>
    </row>
    <row r="51" spans="3:36" x14ac:dyDescent="0.25">
      <c r="C51" s="138"/>
      <c r="D51" s="111"/>
      <c r="G51" s="66"/>
      <c r="H51" s="53"/>
      <c r="J51" s="66"/>
      <c r="K51" s="66"/>
      <c r="M51" s="139"/>
      <c r="T51" s="66"/>
      <c r="U51" s="66"/>
      <c r="V51" s="66"/>
      <c r="W51" s="66"/>
      <c r="X51" s="66"/>
      <c r="Y51" s="66"/>
      <c r="Z51" s="66"/>
      <c r="AA51" s="66"/>
      <c r="AB51" s="66"/>
      <c r="AC51" s="66"/>
      <c r="AD51" s="66"/>
      <c r="AE51" s="66"/>
      <c r="AF51" s="66"/>
      <c r="AG51" s="66"/>
      <c r="AH51" s="66"/>
      <c r="AI51" s="66"/>
      <c r="AJ51" s="66"/>
    </row>
    <row r="52" spans="3:36" x14ac:dyDescent="0.25">
      <c r="C52" s="138"/>
      <c r="D52" s="111"/>
      <c r="G52" s="66"/>
      <c r="H52" s="53"/>
      <c r="J52" s="66"/>
      <c r="K52" s="66"/>
      <c r="M52" s="139"/>
      <c r="T52" s="66"/>
      <c r="U52" s="66"/>
      <c r="V52" s="66"/>
      <c r="W52" s="66"/>
      <c r="X52" s="66"/>
      <c r="Y52" s="66"/>
      <c r="Z52" s="66"/>
      <c r="AA52" s="66"/>
      <c r="AB52" s="66"/>
      <c r="AC52" s="66"/>
      <c r="AD52" s="66"/>
      <c r="AE52" s="66"/>
      <c r="AF52" s="66"/>
      <c r="AG52" s="66"/>
      <c r="AH52" s="66"/>
      <c r="AI52" s="66"/>
      <c r="AJ52" s="66"/>
    </row>
    <row r="53" spans="3:36" x14ac:dyDescent="0.25">
      <c r="C53" s="138"/>
      <c r="D53" s="111"/>
      <c r="G53" s="66"/>
      <c r="H53" s="53"/>
      <c r="J53" s="66"/>
      <c r="K53" s="66"/>
      <c r="M53" s="139"/>
      <c r="T53" s="66"/>
      <c r="U53" s="66"/>
      <c r="V53" s="66"/>
      <c r="W53" s="66"/>
      <c r="X53" s="66"/>
      <c r="Y53" s="66"/>
      <c r="Z53" s="66"/>
      <c r="AA53" s="66"/>
      <c r="AB53" s="66"/>
      <c r="AC53" s="66"/>
      <c r="AD53" s="66"/>
      <c r="AE53" s="66"/>
      <c r="AF53" s="66"/>
      <c r="AG53" s="66"/>
      <c r="AH53" s="66"/>
      <c r="AI53" s="66"/>
      <c r="AJ53" s="66"/>
    </row>
    <row r="54" spans="3:36" x14ac:dyDescent="0.25">
      <c r="C54" s="138"/>
      <c r="D54" s="111"/>
      <c r="G54" s="66"/>
      <c r="H54" s="53"/>
      <c r="J54" s="66"/>
      <c r="K54" s="66"/>
      <c r="M54" s="139"/>
      <c r="T54" s="66"/>
      <c r="U54" s="66"/>
      <c r="V54" s="66"/>
      <c r="W54" s="66"/>
      <c r="X54" s="66"/>
      <c r="Y54" s="66"/>
      <c r="Z54" s="66"/>
      <c r="AA54" s="66"/>
      <c r="AB54" s="66"/>
      <c r="AC54" s="66"/>
      <c r="AD54" s="66"/>
      <c r="AE54" s="66"/>
      <c r="AF54" s="66"/>
      <c r="AG54" s="66"/>
      <c r="AH54" s="66"/>
      <c r="AI54" s="66"/>
      <c r="AJ54" s="66"/>
    </row>
    <row r="55" spans="3:36" x14ac:dyDescent="0.25">
      <c r="C55" s="138"/>
      <c r="D55" s="111"/>
      <c r="G55" s="66"/>
      <c r="H55" s="53"/>
      <c r="J55" s="66"/>
      <c r="K55" s="66"/>
      <c r="M55" s="139"/>
      <c r="T55" s="66"/>
      <c r="U55" s="66"/>
      <c r="V55" s="66"/>
      <c r="W55" s="66"/>
      <c r="X55" s="66"/>
      <c r="Y55" s="66"/>
      <c r="Z55" s="66"/>
      <c r="AA55" s="66"/>
      <c r="AB55" s="66"/>
      <c r="AC55" s="66"/>
      <c r="AD55" s="66"/>
      <c r="AE55" s="66"/>
      <c r="AF55" s="66"/>
      <c r="AG55" s="66"/>
      <c r="AH55" s="66"/>
      <c r="AI55" s="66"/>
      <c r="AJ55" s="66"/>
    </row>
    <row r="56" spans="3:36" x14ac:dyDescent="0.25">
      <c r="C56" s="138"/>
      <c r="D56" s="111"/>
      <c r="G56" s="66"/>
      <c r="H56" s="53"/>
      <c r="J56" s="66"/>
      <c r="K56" s="66"/>
      <c r="M56" s="139"/>
      <c r="T56" s="66"/>
      <c r="U56" s="66"/>
      <c r="V56" s="66"/>
      <c r="W56" s="66"/>
      <c r="X56" s="66"/>
      <c r="Y56" s="66"/>
      <c r="Z56" s="66"/>
      <c r="AA56" s="66"/>
      <c r="AB56" s="66"/>
      <c r="AC56" s="66"/>
      <c r="AD56" s="66"/>
      <c r="AE56" s="66"/>
      <c r="AF56" s="66"/>
      <c r="AG56" s="66"/>
      <c r="AH56" s="66"/>
      <c r="AI56" s="66"/>
      <c r="AJ56" s="66"/>
    </row>
    <row r="57" spans="3:36" x14ac:dyDescent="0.25">
      <c r="C57" s="138"/>
      <c r="D57" s="111"/>
      <c r="G57" s="66"/>
      <c r="H57" s="53"/>
      <c r="J57" s="66"/>
      <c r="K57" s="66"/>
      <c r="M57" s="139"/>
      <c r="T57" s="66"/>
      <c r="U57" s="66"/>
      <c r="V57" s="66"/>
      <c r="W57" s="66"/>
      <c r="X57" s="66"/>
      <c r="Y57" s="66"/>
      <c r="Z57" s="66"/>
      <c r="AA57" s="66"/>
      <c r="AB57" s="66"/>
      <c r="AC57" s="66"/>
      <c r="AD57" s="66"/>
      <c r="AE57" s="66"/>
      <c r="AF57" s="66"/>
      <c r="AG57" s="66"/>
      <c r="AH57" s="66"/>
      <c r="AI57" s="66"/>
      <c r="AJ57" s="66"/>
    </row>
    <row r="58" spans="3:36" x14ac:dyDescent="0.25">
      <c r="C58" s="138"/>
      <c r="D58" s="111"/>
      <c r="G58" s="66"/>
      <c r="H58" s="53"/>
      <c r="J58" s="66"/>
      <c r="K58" s="66"/>
      <c r="M58" s="139"/>
      <c r="T58" s="66"/>
      <c r="U58" s="66"/>
      <c r="V58" s="66"/>
      <c r="W58" s="66"/>
      <c r="X58" s="66"/>
      <c r="Y58" s="66"/>
      <c r="Z58" s="66"/>
      <c r="AA58" s="66"/>
      <c r="AB58" s="66"/>
      <c r="AC58" s="66"/>
      <c r="AD58" s="66"/>
      <c r="AE58" s="66"/>
      <c r="AF58" s="66"/>
      <c r="AG58" s="66"/>
      <c r="AH58" s="66"/>
      <c r="AI58" s="66"/>
      <c r="AJ58" s="66"/>
    </row>
    <row r="59" spans="3:36" x14ac:dyDescent="0.25">
      <c r="C59" s="138"/>
      <c r="D59" s="111"/>
      <c r="G59" s="66"/>
      <c r="H59" s="53"/>
      <c r="J59" s="66"/>
      <c r="K59" s="66"/>
      <c r="M59" s="139"/>
      <c r="T59" s="66"/>
      <c r="U59" s="66"/>
      <c r="V59" s="66"/>
      <c r="W59" s="66"/>
      <c r="X59" s="66"/>
      <c r="Y59" s="66"/>
      <c r="Z59" s="66"/>
      <c r="AA59" s="66"/>
      <c r="AB59" s="66"/>
      <c r="AC59" s="66"/>
      <c r="AD59" s="66"/>
      <c r="AE59" s="66"/>
      <c r="AF59" s="66"/>
      <c r="AG59" s="66"/>
      <c r="AH59" s="66"/>
      <c r="AI59" s="66"/>
      <c r="AJ59" s="66"/>
    </row>
    <row r="60" spans="3:36" x14ac:dyDescent="0.25">
      <c r="C60" s="138"/>
      <c r="D60" s="111"/>
      <c r="G60" s="66"/>
      <c r="H60" s="53"/>
      <c r="J60" s="66"/>
      <c r="K60" s="66"/>
      <c r="M60" s="139"/>
      <c r="T60" s="66"/>
      <c r="U60" s="66"/>
      <c r="V60" s="66"/>
      <c r="W60" s="66"/>
      <c r="X60" s="66"/>
      <c r="Y60" s="66"/>
      <c r="Z60" s="66"/>
      <c r="AA60" s="66"/>
      <c r="AB60" s="66"/>
      <c r="AC60" s="66"/>
      <c r="AD60" s="66"/>
      <c r="AE60" s="66"/>
      <c r="AF60" s="66"/>
      <c r="AG60" s="66"/>
      <c r="AH60" s="66"/>
      <c r="AI60" s="66"/>
      <c r="AJ60" s="66"/>
    </row>
    <row r="61" spans="3:36" x14ac:dyDescent="0.25">
      <c r="C61" s="138"/>
      <c r="D61" s="111"/>
      <c r="G61" s="66"/>
      <c r="H61" s="53"/>
      <c r="J61" s="66"/>
      <c r="K61" s="66"/>
      <c r="M61" s="139"/>
      <c r="T61" s="66"/>
      <c r="U61" s="66"/>
      <c r="V61" s="66"/>
      <c r="W61" s="66"/>
      <c r="X61" s="66"/>
      <c r="Y61" s="66"/>
      <c r="Z61" s="66"/>
      <c r="AA61" s="66"/>
      <c r="AB61" s="66"/>
      <c r="AC61" s="66"/>
      <c r="AD61" s="66"/>
      <c r="AE61" s="66"/>
      <c r="AF61" s="66"/>
      <c r="AG61" s="66"/>
      <c r="AH61" s="66"/>
      <c r="AI61" s="66"/>
      <c r="AJ61" s="66"/>
    </row>
    <row r="62" spans="3:36" x14ac:dyDescent="0.25">
      <c r="C62" s="138"/>
      <c r="D62" s="111"/>
      <c r="G62" s="66"/>
      <c r="H62" s="53"/>
      <c r="J62" s="66"/>
      <c r="K62" s="66"/>
      <c r="M62" s="139"/>
      <c r="T62" s="66"/>
      <c r="U62" s="66"/>
      <c r="V62" s="66"/>
      <c r="W62" s="66"/>
      <c r="X62" s="66"/>
      <c r="Y62" s="66"/>
      <c r="Z62" s="66"/>
      <c r="AA62" s="66"/>
      <c r="AB62" s="66"/>
      <c r="AC62" s="66"/>
      <c r="AD62" s="66"/>
      <c r="AE62" s="66"/>
      <c r="AF62" s="66"/>
      <c r="AG62" s="66"/>
      <c r="AH62" s="66"/>
      <c r="AI62" s="66"/>
      <c r="AJ62" s="66"/>
    </row>
    <row r="63" spans="3:36" x14ac:dyDescent="0.25">
      <c r="C63" s="138"/>
      <c r="D63" s="111"/>
      <c r="G63" s="66"/>
      <c r="H63" s="53"/>
      <c r="J63" s="66"/>
      <c r="K63" s="66"/>
      <c r="M63" s="139"/>
      <c r="T63" s="66"/>
      <c r="U63" s="66"/>
      <c r="V63" s="66"/>
      <c r="W63" s="66"/>
      <c r="X63" s="66"/>
      <c r="Y63" s="66"/>
      <c r="Z63" s="66"/>
      <c r="AA63" s="66"/>
      <c r="AB63" s="66"/>
      <c r="AC63" s="66"/>
      <c r="AD63" s="66"/>
      <c r="AE63" s="66"/>
      <c r="AF63" s="66"/>
      <c r="AG63" s="66"/>
      <c r="AH63" s="66"/>
      <c r="AI63" s="66"/>
      <c r="AJ63" s="66"/>
    </row>
    <row r="64" spans="3:36" x14ac:dyDescent="0.25">
      <c r="C64" s="138"/>
      <c r="D64" s="111"/>
      <c r="G64" s="66"/>
      <c r="H64" s="53"/>
      <c r="J64" s="66"/>
      <c r="K64" s="66"/>
      <c r="M64" s="139"/>
      <c r="T64" s="66"/>
      <c r="U64" s="66"/>
      <c r="V64" s="66"/>
      <c r="W64" s="66"/>
      <c r="X64" s="66"/>
      <c r="Y64" s="66"/>
      <c r="Z64" s="66"/>
      <c r="AA64" s="66"/>
      <c r="AB64" s="66"/>
      <c r="AC64" s="66"/>
      <c r="AD64" s="66"/>
      <c r="AE64" s="66"/>
      <c r="AF64" s="66"/>
      <c r="AG64" s="66"/>
      <c r="AH64" s="66"/>
      <c r="AI64" s="66"/>
      <c r="AJ64" s="66"/>
    </row>
    <row r="65" spans="3:36" x14ac:dyDescent="0.25">
      <c r="C65" s="138"/>
      <c r="D65" s="111"/>
      <c r="G65" s="66"/>
      <c r="H65" s="53"/>
      <c r="J65" s="66"/>
      <c r="K65" s="66"/>
      <c r="M65" s="139"/>
      <c r="T65" s="66"/>
      <c r="U65" s="66"/>
      <c r="V65" s="66"/>
      <c r="W65" s="66"/>
      <c r="X65" s="66"/>
      <c r="Y65" s="66"/>
      <c r="Z65" s="66"/>
      <c r="AA65" s="66"/>
      <c r="AB65" s="66"/>
      <c r="AC65" s="66"/>
      <c r="AD65" s="66"/>
      <c r="AE65" s="66"/>
      <c r="AF65" s="66"/>
      <c r="AG65" s="66"/>
      <c r="AH65" s="66"/>
      <c r="AI65" s="66"/>
      <c r="AJ65" s="66"/>
    </row>
    <row r="66" spans="3:36" x14ac:dyDescent="0.25">
      <c r="C66" s="138"/>
      <c r="D66" s="111"/>
      <c r="G66" s="66"/>
      <c r="H66" s="53"/>
      <c r="J66" s="66"/>
      <c r="K66" s="66"/>
      <c r="M66" s="139"/>
      <c r="T66" s="66"/>
      <c r="U66" s="66"/>
      <c r="V66" s="66"/>
      <c r="W66" s="66"/>
      <c r="X66" s="66"/>
      <c r="Y66" s="66"/>
      <c r="Z66" s="66"/>
      <c r="AA66" s="66"/>
      <c r="AB66" s="66"/>
      <c r="AC66" s="66"/>
      <c r="AD66" s="66"/>
      <c r="AE66" s="66"/>
      <c r="AF66" s="66"/>
      <c r="AG66" s="66"/>
      <c r="AH66" s="66"/>
      <c r="AI66" s="66"/>
      <c r="AJ66" s="66"/>
    </row>
    <row r="67" spans="3:36" x14ac:dyDescent="0.25">
      <c r="C67" s="138"/>
      <c r="D67" s="111"/>
      <c r="G67" s="66"/>
      <c r="H67" s="53"/>
      <c r="J67" s="66"/>
      <c r="K67" s="66"/>
      <c r="M67" s="139"/>
      <c r="T67" s="66"/>
      <c r="U67" s="66"/>
      <c r="V67" s="66"/>
      <c r="W67" s="66"/>
      <c r="X67" s="66"/>
      <c r="Y67" s="66"/>
      <c r="Z67" s="66"/>
      <c r="AA67" s="66"/>
      <c r="AB67" s="66"/>
      <c r="AC67" s="66"/>
      <c r="AD67" s="66"/>
      <c r="AE67" s="66"/>
      <c r="AF67" s="66"/>
      <c r="AG67" s="66"/>
      <c r="AH67" s="66"/>
      <c r="AI67" s="66"/>
      <c r="AJ67" s="66"/>
    </row>
    <row r="68" spans="3:36" x14ac:dyDescent="0.25">
      <c r="C68" s="138"/>
      <c r="D68" s="111"/>
      <c r="G68" s="66"/>
      <c r="H68" s="53"/>
      <c r="J68" s="66"/>
      <c r="K68" s="66"/>
      <c r="M68" s="139"/>
      <c r="T68" s="66"/>
      <c r="U68" s="66"/>
      <c r="V68" s="66"/>
      <c r="W68" s="66"/>
      <c r="X68" s="66"/>
      <c r="Y68" s="66"/>
      <c r="Z68" s="66"/>
      <c r="AA68" s="66"/>
      <c r="AB68" s="66"/>
      <c r="AC68" s="66"/>
      <c r="AD68" s="66"/>
      <c r="AE68" s="66"/>
      <c r="AF68" s="66"/>
      <c r="AG68" s="66"/>
      <c r="AH68" s="66"/>
      <c r="AI68" s="66"/>
      <c r="AJ68" s="66"/>
    </row>
    <row r="69" spans="3:36" x14ac:dyDescent="0.25">
      <c r="C69" s="138"/>
      <c r="D69" s="111"/>
      <c r="G69" s="66"/>
      <c r="H69" s="53"/>
      <c r="J69" s="66"/>
      <c r="K69" s="66"/>
      <c r="M69" s="139"/>
      <c r="T69" s="66"/>
      <c r="U69" s="66"/>
      <c r="V69" s="66"/>
      <c r="W69" s="66"/>
      <c r="X69" s="66"/>
      <c r="Y69" s="66"/>
      <c r="Z69" s="66"/>
      <c r="AA69" s="66"/>
      <c r="AB69" s="66"/>
      <c r="AC69" s="66"/>
      <c r="AD69" s="66"/>
      <c r="AE69" s="66"/>
      <c r="AF69" s="66"/>
      <c r="AG69" s="66"/>
      <c r="AH69" s="66"/>
      <c r="AI69" s="66"/>
      <c r="AJ69" s="66"/>
    </row>
    <row r="70" spans="3:36" x14ac:dyDescent="0.25">
      <c r="C70" s="138"/>
      <c r="D70" s="111"/>
      <c r="G70" s="66"/>
      <c r="H70" s="53"/>
      <c r="J70" s="66"/>
      <c r="K70" s="66"/>
      <c r="M70" s="139"/>
      <c r="T70" s="66"/>
      <c r="U70" s="66"/>
      <c r="V70" s="66"/>
      <c r="W70" s="66"/>
      <c r="X70" s="66"/>
      <c r="Y70" s="66"/>
      <c r="Z70" s="66"/>
      <c r="AA70" s="66"/>
      <c r="AB70" s="66"/>
      <c r="AC70" s="66"/>
      <c r="AD70" s="66"/>
      <c r="AE70" s="66"/>
      <c r="AF70" s="66"/>
      <c r="AG70" s="66"/>
      <c r="AH70" s="66"/>
      <c r="AI70" s="66"/>
      <c r="AJ70" s="66"/>
    </row>
    <row r="71" spans="3:36" x14ac:dyDescent="0.25">
      <c r="C71" s="138"/>
      <c r="D71" s="111"/>
      <c r="G71" s="66"/>
      <c r="H71" s="53"/>
      <c r="J71" s="66"/>
      <c r="K71" s="66"/>
      <c r="M71" s="139"/>
      <c r="T71" s="66"/>
      <c r="U71" s="66"/>
      <c r="V71" s="66"/>
      <c r="W71" s="66"/>
      <c r="X71" s="66"/>
      <c r="Y71" s="66"/>
      <c r="Z71" s="66"/>
      <c r="AA71" s="66"/>
      <c r="AB71" s="66"/>
      <c r="AC71" s="66"/>
      <c r="AD71" s="66"/>
      <c r="AE71" s="66"/>
      <c r="AF71" s="66"/>
      <c r="AG71" s="66"/>
      <c r="AH71" s="66"/>
      <c r="AI71" s="66"/>
      <c r="AJ71" s="66"/>
    </row>
  </sheetData>
  <mergeCells count="2">
    <mergeCell ref="T1:V1"/>
    <mergeCell ref="X1:Y1"/>
  </mergeCells>
  <conditionalFormatting sqref="T4:Z18">
    <cfRule type="cellIs" dxfId="5" priority="57" operator="lessThan">
      <formula>0.2</formula>
    </cfRule>
    <cfRule type="cellIs" dxfId="4" priority="58" operator="greaterThan">
      <formula>0.9</formula>
    </cfRule>
  </conditionalFormatting>
  <conditionalFormatting sqref="I4:I18">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18">
    <cfRule type="cellIs" dxfId="0" priority="4966" operator="greaterThan">
      <formula>8</formula>
    </cfRule>
    <cfRule type="colorScale" priority="4967">
      <colorScale>
        <cfvo type="min"/>
        <cfvo type="max"/>
        <color rgb="FFFFEF9C"/>
        <color rgb="FFFF7128"/>
      </colorScale>
    </cfRule>
  </conditionalFormatting>
  <conditionalFormatting sqref="AD4:AJ18">
    <cfRule type="colorScale" priority="4968">
      <colorScale>
        <cfvo type="min"/>
        <cfvo type="max"/>
        <color rgb="FFFFEF9C"/>
        <color rgb="FF63BE7B"/>
      </colorScale>
    </cfRule>
  </conditionalFormatting>
  <conditionalFormatting sqref="C4:C23">
    <cfRule type="colorScale" priority="496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Resistencia</vt:lpstr>
      <vt:lpstr>TL_v1</vt:lpstr>
      <vt:lpstr>CA_v1</vt:lpstr>
      <vt:lpstr>Planning_Entrenador</vt:lpstr>
      <vt:lpstr>PLANTILLA</vt:lpstr>
      <vt:lpstr>CAPITAN</vt:lpstr>
      <vt:lpstr>Evaluacion Jugadores</vt:lpstr>
      <vt:lpstr>CambioENTRENADOR</vt:lpstr>
      <vt:lpstr>Rendimiento_ENTRENAMIENTO</vt:lpstr>
      <vt:lpstr>LAT</vt:lpstr>
      <vt:lpstr>ANO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2017-12-22T09:51:04Z</dcterms:modified>
</cp:coreProperties>
</file>