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OBIWAN-PedraPedra" sheetId="437" r:id="rId1"/>
    <sheet name="kobelegends-VADER" sheetId="438" r:id="rId2"/>
    <sheet name="SIMULADOR&gt;22-12-17_v2" sheetId="436" r:id="rId3"/>
    <sheet name="SIMULADOR&gt;22-12-17" sheetId="435" r:id="rId4"/>
    <sheet name="SIMULADOR" sheetId="285" r:id="rId5"/>
    <sheet name="SIMULADOR_sinJC" sheetId="273" r:id="rId6"/>
  </sheets>
  <calcPr calcId="152511"/>
  <fileRecoveryPr autoRecover="0"/>
</workbook>
</file>

<file path=xl/calcChain.xml><?xml version="1.0" encoding="utf-8"?>
<calcChain xmlns="http://schemas.openxmlformats.org/spreadsheetml/2006/main">
  <c r="BF48" i="438" l="1"/>
  <c r="BF47" i="438"/>
  <c r="BF46" i="438"/>
  <c r="BE45" i="438"/>
  <c r="BE44" i="438"/>
  <c r="BF45" i="438" s="1"/>
  <c r="BD44" i="438"/>
  <c r="BE43" i="438"/>
  <c r="BD43" i="438"/>
  <c r="BC43" i="438"/>
  <c r="BF42" i="438"/>
  <c r="BE42" i="438"/>
  <c r="BF43" i="438" s="1"/>
  <c r="BD42" i="438"/>
  <c r="BC42" i="438"/>
  <c r="BF41" i="438"/>
  <c r="BE41" i="438"/>
  <c r="BD41" i="438"/>
  <c r="BC41" i="438"/>
  <c r="BF40" i="438"/>
  <c r="BE40" i="438"/>
  <c r="BD40" i="438"/>
  <c r="BC40" i="438"/>
  <c r="BC39" i="438"/>
  <c r="AS38" i="438"/>
  <c r="AR38" i="438"/>
  <c r="AQ38" i="438"/>
  <c r="AP38" i="438"/>
  <c r="AO38" i="438"/>
  <c r="AN38" i="438"/>
  <c r="AM38" i="438"/>
  <c r="AL38" i="438"/>
  <c r="AK38" i="438"/>
  <c r="AJ38" i="438"/>
  <c r="AI38" i="438"/>
  <c r="AH38" i="438"/>
  <c r="AG38" i="438"/>
  <c r="AF38" i="438"/>
  <c r="AE38" i="438"/>
  <c r="AD38" i="438"/>
  <c r="AC38" i="438"/>
  <c r="AB38" i="438"/>
  <c r="AA38" i="438"/>
  <c r="Z38" i="438"/>
  <c r="Y38" i="438"/>
  <c r="X38" i="438"/>
  <c r="W38" i="438"/>
  <c r="V38" i="438"/>
  <c r="U38" i="438"/>
  <c r="T38" i="438"/>
  <c r="S38" i="438"/>
  <c r="R38" i="438"/>
  <c r="Q38" i="438"/>
  <c r="P38" i="438"/>
  <c r="O38" i="438"/>
  <c r="N38" i="438"/>
  <c r="M38" i="438"/>
  <c r="L38" i="438"/>
  <c r="K38" i="438"/>
  <c r="J38" i="438"/>
  <c r="I38" i="438"/>
  <c r="H38" i="438"/>
  <c r="G38" i="438"/>
  <c r="BH36" i="438"/>
  <c r="BH42" i="438" s="1"/>
  <c r="BH47" i="438" s="1"/>
  <c r="BH52" i="438" s="1"/>
  <c r="BH55" i="438" s="1"/>
  <c r="BH57" i="438" s="1"/>
  <c r="BF34" i="438"/>
  <c r="BH33" i="438"/>
  <c r="BH39" i="438" s="1"/>
  <c r="BH44" i="438" s="1"/>
  <c r="BL10" i="438" s="1"/>
  <c r="BP30" i="438" s="1"/>
  <c r="BP37" i="438" s="1"/>
  <c r="BP45" i="438" s="1"/>
  <c r="BF33" i="438"/>
  <c r="C33" i="438"/>
  <c r="B33" i="438"/>
  <c r="C32" i="438"/>
  <c r="B32" i="438"/>
  <c r="BE31" i="438"/>
  <c r="BF32" i="438" s="1"/>
  <c r="BH30" i="438"/>
  <c r="BH37" i="438" s="1"/>
  <c r="BH43" i="438" s="1"/>
  <c r="BH48" i="438" s="1"/>
  <c r="BH53" i="438" s="1"/>
  <c r="BH56" i="438" s="1"/>
  <c r="BH58" i="438" s="1"/>
  <c r="BH59" i="438" s="1"/>
  <c r="BE30" i="438"/>
  <c r="BD30" i="438"/>
  <c r="E30" i="438"/>
  <c r="D30" i="438"/>
  <c r="BH29" i="438"/>
  <c r="BE29" i="438"/>
  <c r="BF30" i="438" s="1"/>
  <c r="BD29" i="438"/>
  <c r="BC29" i="438"/>
  <c r="C29" i="438"/>
  <c r="B29" i="438"/>
  <c r="BH28" i="438"/>
  <c r="BH35" i="438" s="1"/>
  <c r="BH41" i="438" s="1"/>
  <c r="BH46" i="438" s="1"/>
  <c r="BH51" i="438" s="1"/>
  <c r="BH54" i="438" s="1"/>
  <c r="BE28" i="438"/>
  <c r="BF29" i="438" s="1"/>
  <c r="BD28" i="438"/>
  <c r="BC28" i="438"/>
  <c r="BH27" i="438"/>
  <c r="BH34" i="438" s="1"/>
  <c r="BH40" i="438" s="1"/>
  <c r="BH45" i="438" s="1"/>
  <c r="BH50" i="438" s="1"/>
  <c r="BL11" i="438" s="1"/>
  <c r="BP38" i="438" s="1"/>
  <c r="BP46" i="438" s="1"/>
  <c r="BF27" i="438"/>
  <c r="BE27" i="438"/>
  <c r="BF28" i="438" s="1"/>
  <c r="BD27" i="438"/>
  <c r="BC27" i="438"/>
  <c r="E27" i="438"/>
  <c r="C27" i="438"/>
  <c r="B27" i="438"/>
  <c r="BH26" i="438"/>
  <c r="BF26" i="438"/>
  <c r="BE26" i="438"/>
  <c r="BD26" i="438"/>
  <c r="BC26" i="438"/>
  <c r="E26" i="438"/>
  <c r="D26" i="438"/>
  <c r="D27" i="438" s="1"/>
  <c r="C26" i="438"/>
  <c r="B26" i="438"/>
  <c r="BH25" i="438"/>
  <c r="BH32" i="438" s="1"/>
  <c r="BH38" i="438" s="1"/>
  <c r="BC25" i="438"/>
  <c r="E25" i="438"/>
  <c r="D25" i="438"/>
  <c r="D23" i="438" s="1"/>
  <c r="C25" i="438"/>
  <c r="B25" i="438"/>
  <c r="BH24" i="438"/>
  <c r="BH31" i="438" s="1"/>
  <c r="BH23" i="438"/>
  <c r="BL7" i="438" s="1"/>
  <c r="BP13" i="438" s="1"/>
  <c r="BP17" i="438" s="1"/>
  <c r="BP21" i="438" s="1"/>
  <c r="BP27" i="438" s="1"/>
  <c r="BP34" i="438" s="1"/>
  <c r="BP42" i="438" s="1"/>
  <c r="E23" i="438"/>
  <c r="B22" i="438"/>
  <c r="C22" i="438" s="1"/>
  <c r="BP20" i="438"/>
  <c r="BP26" i="438" s="1"/>
  <c r="BP33" i="438" s="1"/>
  <c r="BP41" i="438" s="1"/>
  <c r="B20" i="438"/>
  <c r="B21" i="438" s="1"/>
  <c r="AK19" i="438"/>
  <c r="AG19" i="438"/>
  <c r="Z19" i="438"/>
  <c r="P19" i="438"/>
  <c r="AA18" i="438"/>
  <c r="Q18" i="438"/>
  <c r="AK17" i="438"/>
  <c r="AG17" i="438"/>
  <c r="Z17" i="438"/>
  <c r="P17" i="438"/>
  <c r="AA16" i="438"/>
  <c r="Q16" i="438"/>
  <c r="C16" i="438"/>
  <c r="B16" i="438"/>
  <c r="BP15" i="438"/>
  <c r="BP19" i="438" s="1"/>
  <c r="BP25" i="438" s="1"/>
  <c r="BP32" i="438" s="1"/>
  <c r="BP40" i="438" s="1"/>
  <c r="AA15" i="438"/>
  <c r="Q15" i="438"/>
  <c r="AN14" i="438"/>
  <c r="Z14" i="438"/>
  <c r="P14" i="438"/>
  <c r="BL13" i="438"/>
  <c r="Z13" i="438"/>
  <c r="P13" i="438"/>
  <c r="BL12" i="438"/>
  <c r="BP47" i="438" s="1"/>
  <c r="AA12" i="438"/>
  <c r="Q12" i="438"/>
  <c r="AK11" i="438"/>
  <c r="AG11" i="438"/>
  <c r="Z11" i="438"/>
  <c r="P11" i="438"/>
  <c r="AK10" i="438"/>
  <c r="AG10" i="438"/>
  <c r="Z10" i="438"/>
  <c r="P10" i="438"/>
  <c r="BL9" i="438"/>
  <c r="BP23" i="438" s="1"/>
  <c r="BP29" i="438" s="1"/>
  <c r="BP36" i="438" s="1"/>
  <c r="BP44" i="438" s="1"/>
  <c r="AK9" i="438"/>
  <c r="AG9" i="438"/>
  <c r="Z9" i="438"/>
  <c r="P9" i="438"/>
  <c r="BL8" i="438"/>
  <c r="BP18" i="438" s="1"/>
  <c r="BP22" i="438" s="1"/>
  <c r="BP28" i="438" s="1"/>
  <c r="BP35" i="438" s="1"/>
  <c r="BP43" i="438" s="1"/>
  <c r="AK8" i="438"/>
  <c r="AG8" i="438"/>
  <c r="Z8" i="438"/>
  <c r="P8" i="438"/>
  <c r="AA7" i="438"/>
  <c r="Z7" i="438"/>
  <c r="P7" i="438"/>
  <c r="Q7" i="438" s="1"/>
  <c r="BP6" i="438"/>
  <c r="BP8" i="438" s="1"/>
  <c r="BP11" i="438" s="1"/>
  <c r="BL6" i="438"/>
  <c r="BP9" i="438" s="1"/>
  <c r="BP12" i="438" s="1"/>
  <c r="BP16" i="438" s="1"/>
  <c r="AK6" i="438"/>
  <c r="AG6" i="438"/>
  <c r="Z6" i="438"/>
  <c r="P6" i="438"/>
  <c r="BP5" i="438"/>
  <c r="BP7" i="438" s="1"/>
  <c r="BP10" i="438" s="1"/>
  <c r="BP14" i="438" s="1"/>
  <c r="BH49" i="438" s="1"/>
  <c r="BP24" i="438" s="1"/>
  <c r="BP31" i="438" s="1"/>
  <c r="BP39" i="438" s="1"/>
  <c r="BL14" i="438" s="1"/>
  <c r="AK5" i="438"/>
  <c r="AG5" i="438"/>
  <c r="Z5" i="438"/>
  <c r="P5" i="438"/>
  <c r="D3" i="438"/>
  <c r="K3" i="438" s="1"/>
  <c r="AI2" i="438"/>
  <c r="S2" i="438"/>
  <c r="S1" i="438"/>
  <c r="AN10" i="438" l="1"/>
  <c r="AN5" i="438"/>
  <c r="R15" i="438"/>
  <c r="R16" i="438"/>
  <c r="S16" i="438" s="1"/>
  <c r="R7" i="438"/>
  <c r="R12" i="438"/>
  <c r="S12" i="438" s="1"/>
  <c r="AN17" i="438"/>
  <c r="AN11" i="438"/>
  <c r="AN19" i="438"/>
  <c r="AN6" i="438"/>
  <c r="AN9" i="438"/>
  <c r="AN8" i="438"/>
  <c r="C31" i="438"/>
  <c r="W39" i="438" s="1"/>
  <c r="AB7" i="438"/>
  <c r="AC7" i="438" s="1"/>
  <c r="B23" i="438"/>
  <c r="B24" i="438" s="1"/>
  <c r="N26" i="438" s="1"/>
  <c r="AB16" i="438"/>
  <c r="AB15" i="438"/>
  <c r="AC15" i="438" s="1"/>
  <c r="AB18" i="438"/>
  <c r="N29" i="438"/>
  <c r="P29" i="438" s="1"/>
  <c r="AC16" i="438"/>
  <c r="AC18" i="438"/>
  <c r="S7" i="438"/>
  <c r="S15" i="438"/>
  <c r="G2" i="438"/>
  <c r="BF31" i="438"/>
  <c r="G1" i="438"/>
  <c r="K2" i="438"/>
  <c r="G3" i="438"/>
  <c r="R18" i="438"/>
  <c r="B34" i="438"/>
  <c r="K1" i="438"/>
  <c r="AB12" i="438"/>
  <c r="B31" i="438"/>
  <c r="T46" i="438" s="1"/>
  <c r="BF44" i="438"/>
  <c r="Z14" i="436"/>
  <c r="P14" i="436"/>
  <c r="Z14" i="437"/>
  <c r="P14" i="437"/>
  <c r="N25" i="438" l="1"/>
  <c r="N28" i="438"/>
  <c r="P28" i="438" s="1"/>
  <c r="C23" i="438"/>
  <c r="T27" i="438" s="1"/>
  <c r="N27" i="438"/>
  <c r="P27" i="438" s="1"/>
  <c r="R32" i="438" s="1"/>
  <c r="N30" i="438"/>
  <c r="P30" i="438" s="1"/>
  <c r="R35" i="438" s="1"/>
  <c r="AI19" i="438"/>
  <c r="O19" i="438" s="1"/>
  <c r="Q19" i="438" s="1"/>
  <c r="R19" i="438" s="1"/>
  <c r="AI10" i="438"/>
  <c r="O10" i="438" s="1"/>
  <c r="Q10" i="438" s="1"/>
  <c r="R10" i="438" s="1"/>
  <c r="S10" i="438" s="1"/>
  <c r="Y10" i="438"/>
  <c r="AA10" i="438" s="1"/>
  <c r="AB10" i="438" s="1"/>
  <c r="AC10" i="438" s="1"/>
  <c r="AI11" i="438"/>
  <c r="Y11" i="438" s="1"/>
  <c r="AA11" i="438" s="1"/>
  <c r="AB11" i="438" s="1"/>
  <c r="AC11" i="438" s="1"/>
  <c r="AI8" i="438"/>
  <c r="O8" i="438" s="1"/>
  <c r="Q8" i="438" s="1"/>
  <c r="R8" i="438" s="1"/>
  <c r="S8" i="438" s="1"/>
  <c r="AI9" i="438"/>
  <c r="Y9" i="438" s="1"/>
  <c r="AA9" i="438" s="1"/>
  <c r="AB9" i="438" s="1"/>
  <c r="AC9" i="438" s="1"/>
  <c r="AI5" i="438"/>
  <c r="T34" i="438"/>
  <c r="T35" i="438"/>
  <c r="Y19" i="438"/>
  <c r="AA19" i="438" s="1"/>
  <c r="AB19" i="438" s="1"/>
  <c r="AC19" i="438" s="1"/>
  <c r="AI17" i="438"/>
  <c r="AI13" i="438"/>
  <c r="O13" i="438" s="1"/>
  <c r="Q13" i="438" s="1"/>
  <c r="R13" i="438" s="1"/>
  <c r="AI14" i="438"/>
  <c r="AI6" i="438"/>
  <c r="T44" i="438"/>
  <c r="T42" i="438"/>
  <c r="T43" i="438"/>
  <c r="R34" i="438"/>
  <c r="AC12" i="438"/>
  <c r="T39" i="438"/>
  <c r="T41" i="438"/>
  <c r="T49" i="438"/>
  <c r="T32" i="438"/>
  <c r="C34" i="438"/>
  <c r="T31" i="438"/>
  <c r="T29" i="438"/>
  <c r="T25" i="438"/>
  <c r="T26" i="438"/>
  <c r="S19" i="438"/>
  <c r="P25" i="438"/>
  <c r="R33" i="438"/>
  <c r="S18" i="438"/>
  <c r="W25" i="438"/>
  <c r="T40" i="438"/>
  <c r="T45" i="438"/>
  <c r="T47" i="438"/>
  <c r="T48" i="438"/>
  <c r="P26" i="438"/>
  <c r="AI19" i="436"/>
  <c r="AI17" i="436"/>
  <c r="AI14" i="436"/>
  <c r="AI13" i="436"/>
  <c r="AI11" i="436"/>
  <c r="AI10" i="436"/>
  <c r="AI9" i="436"/>
  <c r="AI8" i="436"/>
  <c r="AI6" i="436"/>
  <c r="AI5" i="436"/>
  <c r="AN19" i="436"/>
  <c r="AN17" i="436"/>
  <c r="AN14" i="436"/>
  <c r="AN11" i="436"/>
  <c r="AN10" i="436"/>
  <c r="AN9" i="436"/>
  <c r="AN8" i="436"/>
  <c r="AN6" i="436"/>
  <c r="AN5" i="436"/>
  <c r="AN14" i="437"/>
  <c r="BF48" i="437"/>
  <c r="BF47" i="437"/>
  <c r="BF46" i="437"/>
  <c r="BE45" i="437"/>
  <c r="BE44" i="437"/>
  <c r="BF45" i="437" s="1"/>
  <c r="BD44" i="437"/>
  <c r="BE43" i="437"/>
  <c r="BF44" i="437" s="1"/>
  <c r="BD43" i="437"/>
  <c r="BC43" i="437"/>
  <c r="BF42" i="437"/>
  <c r="BE42" i="437"/>
  <c r="BF43" i="437" s="1"/>
  <c r="BD42" i="437"/>
  <c r="BC42" i="437"/>
  <c r="BF41" i="437"/>
  <c r="BE41" i="437"/>
  <c r="BD41" i="437"/>
  <c r="BC41" i="437"/>
  <c r="BH40" i="437"/>
  <c r="BH45" i="437" s="1"/>
  <c r="BH50" i="437" s="1"/>
  <c r="BL11" i="437" s="1"/>
  <c r="BP38" i="437" s="1"/>
  <c r="BP46" i="437" s="1"/>
  <c r="BF40" i="437"/>
  <c r="BE40" i="437"/>
  <c r="BD40" i="437"/>
  <c r="BC40" i="437"/>
  <c r="BC39" i="437"/>
  <c r="AS38" i="437"/>
  <c r="AR38" i="437"/>
  <c r="AQ38" i="437"/>
  <c r="AP38" i="437"/>
  <c r="AO38" i="437"/>
  <c r="AN38" i="437"/>
  <c r="AM38" i="437"/>
  <c r="AL38" i="437"/>
  <c r="AK38" i="437"/>
  <c r="AJ38" i="437"/>
  <c r="AI38" i="437"/>
  <c r="AH38" i="437"/>
  <c r="AG38" i="437"/>
  <c r="AF38" i="437"/>
  <c r="AE38" i="437"/>
  <c r="AD38" i="437"/>
  <c r="AC38" i="437"/>
  <c r="AB38" i="437"/>
  <c r="AA38" i="437"/>
  <c r="Z38" i="437"/>
  <c r="Y38" i="437"/>
  <c r="X38" i="437"/>
  <c r="W38" i="437"/>
  <c r="V38" i="437"/>
  <c r="U38" i="437"/>
  <c r="T38" i="437"/>
  <c r="S38" i="437"/>
  <c r="R38" i="437"/>
  <c r="Q38" i="437"/>
  <c r="P38" i="437"/>
  <c r="O38" i="437"/>
  <c r="N38" i="437"/>
  <c r="M38" i="437"/>
  <c r="L38" i="437"/>
  <c r="K38" i="437"/>
  <c r="J38" i="437"/>
  <c r="I38" i="437"/>
  <c r="H38" i="437"/>
  <c r="G38" i="437"/>
  <c r="BH36" i="437"/>
  <c r="BH42" i="437" s="1"/>
  <c r="BH47" i="437" s="1"/>
  <c r="BH52" i="437" s="1"/>
  <c r="BH55" i="437" s="1"/>
  <c r="BH57" i="437" s="1"/>
  <c r="BL13" i="437" s="1"/>
  <c r="BF34" i="437"/>
  <c r="BF33" i="437"/>
  <c r="C33" i="437"/>
  <c r="B33" i="437"/>
  <c r="BH32" i="437"/>
  <c r="BH38" i="437" s="1"/>
  <c r="BL9" i="437" s="1"/>
  <c r="BP23" i="437" s="1"/>
  <c r="BP29" i="437" s="1"/>
  <c r="BP36" i="437" s="1"/>
  <c r="BP44" i="437" s="1"/>
  <c r="C32" i="437"/>
  <c r="B32" i="437"/>
  <c r="BH31" i="437"/>
  <c r="BL8" i="437" s="1"/>
  <c r="BP18" i="437" s="1"/>
  <c r="BP22" i="437" s="1"/>
  <c r="BP28" i="437" s="1"/>
  <c r="BP35" i="437" s="1"/>
  <c r="BP43" i="437" s="1"/>
  <c r="BE31" i="437"/>
  <c r="BF32" i="437" s="1"/>
  <c r="BP30" i="437"/>
  <c r="BP37" i="437" s="1"/>
  <c r="BP45" i="437" s="1"/>
  <c r="BH30" i="437"/>
  <c r="BH37" i="437" s="1"/>
  <c r="BH43" i="437" s="1"/>
  <c r="BH48" i="437" s="1"/>
  <c r="BH53" i="437" s="1"/>
  <c r="BH56" i="437" s="1"/>
  <c r="BH58" i="437" s="1"/>
  <c r="BH59" i="437" s="1"/>
  <c r="BE30" i="437"/>
  <c r="BD30" i="437"/>
  <c r="E30" i="437"/>
  <c r="D30" i="437"/>
  <c r="BH29" i="437"/>
  <c r="BE29" i="437"/>
  <c r="BF30" i="437" s="1"/>
  <c r="BD29" i="437"/>
  <c r="BC29" i="437"/>
  <c r="C29" i="437"/>
  <c r="B29" i="437"/>
  <c r="BH28" i="437"/>
  <c r="BH35" i="437" s="1"/>
  <c r="BH41" i="437" s="1"/>
  <c r="BH46" i="437" s="1"/>
  <c r="BH51" i="437" s="1"/>
  <c r="BH54" i="437" s="1"/>
  <c r="BF28" i="437"/>
  <c r="BE28" i="437"/>
  <c r="BD28" i="437"/>
  <c r="BC28" i="437"/>
  <c r="BH27" i="437"/>
  <c r="BH34" i="437" s="1"/>
  <c r="BF27" i="437"/>
  <c r="BE27" i="437"/>
  <c r="BD27" i="437"/>
  <c r="BC27" i="437"/>
  <c r="D27" i="437"/>
  <c r="C27" i="437"/>
  <c r="B27" i="437"/>
  <c r="BH26" i="437"/>
  <c r="BH33" i="437" s="1"/>
  <c r="BH39" i="437" s="1"/>
  <c r="BH44" i="437" s="1"/>
  <c r="BF26" i="437"/>
  <c r="BE26" i="437"/>
  <c r="BD26" i="437"/>
  <c r="BC26" i="437"/>
  <c r="E26" i="437"/>
  <c r="E27" i="437" s="1"/>
  <c r="D26" i="437"/>
  <c r="C26" i="437"/>
  <c r="B26" i="437"/>
  <c r="BH25" i="437"/>
  <c r="BC25" i="437"/>
  <c r="E25" i="437"/>
  <c r="E23" i="437" s="1"/>
  <c r="D25" i="437"/>
  <c r="C25" i="437"/>
  <c r="B25" i="437"/>
  <c r="BH24" i="437"/>
  <c r="BH23" i="437"/>
  <c r="D23" i="437"/>
  <c r="B22" i="437"/>
  <c r="R12" i="437" s="1"/>
  <c r="B20" i="437"/>
  <c r="B21" i="437" s="1"/>
  <c r="AK19" i="437"/>
  <c r="AG19" i="437"/>
  <c r="AA18" i="437"/>
  <c r="Q18" i="437"/>
  <c r="AK17" i="437"/>
  <c r="AG17" i="437"/>
  <c r="Z17" i="437"/>
  <c r="P17" i="437"/>
  <c r="AA16" i="437"/>
  <c r="Q16" i="437"/>
  <c r="C16" i="437"/>
  <c r="B16" i="437"/>
  <c r="AA15" i="437"/>
  <c r="Q15" i="437"/>
  <c r="Z13" i="437"/>
  <c r="P13" i="437"/>
  <c r="BL12" i="437"/>
  <c r="BP47" i="437" s="1"/>
  <c r="AA12" i="437"/>
  <c r="Q12" i="437"/>
  <c r="AK11" i="437"/>
  <c r="AN11" i="437" s="1"/>
  <c r="AI11" i="437" s="1"/>
  <c r="AG11" i="437"/>
  <c r="Z11" i="437"/>
  <c r="P11" i="437"/>
  <c r="BL10" i="437"/>
  <c r="AK10" i="437"/>
  <c r="AN10" i="437" s="1"/>
  <c r="AI10" i="437" s="1"/>
  <c r="AG10" i="437"/>
  <c r="Z10" i="437"/>
  <c r="P10" i="437"/>
  <c r="AK9" i="437"/>
  <c r="AG9" i="437"/>
  <c r="Z9" i="437"/>
  <c r="P9" i="437"/>
  <c r="AK8" i="437"/>
  <c r="AG8" i="437"/>
  <c r="Z8" i="437"/>
  <c r="P8" i="437"/>
  <c r="BL7" i="437"/>
  <c r="BP13" i="437" s="1"/>
  <c r="BP17" i="437" s="1"/>
  <c r="BP21" i="437" s="1"/>
  <c r="BP27" i="437" s="1"/>
  <c r="BP34" i="437" s="1"/>
  <c r="BP42" i="437" s="1"/>
  <c r="AA7" i="437"/>
  <c r="Z7" i="437"/>
  <c r="P7" i="437"/>
  <c r="Q7" i="437" s="1"/>
  <c r="BP6" i="437"/>
  <c r="BP8" i="437" s="1"/>
  <c r="BP11" i="437" s="1"/>
  <c r="BP15" i="437" s="1"/>
  <c r="BP19" i="437" s="1"/>
  <c r="BP25" i="437" s="1"/>
  <c r="BP32" i="437" s="1"/>
  <c r="BP40" i="437" s="1"/>
  <c r="BL6" i="437"/>
  <c r="BP9" i="437" s="1"/>
  <c r="BP12" i="437" s="1"/>
  <c r="BP16" i="437" s="1"/>
  <c r="BP20" i="437" s="1"/>
  <c r="BP26" i="437" s="1"/>
  <c r="BP33" i="437" s="1"/>
  <c r="BP41" i="437" s="1"/>
  <c r="AK6" i="437"/>
  <c r="AG6" i="437"/>
  <c r="AN6" i="437" s="1"/>
  <c r="Z6" i="437"/>
  <c r="P6" i="437"/>
  <c r="BP5" i="437"/>
  <c r="BP7" i="437" s="1"/>
  <c r="BP10" i="437" s="1"/>
  <c r="BP14" i="437" s="1"/>
  <c r="BH49" i="437" s="1"/>
  <c r="BP24" i="437" s="1"/>
  <c r="BP31" i="437" s="1"/>
  <c r="BP39" i="437" s="1"/>
  <c r="BL14" i="437" s="1"/>
  <c r="AK5" i="437"/>
  <c r="AG5" i="437"/>
  <c r="Z5" i="437"/>
  <c r="P5" i="437"/>
  <c r="D3" i="437"/>
  <c r="K3" i="437" s="1"/>
  <c r="AI2" i="437"/>
  <c r="S2" i="437"/>
  <c r="G2" i="437"/>
  <c r="S1" i="437"/>
  <c r="R7" i="437" l="1"/>
  <c r="C22" i="437"/>
  <c r="AB18" i="437" s="1"/>
  <c r="R31" i="438"/>
  <c r="N23" i="438"/>
  <c r="T28" i="438"/>
  <c r="T30" i="438"/>
  <c r="T23" i="438" s="1"/>
  <c r="T33" i="438"/>
  <c r="C24" i="438"/>
  <c r="O9" i="438"/>
  <c r="Q9" i="438" s="1"/>
  <c r="R9" i="438" s="1"/>
  <c r="S9" i="438" s="1"/>
  <c r="O14" i="438"/>
  <c r="Q14" i="438" s="1"/>
  <c r="R14" i="438" s="1"/>
  <c r="S14" i="438" s="1"/>
  <c r="Y14" i="438"/>
  <c r="AA14" i="438" s="1"/>
  <c r="AB14" i="438" s="1"/>
  <c r="AC14" i="438" s="1"/>
  <c r="O11" i="438"/>
  <c r="Q11" i="438" s="1"/>
  <c r="R11" i="438" s="1"/>
  <c r="S11" i="438" s="1"/>
  <c r="Y8" i="438"/>
  <c r="AA8" i="438" s="1"/>
  <c r="AB8" i="438" s="1"/>
  <c r="AC8" i="438" s="1"/>
  <c r="O5" i="438"/>
  <c r="Q5" i="438" s="1"/>
  <c r="R5" i="438" s="1"/>
  <c r="S5" i="438" s="1"/>
  <c r="Y5" i="438"/>
  <c r="AA5" i="438" s="1"/>
  <c r="AB5" i="438" s="1"/>
  <c r="AC5" i="438" s="1"/>
  <c r="Y13" i="438"/>
  <c r="AA13" i="438" s="1"/>
  <c r="AB13" i="438" s="1"/>
  <c r="AC13" i="438" s="1"/>
  <c r="R26" i="438"/>
  <c r="Y17" i="438"/>
  <c r="AA17" i="438" s="1"/>
  <c r="AB17" i="438" s="1"/>
  <c r="AC17" i="438" s="1"/>
  <c r="O17" i="438"/>
  <c r="Q17" i="438" s="1"/>
  <c r="R17" i="438" s="1"/>
  <c r="S17" i="438" s="1"/>
  <c r="O6" i="438"/>
  <c r="Q6" i="438" s="1"/>
  <c r="R6" i="438" s="1"/>
  <c r="S6" i="438" s="1"/>
  <c r="Y6" i="438"/>
  <c r="AA6" i="438" s="1"/>
  <c r="AB6" i="438" s="1"/>
  <c r="AC6" i="438" s="1"/>
  <c r="T37" i="438"/>
  <c r="R28" i="438"/>
  <c r="R25" i="438"/>
  <c r="V26" i="438" s="1"/>
  <c r="R27" i="438"/>
  <c r="R30" i="438"/>
  <c r="R29" i="438"/>
  <c r="P23" i="438"/>
  <c r="N43" i="438"/>
  <c r="P43" i="438" s="1"/>
  <c r="N41" i="438"/>
  <c r="P41" i="438" s="1"/>
  <c r="N44" i="438"/>
  <c r="P44" i="438" s="1"/>
  <c r="N39" i="438"/>
  <c r="N40" i="438"/>
  <c r="P40" i="438" s="1"/>
  <c r="N42" i="438"/>
  <c r="P42" i="438" s="1"/>
  <c r="S13" i="438"/>
  <c r="AN17" i="437"/>
  <c r="AN5" i="437"/>
  <c r="AN9" i="437"/>
  <c r="AN19" i="437"/>
  <c r="AI14" i="437" s="1"/>
  <c r="AN8" i="437"/>
  <c r="B31" i="437"/>
  <c r="W25" i="437" s="1"/>
  <c r="C31" i="437"/>
  <c r="W39" i="437" s="1"/>
  <c r="AB7" i="437"/>
  <c r="AC7" i="437" s="1"/>
  <c r="AB16" i="437"/>
  <c r="AC16" i="437" s="1"/>
  <c r="AC18" i="437"/>
  <c r="S7" i="437"/>
  <c r="G1" i="437"/>
  <c r="K2" i="437"/>
  <c r="G3" i="437"/>
  <c r="S12" i="437"/>
  <c r="K1" i="437"/>
  <c r="R15" i="437"/>
  <c r="R18" i="437"/>
  <c r="B23" i="437"/>
  <c r="C23" i="437" s="1"/>
  <c r="R16" i="437"/>
  <c r="BF29" i="437"/>
  <c r="BF31" i="437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AB15" i="437" l="1"/>
  <c r="AC15" i="437" s="1"/>
  <c r="AB12" i="437"/>
  <c r="AC12" i="437" s="1"/>
  <c r="T45" i="437"/>
  <c r="T13" i="438"/>
  <c r="AD13" i="438"/>
  <c r="AE13" i="438"/>
  <c r="U13" i="438"/>
  <c r="AD6" i="438"/>
  <c r="T6" i="438"/>
  <c r="U11" i="438"/>
  <c r="AE7" i="438"/>
  <c r="T7" i="438"/>
  <c r="T5" i="438"/>
  <c r="AE6" i="438"/>
  <c r="AD18" i="438"/>
  <c r="T15" i="438"/>
  <c r="U14" i="438"/>
  <c r="T8" i="438"/>
  <c r="T12" i="438"/>
  <c r="T10" i="438"/>
  <c r="AD10" i="438"/>
  <c r="AD14" i="438"/>
  <c r="AE9" i="438"/>
  <c r="AD16" i="438"/>
  <c r="T14" i="438"/>
  <c r="AA26" i="438"/>
  <c r="AA25" i="438"/>
  <c r="AA23" i="438" s="1"/>
  <c r="AE14" i="438"/>
  <c r="AD15" i="438"/>
  <c r="AC20" i="438"/>
  <c r="L39" i="438" s="1"/>
  <c r="T16" i="438"/>
  <c r="S20" i="438"/>
  <c r="L25" i="438" s="1"/>
  <c r="V31" i="438"/>
  <c r="AK27" i="438" s="1"/>
  <c r="U16" i="438"/>
  <c r="U15" i="438"/>
  <c r="U17" i="438"/>
  <c r="T19" i="438"/>
  <c r="AD17" i="438"/>
  <c r="V32" i="438"/>
  <c r="AM31" i="438" s="1"/>
  <c r="AE15" i="438"/>
  <c r="U7" i="438"/>
  <c r="T17" i="438"/>
  <c r="T11" i="438"/>
  <c r="U18" i="438"/>
  <c r="AD8" i="438"/>
  <c r="AE17" i="438"/>
  <c r="AD5" i="438"/>
  <c r="AD19" i="438"/>
  <c r="AE18" i="438"/>
  <c r="AD7" i="438"/>
  <c r="V27" i="438"/>
  <c r="AC27" i="438" s="1"/>
  <c r="AE16" i="438"/>
  <c r="T9" i="438"/>
  <c r="AD11" i="438"/>
  <c r="T18" i="438"/>
  <c r="AD9" i="438"/>
  <c r="AE11" i="438"/>
  <c r="AE12" i="438"/>
  <c r="AE5" i="438"/>
  <c r="AE8" i="438"/>
  <c r="V30" i="438"/>
  <c r="N37" i="438"/>
  <c r="P39" i="438"/>
  <c r="R40" i="438" s="1"/>
  <c r="R23" i="438"/>
  <c r="V25" i="438"/>
  <c r="V33" i="438"/>
  <c r="V34" i="438"/>
  <c r="AE10" i="438"/>
  <c r="U5" i="438"/>
  <c r="U9" i="438"/>
  <c r="U6" i="438"/>
  <c r="U12" i="438"/>
  <c r="R47" i="438"/>
  <c r="R49" i="438"/>
  <c r="R48" i="438"/>
  <c r="R46" i="438"/>
  <c r="R45" i="438"/>
  <c r="V28" i="438"/>
  <c r="AD12" i="438"/>
  <c r="V29" i="438"/>
  <c r="U8" i="438"/>
  <c r="U10" i="438"/>
  <c r="AI9" i="437"/>
  <c r="AI5" i="437"/>
  <c r="T42" i="437"/>
  <c r="T41" i="437"/>
  <c r="T48" i="437"/>
  <c r="T39" i="437"/>
  <c r="T46" i="437"/>
  <c r="T43" i="437"/>
  <c r="T49" i="437"/>
  <c r="C34" i="437"/>
  <c r="T32" i="437"/>
  <c r="T26" i="437"/>
  <c r="C24" i="437"/>
  <c r="T28" i="437"/>
  <c r="T25" i="437"/>
  <c r="T27" i="437"/>
  <c r="T29" i="437"/>
  <c r="T34" i="437"/>
  <c r="T30" i="437"/>
  <c r="T33" i="437"/>
  <c r="T35" i="437"/>
  <c r="T31" i="437"/>
  <c r="S15" i="437"/>
  <c r="Y9" i="437"/>
  <c r="AA9" i="437" s="1"/>
  <c r="AB9" i="437" s="1"/>
  <c r="O9" i="437"/>
  <c r="Q9" i="437" s="1"/>
  <c r="R9" i="437" s="1"/>
  <c r="Y11" i="437"/>
  <c r="AA11" i="437" s="1"/>
  <c r="AB11" i="437" s="1"/>
  <c r="O11" i="437"/>
  <c r="Q11" i="437" s="1"/>
  <c r="R11" i="437" s="1"/>
  <c r="B34" i="437"/>
  <c r="T47" i="437"/>
  <c r="T40" i="437"/>
  <c r="B24" i="437"/>
  <c r="T44" i="437"/>
  <c r="S16" i="437"/>
  <c r="S18" i="437"/>
  <c r="O10" i="437"/>
  <c r="Q10" i="437" s="1"/>
  <c r="R10" i="437" s="1"/>
  <c r="Y10" i="437"/>
  <c r="AA10" i="437" s="1"/>
  <c r="AB10" i="437" s="1"/>
  <c r="O5" i="437"/>
  <c r="Q5" i="437" s="1"/>
  <c r="R5" i="437" s="1"/>
  <c r="Y5" i="437"/>
  <c r="AA5" i="437" s="1"/>
  <c r="AB5" i="437" s="1"/>
  <c r="Y17" i="436"/>
  <c r="O13" i="436"/>
  <c r="Y9" i="436"/>
  <c r="Y5" i="436"/>
  <c r="O6" i="436"/>
  <c r="Y6" i="436"/>
  <c r="O8" i="436"/>
  <c r="Y11" i="436"/>
  <c r="Y10" i="436"/>
  <c r="Y8" i="436"/>
  <c r="Y13" i="436"/>
  <c r="O9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AM29" i="438" l="1"/>
  <c r="AM28" i="438"/>
  <c r="R41" i="438"/>
  <c r="AM30" i="438"/>
  <c r="AM25" i="438"/>
  <c r="AM26" i="438"/>
  <c r="AM32" i="438"/>
  <c r="AC25" i="438"/>
  <c r="AC26" i="438"/>
  <c r="AM27" i="438"/>
  <c r="AE20" i="438"/>
  <c r="L41" i="438" s="1"/>
  <c r="T20" i="438"/>
  <c r="L26" i="438" s="1"/>
  <c r="AK25" i="438"/>
  <c r="AK26" i="438"/>
  <c r="AK29" i="438"/>
  <c r="AK30" i="438"/>
  <c r="AK31" i="438"/>
  <c r="AK28" i="438"/>
  <c r="R42" i="438"/>
  <c r="AD20" i="438"/>
  <c r="L40" i="438" s="1"/>
  <c r="U20" i="438"/>
  <c r="L27" i="438" s="1"/>
  <c r="AG25" i="438"/>
  <c r="AG27" i="438"/>
  <c r="AG29" i="438"/>
  <c r="AG28" i="438"/>
  <c r="AG26" i="438"/>
  <c r="AQ31" i="438"/>
  <c r="AQ26" i="438"/>
  <c r="AQ32" i="438"/>
  <c r="AQ28" i="438"/>
  <c r="AQ34" i="438"/>
  <c r="AQ29" i="438"/>
  <c r="AQ27" i="438"/>
  <c r="AQ30" i="438"/>
  <c r="AQ33" i="438"/>
  <c r="AQ25" i="438"/>
  <c r="R39" i="438"/>
  <c r="P37" i="438"/>
  <c r="Y25" i="438"/>
  <c r="V23" i="438"/>
  <c r="V35" i="438" s="1"/>
  <c r="V22" i="438" s="1"/>
  <c r="AI29" i="438"/>
  <c r="AI30" i="438"/>
  <c r="AI27" i="438"/>
  <c r="AI26" i="438"/>
  <c r="AI25" i="438"/>
  <c r="AI28" i="438"/>
  <c r="AE27" i="438"/>
  <c r="AE25" i="438"/>
  <c r="AE28" i="438"/>
  <c r="AE26" i="438"/>
  <c r="R44" i="438"/>
  <c r="AO29" i="438"/>
  <c r="AO33" i="438"/>
  <c r="AO28" i="438"/>
  <c r="AO32" i="438"/>
  <c r="AO25" i="438"/>
  <c r="AO30" i="438"/>
  <c r="AO31" i="438"/>
  <c r="AO26" i="438"/>
  <c r="AO27" i="438"/>
  <c r="R43" i="438"/>
  <c r="T37" i="437"/>
  <c r="T23" i="437"/>
  <c r="AC5" i="437"/>
  <c r="S9" i="437"/>
  <c r="N43" i="437"/>
  <c r="P43" i="437" s="1"/>
  <c r="N41" i="437"/>
  <c r="P41" i="437" s="1"/>
  <c r="N44" i="437"/>
  <c r="P44" i="437" s="1"/>
  <c r="N40" i="437"/>
  <c r="P40" i="437" s="1"/>
  <c r="N42" i="437"/>
  <c r="P42" i="437" s="1"/>
  <c r="N39" i="437"/>
  <c r="AC11" i="437"/>
  <c r="S5" i="437"/>
  <c r="N30" i="437"/>
  <c r="P30" i="437" s="1"/>
  <c r="R35" i="437" s="1"/>
  <c r="N26" i="437"/>
  <c r="N28" i="437"/>
  <c r="P28" i="437" s="1"/>
  <c r="N25" i="437"/>
  <c r="N29" i="437"/>
  <c r="P29" i="437" s="1"/>
  <c r="R34" i="437" s="1"/>
  <c r="N27" i="437"/>
  <c r="P27" i="437" s="1"/>
  <c r="AC9" i="437"/>
  <c r="AC10" i="437"/>
  <c r="S10" i="437"/>
  <c r="S11" i="437"/>
  <c r="O10" i="436"/>
  <c r="Q10" i="436" s="1"/>
  <c r="R10" i="436" s="1"/>
  <c r="O11" i="436"/>
  <c r="Q11" i="436" s="1"/>
  <c r="R11" i="436" s="1"/>
  <c r="O5" i="436"/>
  <c r="Q5" i="436" s="1"/>
  <c r="R5" i="436" s="1"/>
  <c r="Y19" i="436"/>
  <c r="AA19" i="436" s="1"/>
  <c r="AB19" i="436" s="1"/>
  <c r="O19" i="436"/>
  <c r="Q19" i="436" s="1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AM23" i="438" l="1"/>
  <c r="AC23" i="438"/>
  <c r="AI23" i="438"/>
  <c r="AF20" i="438"/>
  <c r="L42" i="438" s="1"/>
  <c r="L37" i="438" s="1"/>
  <c r="AK23" i="438"/>
  <c r="AQ23" i="438"/>
  <c r="AO23" i="438"/>
  <c r="V20" i="438"/>
  <c r="L28" i="438" s="1"/>
  <c r="L23" i="438" s="1"/>
  <c r="AG23" i="438"/>
  <c r="AE23" i="438"/>
  <c r="R37" i="438"/>
  <c r="V39" i="438"/>
  <c r="V43" i="438"/>
  <c r="V46" i="438"/>
  <c r="V44" i="438"/>
  <c r="V48" i="438"/>
  <c r="V45" i="438"/>
  <c r="V47" i="438"/>
  <c r="V41" i="438"/>
  <c r="AS31" i="438"/>
  <c r="J31" i="438" s="1"/>
  <c r="AS28" i="438"/>
  <c r="J28" i="438" s="1"/>
  <c r="AS34" i="438"/>
  <c r="J34" i="438" s="1"/>
  <c r="AS27" i="438"/>
  <c r="J27" i="438" s="1"/>
  <c r="AS35" i="438"/>
  <c r="J35" i="438" s="1"/>
  <c r="AS30" i="438"/>
  <c r="J30" i="438" s="1"/>
  <c r="AS26" i="438"/>
  <c r="J26" i="438" s="1"/>
  <c r="AS25" i="438"/>
  <c r="AS33" i="438"/>
  <c r="J33" i="438" s="1"/>
  <c r="AS32" i="438"/>
  <c r="J32" i="438" s="1"/>
  <c r="AS29" i="438"/>
  <c r="J29" i="438" s="1"/>
  <c r="Y23" i="438"/>
  <c r="V40" i="438"/>
  <c r="V42" i="438"/>
  <c r="R32" i="437"/>
  <c r="P25" i="437"/>
  <c r="N23" i="437"/>
  <c r="R33" i="437"/>
  <c r="R47" i="437"/>
  <c r="R49" i="437"/>
  <c r="R46" i="437"/>
  <c r="R45" i="437"/>
  <c r="R48" i="437"/>
  <c r="P26" i="437"/>
  <c r="R31" i="437" s="1"/>
  <c r="P39" i="437"/>
  <c r="R44" i="437" s="1"/>
  <c r="N37" i="437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S23" i="438" l="1"/>
  <c r="H33" i="438"/>
  <c r="H31" i="438"/>
  <c r="H30" i="438"/>
  <c r="AC41" i="438"/>
  <c r="AC40" i="438"/>
  <c r="AC39" i="438"/>
  <c r="AA39" i="438"/>
  <c r="AA40" i="438"/>
  <c r="AS22" i="438"/>
  <c r="H32" i="438"/>
  <c r="AO45" i="438"/>
  <c r="AO39" i="438"/>
  <c r="AO44" i="438"/>
  <c r="AO46" i="438"/>
  <c r="AO41" i="438"/>
  <c r="AO42" i="438"/>
  <c r="AO43" i="438"/>
  <c r="AO47" i="438"/>
  <c r="AO40" i="438"/>
  <c r="AM46" i="438"/>
  <c r="AM42" i="438"/>
  <c r="AM44" i="438"/>
  <c r="AM40" i="438"/>
  <c r="AM43" i="438"/>
  <c r="AM45" i="438"/>
  <c r="AM41" i="438"/>
  <c r="AM39" i="438"/>
  <c r="H29" i="438"/>
  <c r="AE40" i="438"/>
  <c r="AE41" i="438"/>
  <c r="AE42" i="438"/>
  <c r="AE39" i="438"/>
  <c r="H34" i="438"/>
  <c r="AI39" i="438"/>
  <c r="AI44" i="438"/>
  <c r="AI43" i="438"/>
  <c r="AI42" i="438"/>
  <c r="AI40" i="438"/>
  <c r="AI41" i="438"/>
  <c r="J25" i="438"/>
  <c r="H27" i="438" s="1"/>
  <c r="H35" i="438"/>
  <c r="AK43" i="438"/>
  <c r="AK40" i="438"/>
  <c r="AK45" i="438"/>
  <c r="AK39" i="438"/>
  <c r="AK44" i="438"/>
  <c r="AK41" i="438"/>
  <c r="AK42" i="438"/>
  <c r="AG41" i="438"/>
  <c r="AG39" i="438"/>
  <c r="AG40" i="438"/>
  <c r="AG42" i="438"/>
  <c r="AG43" i="438"/>
  <c r="AQ45" i="438"/>
  <c r="AQ42" i="438"/>
  <c r="AQ43" i="438"/>
  <c r="AQ39" i="438"/>
  <c r="AQ46" i="438"/>
  <c r="AQ48" i="438"/>
  <c r="AQ44" i="438"/>
  <c r="AQ40" i="438"/>
  <c r="AQ47" i="438"/>
  <c r="AQ41" i="438"/>
  <c r="Y39" i="438"/>
  <c r="V37" i="438"/>
  <c r="V49" i="438" s="1"/>
  <c r="V36" i="438" s="1"/>
  <c r="R26" i="437"/>
  <c r="R42" i="437"/>
  <c r="R40" i="437"/>
  <c r="R43" i="437"/>
  <c r="R39" i="437"/>
  <c r="V40" i="437" s="1"/>
  <c r="P37" i="437"/>
  <c r="R41" i="437"/>
  <c r="R29" i="437"/>
  <c r="R27" i="437"/>
  <c r="P23" i="437"/>
  <c r="R30" i="437"/>
  <c r="R28" i="437"/>
  <c r="R25" i="437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37" i="438" l="1"/>
  <c r="AM37" i="438"/>
  <c r="AA37" i="438"/>
  <c r="AO37" i="438"/>
  <c r="AG37" i="438"/>
  <c r="AI37" i="438"/>
  <c r="AC37" i="438"/>
  <c r="AQ37" i="438"/>
  <c r="AK37" i="438"/>
  <c r="J23" i="438"/>
  <c r="H25" i="438"/>
  <c r="H28" i="438"/>
  <c r="Y37" i="438"/>
  <c r="AS40" i="438"/>
  <c r="J40" i="438" s="1"/>
  <c r="AS49" i="438"/>
  <c r="J49" i="438" s="1"/>
  <c r="AS48" i="438"/>
  <c r="J48" i="438" s="1"/>
  <c r="AS41" i="438"/>
  <c r="J41" i="438" s="1"/>
  <c r="AS42" i="438"/>
  <c r="J42" i="438" s="1"/>
  <c r="AS44" i="438"/>
  <c r="J44" i="438" s="1"/>
  <c r="AS39" i="438"/>
  <c r="AS46" i="438"/>
  <c r="J46" i="438" s="1"/>
  <c r="AS43" i="438"/>
  <c r="J43" i="438" s="1"/>
  <c r="AS47" i="438"/>
  <c r="J47" i="438" s="1"/>
  <c r="AS45" i="438"/>
  <c r="J45" i="438" s="1"/>
  <c r="H26" i="438"/>
  <c r="V41" i="437"/>
  <c r="AC39" i="437" s="1"/>
  <c r="R23" i="437"/>
  <c r="V25" i="437"/>
  <c r="V29" i="437"/>
  <c r="V32" i="437"/>
  <c r="V31" i="437"/>
  <c r="V34" i="437"/>
  <c r="V33" i="437"/>
  <c r="V30" i="437"/>
  <c r="V27" i="437"/>
  <c r="AA39" i="437"/>
  <c r="AA40" i="437"/>
  <c r="V26" i="437"/>
  <c r="V28" i="437"/>
  <c r="V42" i="437"/>
  <c r="AC41" i="437"/>
  <c r="AC40" i="437"/>
  <c r="R37" i="437"/>
  <c r="V39" i="437"/>
  <c r="V48" i="437"/>
  <c r="V46" i="437"/>
  <c r="V45" i="437"/>
  <c r="V43" i="437"/>
  <c r="V47" i="437"/>
  <c r="V44" i="437"/>
  <c r="AE20" i="436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AS37" i="438" l="1"/>
  <c r="H47" i="438"/>
  <c r="BJ51" i="438" s="1"/>
  <c r="H44" i="438"/>
  <c r="BR23" i="438" s="1"/>
  <c r="H45" i="438"/>
  <c r="BJ33" i="438" s="1"/>
  <c r="H48" i="438"/>
  <c r="BJ21" i="438" s="1"/>
  <c r="J39" i="438"/>
  <c r="H40" i="438" s="1"/>
  <c r="BR8" i="438" s="1"/>
  <c r="H49" i="438"/>
  <c r="BJ37" i="438" s="1"/>
  <c r="H23" i="438"/>
  <c r="H46" i="438"/>
  <c r="BJ10" i="438" s="1"/>
  <c r="H43" i="438"/>
  <c r="BJ7" i="438" s="1"/>
  <c r="AS36" i="438"/>
  <c r="AA37" i="437"/>
  <c r="AC37" i="437"/>
  <c r="AI27" i="437"/>
  <c r="AI29" i="437"/>
  <c r="AI25" i="437"/>
  <c r="AI30" i="437"/>
  <c r="AI28" i="437"/>
  <c r="AI26" i="437"/>
  <c r="AG41" i="437"/>
  <c r="AG43" i="437"/>
  <c r="AG39" i="437"/>
  <c r="AG40" i="437"/>
  <c r="AG42" i="437"/>
  <c r="Y39" i="437"/>
  <c r="V37" i="437"/>
  <c r="V49" i="437" s="1"/>
  <c r="V36" i="437" s="1"/>
  <c r="AM30" i="437"/>
  <c r="AM28" i="437"/>
  <c r="AM29" i="437"/>
  <c r="AM26" i="437"/>
  <c r="AM32" i="437"/>
  <c r="AM27" i="437"/>
  <c r="AM25" i="437"/>
  <c r="AM31" i="437"/>
  <c r="AK41" i="437"/>
  <c r="AK43" i="437"/>
  <c r="AK39" i="437"/>
  <c r="AK40" i="437"/>
  <c r="AK42" i="437"/>
  <c r="AK44" i="437"/>
  <c r="AK45" i="437"/>
  <c r="AE42" i="437"/>
  <c r="AE39" i="437"/>
  <c r="AE40" i="437"/>
  <c r="AE41" i="437"/>
  <c r="AG28" i="437"/>
  <c r="AG27" i="437"/>
  <c r="AG29" i="437"/>
  <c r="AG26" i="437"/>
  <c r="AG25" i="437"/>
  <c r="AI39" i="437"/>
  <c r="AI42" i="437"/>
  <c r="AI41" i="437"/>
  <c r="AI43" i="437"/>
  <c r="AI44" i="437"/>
  <c r="AI40" i="437"/>
  <c r="AO29" i="437"/>
  <c r="AO28" i="437"/>
  <c r="AO26" i="437"/>
  <c r="AO32" i="437"/>
  <c r="AO27" i="437"/>
  <c r="AO33" i="437"/>
  <c r="AO31" i="437"/>
  <c r="AO30" i="437"/>
  <c r="AO25" i="437"/>
  <c r="AO45" i="437"/>
  <c r="AO39" i="437"/>
  <c r="AO40" i="437"/>
  <c r="AO43" i="437"/>
  <c r="AO42" i="437"/>
  <c r="AO44" i="437"/>
  <c r="AO47" i="437"/>
  <c r="AO41" i="437"/>
  <c r="AO46" i="437"/>
  <c r="AM45" i="437"/>
  <c r="AM42" i="437"/>
  <c r="AM40" i="437"/>
  <c r="AM44" i="437"/>
  <c r="AM41" i="437"/>
  <c r="AM39" i="437"/>
  <c r="AM46" i="437"/>
  <c r="AM43" i="437"/>
  <c r="AE26" i="437"/>
  <c r="AE27" i="437"/>
  <c r="AE28" i="437"/>
  <c r="AE25" i="437"/>
  <c r="AC27" i="437"/>
  <c r="AC25" i="437"/>
  <c r="AC26" i="437"/>
  <c r="AQ30" i="437"/>
  <c r="AQ25" i="437"/>
  <c r="AQ29" i="437"/>
  <c r="AQ34" i="437"/>
  <c r="AQ31" i="437"/>
  <c r="AQ28" i="437"/>
  <c r="AQ26" i="437"/>
  <c r="AQ27" i="437"/>
  <c r="AQ32" i="437"/>
  <c r="AQ33" i="437"/>
  <c r="V23" i="437"/>
  <c r="V35" i="437" s="1"/>
  <c r="V22" i="437" s="1"/>
  <c r="Y25" i="437"/>
  <c r="AQ45" i="437"/>
  <c r="AQ42" i="437"/>
  <c r="AQ48" i="437"/>
  <c r="AQ44" i="437"/>
  <c r="AQ40" i="437"/>
  <c r="AQ47" i="437"/>
  <c r="AQ41" i="437"/>
  <c r="AQ43" i="437"/>
  <c r="AQ39" i="437"/>
  <c r="AQ46" i="437"/>
  <c r="AA26" i="437"/>
  <c r="AA25" i="437"/>
  <c r="AK30" i="437"/>
  <c r="AK31" i="437"/>
  <c r="AK27" i="437"/>
  <c r="AK29" i="437"/>
  <c r="AK25" i="437"/>
  <c r="AK26" i="437"/>
  <c r="AK28" i="437"/>
  <c r="V26" i="436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BJ35" i="438" l="1"/>
  <c r="BJ54" i="438"/>
  <c r="BJ20" i="438"/>
  <c r="BR29" i="438"/>
  <c r="BJ17" i="438"/>
  <c r="BJ11" i="438"/>
  <c r="BJ38" i="438"/>
  <c r="BR36" i="438"/>
  <c r="BJ8" i="438"/>
  <c r="BJ32" i="438"/>
  <c r="BR44" i="438"/>
  <c r="BR47" i="438"/>
  <c r="BN9" i="438"/>
  <c r="BJ46" i="438"/>
  <c r="BJ18" i="438"/>
  <c r="BJ9" i="438"/>
  <c r="BJ25" i="438"/>
  <c r="BJ41" i="438"/>
  <c r="BN12" i="438"/>
  <c r="BJ28" i="438"/>
  <c r="BJ12" i="438"/>
  <c r="H42" i="438"/>
  <c r="BJ15" i="438" s="1"/>
  <c r="BJ16" i="438"/>
  <c r="BJ19" i="438"/>
  <c r="BJ53" i="438"/>
  <c r="BJ58" i="438"/>
  <c r="BN14" i="438"/>
  <c r="BJ30" i="438"/>
  <c r="BJ43" i="438"/>
  <c r="BJ56" i="438"/>
  <c r="BJ59" i="438"/>
  <c r="BJ48" i="438"/>
  <c r="BN5" i="438"/>
  <c r="BJ22" i="438"/>
  <c r="BR35" i="438"/>
  <c r="BR22" i="438"/>
  <c r="BR28" i="438"/>
  <c r="BJ24" i="438"/>
  <c r="BN8" i="438"/>
  <c r="BR43" i="438"/>
  <c r="BR18" i="438"/>
  <c r="BJ4" i="438"/>
  <c r="BJ13" i="438"/>
  <c r="BJ52" i="438"/>
  <c r="BJ57" i="438"/>
  <c r="BJ55" i="438"/>
  <c r="BJ29" i="438"/>
  <c r="BJ42" i="438"/>
  <c r="BN13" i="438"/>
  <c r="BJ47" i="438"/>
  <c r="BR19" i="438"/>
  <c r="BR32" i="438"/>
  <c r="BR15" i="438"/>
  <c r="BR25" i="438"/>
  <c r="BR11" i="438"/>
  <c r="BR6" i="438"/>
  <c r="BR40" i="438"/>
  <c r="J37" i="438"/>
  <c r="H39" i="438"/>
  <c r="BJ50" i="438"/>
  <c r="BR38" i="438"/>
  <c r="BR46" i="438"/>
  <c r="BJ45" i="438"/>
  <c r="BJ27" i="438"/>
  <c r="BJ40" i="438"/>
  <c r="BN11" i="438"/>
  <c r="BJ34" i="438"/>
  <c r="BJ36" i="438"/>
  <c r="BJ31" i="438"/>
  <c r="BR37" i="438"/>
  <c r="BN10" i="438"/>
  <c r="BJ39" i="438"/>
  <c r="BR45" i="438"/>
  <c r="BJ26" i="438"/>
  <c r="BJ44" i="438"/>
  <c r="BR30" i="438"/>
  <c r="H41" i="438"/>
  <c r="AE23" i="437"/>
  <c r="AG23" i="437"/>
  <c r="AK37" i="437"/>
  <c r="AM37" i="437"/>
  <c r="AQ37" i="437"/>
  <c r="AO37" i="437"/>
  <c r="AI37" i="437"/>
  <c r="AA23" i="437"/>
  <c r="AO23" i="437"/>
  <c r="AM23" i="437"/>
  <c r="AG37" i="437"/>
  <c r="AC23" i="437"/>
  <c r="AK23" i="437"/>
  <c r="AQ23" i="437"/>
  <c r="AE37" i="437"/>
  <c r="AI23" i="437"/>
  <c r="Y23" i="437"/>
  <c r="Y37" i="437"/>
  <c r="AS34" i="437"/>
  <c r="J34" i="437" s="1"/>
  <c r="AS35" i="437"/>
  <c r="J35" i="437" s="1"/>
  <c r="AS27" i="437"/>
  <c r="AS29" i="437"/>
  <c r="J29" i="437" s="1"/>
  <c r="AS30" i="437"/>
  <c r="J30" i="437" s="1"/>
  <c r="AS25" i="437"/>
  <c r="AS26" i="437"/>
  <c r="J26" i="437" s="1"/>
  <c r="AS31" i="437"/>
  <c r="J31" i="437" s="1"/>
  <c r="AS33" i="437"/>
  <c r="J33" i="437" s="1"/>
  <c r="AS28" i="437"/>
  <c r="J28" i="437" s="1"/>
  <c r="AS32" i="437"/>
  <c r="J32" i="437" s="1"/>
  <c r="AS40" i="437"/>
  <c r="J40" i="437" s="1"/>
  <c r="AS48" i="437"/>
  <c r="J48" i="437" s="1"/>
  <c r="AS44" i="437"/>
  <c r="AS47" i="437"/>
  <c r="J47" i="437" s="1"/>
  <c r="AS42" i="437"/>
  <c r="J42" i="437" s="1"/>
  <c r="AS43" i="437"/>
  <c r="J43" i="437" s="1"/>
  <c r="AS45" i="437"/>
  <c r="J45" i="437" s="1"/>
  <c r="AS49" i="437"/>
  <c r="J49" i="437" s="1"/>
  <c r="AS41" i="437"/>
  <c r="J41" i="437" s="1"/>
  <c r="AS46" i="437"/>
  <c r="J46" i="437" s="1"/>
  <c r="AS39" i="437"/>
  <c r="J27" i="437"/>
  <c r="J44" i="437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BJ6" i="438" l="1"/>
  <c r="BR13" i="438"/>
  <c r="BJ23" i="438"/>
  <c r="BN7" i="438"/>
  <c r="BR21" i="438"/>
  <c r="BR34" i="438"/>
  <c r="BR27" i="438"/>
  <c r="BR17" i="438"/>
  <c r="BR42" i="438"/>
  <c r="BR33" i="438"/>
  <c r="BR20" i="438"/>
  <c r="BR26" i="438"/>
  <c r="BR16" i="438"/>
  <c r="BN6" i="438"/>
  <c r="BR12" i="438"/>
  <c r="BR41" i="438"/>
  <c r="BJ14" i="438"/>
  <c r="BJ5" i="438"/>
  <c r="BR9" i="438"/>
  <c r="H37" i="438"/>
  <c r="BR31" i="438"/>
  <c r="BJ49" i="438"/>
  <c r="BR24" i="438"/>
  <c r="BR5" i="438"/>
  <c r="BR10" i="438"/>
  <c r="BR39" i="438"/>
  <c r="BR14" i="438"/>
  <c r="BN4" i="438"/>
  <c r="B37" i="438" s="1"/>
  <c r="BR7" i="438"/>
  <c r="BR4" i="438"/>
  <c r="AS37" i="437"/>
  <c r="AS36" i="437" s="1"/>
  <c r="AS23" i="437"/>
  <c r="AS22" i="437" s="1"/>
  <c r="J25" i="437"/>
  <c r="J39" i="437"/>
  <c r="AG23" i="436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B38" i="438" l="1"/>
  <c r="B39" i="438"/>
  <c r="J23" i="437"/>
  <c r="J37" i="437"/>
  <c r="H31" i="436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B36" i="438" l="1"/>
  <c r="H43" i="436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BJ4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55" i="436" l="1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  <c r="AI19" i="437"/>
  <c r="O19" i="437" s="1"/>
  <c r="Q19" i="437" s="1"/>
  <c r="R19" i="437" s="1"/>
  <c r="Y19" i="437"/>
  <c r="AA19" i="437" s="1"/>
  <c r="AB19" i="437" s="1"/>
  <c r="AI17" i="437"/>
  <c r="O17" i="437" s="1"/>
  <c r="Q17" i="437" s="1"/>
  <c r="R17" i="437" s="1"/>
  <c r="AI8" i="437"/>
  <c r="Y8" i="437" s="1"/>
  <c r="AA8" i="437" s="1"/>
  <c r="AB8" i="437" s="1"/>
  <c r="O8" i="437"/>
  <c r="Q8" i="437" s="1"/>
  <c r="R8" i="437" s="1"/>
  <c r="AI13" i="437"/>
  <c r="Y13" i="437" s="1"/>
  <c r="AA13" i="437" s="1"/>
  <c r="AB13" i="437" s="1"/>
  <c r="O14" i="437"/>
  <c r="Q14" i="437" s="1"/>
  <c r="R14" i="437" s="1"/>
  <c r="AI6" i="437"/>
  <c r="O6" i="437" s="1"/>
  <c r="Q6" i="437" s="1"/>
  <c r="R6" i="437" s="1"/>
  <c r="Y6" i="437"/>
  <c r="AA6" i="437" s="1"/>
  <c r="AB6" i="437" s="1"/>
  <c r="Y14" i="437" l="1"/>
  <c r="AA14" i="437" s="1"/>
  <c r="AB14" i="437" s="1"/>
  <c r="AC14" i="437" s="1"/>
  <c r="O13" i="437"/>
  <c r="Q13" i="437" s="1"/>
  <c r="R13" i="437" s="1"/>
  <c r="S13" i="437" s="1"/>
  <c r="AC8" i="437"/>
  <c r="S17" i="437"/>
  <c r="S14" i="437"/>
  <c r="AC6" i="437"/>
  <c r="S8" i="437"/>
  <c r="S19" i="437"/>
  <c r="AC13" i="437"/>
  <c r="S6" i="437"/>
  <c r="AC19" i="437"/>
  <c r="Y17" i="437"/>
  <c r="AA17" i="437" s="1"/>
  <c r="AB17" i="437" s="1"/>
  <c r="U6" i="437" l="1"/>
  <c r="T6" i="437"/>
  <c r="T18" i="437"/>
  <c r="T15" i="437"/>
  <c r="T7" i="437"/>
  <c r="U11" i="437"/>
  <c r="U9" i="437"/>
  <c r="T10" i="437"/>
  <c r="T5" i="437"/>
  <c r="T11" i="437"/>
  <c r="T16" i="437"/>
  <c r="T12" i="437"/>
  <c r="U10" i="437"/>
  <c r="S20" i="437"/>
  <c r="U15" i="437"/>
  <c r="T9" i="437"/>
  <c r="T8" i="437"/>
  <c r="T17" i="437"/>
  <c r="U18" i="437"/>
  <c r="T14" i="437"/>
  <c r="U5" i="437"/>
  <c r="U12" i="437"/>
  <c r="U7" i="437"/>
  <c r="U16" i="437"/>
  <c r="U13" i="437"/>
  <c r="U17" i="437"/>
  <c r="AE17" i="437"/>
  <c r="AD17" i="437"/>
  <c r="AC17" i="437"/>
  <c r="AD8" i="437" s="1"/>
  <c r="T19" i="437"/>
  <c r="T13" i="437"/>
  <c r="U8" i="437"/>
  <c r="AD9" i="437"/>
  <c r="U14" i="437"/>
  <c r="AD14" i="437" l="1"/>
  <c r="AE9" i="437"/>
  <c r="AE10" i="437"/>
  <c r="AC20" i="437"/>
  <c r="L39" i="437" s="1"/>
  <c r="AE5" i="437"/>
  <c r="AD12" i="437"/>
  <c r="AD16" i="437"/>
  <c r="AD10" i="437"/>
  <c r="AD18" i="437"/>
  <c r="AD7" i="437"/>
  <c r="AE8" i="437"/>
  <c r="AD5" i="437"/>
  <c r="U20" i="437"/>
  <c r="L27" i="437" s="1"/>
  <c r="AE16" i="437"/>
  <c r="AE6" i="437"/>
  <c r="AD15" i="437"/>
  <c r="AE11" i="437"/>
  <c r="AD11" i="437"/>
  <c r="AE15" i="437"/>
  <c r="AD6" i="437"/>
  <c r="AE7" i="437"/>
  <c r="L25" i="437"/>
  <c r="AE13" i="437"/>
  <c r="AD13" i="437"/>
  <c r="AD19" i="437"/>
  <c r="AE14" i="437"/>
  <c r="AE18" i="437"/>
  <c r="T20" i="437"/>
  <c r="L26" i="437" s="1"/>
  <c r="AE12" i="437"/>
  <c r="AD20" i="437" l="1"/>
  <c r="L40" i="437" s="1"/>
  <c r="H40" i="437" s="1"/>
  <c r="AE20" i="437"/>
  <c r="L41" i="437" s="1"/>
  <c r="H26" i="437"/>
  <c r="H25" i="437"/>
  <c r="H27" i="437"/>
  <c r="V20" i="437"/>
  <c r="L28" i="437" s="1"/>
  <c r="L23" i="437" s="1"/>
  <c r="H39" i="437"/>
  <c r="H33" i="437" l="1"/>
  <c r="BR32" i="437" s="1"/>
  <c r="AF20" i="437"/>
  <c r="L42" i="437" s="1"/>
  <c r="H43" i="437" s="1"/>
  <c r="BJ24" i="437" s="1"/>
  <c r="H41" i="437"/>
  <c r="BN6" i="437" s="1"/>
  <c r="H47" i="437"/>
  <c r="BJ11" i="437" s="1"/>
  <c r="H29" i="437"/>
  <c r="H45" i="437"/>
  <c r="BJ9" i="437" s="1"/>
  <c r="H42" i="437"/>
  <c r="H48" i="437"/>
  <c r="BJ29" i="437" s="1"/>
  <c r="H28" i="437"/>
  <c r="BJ7" i="437"/>
  <c r="BN4" i="437"/>
  <c r="BJ4" i="437"/>
  <c r="H32" i="437"/>
  <c r="H34" i="437"/>
  <c r="BR5" i="437"/>
  <c r="BR6" i="437"/>
  <c r="BR31" i="437"/>
  <c r="H31" i="437"/>
  <c r="BJ14" i="437"/>
  <c r="BN5" i="437"/>
  <c r="BR4" i="437"/>
  <c r="H35" i="437"/>
  <c r="H30" i="437"/>
  <c r="BJ16" i="437" l="1"/>
  <c r="BJ31" i="437"/>
  <c r="BR35" i="437"/>
  <c r="BR34" i="437"/>
  <c r="BJ5" i="437"/>
  <c r="BR33" i="437"/>
  <c r="H44" i="437"/>
  <c r="BN9" i="437" s="1"/>
  <c r="H49" i="437"/>
  <c r="BJ22" i="437" s="1"/>
  <c r="BJ21" i="437"/>
  <c r="H46" i="437"/>
  <c r="BJ27" i="437" s="1"/>
  <c r="L37" i="437"/>
  <c r="BN12" i="437"/>
  <c r="BJ28" i="437"/>
  <c r="BJ12" i="437"/>
  <c r="BN7" i="437"/>
  <c r="BJ57" i="437"/>
  <c r="H23" i="437"/>
  <c r="BJ20" i="437"/>
  <c r="BJ18" i="437"/>
  <c r="BJ36" i="437"/>
  <c r="BJ41" i="437"/>
  <c r="BR37" i="437"/>
  <c r="BJ26" i="437"/>
  <c r="BJ6" i="437"/>
  <c r="BJ23" i="437"/>
  <c r="BJ34" i="437"/>
  <c r="BJ15" i="437"/>
  <c r="BJ35" i="437"/>
  <c r="BR7" i="437"/>
  <c r="BJ42" i="437"/>
  <c r="BN8" i="437"/>
  <c r="BR8" i="437"/>
  <c r="BR10" i="437"/>
  <c r="BR13" i="437"/>
  <c r="BJ39" i="437"/>
  <c r="BJ33" i="437"/>
  <c r="BR9" i="437"/>
  <c r="BR11" i="437"/>
  <c r="BR12" i="437"/>
  <c r="BR24" i="437"/>
  <c r="BN11" i="437"/>
  <c r="BR25" i="437"/>
  <c r="BR27" i="437"/>
  <c r="BJ55" i="437"/>
  <c r="BR26" i="437"/>
  <c r="BJ54" i="437"/>
  <c r="BR30" i="437"/>
  <c r="BR28" i="437"/>
  <c r="BR16" i="437"/>
  <c r="BR15" i="437"/>
  <c r="BJ46" i="437"/>
  <c r="BR14" i="437"/>
  <c r="BR18" i="437"/>
  <c r="BJ47" i="437"/>
  <c r="BR17" i="437"/>
  <c r="BJ45" i="437"/>
  <c r="BJ44" i="437"/>
  <c r="BJ52" i="437"/>
  <c r="BR20" i="437"/>
  <c r="BR22" i="437"/>
  <c r="BR19" i="437"/>
  <c r="BN10" i="437"/>
  <c r="BJ51" i="437"/>
  <c r="BR21" i="437"/>
  <c r="BJ49" i="437"/>
  <c r="BN13" i="437"/>
  <c r="BR45" i="437"/>
  <c r="BR40" i="437"/>
  <c r="BR47" i="437"/>
  <c r="BR43" i="437"/>
  <c r="BR39" i="437"/>
  <c r="BR41" i="437"/>
  <c r="BR42" i="437"/>
  <c r="BR46" i="437" l="1"/>
  <c r="BJ50" i="437"/>
  <c r="BJ40" i="437"/>
  <c r="BJ19" i="437"/>
  <c r="BR38" i="437"/>
  <c r="BR23" i="437"/>
  <c r="BR29" i="437"/>
  <c r="BJ32" i="437"/>
  <c r="BJ38" i="437"/>
  <c r="BJ13" i="437"/>
  <c r="BJ53" i="437"/>
  <c r="BJ43" i="437"/>
  <c r="BJ59" i="437"/>
  <c r="BJ56" i="437"/>
  <c r="BN14" i="437"/>
  <c r="BJ48" i="437"/>
  <c r="BJ37" i="437"/>
  <c r="BJ30" i="437"/>
  <c r="BJ58" i="437"/>
  <c r="BJ17" i="437"/>
  <c r="BR44" i="437"/>
  <c r="BR36" i="437"/>
  <c r="BJ25" i="437"/>
  <c r="BJ10" i="437"/>
  <c r="BJ8" i="437"/>
  <c r="H37" i="437"/>
  <c r="B37" i="437"/>
  <c r="B39" i="437"/>
  <c r="B38" i="437" l="1"/>
  <c r="B36" i="437" s="1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<sst xmlns="http://schemas.openxmlformats.org/spreadsheetml/2006/main" count="1331" uniqueCount="159">
  <si>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</si>
  <si>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</si>
  <si>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</si>
  <si>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</si>
  <si>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</si>
  <si>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</si>
  <si>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</si>
  <si>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</si>
  <si>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</si>
  <si>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</si>
  <si>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</si>
  <si>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</si>
  <si>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</si>
  <si>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</si>
  <si>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</si>
  <si>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</si>
  <si>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</si>
  <si>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</si>
  <si>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</si>
  <si>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</si>
  <si>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</si>
  <si>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</si>
  <si>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</si>
  <si>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</si>
  <si>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</si>
  <si>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</si>
  <si>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</si>
  <si>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</si>
  <si>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</si>
  <si>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</si>
  <si>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</si>
  <si>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</si>
  <si>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</si>
  <si>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</si>
  <si>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</si>
  <si>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</si>
  <si>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</si>
  <si>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</si>
  <si>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</si>
  <si>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</si>
  <si>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</si>
  <si>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</si>
  <si>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</si>
  <si>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</si>
  <si>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</si>
  <si>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</si>
  <si>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</si>
  <si>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</si>
  <si>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</si>
  <si>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</si>
  <si>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</si>
  <si>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</si>
  <si>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</si>
  <si>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</si>
  <si>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</si>
  <si>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</si>
  <si>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</si>
  <si>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</si>
  <si>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</si>
  <si>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</si>
  <si>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</si>
  <si>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</si>
  <si>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</si>
  <si>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</si>
  <si>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</si>
  <si>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</si>
  <si>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</si>
  <si>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</si>
  <si>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</si>
  <si>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</si>
  <si>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</si>
  <si>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</si>
  <si>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</si>
  <si>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</si>
  <si>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</si>
  <si>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</si>
  <si>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</si>
  <si>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</si>
  <si>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</si>
  <si>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</si>
  <si>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</si>
  <si>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</si>
  <si>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</si>
  <si>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</si>
  <si>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</si>
  <si>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</si>
  <si>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</si>
  <si>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</si>
  <si>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</si>
  <si>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</si>
  <si>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</si>
  <si>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</si>
  <si>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</si>
  <si>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</si>
  <si>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</si>
  <si>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</si>
  <si>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</si>
  <si>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</si>
  <si>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</si>
  <si>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</si>
  <si>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</si>
  <si>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</si>
  <si>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</si>
  <si>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</si>
  <si>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</si>
  <si>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</si>
  <si>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</si>
  <si>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</si>
  <si>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</si>
  <si>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</si>
  <si>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</si>
  <si>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</si>
  <si>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</si>
  <si>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</si>
  <si>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</si>
  <si>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</si>
  <si>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</si>
  <si>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</si>
  <si>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</si>
  <si>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</si>
  <si>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</si>
  <si>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</si>
  <si>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</si>
  <si>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</si>
  <si>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</si>
  <si>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</si>
  <si>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</si>
  <si>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</si>
  <si>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</si>
  <si>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</si>
  <si>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</si>
  <si>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</si>
  <si>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</si>
  <si>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</si>
  <si>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</si>
  <si>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</si>
  <si>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</si>
  <si>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</si>
  <si>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</si>
  <si>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</si>
  <si>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</si>
  <si>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</si>
  <si>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</si>
  <si>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</si>
  <si>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</si>
  <si>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</si>
  <si>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</si>
  <si>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</si>
  <si>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</si>
  <si>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</si>
  <si>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</si>
  <si>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</si>
  <si>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</si>
  <si>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</si>
  <si>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PedraPedra</t>
  </si>
  <si>
    <t>CAB</t>
  </si>
  <si>
    <t>AIM</t>
  </si>
  <si>
    <t>kobelegends</t>
  </si>
  <si>
    <t>VADER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</si>
</sst>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'OBIWAN-PedraPedra'!$G$25:$G$35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'OBIWAN-PedraPedra'!$H$25:$H$35</c:f>
              <c:numCache>
                <c:formatCode>0.0%</c:formatCode>
                <c:ptCount val="11"/>
                <c:pt idx="0">
                  <c:v>1.0830554738549551E-2</c:v>
                </c:pt>
                <c:pt idx="1">
                  <c:v>5.9124095934785889E-2</c:v>
                </c:pt>
                <c:pt idx="2">
                  <c:v>0.14824875865963907</c:v>
                </c:pt>
                <c:pt idx="3">
                  <c:v>0.22604782565203763</c:v>
                </c:pt>
                <c:pt idx="4">
                  <c:v>0.23385287716366965</c:v>
                </c:pt>
                <c:pt idx="5">
                  <c:v>0.17336214205280251</c:v>
                </c:pt>
                <c:pt idx="6">
                  <c:v>9.4786881772149736E-2</c:v>
                </c:pt>
                <c:pt idx="7">
                  <c:v>3.8731007084957844E-2</c:v>
                </c:pt>
                <c:pt idx="8">
                  <c:v>1.1842807134631513E-2</c:v>
                </c:pt>
                <c:pt idx="9">
                  <c:v>2.6818070211384352E-3</c:v>
                </c:pt>
                <c:pt idx="10">
                  <c:v>4.3848213754896974E-4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'OBIWAN-PedraPedra'!$H$39:$H$49</c:f>
              <c:numCache>
                <c:formatCode>0.0%</c:formatCode>
                <c:ptCount val="11"/>
                <c:pt idx="0">
                  <c:v>0.15332330426690968</c:v>
                </c:pt>
                <c:pt idx="1">
                  <c:v>0.30764141170910675</c:v>
                </c:pt>
                <c:pt idx="2">
                  <c:v>0.2865053946163193</c:v>
                </c:pt>
                <c:pt idx="3">
                  <c:v>0.16429085586401282</c:v>
                </c:pt>
                <c:pt idx="4">
                  <c:v>6.4841280230083689E-2</c:v>
                </c:pt>
                <c:pt idx="5">
                  <c:v>1.8632367422330143E-2</c:v>
                </c:pt>
                <c:pt idx="6">
                  <c:v>4.0165118459116319E-3</c:v>
                </c:pt>
                <c:pt idx="7">
                  <c:v>6.5843745778283117E-4</c:v>
                </c:pt>
                <c:pt idx="8">
                  <c:v>8.2164191862360466E-5</c:v>
                </c:pt>
                <c:pt idx="9">
                  <c:v>7.7155290931835923E-6</c:v>
                </c:pt>
                <c:pt idx="10">
                  <c:v>5.3069827309076174E-7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88128"/>
        <c:axId val="284290872"/>
      </c:lineChart>
      <c:catAx>
        <c:axId val="2842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290872"/>
        <c:crosses val="autoZero"/>
        <c:auto val="1"/>
        <c:lblAlgn val="ctr"/>
        <c:lblOffset val="100"/>
        <c:noMultiLvlLbl val="0"/>
      </c:catAx>
      <c:valAx>
        <c:axId val="2842908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28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41448"/>
        <c:axId val="285135176"/>
      </c:lineChart>
      <c:catAx>
        <c:axId val="28514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135176"/>
        <c:crosses val="autoZero"/>
        <c:auto val="1"/>
        <c:lblAlgn val="ctr"/>
        <c:lblOffset val="100"/>
        <c:noMultiLvlLbl val="0"/>
      </c:catAx>
      <c:valAx>
        <c:axId val="2851351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514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'OBIWAN-PedraPedra'!$B$37:$B$39</c:f>
              <c:numCache>
                <c:formatCode>0.0%</c:formatCode>
                <c:ptCount val="3"/>
                <c:pt idx="0">
                  <c:v>0.11826193224957954</c:v>
                </c:pt>
                <c:pt idx="1">
                  <c:v>0.11932880323704675</c:v>
                </c:pt>
                <c:pt idx="2">
                  <c:v>0.76191799580497765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'kobelegends-VADER'!$G$25:$G$35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'kobelegends-VADER'!$H$25:$H$35</c:f>
              <c:numCache>
                <c:formatCode>0.0%</c:formatCode>
                <c:ptCount val="11"/>
                <c:pt idx="0">
                  <c:v>2.0225662266311221E-2</c:v>
                </c:pt>
                <c:pt idx="1">
                  <c:v>9.3917650565725819E-2</c:v>
                </c:pt>
                <c:pt idx="2">
                  <c:v>0.19887363708303346</c:v>
                </c:pt>
                <c:pt idx="3">
                  <c:v>0.25393287353876964</c:v>
                </c:pt>
                <c:pt idx="4">
                  <c:v>0.21780737803001282</c:v>
                </c:pt>
                <c:pt idx="5">
                  <c:v>0.13231528546515278</c:v>
                </c:pt>
                <c:pt idx="6">
                  <c:v>5.847610404745282E-2</c:v>
                </c:pt>
                <c:pt idx="7">
                  <c:v>1.90109898192913E-2</c:v>
                </c:pt>
                <c:pt idx="8">
                  <c:v>4.5443677652420031E-3</c:v>
                </c:pt>
                <c:pt idx="9">
                  <c:v>7.8990198912647904E-4</c:v>
                </c:pt>
                <c:pt idx="10">
                  <c:v>9.7522757990590927E-5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'kobelegends-VADER'!$H$39:$H$49</c:f>
              <c:numCache>
                <c:formatCode>0.0%</c:formatCode>
                <c:ptCount val="11"/>
                <c:pt idx="0">
                  <c:v>5.3617233028869105E-3</c:v>
                </c:pt>
                <c:pt idx="1">
                  <c:v>3.4064245056837951E-2</c:v>
                </c:pt>
                <c:pt idx="2">
                  <c:v>0.10019962205947562</c:v>
                </c:pt>
                <c:pt idx="3">
                  <c:v>0.18111227629476268</c:v>
                </c:pt>
                <c:pt idx="4">
                  <c:v>0.22507889899372593</c:v>
                </c:pt>
                <c:pt idx="5">
                  <c:v>0.2037522257042681</c:v>
                </c:pt>
                <c:pt idx="6">
                  <c:v>0.13869657428406676</c:v>
                </c:pt>
                <c:pt idx="7">
                  <c:v>7.2112879992968962E-2</c:v>
                </c:pt>
                <c:pt idx="8">
                  <c:v>2.8711520463922689E-2</c:v>
                </c:pt>
                <c:pt idx="9">
                  <c:v>8.6589139070300716E-3</c:v>
                </c:pt>
                <c:pt idx="10">
                  <c:v>1.9232797644576939E-3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91264"/>
        <c:axId val="284292832"/>
      </c:lineChart>
      <c:catAx>
        <c:axId val="2842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292832"/>
        <c:crosses val="autoZero"/>
        <c:auto val="1"/>
        <c:lblAlgn val="ctr"/>
        <c:lblOffset val="100"/>
        <c:noMultiLvlLbl val="0"/>
      </c:catAx>
      <c:valAx>
        <c:axId val="2842928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29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'kobelegends-VADER'!$B$37:$B$39</c:f>
              <c:numCache>
                <c:formatCode>0.0%</c:formatCode>
                <c:ptCount val="3"/>
                <c:pt idx="0">
                  <c:v>0.15482735654383856</c:v>
                </c:pt>
                <c:pt idx="1">
                  <c:v>0.5933092814387837</c:v>
                </c:pt>
                <c:pt idx="2">
                  <c:v>0.25142959477549431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36352"/>
        <c:axId val="285139880"/>
      </c:lineChart>
      <c:catAx>
        <c:axId val="2851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139880"/>
        <c:crosses val="autoZero"/>
        <c:auto val="1"/>
        <c:lblAlgn val="ctr"/>
        <c:lblOffset val="100"/>
        <c:noMultiLvlLbl val="0"/>
      </c:catAx>
      <c:valAx>
        <c:axId val="2851398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513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34392"/>
        <c:axId val="285135568"/>
      </c:lineChart>
      <c:catAx>
        <c:axId val="28513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135568"/>
        <c:crosses val="autoZero"/>
        <c:auto val="1"/>
        <c:lblAlgn val="ctr"/>
        <c:lblOffset val="100"/>
        <c:noMultiLvlLbl val="0"/>
      </c:catAx>
      <c:valAx>
        <c:axId val="2851355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513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38704"/>
        <c:axId val="285134784"/>
      </c:lineChart>
      <c:catAx>
        <c:axId val="28513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134784"/>
        <c:crosses val="autoZero"/>
        <c:auto val="1"/>
        <c:lblAlgn val="ctr"/>
        <c:lblOffset val="100"/>
        <c:noMultiLvlLbl val="0"/>
      </c:catAx>
      <c:valAx>
        <c:axId val="2851347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513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J16" sqref="J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1" t="s">
        <v>143</v>
      </c>
      <c r="B1" t="s">
        <v>145</v>
      </c>
      <c r="F1" s="204" t="s">
        <v>123</v>
      </c>
      <c r="G1" s="205">
        <f>IF(D3="SI",COUNTIF($F$6:$F$18,"RAP"),0)</f>
        <v>0</v>
      </c>
      <c r="H1" s="206"/>
      <c r="I1" s="18"/>
      <c r="J1" s="207" t="s">
        <v>123</v>
      </c>
      <c r="K1" s="202">
        <f>IF(D3="SI",COUNTIF($J$6:$J$18,"RAP"),0)</f>
        <v>0</v>
      </c>
      <c r="L1" s="13"/>
      <c r="P1" s="209"/>
      <c r="Q1" s="209"/>
      <c r="R1" s="152">
        <v>0</v>
      </c>
      <c r="S1" s="153">
        <f>1+R1</f>
        <v>1</v>
      </c>
      <c r="AI1" s="160" t="s">
        <v>152</v>
      </c>
    </row>
    <row r="2" spans="1:70" x14ac:dyDescent="0.25">
      <c r="A2" s="201" t="s">
        <v>154</v>
      </c>
      <c r="B2" t="s">
        <v>145</v>
      </c>
      <c r="F2" s="204" t="s">
        <v>21</v>
      </c>
      <c r="G2" s="205">
        <f>IF(D3="SI",COUNTIF($F$6:$F$18,"TEC"),0)</f>
        <v>4</v>
      </c>
      <c r="H2" s="206"/>
      <c r="I2" s="18"/>
      <c r="J2" s="207" t="s">
        <v>21</v>
      </c>
      <c r="K2" s="202">
        <f>IF(D3="SI",COUNTIF($J$6:$J$18,"TEC"),0)</f>
        <v>1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0" t="s">
        <v>116</v>
      </c>
      <c r="C3" s="210"/>
      <c r="D3" t="str">
        <f>IF(B3="Sol","SI",IF(B3="Lluvia","SI","NO"))</f>
        <v>SI</v>
      </c>
      <c r="F3" s="204" t="s">
        <v>131</v>
      </c>
      <c r="G3" s="205">
        <f>IF(D3="SI",COUNTIF($F$6:$F$18,"POT"),0)</f>
        <v>0</v>
      </c>
      <c r="H3" s="206"/>
      <c r="I3" s="18"/>
      <c r="J3" s="207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1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1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3.3319271493601394E-3</v>
      </c>
      <c r="BL4">
        <v>0</v>
      </c>
      <c r="BM4">
        <v>0</v>
      </c>
      <c r="BN4" s="107">
        <f>H25*H39</f>
        <v>1.6605764395580531E-3</v>
      </c>
      <c r="BP4">
        <v>1</v>
      </c>
      <c r="BQ4">
        <v>0</v>
      </c>
      <c r="BR4" s="107">
        <f>$H$26*H39</f>
        <v>9.0651017505151352E-3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0.04</v>
      </c>
      <c r="AN5">
        <f>IF(AK5+AG5=0,AM5*2/10,0)</f>
        <v>8.0000000000000002E-3</v>
      </c>
      <c r="BH5">
        <v>0</v>
      </c>
      <c r="BI5">
        <v>2</v>
      </c>
      <c r="BJ5" s="107">
        <f t="shared" si="0"/>
        <v>3.1030123592817858E-3</v>
      </c>
      <c r="BL5">
        <v>1</v>
      </c>
      <c r="BM5">
        <v>1</v>
      </c>
      <c r="BN5" s="107">
        <f>$H$26*H40</f>
        <v>1.8189020339402191E-2</v>
      </c>
      <c r="BP5">
        <f>BP4+1</f>
        <v>2</v>
      </c>
      <c r="BQ5">
        <v>0</v>
      </c>
      <c r="BR5" s="107">
        <f>$H$27*H39</f>
        <v>2.2729989531163505E-2</v>
      </c>
    </row>
    <row r="6" spans="1:70" x14ac:dyDescent="0.25">
      <c r="A6" s="2" t="s">
        <v>1</v>
      </c>
      <c r="B6" s="168">
        <v>12.75</v>
      </c>
      <c r="C6" s="169">
        <v>10.5</v>
      </c>
      <c r="E6" s="192" t="s">
        <v>17</v>
      </c>
      <c r="F6" s="167" t="s">
        <v>155</v>
      </c>
      <c r="G6" s="167"/>
      <c r="H6" s="10"/>
      <c r="I6" s="10"/>
      <c r="J6" s="166" t="s">
        <v>155</v>
      </c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0.11700000000000001</v>
      </c>
      <c r="Z6" s="197" t="str">
        <f>Z3</f>
        <v>0,6</v>
      </c>
      <c r="AA6" s="19">
        <f t="shared" ref="AA6:AA19" si="3">Z6*Y6</f>
        <v>7.0199999999999999E-2</v>
      </c>
      <c r="AB6" s="157">
        <f t="shared" ref="AB6:AB19" si="4">IF($M$2="SI",AA6*$C$22/0.5*$S$1,AA6*$C$22/0.5*$S$2)</f>
        <v>6.3406451612903231E-2</v>
      </c>
      <c r="AC6" s="176">
        <f t="shared" ref="AC6:AC19" si="5">(1-AB6)</f>
        <v>0.93659354838709674</v>
      </c>
      <c r="AD6" s="177">
        <f>AB6*AC5*PRODUCT(AC7:AC19)</f>
        <v>4.493753544411027E-2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1.6242055422950964E-2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0.11700000000000001</v>
      </c>
      <c r="AK6" s="203">
        <f>IF(COUNTIF(F11:F18,"IMP")+COUNTIF(J11:J18,"IMP")=0,0,COUNTIF(J11:J18,"IMP")/(COUNTIF(F11:F18,"IMP")+COUNTIF(J11:J18,"IMP")))</f>
        <v>1</v>
      </c>
      <c r="AM6" s="13">
        <v>0.04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1.7793611074783452E-3</v>
      </c>
      <c r="BL6">
        <f>BH14+1</f>
        <v>2</v>
      </c>
      <c r="BM6">
        <v>2</v>
      </c>
      <c r="BN6" s="107">
        <f>$H$27*H41</f>
        <v>4.2474069101159376E-2</v>
      </c>
      <c r="BP6">
        <f>BL5+1</f>
        <v>2</v>
      </c>
      <c r="BQ6">
        <v>1</v>
      </c>
      <c r="BR6" s="107">
        <f>$H$27*H40</f>
        <v>4.5607457398174026E-2</v>
      </c>
    </row>
    <row r="7" spans="1:70" x14ac:dyDescent="0.25">
      <c r="A7" s="5" t="s">
        <v>2</v>
      </c>
      <c r="B7" s="168">
        <v>16</v>
      </c>
      <c r="C7" s="169">
        <v>7.75</v>
      </c>
      <c r="E7" s="192" t="s">
        <v>18</v>
      </c>
      <c r="F7" s="167" t="s">
        <v>16</v>
      </c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1"/>
      <c r="AK7" s="13"/>
      <c r="AM7" s="13">
        <v>0</v>
      </c>
      <c r="BH7">
        <v>0</v>
      </c>
      <c r="BI7">
        <v>4</v>
      </c>
      <c r="BJ7" s="107">
        <f t="shared" si="0"/>
        <v>7.0226703484955219E-4</v>
      </c>
      <c r="BL7">
        <f>BH23+1</f>
        <v>3</v>
      </c>
      <c r="BM7">
        <v>3</v>
      </c>
      <c r="BN7" s="107">
        <f>$H$28*H42</f>
        <v>3.7137590742572411E-2</v>
      </c>
      <c r="BP7">
        <f>BP5+1</f>
        <v>3</v>
      </c>
      <c r="BQ7">
        <v>0</v>
      </c>
      <c r="BR7" s="107">
        <f>$H$28*H39</f>
        <v>3.4658399551320718E-2</v>
      </c>
    </row>
    <row r="8" spans="1:70" x14ac:dyDescent="0.25">
      <c r="A8" s="5" t="s">
        <v>3</v>
      </c>
      <c r="B8" s="168">
        <v>15.5</v>
      </c>
      <c r="C8" s="169">
        <v>12</v>
      </c>
      <c r="E8" s="192" t="s">
        <v>18</v>
      </c>
      <c r="F8" s="167"/>
      <c r="G8" s="167"/>
      <c r="H8" s="10"/>
      <c r="I8" s="10"/>
      <c r="J8" s="166" t="s">
        <v>16</v>
      </c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>
        <f t="shared" si="8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COUNTIF(J6:J18,"IMP")*AI8*AK8</f>
        <v>0.11700000000000001</v>
      </c>
      <c r="Z8" s="197" t="str">
        <f>Z3</f>
        <v>0,6</v>
      </c>
      <c r="AA8" s="19">
        <f t="shared" si="3"/>
        <v>7.0199999999999999E-2</v>
      </c>
      <c r="AB8" s="157">
        <f t="shared" si="4"/>
        <v>6.3406451612903231E-2</v>
      </c>
      <c r="AC8" s="176">
        <f t="shared" si="5"/>
        <v>0.93659354838709674</v>
      </c>
      <c r="AD8" s="177">
        <f>AB8*PRODUCT(AC5:AC7)*PRODUCT(AC9:AC19)</f>
        <v>4.493753544411027E-2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1.3199828971949977E-2</v>
      </c>
      <c r="AG8" s="203">
        <f>IF(COUNTIF(F6:F18,"IMP")+COUNTIF(J6:J18,"IMP")=0,0,COUNTIF(F6:F18,"IMP")/(COUNTIF(F6:F18,"IMP")+COUNTIF(J6:J18,"IMP")))</f>
        <v>0</v>
      </c>
      <c r="AI8" s="201">
        <f t="shared" si="6"/>
        <v>0.11700000000000001</v>
      </c>
      <c r="AK8" s="203">
        <f>IF(COUNTIF(F6:F18,"IMP")+COUNTIF(J6:J18,"IMP")=0,0,COUNTIF(J6:J18,"IMP")/(COUNTIF(F6:F18,"IMP")+COUNTIF(J6:J18,"IMP")))</f>
        <v>1</v>
      </c>
      <c r="AM8" s="13">
        <v>0.04</v>
      </c>
      <c r="AN8">
        <f t="shared" si="7"/>
        <v>0</v>
      </c>
      <c r="BH8">
        <v>0</v>
      </c>
      <c r="BI8">
        <v>5</v>
      </c>
      <c r="BJ8" s="107">
        <f t="shared" si="0"/>
        <v>2.0179887527631401E-4</v>
      </c>
      <c r="BL8">
        <f>BH31+1</f>
        <v>4</v>
      </c>
      <c r="BM8">
        <v>4</v>
      </c>
      <c r="BN8" s="107">
        <f>$H$29*H43</f>
        <v>1.5163319940780842E-2</v>
      </c>
      <c r="BP8">
        <f>BP6+1</f>
        <v>3</v>
      </c>
      <c r="BQ8">
        <v>1</v>
      </c>
      <c r="BR8" s="107">
        <f>$H$28*H40</f>
        <v>6.9541672197366886E-2</v>
      </c>
    </row>
    <row r="9" spans="1:70" x14ac:dyDescent="0.25">
      <c r="A9" s="5" t="s">
        <v>4</v>
      </c>
      <c r="B9" s="168">
        <v>15.75</v>
      </c>
      <c r="C9" s="169">
        <v>8.5</v>
      </c>
      <c r="E9" s="192" t="s">
        <v>18</v>
      </c>
      <c r="F9" s="167" t="s">
        <v>16</v>
      </c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>
        <f t="shared" si="8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>
        <f t="shared" si="0"/>
        <v>4.3501051405178626E-5</v>
      </c>
      <c r="BL9">
        <f>BH38+1</f>
        <v>5</v>
      </c>
      <c r="BM9">
        <v>5</v>
      </c>
      <c r="BN9" s="107">
        <f>$H$30*H44</f>
        <v>3.230147127850008E-3</v>
      </c>
      <c r="BP9">
        <f>BL6+1</f>
        <v>3</v>
      </c>
      <c r="BQ9">
        <v>2</v>
      </c>
      <c r="BR9" s="107">
        <f>$H$28*H41</f>
        <v>6.4763921490597981E-2</v>
      </c>
    </row>
    <row r="10" spans="1:70" x14ac:dyDescent="0.25">
      <c r="A10" s="6" t="s">
        <v>5</v>
      </c>
      <c r="B10" s="168">
        <v>12.5</v>
      </c>
      <c r="C10" s="169">
        <v>11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>
        <f t="shared" si="8"/>
        <v>0</v>
      </c>
      <c r="S10" s="176">
        <f t="shared" si="2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0.06</v>
      </c>
      <c r="AN10">
        <f t="shared" si="7"/>
        <v>1.2E-2</v>
      </c>
      <c r="BH10">
        <v>0</v>
      </c>
      <c r="BI10">
        <v>7</v>
      </c>
      <c r="BJ10" s="107">
        <f t="shared" si="0"/>
        <v>7.1312429284283618E-6</v>
      </c>
      <c r="BL10">
        <f>BH44+1</f>
        <v>6</v>
      </c>
      <c r="BM10">
        <v>6</v>
      </c>
      <c r="BN10" s="107">
        <f>$H$31*H45</f>
        <v>3.8071263347486475E-4</v>
      </c>
      <c r="BP10">
        <f>BP7+1</f>
        <v>4</v>
      </c>
      <c r="BQ10">
        <v>0</v>
      </c>
      <c r="BR10" s="107">
        <f>$H$29*H39</f>
        <v>3.5855095839057577E-2</v>
      </c>
    </row>
    <row r="11" spans="1:70" x14ac:dyDescent="0.25">
      <c r="A11" s="6" t="s">
        <v>6</v>
      </c>
      <c r="B11" s="168">
        <v>6.25</v>
      </c>
      <c r="C11" s="169">
        <v>16.5</v>
      </c>
      <c r="E11" s="192" t="s">
        <v>19</v>
      </c>
      <c r="F11" s="167" t="s">
        <v>21</v>
      </c>
      <c r="G11" s="167"/>
      <c r="H11" s="10"/>
      <c r="I11" s="10"/>
      <c r="J11" s="166" t="s">
        <v>16</v>
      </c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>
        <f t="shared" si="8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0.06</v>
      </c>
      <c r="AN11">
        <f t="shared" si="7"/>
        <v>1.2E-2</v>
      </c>
      <c r="BH11">
        <v>0</v>
      </c>
      <c r="BI11">
        <v>8</v>
      </c>
      <c r="BJ11" s="107">
        <f t="shared" si="0"/>
        <v>8.8988377751398252E-7</v>
      </c>
      <c r="BL11">
        <f>BH50+1</f>
        <v>7</v>
      </c>
      <c r="BM11">
        <v>7</v>
      </c>
      <c r="BN11" s="107">
        <f>$H$32*H46</f>
        <v>2.5501945842388466E-5</v>
      </c>
      <c r="BP11">
        <f>BP8+1</f>
        <v>4</v>
      </c>
      <c r="BQ11">
        <v>1</v>
      </c>
      <c r="BR11" s="107">
        <f>$H$29*H40</f>
        <v>7.1942829262867658E-2</v>
      </c>
    </row>
    <row r="12" spans="1:70" x14ac:dyDescent="0.25">
      <c r="A12" s="6" t="s">
        <v>7</v>
      </c>
      <c r="B12" s="168">
        <v>12.25</v>
      </c>
      <c r="C12" s="169">
        <v>10.5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1"/>
      <c r="AK12" s="13"/>
      <c r="AM12" s="13">
        <v>0</v>
      </c>
      <c r="BH12">
        <v>0</v>
      </c>
      <c r="BI12">
        <v>9</v>
      </c>
      <c r="BJ12" s="107">
        <f t="shared" si="0"/>
        <v>8.356346018059647E-8</v>
      </c>
      <c r="BL12">
        <f>BH54+1</f>
        <v>8</v>
      </c>
      <c r="BM12">
        <v>8</v>
      </c>
      <c r="BN12" s="107">
        <f>$H$33*H47</f>
        <v>9.7305467759879498E-7</v>
      </c>
      <c r="BP12">
        <f>BP9+1</f>
        <v>4</v>
      </c>
      <c r="BQ12">
        <v>2</v>
      </c>
      <c r="BR12" s="107">
        <f>$H$29*H41</f>
        <v>6.700011085393881E-2</v>
      </c>
    </row>
    <row r="13" spans="1:70" x14ac:dyDescent="0.25">
      <c r="A13" s="7" t="s">
        <v>8</v>
      </c>
      <c r="B13" s="168">
        <v>13</v>
      </c>
      <c r="C13" s="169">
        <v>8.5</v>
      </c>
      <c r="E13" s="192" t="s">
        <v>19</v>
      </c>
      <c r="F13" s="167" t="s">
        <v>21</v>
      </c>
      <c r="G13" s="167"/>
      <c r="H13" s="10"/>
      <c r="I13" s="10"/>
      <c r="J13" s="166" t="s">
        <v>21</v>
      </c>
      <c r="K13" s="166"/>
      <c r="L13" s="10"/>
      <c r="M13" s="10"/>
      <c r="O13" s="67">
        <f>AI13*B22/0.5</f>
        <v>0.17767741935483869</v>
      </c>
      <c r="P13" s="196" t="str">
        <f>P2</f>
        <v>0,4</v>
      </c>
      <c r="Q13" s="16">
        <f t="shared" si="1"/>
        <v>7.1070967741935484E-2</v>
      </c>
      <c r="R13" s="157">
        <f t="shared" si="8"/>
        <v>7.7948803329864716E-2</v>
      </c>
      <c r="S13" s="176">
        <f t="shared" si="2"/>
        <v>0.92205119667013524</v>
      </c>
      <c r="T13" s="177">
        <f>R13*PRODUCT(S5:S12)*PRODUCT(S14:S19)</f>
        <v>4.5875136968428341E-2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2.6894465677619897E-2</v>
      </c>
      <c r="W13" s="186" t="s">
        <v>52</v>
      </c>
      <c r="X13" s="15" t="s">
        <v>53</v>
      </c>
      <c r="Y13" s="69">
        <f>AI13*C22/0.5</f>
        <v>0.14632258064516132</v>
      </c>
      <c r="Z13" s="197" t="str">
        <f>Z2</f>
        <v>0,4</v>
      </c>
      <c r="AA13" s="19">
        <f t="shared" si="3"/>
        <v>5.852903225806453E-2</v>
      </c>
      <c r="AB13" s="157">
        <f t="shared" si="4"/>
        <v>5.2864932362122807E-2</v>
      </c>
      <c r="AC13" s="176">
        <f t="shared" si="5"/>
        <v>0.94713506763787714</v>
      </c>
      <c r="AD13" s="177">
        <f>AB13*PRODUCT(AC5:AC12)*PRODUCT(AC14:AC19)</f>
        <v>3.7049532024882106E-2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8.8148857305538932E-3</v>
      </c>
      <c r="AG13" s="13"/>
      <c r="AI13" s="201">
        <f>(AM13*$AI$2/2)+SUM($AN$5:$AN$19)</f>
        <v>0.16200000000000001</v>
      </c>
      <c r="AK13" s="13"/>
      <c r="AM13" s="13">
        <v>0.125</v>
      </c>
      <c r="BH13">
        <v>0</v>
      </c>
      <c r="BI13">
        <v>10</v>
      </c>
      <c r="BJ13" s="107">
        <f t="shared" si="0"/>
        <v>5.7477566963632134E-9</v>
      </c>
      <c r="BL13">
        <f>BH57+1</f>
        <v>9</v>
      </c>
      <c r="BM13">
        <v>9</v>
      </c>
      <c r="BN13" s="107">
        <f>$H$34*H48</f>
        <v>2.0691560093897622E-8</v>
      </c>
      <c r="BP13">
        <f>BL7+1</f>
        <v>4</v>
      </c>
      <c r="BQ13">
        <v>3</v>
      </c>
      <c r="BR13" s="107">
        <f>$H$29*H42</f>
        <v>3.8419889335481142E-2</v>
      </c>
    </row>
    <row r="14" spans="1:70" x14ac:dyDescent="0.25">
      <c r="A14" s="7" t="s">
        <v>9</v>
      </c>
      <c r="B14" s="168">
        <v>11</v>
      </c>
      <c r="C14" s="169">
        <v>7.75</v>
      </c>
      <c r="E14" s="192" t="s">
        <v>20</v>
      </c>
      <c r="F14" s="167" t="s">
        <v>21</v>
      </c>
      <c r="G14" s="167"/>
      <c r="H14" s="10"/>
      <c r="I14" s="10"/>
      <c r="J14" s="166" t="s">
        <v>155</v>
      </c>
      <c r="K14" s="166"/>
      <c r="L14" s="10"/>
      <c r="M14" s="10"/>
      <c r="O14" s="67">
        <f>IF(COUNTIF(F6:F18,"CAB")&gt;0,AI14*B22/0.5,0)</f>
        <v>0.17767741935483869</v>
      </c>
      <c r="P14" s="196">
        <f>IF(COUNTIF(F6:F18,"CAB")-COUNTIF(J6:J18,"CAB")&gt;0,0.8,IF(COUNTIF(F6:F18,"CAB")-COUNTIF(J6:J18,"CAB")=0,0.5,0.25))</f>
        <v>0.5</v>
      </c>
      <c r="Q14" s="16">
        <f t="shared" si="1"/>
        <v>8.8838709677419345E-2</v>
      </c>
      <c r="R14" s="157">
        <f t="shared" si="8"/>
        <v>9.7436004162330891E-2</v>
      </c>
      <c r="S14" s="176">
        <f t="shared" si="2"/>
        <v>0.90256399583766911</v>
      </c>
      <c r="T14" s="177">
        <f>R14*PRODUCT(S5:S13)*PRODUCT(S15:S19)</f>
        <v>5.8582030102873515E-2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2.8019723825681742E-2</v>
      </c>
      <c r="W14" s="186" t="s">
        <v>54</v>
      </c>
      <c r="X14" s="15" t="s">
        <v>55</v>
      </c>
      <c r="Y14" s="69">
        <f>IF(COUNTIF(J6:J18,"CAB")&gt;0,AI14*C22/0.5,0)</f>
        <v>0.14632258064516132</v>
      </c>
      <c r="Z14" s="197">
        <f>IF(COUNTIF(J6:J18,"CAB")-COUNTIF(F6:F18,"CAB")&gt;0,0.8,IF(COUNTIF(J6:J18,"CAB")-COUNTIF(F6:F18,"CAB")=0,0.5,0.25))</f>
        <v>0.5</v>
      </c>
      <c r="AA14" s="19">
        <f t="shared" si="3"/>
        <v>7.316129032258066E-2</v>
      </c>
      <c r="AB14" s="157">
        <f t="shared" si="4"/>
        <v>6.6081165452653509E-2</v>
      </c>
      <c r="AC14" s="176">
        <f t="shared" si="5"/>
        <v>0.93391883454734648</v>
      </c>
      <c r="AD14" s="177">
        <f>AB14*PRODUCT(AC5:AC13)*PRODUCT(AC15:AC19)</f>
        <v>4.6967292180891629E-2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7.8512773959320444E-3</v>
      </c>
      <c r="AG14" s="13"/>
      <c r="AI14" s="201">
        <f>IF(COUNTIF(J6:J18,"CAB")+COUNTIF(F6:F18,"CAB")=0,0,(AM14*$AI$2/2)+SUM($AN$5:$AN$19))</f>
        <v>0.16200000000000001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1.6939372437128952E-2</v>
      </c>
      <c r="BL14">
        <f>BP39+1</f>
        <v>10</v>
      </c>
      <c r="BM14">
        <v>10</v>
      </c>
      <c r="BN14" s="107">
        <f>$H$35*H49</f>
        <v>2.3270171317838409E-10</v>
      </c>
      <c r="BP14">
        <f>BP10+1</f>
        <v>5</v>
      </c>
      <c r="BQ14">
        <v>0</v>
      </c>
      <c r="BR14" s="107">
        <f>$H$30*H39</f>
        <v>2.6580456454325059E-2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155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1"/>
      <c r="AK15" s="13"/>
      <c r="AM15" s="13">
        <v>0</v>
      </c>
      <c r="BH15">
        <v>1</v>
      </c>
      <c r="BI15">
        <v>3</v>
      </c>
      <c r="BJ15" s="107">
        <f t="shared" si="9"/>
        <v>9.7135483233119751E-3</v>
      </c>
      <c r="BP15">
        <f>BP11+1</f>
        <v>5</v>
      </c>
      <c r="BQ15">
        <v>1</v>
      </c>
      <c r="BR15" s="107">
        <f>$H$30*H40</f>
        <v>5.3333374118038866E-2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 t="s">
        <v>146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1"/>
      <c r="AK16" s="13"/>
      <c r="AM16" s="13">
        <v>0</v>
      </c>
      <c r="BH16">
        <v>1</v>
      </c>
      <c r="BI16">
        <v>4</v>
      </c>
      <c r="BJ16" s="107">
        <f t="shared" si="9"/>
        <v>3.8336820728578037E-3</v>
      </c>
      <c r="BP16">
        <f>BP12+1</f>
        <v>5</v>
      </c>
      <c r="BQ16">
        <v>2</v>
      </c>
      <c r="BR16" s="107">
        <f>$H$30*H41</f>
        <v>4.9669188920368583E-2</v>
      </c>
    </row>
    <row r="17" spans="1:70" x14ac:dyDescent="0.25">
      <c r="A17" s="188" t="s">
        <v>10</v>
      </c>
      <c r="B17" s="172" t="s">
        <v>11</v>
      </c>
      <c r="C17" s="173" t="s">
        <v>156</v>
      </c>
      <c r="E17" s="192" t="s">
        <v>22</v>
      </c>
      <c r="F17" s="167" t="s">
        <v>21</v>
      </c>
      <c r="G17" s="167"/>
      <c r="H17" s="10"/>
      <c r="I17" s="10"/>
      <c r="J17" s="166" t="s">
        <v>16</v>
      </c>
      <c r="K17" s="166"/>
      <c r="L17" s="10"/>
      <c r="M17" s="10"/>
      <c r="O17" s="67">
        <f>(AI17*2)*IF(COUNTBLANK(F14:F15)&lt;&gt;0, (2-COUNTBLANK(F14:F15))/2,1)*AG17</f>
        <v>0.157</v>
      </c>
      <c r="P17" s="196">
        <f>IF(COUNTIF(F14:F18,"CAB")&gt;0,0.95,P3)</f>
        <v>0.95</v>
      </c>
      <c r="Q17" s="16">
        <f t="shared" si="1"/>
        <v>0.14915</v>
      </c>
      <c r="R17" s="157">
        <f t="shared" si="8"/>
        <v>0.16358387096774193</v>
      </c>
      <c r="S17" s="176">
        <f t="shared" si="2"/>
        <v>0.83641612903225804</v>
      </c>
      <c r="T17" s="177">
        <f>R17*PRODUCT(S5:S16)*PRODUCT(S18:S19)</f>
        <v>0.10613070262219881</v>
      </c>
      <c r="U17" s="177">
        <f>R17*R18*PRODUCT(S5:S16)*S19+R17*R19*PRODUCT(S5:S16)*S18</f>
        <v>3.0005465386560244E-2</v>
      </c>
      <c r="W17" s="186" t="s">
        <v>60</v>
      </c>
      <c r="X17" s="15" t="s">
        <v>61</v>
      </c>
      <c r="Y17" s="69">
        <f>(AI17*2)*IF(COUNTBLANK(J14:J15)&lt;&gt;0, (2-COUNTBLANK(J14:J15))/2,1)*AK17</f>
        <v>0.157</v>
      </c>
      <c r="Z17" s="197">
        <f>IF(COUNTIF(J14:J18,"CAB")&gt;0,0.95,Z3)</f>
        <v>0.95</v>
      </c>
      <c r="AA17" s="19">
        <f t="shared" si="3"/>
        <v>0.14915</v>
      </c>
      <c r="AB17" s="157">
        <f t="shared" si="4"/>
        <v>0.13471612903225808</v>
      </c>
      <c r="AC17" s="176">
        <f t="shared" si="5"/>
        <v>0.86528387096774195</v>
      </c>
      <c r="AD17" s="177">
        <f>AB17*PRODUCT(AC5:AC16)*PRODUCT(AC18:AC19)</f>
        <v>0.10334463821639193</v>
      </c>
      <c r="AE17" s="177">
        <f>AB17*AB18*PRODUCT(AC5:AC16)*AC19+AB17*AB19*PRODUCT(AC5:AC16)*AC18</f>
        <v>1.1858477844116978E-3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1">
        <f t="shared" si="6"/>
        <v>0.157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0.06</v>
      </c>
      <c r="AN17">
        <f t="shared" si="7"/>
        <v>0</v>
      </c>
      <c r="BH17">
        <v>1</v>
      </c>
      <c r="BI17">
        <v>5</v>
      </c>
      <c r="BJ17" s="107">
        <f t="shared" si="9"/>
        <v>1.1016218789700266E-3</v>
      </c>
      <c r="BP17">
        <f>BP13+1</f>
        <v>5</v>
      </c>
      <c r="BQ17">
        <v>3</v>
      </c>
      <c r="BR17" s="107">
        <f>$H$30*H42</f>
        <v>2.8481814692273493E-2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 t="s">
        <v>16</v>
      </c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1"/>
      <c r="AK18" s="203"/>
      <c r="AM18" s="13">
        <v>0</v>
      </c>
      <c r="BH18">
        <v>1</v>
      </c>
      <c r="BI18">
        <v>6</v>
      </c>
      <c r="BJ18" s="107">
        <f t="shared" si="9"/>
        <v>2.3747263170088327E-4</v>
      </c>
      <c r="BP18">
        <f>BL8+1</f>
        <v>5</v>
      </c>
      <c r="BQ18">
        <v>4</v>
      </c>
      <c r="BR18" s="107">
        <f>$H$30*H43</f>
        <v>1.1241023234133344E-2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0.50240000000000007</v>
      </c>
      <c r="P19" s="196">
        <v>0.4</v>
      </c>
      <c r="Q19" s="16">
        <f t="shared" si="1"/>
        <v>0.20096000000000003</v>
      </c>
      <c r="R19" s="157">
        <f t="shared" si="8"/>
        <v>0.22040774193548388</v>
      </c>
      <c r="S19" s="178">
        <f t="shared" si="2"/>
        <v>0.77959225806451615</v>
      </c>
      <c r="T19" s="179">
        <f>R19*PRODUCT(S5:S18)</f>
        <v>0.15342010835155723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3.1400000000000004E-2</v>
      </c>
      <c r="Z19" s="197">
        <v>0.4</v>
      </c>
      <c r="AA19" s="19">
        <f t="shared" si="3"/>
        <v>1.2560000000000002E-2</v>
      </c>
      <c r="AB19" s="157">
        <f t="shared" si="4"/>
        <v>1.1344516129032261E-2</v>
      </c>
      <c r="AC19" s="178">
        <f t="shared" si="5"/>
        <v>0.98865548387096769</v>
      </c>
      <c r="AD19" s="179">
        <f>AB19*PRODUCT(AC5:AC18)</f>
        <v>7.6167194577612422E-3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0.8</v>
      </c>
      <c r="AI19" s="201">
        <f t="shared" si="6"/>
        <v>0.157</v>
      </c>
      <c r="AK19" s="203">
        <f>IF(COUNTIF(J11:J18,"TEC")&gt;0,IF(COUNTIF(F6:F13,"CAB")&gt;0,IF(COUNTIF(F11:F18,"TEC")+COUNTIF(J11:J18,"TEC")&gt;0,COUNTIF(J11:J18,"TEC")/(COUNTIF(F11:F18,"TEC")+COUNTIF(J11:J18,"TEC")),0),0),0)</f>
        <v>0.2</v>
      </c>
      <c r="AM19" s="13">
        <v>0.06</v>
      </c>
      <c r="AN19">
        <f t="shared" si="7"/>
        <v>0</v>
      </c>
      <c r="BH19">
        <v>1</v>
      </c>
      <c r="BI19">
        <v>7</v>
      </c>
      <c r="BJ19" s="107">
        <f t="shared" si="9"/>
        <v>3.8929519421008645E-5</v>
      </c>
      <c r="BP19">
        <f>BP15+1</f>
        <v>6</v>
      </c>
      <c r="BQ19">
        <v>1</v>
      </c>
      <c r="BR19" s="107">
        <f>$H$31*H40</f>
        <v>2.9160370119888344E-2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0.54265393607318557</v>
      </c>
      <c r="T20" s="181">
        <f>SUM(T5:T19)</f>
        <v>0.36400797804505791</v>
      </c>
      <c r="U20" s="181">
        <f>SUM(U5:U19)</f>
        <v>8.491965488986189E-2</v>
      </c>
      <c r="V20" s="181">
        <f>1-S20-T20-U20</f>
        <v>8.4184309918946265E-3</v>
      </c>
      <c r="W20" s="21"/>
      <c r="X20" s="22"/>
      <c r="Y20" s="22"/>
      <c r="Z20" s="22"/>
      <c r="AA20" s="22"/>
      <c r="AB20" s="23"/>
      <c r="AC20" s="184">
        <f>PRODUCT(AC5:AC19)</f>
        <v>0.66378427915062821</v>
      </c>
      <c r="AD20" s="181">
        <f>SUM(AD5:AD19)</f>
        <v>0.28485325276814749</v>
      </c>
      <c r="AE20" s="181">
        <f>SUM(AE5:AE19)</f>
        <v>4.7293895305798576E-2</v>
      </c>
      <c r="AF20" s="181">
        <f>1-AC20-AD20-AE20</f>
        <v>4.0685727754257231E-3</v>
      </c>
      <c r="BH20">
        <v>1</v>
      </c>
      <c r="BI20">
        <v>8</v>
      </c>
      <c r="BJ20" s="107">
        <f t="shared" si="9"/>
        <v>4.8578835620743542E-6</v>
      </c>
      <c r="BP20">
        <f>BP16+1</f>
        <v>6</v>
      </c>
      <c r="BQ20">
        <v>2</v>
      </c>
      <c r="BR20" s="107">
        <f>$H$31*H41</f>
        <v>2.7156952966580161E-2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4.5617368229301829E-7</v>
      </c>
      <c r="BP21">
        <f>BP17+1</f>
        <v>6</v>
      </c>
      <c r="BQ21">
        <v>3</v>
      </c>
      <c r="BR21" s="107">
        <f>$H$31*H42</f>
        <v>1.5572617931027476E-2</v>
      </c>
    </row>
    <row r="22" spans="1:70" x14ac:dyDescent="0.25">
      <c r="A22" s="26" t="s">
        <v>77</v>
      </c>
      <c r="B22" s="62">
        <f>(B6)/((B6)+(C6))</f>
        <v>0.54838709677419351</v>
      </c>
      <c r="C22" s="63">
        <f>1-B22</f>
        <v>0.45161290322580649</v>
      </c>
      <c r="D22" s="24"/>
      <c r="E22" s="24"/>
      <c r="V22" s="59">
        <f>SUM(V25:V35)</f>
        <v>1</v>
      </c>
      <c r="AS22" s="82">
        <f>Y23+AA23+AC23+AE23+AG23+AI23+AK23+AM23+AO23+AQ23+AS23</f>
        <v>1.0000000000000002</v>
      </c>
      <c r="BH22">
        <v>1</v>
      </c>
      <c r="BI22">
        <v>10</v>
      </c>
      <c r="BJ22" s="107">
        <f t="shared" si="9"/>
        <v>3.1377055610643401E-8</v>
      </c>
      <c r="BP22">
        <f>BP18+1</f>
        <v>6</v>
      </c>
      <c r="BQ22">
        <v>4</v>
      </c>
      <c r="BR22" s="107">
        <f>$H$31*H43</f>
        <v>6.146102763123773E-3</v>
      </c>
    </row>
    <row r="23" spans="1:70" ht="15.75" thickBot="1" x14ac:dyDescent="0.3">
      <c r="A23" s="40" t="s">
        <v>67</v>
      </c>
      <c r="B23" s="56">
        <f>((B22^2.8)/((B22^2.8)+(C22^2.8)))*B21</f>
        <v>3.1632901660391939</v>
      </c>
      <c r="C23" s="57">
        <f>B21-B23</f>
        <v>1.8367098339608061</v>
      </c>
      <c r="D23" s="151">
        <f>SUM(D25:D30)</f>
        <v>1</v>
      </c>
      <c r="E23" s="151">
        <f>SUM(E25:E30)</f>
        <v>1</v>
      </c>
      <c r="H23" s="59">
        <f>SUM(H25:H35)</f>
        <v>0.99994723935191066</v>
      </c>
      <c r="J23" s="59">
        <f>SUM(J25:J35)</f>
        <v>1.0000000000000004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0.99999999999999967</v>
      </c>
      <c r="T23" s="59">
        <f>SUM(T25:T35)</f>
        <v>1</v>
      </c>
      <c r="V23" s="59">
        <f>SUM(V25:V34)</f>
        <v>0.98912828660733121</v>
      </c>
      <c r="Y23" s="80">
        <f>SUM(Y25:Y35)</f>
        <v>4.4294686346310454E-5</v>
      </c>
      <c r="Z23" s="81"/>
      <c r="AA23" s="80">
        <f>SUM(AA25:AA35)</f>
        <v>7.6331442477937678E-4</v>
      </c>
      <c r="AB23" s="81"/>
      <c r="AC23" s="80">
        <f>SUM(AC25:AC35)</f>
        <v>5.9200313364211948E-3</v>
      </c>
      <c r="AD23" s="81"/>
      <c r="AE23" s="80">
        <f>SUM(AE25:AE35)</f>
        <v>2.7213096306591911E-2</v>
      </c>
      <c r="AF23" s="81"/>
      <c r="AG23" s="80">
        <f>SUM(AG25:AG35)</f>
        <v>8.2112904253967056E-2</v>
      </c>
      <c r="AH23" s="81"/>
      <c r="AI23" s="80">
        <f>SUM(AI25:AI35)</f>
        <v>0.16996251331074752</v>
      </c>
      <c r="AJ23" s="81"/>
      <c r="AK23" s="80">
        <f>SUM(AK25:AK35)</f>
        <v>0.24445339389431808</v>
      </c>
      <c r="AL23" s="81"/>
      <c r="AM23" s="80">
        <f>SUM(AM25:AM35)</f>
        <v>0.24134733228436595</v>
      </c>
      <c r="AN23" s="81"/>
      <c r="AO23" s="80">
        <f>SUM(AO25:AO35)</f>
        <v>0.1567022153054981</v>
      </c>
      <c r="AP23" s="81"/>
      <c r="AQ23" s="80">
        <f>SUM(AQ25:AQ35)</f>
        <v>6.060919080429588E-2</v>
      </c>
      <c r="AR23" s="81"/>
      <c r="AS23" s="80">
        <f>SUM(AS25:AS35)</f>
        <v>1.0871713392668793E-2</v>
      </c>
      <c r="BH23">
        <f t="shared" ref="BH23:BH30" si="10">BH15+1</f>
        <v>2</v>
      </c>
      <c r="BI23">
        <v>3</v>
      </c>
      <c r="BJ23" s="107">
        <f t="shared" ref="BJ23:BJ30" si="11">$H$27*H42</f>
        <v>2.4355915440969586E-2</v>
      </c>
      <c r="BP23">
        <f>BL9+1</f>
        <v>6</v>
      </c>
      <c r="BQ23">
        <v>5</v>
      </c>
      <c r="BR23" s="107">
        <f>$H$31*H44</f>
        <v>1.7661040079956615E-3</v>
      </c>
    </row>
    <row r="24" spans="1:70" ht="15.75" thickBot="1" x14ac:dyDescent="0.3">
      <c r="A24" s="26" t="s">
        <v>76</v>
      </c>
      <c r="B24" s="64">
        <f>B23/B21</f>
        <v>0.63265803320783875</v>
      </c>
      <c r="C24" s="65">
        <f>C23/B21</f>
        <v>0.36734196679216125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9.6126393040117039E-3</v>
      </c>
      <c r="BP24">
        <f>BH49+1</f>
        <v>7</v>
      </c>
      <c r="BQ24">
        <v>0</v>
      </c>
      <c r="BR24" s="107">
        <f t="shared" ref="BR24:BR30" si="12">$H$32*H39</f>
        <v>5.9383659838508265E-3</v>
      </c>
    </row>
    <row r="25" spans="1:70" x14ac:dyDescent="0.25">
      <c r="A25" s="26" t="s">
        <v>69</v>
      </c>
      <c r="B25" s="117">
        <f>1/(1+EXP(-3.1416*4*((B11/(B11+C8))-(3.1416/6))))</f>
        <v>9.3112886027713226E-2</v>
      </c>
      <c r="C25" s="118">
        <f>1/(1+EXP(-3.1416*4*((C11/(C11+B8))-(3.1416/6))))</f>
        <v>0.474966688238943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0.44</v>
      </c>
      <c r="G25" s="126">
        <v>0</v>
      </c>
      <c r="H25" s="127">
        <f>L25*J25</f>
        <v>1.0830554738549551E-2</v>
      </c>
      <c r="I25" s="97">
        <v>0</v>
      </c>
      <c r="J25" s="98">
        <f t="shared" ref="J25:J35" si="13">Y25+AA25+AC25+AE25+AG25+AI25+AK25+AM25+AO25+AQ25+AS25</f>
        <v>1.9958492915250644E-2</v>
      </c>
      <c r="K25" s="97">
        <v>0</v>
      </c>
      <c r="L25" s="98">
        <f>S20</f>
        <v>0.54265393607318557</v>
      </c>
      <c r="M25" s="84">
        <v>0</v>
      </c>
      <c r="N25" s="71">
        <f>(1-$B$24)^$B$21</f>
        <v>6.6888696801364724E-3</v>
      </c>
      <c r="O25" s="70">
        <v>0</v>
      </c>
      <c r="P25" s="71">
        <f>N25</f>
        <v>6.6888696801364724E-3</v>
      </c>
      <c r="Q25" s="12">
        <v>0</v>
      </c>
      <c r="R25" s="73">
        <f>P25*N25</f>
        <v>4.4740977597848995E-5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4.4294686346310454E-5</v>
      </c>
      <c r="W25" s="136">
        <f>B31</f>
        <v>0.51141526691919281</v>
      </c>
      <c r="X25" s="12">
        <v>0</v>
      </c>
      <c r="Y25" s="79">
        <f>V25</f>
        <v>4.4294686346310454E-5</v>
      </c>
      <c r="Z25" s="12">
        <v>0</v>
      </c>
      <c r="AA25" s="78">
        <f>((1-W25)^Z26)*V26</f>
        <v>3.7294377448756169E-4</v>
      </c>
      <c r="AB25" s="12">
        <v>0</v>
      </c>
      <c r="AC25" s="79">
        <f>(((1-$W$25)^AB27))*V27</f>
        <v>1.4132005255609731E-3</v>
      </c>
      <c r="AD25" s="12">
        <v>0</v>
      </c>
      <c r="AE25" s="79">
        <f>(((1-$W$25)^AB28))*V28</f>
        <v>3.1739321294447973E-3</v>
      </c>
      <c r="AF25" s="12">
        <v>0</v>
      </c>
      <c r="AG25" s="79">
        <f>(((1-$W$25)^AB29))*V29</f>
        <v>4.6791932555621356E-3</v>
      </c>
      <c r="AH25" s="12">
        <v>0</v>
      </c>
      <c r="AI25" s="79">
        <f>(((1-$W$25)^AB30))*V30</f>
        <v>4.7320857549485494E-3</v>
      </c>
      <c r="AJ25" s="12">
        <v>0</v>
      </c>
      <c r="AK25" s="79">
        <f>(((1-$W$25)^AB31))*V31</f>
        <v>3.3253351676491684E-3</v>
      </c>
      <c r="AL25" s="12">
        <v>0</v>
      </c>
      <c r="AM25" s="79">
        <f>(((1-$W$25)^AB32))*V32</f>
        <v>1.6040642110040164E-3</v>
      </c>
      <c r="AN25" s="12">
        <v>0</v>
      </c>
      <c r="AO25" s="79">
        <f>(((1-$W$25)^AB33))*V33</f>
        <v>5.0885526797280628E-4</v>
      </c>
      <c r="AP25" s="12">
        <v>0</v>
      </c>
      <c r="AQ25" s="79">
        <f>(((1-$W$25)^AB34))*V34</f>
        <v>9.6160678037260724E-5</v>
      </c>
      <c r="AR25" s="12">
        <v>0</v>
      </c>
      <c r="AS25" s="79">
        <f>(((1-$W$25)^AB35))*V35</f>
        <v>8.4274642370676559E-6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2.762225341250743E-3</v>
      </c>
      <c r="BP25">
        <f>BP19+1</f>
        <v>7</v>
      </c>
      <c r="BQ25">
        <v>1</v>
      </c>
      <c r="BR25" s="107">
        <f t="shared" si="12"/>
        <v>1.1915261696531846E-2</v>
      </c>
    </row>
    <row r="26" spans="1:70" x14ac:dyDescent="0.25">
      <c r="A26" s="40" t="s">
        <v>24</v>
      </c>
      <c r="B26" s="119">
        <f>1/(1+EXP(-3.1416*4*((B10/(B10+C9))-(3.1416/6))))</f>
        <v>0.71099737362387128</v>
      </c>
      <c r="C26" s="120">
        <f>1/(1+EXP(-3.1416*4*((C10/(C10+B9))-(3.1416/6))))</f>
        <v>0.19587540603070494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0.217</v>
      </c>
      <c r="G26" s="87">
        <v>1</v>
      </c>
      <c r="H26" s="128">
        <f>L25*J26+L26*J25</f>
        <v>5.9124095934785889E-2</v>
      </c>
      <c r="I26" s="93">
        <v>1</v>
      </c>
      <c r="J26" s="86">
        <f t="shared" si="13"/>
        <v>9.5565593164489385E-2</v>
      </c>
      <c r="K26" s="93">
        <v>1</v>
      </c>
      <c r="L26" s="86">
        <f>T20</f>
        <v>0.36400797804505791</v>
      </c>
      <c r="M26" s="85">
        <v>1</v>
      </c>
      <c r="N26" s="71">
        <f>(($B$24)^M26)*((1-($B$24))^($B$21-M26))*HLOOKUP($B$21,$AV$24:$BF$34,M26+1)</f>
        <v>5.7599832292140225E-2</v>
      </c>
      <c r="O26" s="72">
        <v>1</v>
      </c>
      <c r="P26" s="71">
        <f t="shared" ref="P26:P30" si="14">N26</f>
        <v>5.7599832292140225E-2</v>
      </c>
      <c r="Q26" s="28">
        <v>1</v>
      </c>
      <c r="R26" s="37">
        <f>N26*P25+P26*N25</f>
        <v>7.7055554359968493E-4</v>
      </c>
      <c r="S26" s="72">
        <v>1</v>
      </c>
      <c r="T26" s="135">
        <f t="shared" ref="T26:T35" si="15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7.6331442477937678E-4</v>
      </c>
      <c r="W26" s="137"/>
      <c r="X26" s="28">
        <v>1</v>
      </c>
      <c r="Y26" s="73"/>
      <c r="Z26" s="28">
        <v>1</v>
      </c>
      <c r="AA26" s="79">
        <f>(1-((1-W25)^Z26))*V26</f>
        <v>3.903706502918151E-4</v>
      </c>
      <c r="AB26" s="28">
        <v>1</v>
      </c>
      <c r="AC26" s="79">
        <f>((($W$25)^M26)*((1-($W$25))^($U$27-M26))*HLOOKUP($U$27,$AV$24:$BF$34,M26+1))*V27</f>
        <v>2.9584728095487815E-3</v>
      </c>
      <c r="AD26" s="28">
        <v>1</v>
      </c>
      <c r="AE26" s="79">
        <f>((($W$25)^M26)*((1-($W$25))^($U$28-M26))*HLOOKUP($U$28,$AV$24:$BF$34,M26+1))*V28</f>
        <v>9.966729845987338E-3</v>
      </c>
      <c r="AF26" s="28">
        <v>1</v>
      </c>
      <c r="AG26" s="79">
        <f>((($W$25)^M26)*((1-($W$25))^($U$29-M26))*HLOOKUP($U$29,$AV$24:$BF$34,M26+1))*V29</f>
        <v>1.9591368339902802E-2</v>
      </c>
      <c r="AH26" s="28">
        <v>1</v>
      </c>
      <c r="AI26" s="79">
        <f>((($W$25)^M26)*((1-($W$25))^($U$30-M26))*HLOOKUP($U$30,$AV$24:$BF$34,M26+1))*V30</f>
        <v>2.4766030696371229E-2</v>
      </c>
      <c r="AJ26" s="28">
        <v>1</v>
      </c>
      <c r="AK26" s="79">
        <f>((($W$25)^M26)*((1-($W$25))^($U$31-M26))*HLOOKUP($U$31,$AV$24:$BF$34,M26+1))*V31</f>
        <v>2.0884326388616127E-2</v>
      </c>
      <c r="AL26" s="28">
        <v>1</v>
      </c>
      <c r="AM26" s="79">
        <f>((($W$25)^Q26)*((1-($W$25))^($U$32-Q26))*HLOOKUP($U$32,$AV$24:$BF$34,Q26+1))*V32</f>
        <v>1.1753131233090059E-2</v>
      </c>
      <c r="AN26" s="28">
        <v>1</v>
      </c>
      <c r="AO26" s="79">
        <f>((($W$25)^Q26)*((1-($W$25))^($U$33-Q26))*HLOOKUP($U$33,$AV$24:$BF$34,Q26+1))*V33</f>
        <v>4.2610640091451163E-3</v>
      </c>
      <c r="AP26" s="28">
        <v>1</v>
      </c>
      <c r="AQ26" s="79">
        <f>((($W$25)^Q26)*((1-($W$25))^($U$34-Q26))*HLOOKUP($U$34,$AV$24:$BF$34,Q26+1))*V34</f>
        <v>9.0588657291672703E-4</v>
      </c>
      <c r="AR26" s="28">
        <v>1</v>
      </c>
      <c r="AS26" s="79">
        <f>((($W$25)^Q26)*((1-($W$25))^($U$35-Q26))*HLOOKUP($U$35,$AV$24:$BF$34,Q26+1))*V35</f>
        <v>8.8212618619400973E-5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5.9544289529813495E-4</v>
      </c>
      <c r="BP26">
        <f>BP20+1</f>
        <v>7</v>
      </c>
      <c r="BQ26">
        <v>2</v>
      </c>
      <c r="BR26" s="107">
        <f t="shared" si="12"/>
        <v>1.1096642468763306E-2</v>
      </c>
    </row>
    <row r="27" spans="1:70" x14ac:dyDescent="0.25">
      <c r="A27" s="26" t="s">
        <v>25</v>
      </c>
      <c r="B27" s="119">
        <f>1/(1+EXP(-3.1416*4*((B12/(B12+C7))-(3.1416/6))))</f>
        <v>0.75346023796829997</v>
      </c>
      <c r="C27" s="120">
        <f>1/(1+EXP(-3.1416*4*((C12/(C12+B7))-(3.1416/6))))</f>
        <v>0.16789394290311033</v>
      </c>
      <c r="D27" s="153">
        <f>D26</f>
        <v>0.25700000000000001</v>
      </c>
      <c r="E27" s="153">
        <f>E26</f>
        <v>0.217</v>
      </c>
      <c r="G27" s="87">
        <v>2</v>
      </c>
      <c r="H27" s="128">
        <f>L25*J27+J26*L26+J25*L27</f>
        <v>0.14824875865963907</v>
      </c>
      <c r="I27" s="93">
        <v>2</v>
      </c>
      <c r="J27" s="86">
        <f t="shared" si="13"/>
        <v>0.20596414134476712</v>
      </c>
      <c r="K27" s="93">
        <v>2</v>
      </c>
      <c r="L27" s="86">
        <f>U20</f>
        <v>8.491965488986189E-2</v>
      </c>
      <c r="M27" s="85">
        <v>2</v>
      </c>
      <c r="N27" s="71">
        <f>(($B$24)^M27)*((1-($B$24))^($B$21-M27))*HLOOKUP($B$21,$AV$24:$BF$34,M27+1)</f>
        <v>0.19840366691162611</v>
      </c>
      <c r="O27" s="72">
        <v>2</v>
      </c>
      <c r="P27" s="71">
        <f t="shared" si="14"/>
        <v>0.19840366691162611</v>
      </c>
      <c r="Q27" s="28">
        <v>2</v>
      </c>
      <c r="R27" s="37">
        <f>P25*N27+P26*N26+P27*N25</f>
        <v>5.9719332241488232E-3</v>
      </c>
      <c r="S27" s="72">
        <v>2</v>
      </c>
      <c r="T27" s="135">
        <f t="shared" si="15"/>
        <v>2.5000000000000001E-5</v>
      </c>
      <c r="U27" s="93">
        <v>2</v>
      </c>
      <c r="V27" s="86">
        <f>R27*T25+T26*R26+R25*T27</f>
        <v>5.9200313364211948E-3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1.5483580013114404E-3</v>
      </c>
      <c r="AD27" s="28">
        <v>2</v>
      </c>
      <c r="AE27" s="79">
        <f>((($W$25)^M27)*((1-($W$25))^($U$28-M27))*HLOOKUP($U$28,$AV$24:$BF$34,M27+1))*V28</f>
        <v>1.0432454105466457E-2</v>
      </c>
      <c r="AF27" s="28">
        <v>2</v>
      </c>
      <c r="AG27" s="79">
        <f>((($W$25)^M27)*((1-($W$25))^($U$29-M27))*HLOOKUP($U$29,$AV$24:$BF$34,M27+1))*V29</f>
        <v>3.076024747750309E-2</v>
      </c>
      <c r="AH27" s="28">
        <v>2</v>
      </c>
      <c r="AI27" s="79">
        <f>((($W$25)^M27)*((1-($W$25))^($U$30-M27))*HLOOKUP($U$30,$AV$24:$BF$34,M27+1))*V30</f>
        <v>5.1846590126748089E-2</v>
      </c>
      <c r="AJ27" s="28">
        <v>2</v>
      </c>
      <c r="AK27" s="79">
        <f>((($W$25)^M27)*((1-($W$25))^($U$31-M27))*HLOOKUP($U$31,$AV$24:$BF$34,M27+1))*V31</f>
        <v>5.4650517255802167E-2</v>
      </c>
      <c r="AL27" s="28">
        <v>2</v>
      </c>
      <c r="AM27" s="79">
        <f>((($W$25)^Q27)*((1-($W$25))^($U$32-Q27))*HLOOKUP($U$32,$AV$24:$BF$34,Q27+1))*V32</f>
        <v>3.6906990782167581E-2</v>
      </c>
      <c r="AN27" s="28">
        <v>2</v>
      </c>
      <c r="AO27" s="79">
        <f>((($W$25)^Q27)*((1-($W$25))^($U$33-Q27))*HLOOKUP($U$33,$AV$24:$BF$34,Q27+1))*V33</f>
        <v>1.5610610893417039E-2</v>
      </c>
      <c r="AP27" s="28">
        <v>2</v>
      </c>
      <c r="AQ27" s="79">
        <f>((($W$25)^Q27)*((1-($W$25))^($U$34-Q27))*HLOOKUP($U$34,$AV$24:$BF$34,Q27+1))*V34</f>
        <v>3.7928669654939719E-3</v>
      </c>
      <c r="AR27" s="28">
        <v>2</v>
      </c>
      <c r="AS27" s="79">
        <f>((($W$25)^Q27)*((1-($W$25))^($U$35-Q27))*HLOOKUP($U$35,$AV$24:$BF$34,Q27+1))*V35</f>
        <v>4.1550573685730113E-4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9.7612535771313233E-5</v>
      </c>
      <c r="BP27">
        <f>BP21+1</f>
        <v>7</v>
      </c>
      <c r="BQ27">
        <v>3</v>
      </c>
      <c r="BR27" s="107">
        <f t="shared" si="12"/>
        <v>6.3631503024628687E-3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0.22604782565203763</v>
      </c>
      <c r="I28" s="93">
        <v>3</v>
      </c>
      <c r="J28" s="86">
        <f t="shared" si="13"/>
        <v>0.26313605989564226</v>
      </c>
      <c r="K28" s="93">
        <v>3</v>
      </c>
      <c r="L28" s="86">
        <f>V20</f>
        <v>8.4184309918946265E-3</v>
      </c>
      <c r="M28" s="85">
        <v>3</v>
      </c>
      <c r="N28" s="71">
        <f>(($B$24)^M28)*((1-($B$24))^($B$21-M28))*HLOOKUP($B$21,$AV$24:$BF$34,M28+1)</f>
        <v>0.34170251437824839</v>
      </c>
      <c r="O28" s="72">
        <v>3</v>
      </c>
      <c r="P28" s="71">
        <f t="shared" si="14"/>
        <v>0.34170251437824839</v>
      </c>
      <c r="Q28" s="28">
        <v>3</v>
      </c>
      <c r="R28" s="37">
        <f>P25*N28+P26*N27+P27*N26+P28*N25</f>
        <v>2.7427243056612753E-2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2.7213096306591911E-2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3.6399802256933179E-3</v>
      </c>
      <c r="AF28" s="28">
        <v>3</v>
      </c>
      <c r="AG28" s="79">
        <f>((($W$25)^M28)*((1-($W$25))^($U$29-M28))*HLOOKUP($U$29,$AV$24:$BF$34,M28+1))*V29</f>
        <v>2.1465072632694364E-2</v>
      </c>
      <c r="AH28" s="28">
        <v>3</v>
      </c>
      <c r="AI28" s="79">
        <f>((($W$25)^M28)*((1-($W$25))^($U$30-M28))*HLOOKUP($U$30,$AV$24:$BF$34,M28+1))*V30</f>
        <v>5.4269271905668631E-2</v>
      </c>
      <c r="AJ28" s="28">
        <v>3</v>
      </c>
      <c r="AK28" s="79">
        <f>((($W$25)^M28)*((1-($W$25))^($U$31-M28))*HLOOKUP($U$31,$AV$24:$BF$34,M28+1))*V31</f>
        <v>7.6272294178910988E-2</v>
      </c>
      <c r="AL28" s="28">
        <v>3</v>
      </c>
      <c r="AM28" s="79">
        <f>((($W$25)^Q28)*((1-($W$25))^($U$32-Q28))*HLOOKUP($U$32,$AV$24:$BF$34,Q28+1))*V32</f>
        <v>6.4385961001516862E-2</v>
      </c>
      <c r="AN28" s="28">
        <v>3</v>
      </c>
      <c r="AO28" s="79">
        <f>((($W$25)^Q28)*((1-($W$25))^($U$33-Q28))*HLOOKUP($U$33,$AV$24:$BF$34,Q28+1))*V33</f>
        <v>3.2680123615357166E-2</v>
      </c>
      <c r="AP28" s="28">
        <v>3</v>
      </c>
      <c r="AQ28" s="79">
        <f>((($W$25)^Q28)*((1-($W$25))^($U$34-Q28))*HLOOKUP($U$34,$AV$24:$BF$34,Q28+1))*V34</f>
        <v>9.2635658201405784E-3</v>
      </c>
      <c r="AR28" s="28">
        <v>3</v>
      </c>
      <c r="AS28" s="79">
        <f>((($W$25)^Q28)*((1-($W$25))^($U$35-Q28))*HLOOKUP($U$35,$AV$24:$BF$34,Q28+1))*V35</f>
        <v>1.1597905156603291E-3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1.2180739449867357E-5</v>
      </c>
      <c r="BP28">
        <f>BP22+1</f>
        <v>7</v>
      </c>
      <c r="BQ28">
        <v>4</v>
      </c>
      <c r="BR28" s="107">
        <f t="shared" si="12"/>
        <v>2.5113680839891086E-3</v>
      </c>
    </row>
    <row r="29" spans="1:70" x14ac:dyDescent="0.25">
      <c r="A29" s="26" t="s">
        <v>27</v>
      </c>
      <c r="B29" s="123">
        <f>1/(1+EXP(-3.1416*4*((B14/(B14+C13))-(3.1416/6))))</f>
        <v>0.62456532072955206</v>
      </c>
      <c r="C29" s="118">
        <f>1/(1+EXP(-3.1416*4*((C14/(C14+B13))-(3.1416/6))))</f>
        <v>0.13166779260738296</v>
      </c>
      <c r="D29" s="153">
        <v>0.04</v>
      </c>
      <c r="E29" s="153">
        <v>0.04</v>
      </c>
      <c r="G29" s="87">
        <v>4</v>
      </c>
      <c r="H29" s="128">
        <f>J29*L25+J28*L26+J27*L27+J26*L28</f>
        <v>0.23385287716366965</v>
      </c>
      <c r="I29" s="93">
        <v>4</v>
      </c>
      <c r="J29" s="86">
        <f t="shared" si="13"/>
        <v>0.22071955611913427</v>
      </c>
      <c r="K29" s="93">
        <v>4</v>
      </c>
      <c r="L29" s="86"/>
      <c r="M29" s="85">
        <v>4</v>
      </c>
      <c r="N29" s="71">
        <f>(($B$24)^M29)*((1-($B$24))^($B$21-M29))*HLOOKUP($B$21,$AV$24:$BF$34,M29+1)</f>
        <v>0.29425012690018759</v>
      </c>
      <c r="O29" s="72">
        <v>4</v>
      </c>
      <c r="P29" s="71">
        <f t="shared" si="14"/>
        <v>0.29425012690018759</v>
      </c>
      <c r="Q29" s="28">
        <v>4</v>
      </c>
      <c r="R29" s="37">
        <f>P25*N29+P26*N28+P27*N27+P28*N26+P29*N25</f>
        <v>8.266443159235691E-2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8.2112904253967056E-2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5.6170225483046692E-3</v>
      </c>
      <c r="AH29" s="28">
        <v>4</v>
      </c>
      <c r="AI29" s="79">
        <f>((($W$25)^M29)*((1-($W$25))^($U$30-M29))*HLOOKUP($U$30,$AV$24:$BF$34,M29+1))*V30</f>
        <v>2.8402580246564425E-2</v>
      </c>
      <c r="AJ29" s="28">
        <v>4</v>
      </c>
      <c r="AK29" s="79">
        <f>((($W$25)^M29)*((1-($W$25))^($U$31-M29))*HLOOKUP($U$31,$AV$24:$BF$34,M29+1))*V31</f>
        <v>5.98772531840382E-2</v>
      </c>
      <c r="AL29" s="28">
        <v>4</v>
      </c>
      <c r="AM29" s="79">
        <f>((($W$25)^Q29)*((1-($W$25))^($U$32-Q29))*HLOOKUP($U$32,$AV$24:$BF$34,Q29+1))*V32</f>
        <v>6.739458112784201E-2</v>
      </c>
      <c r="AN29" s="28">
        <v>4</v>
      </c>
      <c r="AO29" s="79">
        <f>((($W$25)^Q29)*((1-($W$25))^($U$33-Q29))*HLOOKUP($U$33,$AV$24:$BF$34,Q29+1))*V33</f>
        <v>4.2758996060709695E-2</v>
      </c>
      <c r="AP29" s="28">
        <v>4</v>
      </c>
      <c r="AQ29" s="79">
        <f>((($W$25)^Q29)*((1-($W$25))^($U$34-Q29))*HLOOKUP($U$34,$AV$24:$BF$34,Q29+1))*V34</f>
        <v>1.4544649062173509E-2</v>
      </c>
      <c r="AR29" s="28">
        <v>4</v>
      </c>
      <c r="AS29" s="79">
        <f>((($W$25)^Q29)*((1-($W$25))^($U$35-Q29))*HLOOKUP($U$35,$AV$24:$BF$34,Q29+1))*V35</f>
        <v>2.1244738895017505E-3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1.1438176104667983E-6</v>
      </c>
      <c r="BP29">
        <f>BP23+1</f>
        <v>7</v>
      </c>
      <c r="BQ29">
        <v>5</v>
      </c>
      <c r="BR29" s="107">
        <f t="shared" si="12"/>
        <v>7.2165035464380651E-4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0.17336214205280251</v>
      </c>
      <c r="I30" s="93">
        <v>5</v>
      </c>
      <c r="J30" s="86">
        <f t="shared" si="13"/>
        <v>0.12704071568633107</v>
      </c>
      <c r="K30" s="93">
        <v>5</v>
      </c>
      <c r="L30" s="86"/>
      <c r="M30" s="85">
        <v>5</v>
      </c>
      <c r="N30" s="71">
        <f>(($B$24)^M30)*((1-($B$24))^($B$21-M30))*HLOOKUP($B$21,$AV$24:$BF$34,M30+1)</f>
        <v>0.10135498983766107</v>
      </c>
      <c r="O30" s="72">
        <v>5</v>
      </c>
      <c r="P30" s="71">
        <f t="shared" si="14"/>
        <v>0.10135498983766107</v>
      </c>
      <c r="Q30" s="28">
        <v>5</v>
      </c>
      <c r="R30" s="37">
        <f>P25*N30+P26*N29+P27*N28+P28*N27+P29*N26+P30*N25</f>
        <v>0.17084348025082916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0.16996251331074752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5.9459545804466073E-3</v>
      </c>
      <c r="AJ30" s="28">
        <v>5</v>
      </c>
      <c r="AK30" s="79">
        <f>((($W$25)^M30)*((1-($W$25))^($U$31-M30))*HLOOKUP($U$31,$AV$24:$BF$34,M30+1))*V31</f>
        <v>2.5070076362323324E-2</v>
      </c>
      <c r="AL30" s="28">
        <v>5</v>
      </c>
      <c r="AM30" s="79">
        <f>((($W$25)^Q30)*((1-($W$25))^($U$32-Q30))*HLOOKUP($U$32,$AV$24:$BF$34,Q30+1))*V32</f>
        <v>4.2326272635336802E-2</v>
      </c>
      <c r="AN30" s="28">
        <v>5</v>
      </c>
      <c r="AO30" s="79">
        <f>((($W$25)^Q30)*((1-($W$25))^($U$33-Q30))*HLOOKUP($U$33,$AV$24:$BF$34,Q30+1))*V33</f>
        <v>3.5805626992389671E-2</v>
      </c>
      <c r="AP30" s="28">
        <v>5</v>
      </c>
      <c r="AQ30" s="79">
        <f>((($W$25)^Q30)*((1-($W$25))^($U$34-Q30))*HLOOKUP($U$34,$AV$24:$BF$34,Q30+1))*V34</f>
        <v>1.522428982885804E-2</v>
      </c>
      <c r="AR30" s="28">
        <v>5</v>
      </c>
      <c r="AS30" s="79">
        <f>((($W$25)^Q30)*((1-($W$25))^($U$35-Q30))*HLOOKUP($U$35,$AV$24:$BF$34,Q30+1))*V35</f>
        <v>2.6684952869766368E-3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7.867536020851957E-8</v>
      </c>
      <c r="BP30">
        <f>BL10+1</f>
        <v>7</v>
      </c>
      <c r="BQ30">
        <v>6</v>
      </c>
      <c r="BR30" s="107">
        <f t="shared" si="12"/>
        <v>1.5556354876082053E-4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0.51141526691919281</v>
      </c>
      <c r="C31" s="61">
        <f>(C25*E25)+(C26*E26)+(C27*E27)+(C28*E28)+(C29*E29)+(C30*E30)/(C25+C26+C27+C28+C29+C30)</f>
        <v>0.36976424583155026</v>
      </c>
      <c r="G31" s="87">
        <v>6</v>
      </c>
      <c r="H31" s="128">
        <f>J31*L25+J30*L26+J29*L27+J28*L28</f>
        <v>9.4786881772149736E-2</v>
      </c>
      <c r="I31" s="93">
        <v>6</v>
      </c>
      <c r="J31" s="86">
        <f t="shared" si="13"/>
        <v>5.0832445131772118E-2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0.24519727749807582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0.24445339389431808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4.3735913569781359E-3</v>
      </c>
      <c r="AL31" s="28">
        <v>6</v>
      </c>
      <c r="AM31" s="79">
        <f>((($W$25)^Q31)*((1-($W$25))^($U$32-Q31))*HLOOKUP($U$32,$AV$24:$BF$34,Q31+1))*V32</f>
        <v>1.4768030020779225E-2</v>
      </c>
      <c r="AN31" s="28">
        <v>6</v>
      </c>
      <c r="AO31" s="79">
        <f>((($W$25)^Q31)*((1-($W$25))^($U$33-Q31))*HLOOKUP($U$33,$AV$24:$BF$34,Q31+1))*V33</f>
        <v>1.8739374202359146E-2</v>
      </c>
      <c r="AP31" s="28">
        <v>6</v>
      </c>
      <c r="AQ31" s="79">
        <f>((($W$25)^Q31)*((1-($W$25))^($U$34-Q31))*HLOOKUP($U$34,$AV$24:$BF$34,Q31+1))*V34</f>
        <v>1.0623792516514387E-2</v>
      </c>
      <c r="AR31" s="28">
        <v>6</v>
      </c>
      <c r="AS31" s="79">
        <f>((($W$25)^Q31)*((1-($W$25))^($U$35-Q31))*HLOOKUP($U$35,$AV$24:$BF$34,Q31+1))*V35</f>
        <v>2.3276570351412219E-3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1.4657230408504873E-2</v>
      </c>
      <c r="BP31">
        <f t="shared" ref="BP31:BP37" si="19">BP24+1</f>
        <v>8</v>
      </c>
      <c r="BQ31">
        <v>0</v>
      </c>
      <c r="BR31" s="107">
        <f t="shared" ref="BR31:BR38" si="20">$H$33*H39</f>
        <v>1.8157783216774363E-3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3.8731007084957844E-2</v>
      </c>
      <c r="I32" s="93">
        <v>7</v>
      </c>
      <c r="J32" s="86">
        <f t="shared" si="13"/>
        <v>1.3970644870873712E-2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0.24131041972299061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0.24134733228436592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2.2083012726293897E-3</v>
      </c>
      <c r="AN32" s="28">
        <v>7</v>
      </c>
      <c r="AO32" s="79">
        <f>((($W$25)^Q32)*((1-($W$25))^($U$33-Q32))*HLOOKUP($U$33,$AV$24:$BF$34,Q32+1))*V33</f>
        <v>5.6042930358513113E-3</v>
      </c>
      <c r="AP32" s="28">
        <v>7</v>
      </c>
      <c r="AQ32" s="79">
        <f>((($W$25)^Q32)*((1-($W$25))^($U$34-Q32))*HLOOKUP($U$34,$AV$24:$BF$34,Q32+1))*V34</f>
        <v>4.7658085407517523E-3</v>
      </c>
      <c r="AR32" s="28">
        <v>7</v>
      </c>
      <c r="AS32" s="79">
        <f>((($W$25)^Q32)*((1-($W$25))^($U$35-Q32))*HLOOKUP($U$35,$AV$24:$BF$34,Q32+1))*V35</f>
        <v>1.3922420216412579E-3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4.2118061425675899E-3</v>
      </c>
      <c r="BP32">
        <f t="shared" si="19"/>
        <v>8</v>
      </c>
      <c r="BQ32">
        <v>1</v>
      </c>
      <c r="BR32" s="107">
        <f t="shared" si="20"/>
        <v>3.6433379054967201E-3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1.1842807134631513E-2</v>
      </c>
      <c r="I33" s="93">
        <v>8</v>
      </c>
      <c r="J33" s="86">
        <f t="shared" si="13"/>
        <v>2.5268843660429473E-3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0.15584964692539771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0.15670221530549808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7.3327122829614769E-4</v>
      </c>
      <c r="AP33" s="28">
        <v>8</v>
      </c>
      <c r="AQ33" s="79">
        <f>((($W$25)^Q33)*((1-($W$25))^($U$34-Q33))*HLOOKUP($U$34,$AV$24:$BF$34,Q33+1))*V34</f>
        <v>1.2471261799287634E-3</v>
      </c>
      <c r="AR33" s="28">
        <v>8</v>
      </c>
      <c r="AS33" s="79">
        <f>((($W$25)^Q33)*((1-($W$25))^($U$35-Q33))*HLOOKUP($U$35,$AV$24:$BF$34,Q33+1))*V35</f>
        <v>5.4648695781803647E-4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9.0792376947397644E-4</v>
      </c>
      <c r="BP33">
        <f t="shared" si="19"/>
        <v>8</v>
      </c>
      <c r="BQ33">
        <v>2</v>
      </c>
      <c r="BR33" s="107">
        <f t="shared" si="20"/>
        <v>3.3930281314725631E-3</v>
      </c>
    </row>
    <row r="34" spans="1:70" x14ac:dyDescent="0.25">
      <c r="A34" s="40" t="s">
        <v>86</v>
      </c>
      <c r="B34" s="56">
        <f>B23*2</f>
        <v>6.3265803320783878</v>
      </c>
      <c r="C34" s="57">
        <f>C23*2</f>
        <v>3.6734196679216122</v>
      </c>
      <c r="G34" s="87">
        <v>9</v>
      </c>
      <c r="H34" s="128">
        <f>J34*L25+J33*L26+J32*L27+J31*L28</f>
        <v>2.6818070211384352E-3</v>
      </c>
      <c r="I34" s="93">
        <v>9</v>
      </c>
      <c r="J34" s="86">
        <f t="shared" si="13"/>
        <v>2.7216089291766854E-4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5.9647437243397987E-2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6.060919080429588E-2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1.4504463948089653E-4</v>
      </c>
      <c r="AR34" s="28">
        <v>9</v>
      </c>
      <c r="AS34" s="79">
        <f>((($W$25)^Q34)*((1-($W$25))^($U$35-Q34))*HLOOKUP($U$35,$AV$24:$BF$34,Q34+1))*V35</f>
        <v>1.2711625343677201E-4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1.488383556596643E-4</v>
      </c>
      <c r="BP34">
        <f t="shared" si="19"/>
        <v>8</v>
      </c>
      <c r="BQ34">
        <v>3</v>
      </c>
      <c r="BR34" s="107">
        <f t="shared" si="20"/>
        <v>1.9456649199810485E-3</v>
      </c>
    </row>
    <row r="35" spans="1:70" ht="15.75" thickBot="1" x14ac:dyDescent="0.3">
      <c r="G35" s="88">
        <v>10</v>
      </c>
      <c r="H35" s="129">
        <f>J35*L25+J34*L26+J33*L27+J32*L28</f>
        <v>4.3848213754896974E-4</v>
      </c>
      <c r="I35" s="94">
        <v>10</v>
      </c>
      <c r="J35" s="89">
        <f t="shared" si="13"/>
        <v>1.3305612779018749E-5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1.027283396499238E-2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1.0871713392668791E-2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1.3305612779018749E-5</v>
      </c>
      <c r="BH35">
        <f t="shared" si="17"/>
        <v>3</v>
      </c>
      <c r="BI35">
        <v>8</v>
      </c>
      <c r="BJ35" s="107">
        <f t="shared" si="18"/>
        <v>1.8573036916943427E-5</v>
      </c>
      <c r="BP35">
        <f t="shared" si="19"/>
        <v>8</v>
      </c>
      <c r="BQ35">
        <v>4</v>
      </c>
      <c r="BR35" s="107">
        <f t="shared" si="20"/>
        <v>7.6790277612747641E-4</v>
      </c>
    </row>
    <row r="36" spans="1:70" x14ac:dyDescent="0.25">
      <c r="A36" s="1"/>
      <c r="B36" s="108">
        <f>SUM(B37:B39)</f>
        <v>0.999508731291604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1.0000000000000004</v>
      </c>
      <c r="BH36">
        <f t="shared" si="17"/>
        <v>3</v>
      </c>
      <c r="BI36">
        <v>9</v>
      </c>
      <c r="BJ36" s="107">
        <f t="shared" si="18"/>
        <v>1.7440785752691886E-6</v>
      </c>
      <c r="BP36">
        <f t="shared" si="19"/>
        <v>8</v>
      </c>
      <c r="BQ36">
        <v>5</v>
      </c>
      <c r="BR36" s="107">
        <f t="shared" si="20"/>
        <v>2.2065953384424719E-4</v>
      </c>
    </row>
    <row r="37" spans="1:70" ht="15.75" thickBot="1" x14ac:dyDescent="0.3">
      <c r="A37" s="109" t="s">
        <v>104</v>
      </c>
      <c r="B37" s="107">
        <f>SUM(BN4:BN14)</f>
        <v>0.11826193224957954</v>
      </c>
      <c r="G37" s="13"/>
      <c r="H37" s="59">
        <f>SUM(H39:H49)</f>
        <v>0.99999997383168548</v>
      </c>
      <c r="I37" s="13"/>
      <c r="J37" s="59">
        <f>SUM(J39:J49)</f>
        <v>1.0000000000000002</v>
      </c>
      <c r="K37" s="59"/>
      <c r="L37" s="59">
        <f>SUM(L39:L49)</f>
        <v>0.99999999999999989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0.99994330855418023</v>
      </c>
      <c r="W37" s="13"/>
      <c r="X37" s="13"/>
      <c r="Y37" s="80">
        <f>SUM(Y39:Y49)</f>
        <v>1.0119510633960624E-2</v>
      </c>
      <c r="Z37" s="81"/>
      <c r="AA37" s="80">
        <f>SUM(AA39:AA49)</f>
        <v>5.8909747223303492E-2</v>
      </c>
      <c r="AB37" s="81"/>
      <c r="AC37" s="80">
        <f>SUM(AC39:AC49)</f>
        <v>0.15441012488491837</v>
      </c>
      <c r="AD37" s="81"/>
      <c r="AE37" s="80">
        <f>SUM(AE39:AE49)</f>
        <v>0.24002770971939083</v>
      </c>
      <c r="AF37" s="81"/>
      <c r="AG37" s="80">
        <f>SUM(AG39:AG49)</f>
        <v>0.2451328654418827</v>
      </c>
      <c r="AH37" s="81"/>
      <c r="AI37" s="80">
        <f>SUM(AI39:AI49)</f>
        <v>0.17195291874375374</v>
      </c>
      <c r="AJ37" s="81"/>
      <c r="AK37" s="80">
        <f>SUM(AK39:AK49)</f>
        <v>8.3986072376452725E-2</v>
      </c>
      <c r="AL37" s="81"/>
      <c r="AM37" s="80">
        <f>SUM(AM39:AM49)</f>
        <v>2.8258265678269195E-2</v>
      </c>
      <c r="AN37" s="81"/>
      <c r="AO37" s="80">
        <f>SUM(AO39:AO49)</f>
        <v>6.2962964075362086E-3</v>
      </c>
      <c r="AP37" s="81"/>
      <c r="AQ37" s="80">
        <f>SUM(AQ39:AQ49)</f>
        <v>8.49797444712635E-4</v>
      </c>
      <c r="AR37" s="81"/>
      <c r="AS37" s="80">
        <f>SUM(AS39:AS49)</f>
        <v>5.6691445819767621E-5</v>
      </c>
      <c r="BH37">
        <f t="shared" si="17"/>
        <v>3</v>
      </c>
      <c r="BI37">
        <v>10</v>
      </c>
      <c r="BJ37" s="107">
        <f t="shared" si="18"/>
        <v>1.1996319070945796E-7</v>
      </c>
      <c r="BP37">
        <f t="shared" si="19"/>
        <v>8</v>
      </c>
      <c r="BQ37">
        <v>6</v>
      </c>
      <c r="BR37" s="107">
        <f t="shared" si="20"/>
        <v>4.7566775145094262E-5</v>
      </c>
    </row>
    <row r="38" spans="1:70" ht="15.75" thickBot="1" x14ac:dyDescent="0.3">
      <c r="A38" s="110" t="s">
        <v>105</v>
      </c>
      <c r="B38" s="107">
        <f>SUM(BJ4:BJ59)</f>
        <v>0.11932880323704675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4.3572327300825308E-3</v>
      </c>
      <c r="BP38">
        <f>BL11+1</f>
        <v>8</v>
      </c>
      <c r="BQ38">
        <v>7</v>
      </c>
      <c r="BR38" s="107">
        <f t="shared" si="20"/>
        <v>7.797747822739148E-6</v>
      </c>
    </row>
    <row r="39" spans="1:70" x14ac:dyDescent="0.25">
      <c r="A39" s="111" t="s">
        <v>0</v>
      </c>
      <c r="B39" s="107">
        <f>SUM(BR4:BR47)</f>
        <v>0.76191799580497765</v>
      </c>
      <c r="G39" s="130">
        <v>0</v>
      </c>
      <c r="H39" s="131">
        <f>L39*J39</f>
        <v>0.15332330426690968</v>
      </c>
      <c r="I39" s="97">
        <v>0</v>
      </c>
      <c r="J39" s="98">
        <f t="shared" ref="J39:J49" si="35">Y39+AA39+AC39+AE39+AG39+AI39+AK39+AM39+AO39+AQ39+AS39</f>
        <v>0.230983632910229</v>
      </c>
      <c r="K39" s="102">
        <v>0</v>
      </c>
      <c r="L39" s="98">
        <f>AC20</f>
        <v>0.66378427915062821</v>
      </c>
      <c r="M39" s="84">
        <v>0</v>
      </c>
      <c r="N39" s="71">
        <f>(1-$C$24)^$B$21</f>
        <v>0.10135498983766107</v>
      </c>
      <c r="O39" s="70">
        <v>0</v>
      </c>
      <c r="P39" s="71">
        <f>N39</f>
        <v>0.10135498983766107</v>
      </c>
      <c r="Q39" s="12">
        <v>0</v>
      </c>
      <c r="R39" s="73">
        <f>P39*N39</f>
        <v>1.027283396499238E-2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1.0119510633960624E-2</v>
      </c>
      <c r="W39" s="136">
        <f>C31</f>
        <v>0.36976424583155026</v>
      </c>
      <c r="X39" s="12">
        <v>0</v>
      </c>
      <c r="Y39" s="79">
        <f>V39</f>
        <v>1.0119510633960624E-2</v>
      </c>
      <c r="Z39" s="12">
        <v>0</v>
      </c>
      <c r="AA39" s="78">
        <f>((1-W39)^Z40)*V40</f>
        <v>3.7127028969151418E-2</v>
      </c>
      <c r="AB39" s="12">
        <v>0</v>
      </c>
      <c r="AC39" s="79">
        <f>(((1-$W$39)^AB41))*V41</f>
        <v>6.1331254715489662E-2</v>
      </c>
      <c r="AD39" s="12">
        <v>0</v>
      </c>
      <c r="AE39" s="79">
        <f>(((1-$W$39)^AB42))*V42</f>
        <v>6.0085612725034959E-2</v>
      </c>
      <c r="AF39" s="12">
        <v>0</v>
      </c>
      <c r="AG39" s="79">
        <f>(((1-$W$39)^AB43))*V43</f>
        <v>3.8673519104279207E-2</v>
      </c>
      <c r="AH39" s="12">
        <v>0</v>
      </c>
      <c r="AI39" s="79">
        <f>(((1-$W$39)^AB44))*V44</f>
        <v>1.709719009290931E-2</v>
      </c>
      <c r="AJ39" s="12">
        <v>0</v>
      </c>
      <c r="AK39" s="79">
        <f>(((1-$W$39)^AB45))*V45</f>
        <v>5.2629046031814454E-3</v>
      </c>
      <c r="AL39" s="12">
        <v>0</v>
      </c>
      <c r="AM39" s="79">
        <f>(((1-$W$39)^AB46))*V46</f>
        <v>1.1160066120980631E-3</v>
      </c>
      <c r="AN39" s="12">
        <v>0</v>
      </c>
      <c r="AO39" s="79">
        <f>(((1-$W$39)^AB47))*V47</f>
        <v>1.5671460281466019E-4</v>
      </c>
      <c r="AP39" s="12">
        <v>0</v>
      </c>
      <c r="AQ39" s="79">
        <f>(((1-$W$39)^AB48))*V48</f>
        <v>1.3330387067214797E-5</v>
      </c>
      <c r="AR39" s="12">
        <v>0</v>
      </c>
      <c r="AS39" s="79">
        <f>(((1-$W$39)^AB49))*V49</f>
        <v>5.6046424243788169E-7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9.3927285132839689E-4</v>
      </c>
      <c r="BP39">
        <f t="shared" ref="BP39:BP46" si="36">BP31+1</f>
        <v>9</v>
      </c>
      <c r="BQ39">
        <v>0</v>
      </c>
      <c r="BR39" s="107">
        <f t="shared" ref="BR39:BR47" si="37">$H$34*H39</f>
        <v>4.1118351388714299E-4</v>
      </c>
    </row>
    <row r="40" spans="1:70" x14ac:dyDescent="0.25">
      <c r="G40" s="91">
        <v>1</v>
      </c>
      <c r="H40" s="132">
        <f>L39*J40+L40*J39</f>
        <v>0.30764141170910675</v>
      </c>
      <c r="I40" s="93">
        <v>1</v>
      </c>
      <c r="J40" s="86">
        <f t="shared" si="35"/>
        <v>0.36434272418727165</v>
      </c>
      <c r="K40" s="95">
        <v>1</v>
      </c>
      <c r="L40" s="86">
        <f>AD20</f>
        <v>0.28485325276814749</v>
      </c>
      <c r="M40" s="85">
        <v>1</v>
      </c>
      <c r="N40" s="71">
        <f>(($C$24)^M26)*((1-($C$24))^($B$21-M26))*HLOOKUP($B$21,$AV$24:$BF$34,M26+1)</f>
        <v>0.29425012690018759</v>
      </c>
      <c r="O40" s="72">
        <v>1</v>
      </c>
      <c r="P40" s="71">
        <f t="shared" ref="P40:P44" si="38">N40</f>
        <v>0.29425012690018759</v>
      </c>
      <c r="Q40" s="28">
        <v>1</v>
      </c>
      <c r="R40" s="37">
        <f>P40*N39+P39*N40</f>
        <v>5.9647437243397987E-2</v>
      </c>
      <c r="S40" s="72">
        <v>1</v>
      </c>
      <c r="T40" s="135">
        <f t="shared" ref="T40:T49" si="39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5.8909747223303492E-2</v>
      </c>
      <c r="W40" s="137"/>
      <c r="X40" s="28">
        <v>1</v>
      </c>
      <c r="Y40" s="73"/>
      <c r="Z40" s="28">
        <v>1</v>
      </c>
      <c r="AA40" s="79">
        <f>(1-((1-W39)^Z40))*V40</f>
        <v>2.1782718254152074E-2</v>
      </c>
      <c r="AB40" s="28">
        <v>1</v>
      </c>
      <c r="AC40" s="79">
        <f>((($W$39)^M40)*((1-($W$39))^($U$27-M40))*HLOOKUP($U$27,$AV$24:$BF$34,M40+1))*V41</f>
        <v>7.196705358520275E-2</v>
      </c>
      <c r="AD40" s="28">
        <v>1</v>
      </c>
      <c r="AE40" s="79">
        <f>((($W$39)^M40)*((1-($W$39))^($U$28-M40))*HLOOKUP($U$28,$AV$24:$BF$34,M40+1))*V42</f>
        <v>0.10575809668516924</v>
      </c>
      <c r="AF40" s="28">
        <v>1</v>
      </c>
      <c r="AG40" s="79">
        <f>((($W$39)^M40)*((1-($W$39))^($U$29-M40))*HLOOKUP($U$29,$AV$24:$BF$34,M40+1))*V43</f>
        <v>9.0760224444033782E-2</v>
      </c>
      <c r="AH40" s="28">
        <v>1</v>
      </c>
      <c r="AI40" s="79">
        <f>((($W$39)^M40)*((1-($W$39))^($U$30-M40))*HLOOKUP($U$30,$AV$24:$BF$34,M40+1))*V44</f>
        <v>5.015527569428832E-2</v>
      </c>
      <c r="AJ40" s="28">
        <v>1</v>
      </c>
      <c r="AK40" s="79">
        <f>((($W$39)^M40)*((1-($W$39))^($U$31-M40))*HLOOKUP($U$31,$AV$24:$BF$34,M40+1))*V45</f>
        <v>1.8526723740512931E-2</v>
      </c>
      <c r="AL40" s="28">
        <v>1</v>
      </c>
      <c r="AM40" s="79">
        <f>((($W$39)^Q40)*((1-($W$39))^($U$32-Q40))*HLOOKUP($U$32,$AV$24:$BF$34,Q40+1))*V46</f>
        <v>4.5833886506003851E-3</v>
      </c>
      <c r="AN40" s="28">
        <v>1</v>
      </c>
      <c r="AO40" s="79">
        <f>((($W$39)^Q40)*((1-($W$39))^($U$33-Q40))*HLOOKUP($U$33,$AV$24:$BF$34,Q40+1))*V47</f>
        <v>7.3556546466661474E-4</v>
      </c>
      <c r="AP40" s="28">
        <v>1</v>
      </c>
      <c r="AQ40" s="79">
        <f>((($W$39)^Q40)*((1-($W$39))^($U$34-Q40))*HLOOKUP($U$34,$AV$24:$BF$34,Q40+1))*V48</f>
        <v>7.0389381103098914E-5</v>
      </c>
      <c r="AR40" s="28">
        <v>1</v>
      </c>
      <c r="AS40" s="79">
        <f>((($W$39)^Q40)*((1-($W$39))^($U$35-Q40))*HLOOKUP($U$35,$AV$24:$BF$34,Q40+1))*V49</f>
        <v>3.2882875423980363E-6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1.5397749393484733E-4</v>
      </c>
      <c r="BP40">
        <f t="shared" si="36"/>
        <v>9</v>
      </c>
      <c r="BQ40">
        <v>1</v>
      </c>
      <c r="BR40" s="107">
        <f t="shared" si="37"/>
        <v>8.2503489791442249E-4</v>
      </c>
    </row>
    <row r="41" spans="1:70" x14ac:dyDescent="0.25">
      <c r="G41" s="91">
        <v>2</v>
      </c>
      <c r="H41" s="132">
        <f>L39*J41+J40*L40+J39*L41</f>
        <v>0.2865053946163193</v>
      </c>
      <c r="I41" s="93">
        <v>2</v>
      </c>
      <c r="J41" s="86">
        <f t="shared" si="35"/>
        <v>0.25881460913293614</v>
      </c>
      <c r="K41" s="95">
        <v>2</v>
      </c>
      <c r="L41" s="86">
        <f>AE20</f>
        <v>4.7293895305798576E-2</v>
      </c>
      <c r="M41" s="85">
        <v>2</v>
      </c>
      <c r="N41" s="71">
        <f>(($C$24)^M27)*((1-($C$24))^($B$21-M27))*HLOOKUP($B$21,$AV$24:$BF$34,M27+1)</f>
        <v>0.34170251437824839</v>
      </c>
      <c r="O41" s="72">
        <v>2</v>
      </c>
      <c r="P41" s="71">
        <f t="shared" si="38"/>
        <v>0.34170251437824839</v>
      </c>
      <c r="Q41" s="28">
        <v>2</v>
      </c>
      <c r="R41" s="37">
        <f>P41*N39+P40*N40+P39*N41</f>
        <v>0.15584964692539771</v>
      </c>
      <c r="S41" s="72">
        <v>2</v>
      </c>
      <c r="T41" s="135">
        <f t="shared" si="39"/>
        <v>7.4625000000000011E-5</v>
      </c>
      <c r="U41" s="93">
        <v>2</v>
      </c>
      <c r="V41" s="86">
        <f>R41*T39+T40*R40+R39*T41</f>
        <v>0.15441012488491834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2.1111816584225954E-2</v>
      </c>
      <c r="AD41" s="28">
        <v>2</v>
      </c>
      <c r="AE41" s="79">
        <f>((($W$39)^M41)*((1-($W$39))^($U$28-M41))*HLOOKUP($U$28,$AV$24:$BF$34,M41+1))*V42</f>
        <v>6.2049102423534688E-2</v>
      </c>
      <c r="AF41" s="28">
        <v>2</v>
      </c>
      <c r="AG41" s="79">
        <f>((($W$39)^M41)*((1-($W$39))^($U$29-M41))*HLOOKUP($U$29,$AV$24:$BF$34,M41+1))*V43</f>
        <v>7.9874600229552714E-2</v>
      </c>
      <c r="AH41" s="28">
        <v>2</v>
      </c>
      <c r="AI41" s="79">
        <f>((($W$39)^M41)*((1-($W$39))^($U$30-M41))*HLOOKUP($U$30,$AV$24:$BF$34,M41+1))*V44</f>
        <v>5.885298499461241E-2</v>
      </c>
      <c r="AJ41" s="28">
        <v>2</v>
      </c>
      <c r="AK41" s="79">
        <f>((($W$39)^M41)*((1-($W$39))^($U$31-M41))*HLOOKUP($U$31,$AV$24:$BF$34,M41+1))*V45</f>
        <v>2.7174434274516063E-2</v>
      </c>
      <c r="AL41" s="28">
        <v>2</v>
      </c>
      <c r="AM41" s="79">
        <f>((($W$39)^Q41)*((1-($W$39))^($U$32-Q41))*HLOOKUP($U$32,$AV$24:$BF$34,Q41+1))*V46</f>
        <v>8.0673298993244255E-3</v>
      </c>
      <c r="AN41" s="28">
        <v>2</v>
      </c>
      <c r="AO41" s="79">
        <f>((($W$39)^Q41)*((1-($W$39))^($U$33-Q41))*HLOOKUP($U$33,$AV$24:$BF$34,Q41+1))*V47</f>
        <v>1.5104670375511709E-3</v>
      </c>
      <c r="AP41" s="28">
        <v>2</v>
      </c>
      <c r="AQ41" s="79">
        <f>((($W$39)^Q41)*((1-($W$39))^($U$34-Q41))*HLOOKUP($U$34,$AV$24:$BF$34,Q41+1))*V48</f>
        <v>1.6519200153903234E-4</v>
      </c>
      <c r="AR41" s="28">
        <v>2</v>
      </c>
      <c r="AS41" s="79">
        <f>((($W$39)^Q41)*((1-($W$39))^($U$35-Q41))*HLOOKUP($U$35,$AV$24:$BF$34,Q41+1))*V49</f>
        <v>8.6816880796991146E-6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1.9214332666840766E-5</v>
      </c>
      <c r="BP41">
        <f t="shared" si="36"/>
        <v>9</v>
      </c>
      <c r="BQ41">
        <v>2</v>
      </c>
      <c r="BR41" s="107">
        <f t="shared" si="37"/>
        <v>7.6835217887608314E-4</v>
      </c>
    </row>
    <row r="42" spans="1:70" ht="15" customHeight="1" x14ac:dyDescent="0.25">
      <c r="G42" s="91">
        <v>3</v>
      </c>
      <c r="H42" s="132">
        <f>J42*L39+J41*L40+L42*J39+L41*J40</f>
        <v>0.16429085586401282</v>
      </c>
      <c r="I42" s="93">
        <v>3</v>
      </c>
      <c r="J42" s="86">
        <f t="shared" si="35"/>
        <v>0.10906512023401087</v>
      </c>
      <c r="K42" s="95">
        <v>3</v>
      </c>
      <c r="L42" s="86">
        <f>AF20</f>
        <v>4.0685727754257231E-3</v>
      </c>
      <c r="M42" s="85">
        <v>3</v>
      </c>
      <c r="N42" s="71">
        <f>(($C$24)^M28)*((1-($C$24))^($B$21-M28))*HLOOKUP($B$21,$AV$24:$BF$34,M28+1)</f>
        <v>0.19840366691162611</v>
      </c>
      <c r="O42" s="72">
        <v>3</v>
      </c>
      <c r="P42" s="71">
        <f t="shared" si="38"/>
        <v>0.19840366691162611</v>
      </c>
      <c r="Q42" s="28">
        <v>3</v>
      </c>
      <c r="R42" s="37">
        <f>P42*N39+P41*N40+P40*N41+P39*N42</f>
        <v>0.24131041972299061</v>
      </c>
      <c r="S42" s="72">
        <v>3</v>
      </c>
      <c r="T42" s="135">
        <f t="shared" si="39"/>
        <v>1.2500000000000002E-7</v>
      </c>
      <c r="U42" s="93">
        <v>3</v>
      </c>
      <c r="V42" s="86">
        <f>R42*T39+R41*T40+R40*T41+R39*T42</f>
        <v>0.24002770971939077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1.2134897885651936E-2</v>
      </c>
      <c r="AF42" s="28">
        <v>3</v>
      </c>
      <c r="AG42" s="79">
        <f>((($W$39)^M42)*((1-($W$39))^($U$29-M42))*HLOOKUP($U$29,$AV$24:$BF$34,M42+1))*V43</f>
        <v>3.1242035084628614E-2</v>
      </c>
      <c r="AH42" s="28">
        <v>3</v>
      </c>
      <c r="AI42" s="79">
        <f>((($W$39)^M42)*((1-($W$39))^($U$30-M42))*HLOOKUP($U$30,$AV$24:$BF$34,M42+1))*V44</f>
        <v>3.4529506565652436E-2</v>
      </c>
      <c r="AJ42" s="28">
        <v>3</v>
      </c>
      <c r="AK42" s="79">
        <f>((($W$39)^M42)*((1-($W$39))^($U$31-M42))*HLOOKUP($U$31,$AV$24:$BF$34,M42+1))*V45</f>
        <v>2.1257937481238255E-2</v>
      </c>
      <c r="AL42" s="28">
        <v>3</v>
      </c>
      <c r="AM42" s="79">
        <f>((($W$39)^Q42)*((1-($W$39))^($U$32-Q42))*HLOOKUP($U$32,$AV$24:$BF$34,Q42+1))*V46</f>
        <v>7.8886092396589953E-3</v>
      </c>
      <c r="AN42" s="28">
        <v>3</v>
      </c>
      <c r="AO42" s="79">
        <f>((($W$39)^Q42)*((1-($W$39))^($U$33-Q42))*HLOOKUP($U$33,$AV$24:$BF$34,Q42+1))*V47</f>
        <v>1.7724056475673824E-3</v>
      </c>
      <c r="AP42" s="28">
        <v>3</v>
      </c>
      <c r="AQ42" s="79">
        <f>((($W$39)^Q42)*((1-($W$39))^($U$34-Q42))*HLOOKUP($U$34,$AV$24:$BF$34,Q42+1))*V48</f>
        <v>2.2614535816550414E-4</v>
      </c>
      <c r="AR42" s="28">
        <v>3</v>
      </c>
      <c r="AS42" s="79">
        <f>((($W$39)^Q42)*((1-($W$39))^($U$35-Q42))*HLOOKUP($U$35,$AV$24:$BF$34,Q42+1))*V49</f>
        <v>1.3582971447757348E-5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1.804298677280982E-6</v>
      </c>
      <c r="BP42">
        <f t="shared" si="36"/>
        <v>9</v>
      </c>
      <c r="BQ42">
        <v>3</v>
      </c>
      <c r="BR42" s="107">
        <f t="shared" si="37"/>
        <v>4.4059637076495224E-4</v>
      </c>
    </row>
    <row r="43" spans="1:70" ht="15" customHeight="1" x14ac:dyDescent="0.25">
      <c r="G43" s="91">
        <v>4</v>
      </c>
      <c r="H43" s="132">
        <f>J43*L39+J42*L40+J41*L41+J40*L42</f>
        <v>6.4841280230083689E-2</v>
      </c>
      <c r="I43" s="93">
        <v>4</v>
      </c>
      <c r="J43" s="86">
        <f t="shared" si="35"/>
        <v>3.0207133071962239E-2</v>
      </c>
      <c r="K43" s="95">
        <v>4</v>
      </c>
      <c r="L43" s="86"/>
      <c r="M43" s="85">
        <v>4</v>
      </c>
      <c r="N43" s="71">
        <f>(($C$24)^M29)*((1-($C$24))^($B$21-M29))*HLOOKUP($B$21,$AV$24:$BF$34,M29+1)</f>
        <v>5.7599832292140225E-2</v>
      </c>
      <c r="O43" s="72">
        <v>4</v>
      </c>
      <c r="P43" s="71">
        <f t="shared" si="38"/>
        <v>5.7599832292140225E-2</v>
      </c>
      <c r="Q43" s="28">
        <v>4</v>
      </c>
      <c r="R43" s="37">
        <f>P43*N39+P42*N40+P41*N41+P40*N42+P39*N43</f>
        <v>0.24519727749807582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0.24513286544188262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4.582486579388376E-3</v>
      </c>
      <c r="AH43" s="28">
        <v>4</v>
      </c>
      <c r="AI43" s="79">
        <f>((($W$39)^M43)*((1-($W$39))^($U$30-M43))*HLOOKUP($U$30,$AV$24:$BF$34,M43+1))*V44</f>
        <v>1.0129365772837013E-2</v>
      </c>
      <c r="AJ43" s="28">
        <v>4</v>
      </c>
      <c r="AK43" s="79">
        <f>((($W$39)^M43)*((1-($W$39))^($U$31-M43))*HLOOKUP($U$31,$AV$24:$BF$34,M43+1))*V45</f>
        <v>9.354148628542466E-3</v>
      </c>
      <c r="AL43" s="28">
        <v>4</v>
      </c>
      <c r="AM43" s="79">
        <f>((($W$39)^Q43)*((1-($W$39))^($U$32-Q43))*HLOOKUP($U$32,$AV$24:$BF$34,Q43+1))*V46</f>
        <v>4.6283087350557865E-3</v>
      </c>
      <c r="AN43" s="28">
        <v>4</v>
      </c>
      <c r="AO43" s="79">
        <f>((($W$39)^Q43)*((1-($W$39))^($U$33-Q43))*HLOOKUP($U$33,$AV$24:$BF$34,Q43+1))*V47</f>
        <v>1.2998553185169762E-3</v>
      </c>
      <c r="AP43" s="28">
        <v>4</v>
      </c>
      <c r="AQ43" s="79">
        <f>((($W$39)^Q43)*((1-($W$39))^($U$34-Q43))*HLOOKUP($U$34,$AV$24:$BF$34,Q43+1))*V48</f>
        <v>1.990218753632232E-4</v>
      </c>
      <c r="AR43" s="28">
        <v>4</v>
      </c>
      <c r="AS43" s="79">
        <f>((($W$39)^Q43)*((1-($W$39))^($U$35-Q43))*HLOOKUP($U$35,$AV$24:$BF$34,Q43+1))*V49</f>
        <v>1.3946162258402842E-5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1.241053180680655E-7</v>
      </c>
      <c r="BP43">
        <f t="shared" si="36"/>
        <v>9</v>
      </c>
      <c r="BQ43">
        <v>4</v>
      </c>
      <c r="BR43" s="107">
        <f t="shared" si="37"/>
        <v>1.7389180058064325E-4</v>
      </c>
    </row>
    <row r="44" spans="1:70" ht="15" customHeight="1" thickBot="1" x14ac:dyDescent="0.3">
      <c r="G44" s="91">
        <v>5</v>
      </c>
      <c r="H44" s="132">
        <f>J44*L39+J43*L40+J42*L41+J41*L42</f>
        <v>1.8632367422330143E-2</v>
      </c>
      <c r="I44" s="93">
        <v>5</v>
      </c>
      <c r="J44" s="86">
        <f t="shared" si="35"/>
        <v>5.7498301472321761E-3</v>
      </c>
      <c r="K44" s="95">
        <v>5</v>
      </c>
      <c r="L44" s="86"/>
      <c r="M44" s="85">
        <v>5</v>
      </c>
      <c r="N44" s="71">
        <f>(($C$24)^M30)*((1-($C$24))^($B$21-M30))*HLOOKUP($B$21,$AV$24:$BF$34,M30+1)</f>
        <v>6.6888696801364724E-3</v>
      </c>
      <c r="O44" s="72">
        <v>5</v>
      </c>
      <c r="P44" s="71">
        <f t="shared" si="38"/>
        <v>6.6888696801364724E-3</v>
      </c>
      <c r="Q44" s="28">
        <v>5</v>
      </c>
      <c r="R44" s="37">
        <f>P44*N39+P43*N40+P42*N41+P41*N42+P40*N43+P39*N44</f>
        <v>0.17084348025082916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0.17195291874375368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1.1885956234542361E-3</v>
      </c>
      <c r="AJ44" s="28">
        <v>5</v>
      </c>
      <c r="AK44" s="79">
        <f>((($W$39)^M44)*((1-($W$39))^($U$31-M44))*HLOOKUP($U$31,$AV$24:$BF$34,M44+1))*V45</f>
        <v>2.1952608624008704E-3</v>
      </c>
      <c r="AL44" s="28">
        <v>5</v>
      </c>
      <c r="AM44" s="79">
        <f>((($W$39)^Q44)*((1-($W$39))^($U$32-Q44))*HLOOKUP($U$32,$AV$24:$BF$34,Q44+1))*V46</f>
        <v>1.6292789587777589E-3</v>
      </c>
      <c r="AN44" s="28">
        <v>5</v>
      </c>
      <c r="AO44" s="79">
        <f>((($W$39)^Q44)*((1-($W$39))^($U$33-Q44))*HLOOKUP($U$33,$AV$24:$BF$34,Q44+1))*V47</f>
        <v>6.1010822488258081E-4</v>
      </c>
      <c r="AP44" s="28">
        <v>5</v>
      </c>
      <c r="AQ44" s="79">
        <f>((($W$39)^Q44)*((1-($W$39))^($U$34-Q44))*HLOOKUP($U$34,$AV$24:$BF$34,Q44+1))*V48</f>
        <v>1.1676769075845468E-4</v>
      </c>
      <c r="AR44" s="28">
        <v>5</v>
      </c>
      <c r="AS44" s="79">
        <f>((($W$39)^Q44)*((1-($W$39))^($U$35-Q44))*HLOOKUP($U$35,$AV$24:$BF$34,Q44+1))*V49</f>
        <v>9.8187869582742433E-6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6.9631109718769639E-4</v>
      </c>
      <c r="BP44">
        <f t="shared" si="36"/>
        <v>9</v>
      </c>
      <c r="BQ44">
        <v>5</v>
      </c>
      <c r="BR44" s="107">
        <f t="shared" si="37"/>
        <v>4.9968413773636028E-5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4.0165118459116319E-3</v>
      </c>
      <c r="I45" s="93">
        <v>6</v>
      </c>
      <c r="J45" s="86">
        <f t="shared" si="35"/>
        <v>7.627502994341941E-4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8.266443159235691E-2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8.3986072376452697E-2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2.1466278606069509E-4</v>
      </c>
      <c r="AL45" s="28">
        <v>6</v>
      </c>
      <c r="AM45" s="79">
        <f>((($W$39)^Q45)*((1-($W$39))^($U$32-Q45))*HLOOKUP($U$32,$AV$24:$BF$34,Q45+1))*V46</f>
        <v>3.1863690238507608E-4</v>
      </c>
      <c r="AN45" s="28">
        <v>6</v>
      </c>
      <c r="AO45" s="79">
        <f>((($W$39)^Q45)*((1-($W$39))^($U$33-Q45))*HLOOKUP($U$33,$AV$24:$BF$34,Q45+1))*V47</f>
        <v>1.7897763349446202E-4</v>
      </c>
      <c r="AP45" s="28">
        <v>6</v>
      </c>
      <c r="AQ45" s="79">
        <f>((($W$39)^Q45)*((1-($W$39))^($U$34-Q45))*HLOOKUP($U$34,$AV$24:$BF$34,Q45+1))*V48</f>
        <v>4.5672344912431433E-5</v>
      </c>
      <c r="AR45" s="28">
        <v>6</v>
      </c>
      <c r="AS45" s="79">
        <f>((($W$39)^Q45)*((1-($W$39))^($U$35-Q45))*HLOOKUP($U$35,$AV$24:$BF$34,Q45+1))*V49</f>
        <v>4.8006325815293488E-6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1.1414812808903334E-4</v>
      </c>
      <c r="BP45">
        <f t="shared" si="36"/>
        <v>9</v>
      </c>
      <c r="BQ45">
        <v>6</v>
      </c>
      <c r="BR45" s="107">
        <f t="shared" si="37"/>
        <v>1.0771509668851511E-5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6.5843745778283117E-4</v>
      </c>
      <c r="I46" s="93">
        <v>7</v>
      </c>
      <c r="J46" s="86">
        <f t="shared" si="35"/>
        <v>6.9802451104807961E-5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2.7427243056612753E-2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2.8258265678269178E-2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2.6706680368698939E-5</v>
      </c>
      <c r="AN46" s="28">
        <v>7</v>
      </c>
      <c r="AO46" s="79">
        <f>((($W$39)^Q46)*((1-($W$39))^($U$33-Q46))*HLOOKUP($U$33,$AV$24:$BF$34,Q46+1))*V47</f>
        <v>3.0002164941373824E-5</v>
      </c>
      <c r="AP46" s="28">
        <v>7</v>
      </c>
      <c r="AQ46" s="79">
        <f>((($W$39)^Q46)*((1-($W$39))^($U$34-Q46))*HLOOKUP($U$34,$AV$24:$BF$34,Q46+1))*V48</f>
        <v>1.1484137977758681E-5</v>
      </c>
      <c r="AR46" s="28">
        <v>7</v>
      </c>
      <c r="AS46" s="79">
        <f>((($W$39)^Q46)*((1-($W$39))^($U$35-Q46))*HLOOKUP($U$35,$AV$24:$BF$34,Q46+1))*V49</f>
        <v>1.6094678169765089E-6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1.4244160301296256E-5</v>
      </c>
      <c r="BP46">
        <f t="shared" si="36"/>
        <v>9</v>
      </c>
      <c r="BQ46">
        <v>7</v>
      </c>
      <c r="BR46" s="107">
        <f t="shared" si="37"/>
        <v>1.7658021972625386E-6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8.2164191862360466E-5</v>
      </c>
      <c r="I47" s="93">
        <v>8</v>
      </c>
      <c r="J47" s="86">
        <f t="shared" si="35"/>
        <v>4.2388792505127337E-6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5.9719332241488232E-3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6.296296407536206E-3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2.2003131009875494E-6</v>
      </c>
      <c r="AP47" s="28">
        <v>8</v>
      </c>
      <c r="AQ47" s="79">
        <f>((($W$39)^Q47)*((1-($W$39))^($U$34-Q47))*HLOOKUP($U$34,$AV$24:$BF$34,Q47+1))*V48</f>
        <v>1.6844583912786136E-6</v>
      </c>
      <c r="AR47" s="28">
        <v>8</v>
      </c>
      <c r="AS47" s="79">
        <f>((($W$39)^Q47)*((1-($W$39))^($U$35-Q47))*HLOOKUP($U$35,$AV$24:$BF$34,Q47+1))*V49</f>
        <v>3.5410775824657034E-7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1.3375806506650244E-6</v>
      </c>
      <c r="BP47">
        <f>BL12+1</f>
        <v>9</v>
      </c>
      <c r="BQ47">
        <v>8</v>
      </c>
      <c r="BR47" s="107">
        <f t="shared" si="37"/>
        <v>2.2034850662264377E-7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7.7155290931835923E-6</v>
      </c>
      <c r="I48" s="93">
        <v>9</v>
      </c>
      <c r="J48" s="86">
        <f t="shared" si="35"/>
        <v>1.5597783266488933E-7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7.7055554359968493E-4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8.4979744471263456E-4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1.0980943463813114E-7</v>
      </c>
      <c r="AR48" s="28">
        <v>9</v>
      </c>
      <c r="AS48" s="79">
        <f>((($W$39)^Q48)*((1-($W$39))^($U$35-Q48))*HLOOKUP($U$35,$AV$24:$BF$34,Q48+1))*V49</f>
        <v>4.6168398026758182E-8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9.2002989406737618E-8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5.3069827309076174E-7</v>
      </c>
      <c r="I49" s="94">
        <v>10</v>
      </c>
      <c r="J49" s="89">
        <f t="shared" si="35"/>
        <v>2.7087360189742919E-9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4.4740977597848995E-5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5.6691445819767594E-5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2.7087360189742919E-9</v>
      </c>
      <c r="BH49">
        <f>BP14+1</f>
        <v>6</v>
      </c>
      <c r="BI49">
        <v>0</v>
      </c>
      <c r="BJ49" s="107">
        <f>$H$31*H39</f>
        <v>1.4533037914462909E-2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6.2411233465216055E-5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7.7880875399617896E-6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7.3133094396517488E-7</v>
      </c>
    </row>
    <row r="53" spans="1:62" x14ac:dyDescent="0.25">
      <c r="BH53">
        <f>BH48+1</f>
        <v>6</v>
      </c>
      <c r="BI53">
        <v>10</v>
      </c>
      <c r="BJ53" s="107">
        <f>$H$31*H49</f>
        <v>5.0303234468138069E-8</v>
      </c>
    </row>
    <row r="54" spans="1:62" x14ac:dyDescent="0.25">
      <c r="BH54">
        <f>BH51+1</f>
        <v>7</v>
      </c>
      <c r="BI54">
        <v>8</v>
      </c>
      <c r="BJ54" s="107">
        <f>$H$32*H47</f>
        <v>3.1823018971509188E-6</v>
      </c>
    </row>
    <row r="55" spans="1:62" x14ac:dyDescent="0.25">
      <c r="BH55">
        <f>BH52+1</f>
        <v>7</v>
      </c>
      <c r="BI55">
        <v>9</v>
      </c>
      <c r="BJ55" s="107">
        <f>$H$32*H48</f>
        <v>2.9883021197229208E-7</v>
      </c>
    </row>
    <row r="56" spans="1:62" x14ac:dyDescent="0.25">
      <c r="BH56">
        <f>BH53+1</f>
        <v>7</v>
      </c>
      <c r="BI56">
        <v>10</v>
      </c>
      <c r="BJ56" s="107">
        <f>$H$32*H49</f>
        <v>2.0554478575053186E-8</v>
      </c>
    </row>
    <row r="57" spans="1:62" x14ac:dyDescent="0.25">
      <c r="BH57">
        <f>BH55+1</f>
        <v>8</v>
      </c>
      <c r="BI57">
        <v>9</v>
      </c>
      <c r="BJ57" s="107">
        <f>$H$33*H48</f>
        <v>9.1373522992211649E-8</v>
      </c>
    </row>
    <row r="58" spans="1:62" x14ac:dyDescent="0.25">
      <c r="BH58">
        <f>BH56+1</f>
        <v>8</v>
      </c>
      <c r="BI58">
        <v>10</v>
      </c>
      <c r="BJ58" s="107">
        <f>$H$33*H49</f>
        <v>6.2849572948958962E-9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1.4232303548808476E-9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D10" sqref="D10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8" t="s">
        <v>157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7" t="s">
        <v>123</v>
      </c>
      <c r="K1" s="202">
        <f>IF(D3="SI",COUNTIF($J$6:$J$18,"RAP"),0)</f>
        <v>2</v>
      </c>
      <c r="L1" s="13"/>
      <c r="P1" s="209"/>
      <c r="Q1" s="209"/>
      <c r="R1" s="152">
        <v>0</v>
      </c>
      <c r="S1" s="153">
        <f>1+R1</f>
        <v>1</v>
      </c>
      <c r="AI1" s="160" t="s">
        <v>152</v>
      </c>
    </row>
    <row r="2" spans="1:70" x14ac:dyDescent="0.25">
      <c r="A2" s="208" t="s">
        <v>158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7" t="s">
        <v>21</v>
      </c>
      <c r="K2" s="202">
        <f>IF(D3="SI",COUNTIF($J$6:$J$18,"TEC"),0)</f>
        <v>2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0" t="s">
        <v>116</v>
      </c>
      <c r="C3" s="210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7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8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8" t="s">
        <v>75</v>
      </c>
      <c r="AK4" s="9" t="s">
        <v>14</v>
      </c>
      <c r="AM4" s="13" t="s">
        <v>153</v>
      </c>
      <c r="BH4">
        <v>0</v>
      </c>
      <c r="BI4">
        <v>1</v>
      </c>
      <c r="BJ4" s="107">
        <f t="shared" ref="BJ4:BJ13" si="0">$H$25*H40</f>
        <v>6.8897191587646584E-4</v>
      </c>
      <c r="BL4">
        <v>0</v>
      </c>
      <c r="BM4">
        <v>0</v>
      </c>
      <c r="BN4" s="107">
        <f>H25*H39</f>
        <v>1.0844440468960136E-4</v>
      </c>
      <c r="BP4">
        <v>1</v>
      </c>
      <c r="BQ4">
        <v>0</v>
      </c>
      <c r="BR4" s="107">
        <f>$H$26*H39</f>
        <v>5.0356045559064215E-4</v>
      </c>
    </row>
    <row r="5" spans="1:70" x14ac:dyDescent="0.25">
      <c r="A5" s="40" t="s">
        <v>150</v>
      </c>
      <c r="B5" s="161">
        <v>352</v>
      </c>
      <c r="C5" s="161">
        <v>343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146</v>
      </c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COUNTIF(J5:J10,"IMP")*AI5*AK5</f>
        <v>0.16</v>
      </c>
      <c r="Z5" s="197" t="str">
        <f>Z3</f>
        <v>0,6</v>
      </c>
      <c r="AA5" s="19">
        <f>Z5*Y5</f>
        <v>9.6000000000000002E-2</v>
      </c>
      <c r="AB5" s="157">
        <f>IF($M$2="SI",AA5*$C$22/0.5*$S$1,AA5*$C$22/0.5*$S$2)</f>
        <v>9.7811320754716977E-2</v>
      </c>
      <c r="AC5" s="176">
        <f>(1-AB5)</f>
        <v>0.90218867924528301</v>
      </c>
      <c r="AD5" s="177">
        <f>AB5*PRODUCT(AC6:AC19)</f>
        <v>4.1536938723481749E-2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3.8274050518534608E-2</v>
      </c>
      <c r="AF5" s="18"/>
      <c r="AG5" s="203">
        <f>IF(COUNTIF(F5:F10,"IMP")+COUNTIF(J5:J10,"IMP")=0,0,COUNTIF(F5:F10,"IMP")/(COUNTIF(F5:F10,"IMP")+COUNTIF(J5:J10,"IMP")))</f>
        <v>0</v>
      </c>
      <c r="AI5" s="208">
        <f>IF(AN5=0,(AM5*2*$AI$2/2)+SUM($AN$5:$AN$19),0)</f>
        <v>0.08</v>
      </c>
      <c r="AK5" s="203">
        <f>IF(COUNTIF(F5:F10,"IMP")+COUNTIF(J5:J10,"IMP")=0,0,COUNTIF(J5:J10,"IMP")/(COUNTIF(F5:F10,"IMP")+COUNTIF(J5:J10,"IMP")))</f>
        <v>1</v>
      </c>
      <c r="AM5" s="13">
        <v>0.04</v>
      </c>
      <c r="AN5">
        <f>IF(AK5+AG5=0,AM5*2/10,0)</f>
        <v>0</v>
      </c>
      <c r="BH5">
        <v>0</v>
      </c>
      <c r="BI5">
        <v>2</v>
      </c>
      <c r="BJ5" s="107">
        <f t="shared" si="0"/>
        <v>2.0266037149869816E-3</v>
      </c>
      <c r="BL5">
        <v>1</v>
      </c>
      <c r="BM5">
        <v>1</v>
      </c>
      <c r="BN5" s="107">
        <f>$H$26*H40</f>
        <v>3.1992338640333597E-3</v>
      </c>
      <c r="BP5">
        <f>BP4+1</f>
        <v>2</v>
      </c>
      <c r="BQ5">
        <v>0</v>
      </c>
      <c r="BR5" s="107">
        <f>$H$27*H39</f>
        <v>1.066305414277975E-3</v>
      </c>
    </row>
    <row r="6" spans="1:70" x14ac:dyDescent="0.25">
      <c r="A6" s="2" t="s">
        <v>1</v>
      </c>
      <c r="B6" s="168">
        <v>6.5</v>
      </c>
      <c r="C6" s="169">
        <v>6.75</v>
      </c>
      <c r="E6" s="192" t="s">
        <v>17</v>
      </c>
      <c r="F6" s="167" t="s">
        <v>16</v>
      </c>
      <c r="G6" s="167"/>
      <c r="H6" s="10"/>
      <c r="I6" s="10"/>
      <c r="J6" s="166" t="s">
        <v>21</v>
      </c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COUNTIF(J11:J18,"IMP")*AI6*AK6</f>
        <v>0.16</v>
      </c>
      <c r="Z6" s="197" t="str">
        <f>Z3</f>
        <v>0,6</v>
      </c>
      <c r="AA6" s="19">
        <f t="shared" ref="AA6:AA19" si="3">Z6*Y6</f>
        <v>9.6000000000000002E-2</v>
      </c>
      <c r="AB6" s="157">
        <f t="shared" ref="AB6:AB19" si="4">IF($M$2="SI",AA6*$C$22/0.5*$S$1,AA6*$C$22/0.5*$S$2)</f>
        <v>9.7811320754716977E-2</v>
      </c>
      <c r="AC6" s="176">
        <f t="shared" ref="AC6:AC19" si="5">(1-AB6)</f>
        <v>0.90218867924528301</v>
      </c>
      <c r="AD6" s="177">
        <f>AB6*AC5*PRODUCT(AC7:AC19)</f>
        <v>4.1536938723481749E-2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3.3770798670982961E-2</v>
      </c>
      <c r="AF6" s="18"/>
      <c r="AG6" s="203">
        <f>IF(COUNTIF(F11:F18,"IMP")+COUNTIF(J11:J18,"IMP")=0,0,COUNTIF(F11:F18,"IMP")/(COUNTIF(F11:F18,"IMP")+COUNTIF(J11:J18,"IMP")))</f>
        <v>0</v>
      </c>
      <c r="AI6" s="208">
        <f t="shared" ref="AI6:AI19" si="6">IF(AN6=0,(AM6*2*$AI$2/2)+SUM($AN$5:$AN$19),0)</f>
        <v>0.08</v>
      </c>
      <c r="AK6" s="203">
        <f>IF(COUNTIF(F11:F18,"IMP")+COUNTIF(J11:J18,"IMP")=0,0,COUNTIF(J11:J18,"IMP")/(COUNTIF(F11:F18,"IMP")+COUNTIF(J11:J18,"IMP")))</f>
        <v>1</v>
      </c>
      <c r="AM6" s="13">
        <v>0.04</v>
      </c>
      <c r="AN6">
        <f t="shared" ref="AN6:AN19" si="7">IF(AK6+AG6=0,AM6*2/10,0)</f>
        <v>0</v>
      </c>
      <c r="BH6">
        <v>0</v>
      </c>
      <c r="BI6">
        <v>3</v>
      </c>
      <c r="BJ6" s="107">
        <f t="shared" si="0"/>
        <v>3.6631157326207139E-3</v>
      </c>
      <c r="BL6">
        <f>BH14+1</f>
        <v>2</v>
      </c>
      <c r="BM6">
        <v>2</v>
      </c>
      <c r="BN6" s="107">
        <f>$H$27*H41</f>
        <v>1.992706327331327E-2</v>
      </c>
      <c r="BP6">
        <f>BL5+1</f>
        <v>2</v>
      </c>
      <c r="BQ6">
        <v>1</v>
      </c>
      <c r="BR6" s="107">
        <f>$H$27*H40</f>
        <v>6.7744803089411073E-3</v>
      </c>
    </row>
    <row r="7" spans="1:70" x14ac:dyDescent="0.25">
      <c r="A7" s="5" t="s">
        <v>2</v>
      </c>
      <c r="B7" s="168">
        <v>5</v>
      </c>
      <c r="C7" s="169">
        <v>4.75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8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3"/>
      <c r="AI7" s="208"/>
      <c r="AK7" s="13"/>
      <c r="AM7" s="13">
        <v>0</v>
      </c>
      <c r="BH7">
        <v>0</v>
      </c>
      <c r="BI7">
        <v>4</v>
      </c>
      <c r="BJ7" s="107">
        <f t="shared" si="0"/>
        <v>4.5523697943202776E-3</v>
      </c>
      <c r="BL7">
        <f>BH23+1</f>
        <v>3</v>
      </c>
      <c r="BM7">
        <v>3</v>
      </c>
      <c r="BN7" s="107">
        <f>$H$28*H42</f>
        <v>4.5990360752676679E-2</v>
      </c>
      <c r="BP7">
        <f>BP5+1</f>
        <v>3</v>
      </c>
      <c r="BQ7">
        <v>0</v>
      </c>
      <c r="BR7" s="107">
        <f>$H$28*H39</f>
        <v>1.3615178054218562E-3</v>
      </c>
    </row>
    <row r="8" spans="1:70" x14ac:dyDescent="0.25">
      <c r="A8" s="5" t="s">
        <v>3</v>
      </c>
      <c r="B8" s="168">
        <v>6</v>
      </c>
      <c r="C8" s="169">
        <v>3.5</v>
      </c>
      <c r="E8" s="192" t="s">
        <v>18</v>
      </c>
      <c r="F8" s="167" t="s">
        <v>21</v>
      </c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>
        <f t="shared" si="8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COUNTIF(J6:J18,"IMP")*AI8*AK8</f>
        <v>0.24</v>
      </c>
      <c r="Z8" s="197" t="str">
        <f>Z3</f>
        <v>0,6</v>
      </c>
      <c r="AA8" s="19">
        <f t="shared" si="3"/>
        <v>0.14399999999999999</v>
      </c>
      <c r="AB8" s="157">
        <f t="shared" si="4"/>
        <v>0.14671698113207546</v>
      </c>
      <c r="AC8" s="176">
        <f t="shared" si="5"/>
        <v>0.85328301886792457</v>
      </c>
      <c r="AD8" s="177">
        <f>AB8*PRODUCT(AC5:AC7)*PRODUCT(AC9:AC19)</f>
        <v>6.5876423867924236E-2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4.223248036176816E-2</v>
      </c>
      <c r="AG8" s="203">
        <f>IF(COUNTIF(F6:F18,"IMP")+COUNTIF(J6:J18,"IMP")=0,0,COUNTIF(F6:F18,"IMP")/(COUNTIF(F6:F18,"IMP")+COUNTIF(J6:J18,"IMP")))</f>
        <v>0</v>
      </c>
      <c r="AI8" s="208">
        <f t="shared" si="6"/>
        <v>0.08</v>
      </c>
      <c r="AK8" s="203">
        <f>IF(COUNTIF(F6:F18,"IMP")+COUNTIF(J6:J18,"IMP")=0,0,COUNTIF(J6:J18,"IMP")/(COUNTIF(F6:F18,"IMP")+COUNTIF(J6:J18,"IMP")))</f>
        <v>1</v>
      </c>
      <c r="AM8" s="13">
        <v>0.04</v>
      </c>
      <c r="AN8">
        <f t="shared" si="7"/>
        <v>0</v>
      </c>
      <c r="BH8">
        <v>0</v>
      </c>
      <c r="BI8">
        <v>5</v>
      </c>
      <c r="BJ8" s="107">
        <f t="shared" si="0"/>
        <v>4.1210237031037425E-3</v>
      </c>
      <c r="BL8">
        <f>BH31+1</f>
        <v>4</v>
      </c>
      <c r="BM8">
        <v>4</v>
      </c>
      <c r="BN8" s="107">
        <f>$H$29*H43</f>
        <v>4.9023844839705538E-2</v>
      </c>
      <c r="BP8">
        <f>BP6+1</f>
        <v>3</v>
      </c>
      <c r="BQ8">
        <v>1</v>
      </c>
      <c r="BR8" s="107">
        <f>$H$28*H40</f>
        <v>8.65003163221169E-3</v>
      </c>
    </row>
    <row r="9" spans="1:70" x14ac:dyDescent="0.25">
      <c r="A9" s="5" t="s">
        <v>4</v>
      </c>
      <c r="B9" s="168">
        <v>6</v>
      </c>
      <c r="C9" s="169">
        <v>3.75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0.05</v>
      </c>
      <c r="P9" s="196" t="str">
        <f>Z3</f>
        <v>0,6</v>
      </c>
      <c r="Q9" s="16">
        <f t="shared" si="1"/>
        <v>0.03</v>
      </c>
      <c r="R9" s="157">
        <f t="shared" si="8"/>
        <v>2.9433962264150942E-2</v>
      </c>
      <c r="S9" s="176">
        <f t="shared" si="2"/>
        <v>0.97056603773584904</v>
      </c>
      <c r="T9" s="177">
        <f>R9*PRODUCT(S5:S8)*PRODUCT(S10:S19)</f>
        <v>2.2450401041056979E-2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6.311328414453506E-3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1</v>
      </c>
      <c r="AI9" s="208">
        <f t="shared" si="6"/>
        <v>0.05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0</v>
      </c>
      <c r="BH9">
        <v>0</v>
      </c>
      <c r="BI9">
        <v>6</v>
      </c>
      <c r="BJ9" s="107">
        <f t="shared" si="0"/>
        <v>2.8052300689638803E-3</v>
      </c>
      <c r="BL9">
        <f>BH38+1</f>
        <v>5</v>
      </c>
      <c r="BM9">
        <v>5</v>
      </c>
      <c r="BN9" s="107">
        <f>$H$30*H44</f>
        <v>2.6959533908220475E-2</v>
      </c>
      <c r="BP9">
        <f>BL6+1</f>
        <v>3</v>
      </c>
      <c r="BQ9">
        <v>2</v>
      </c>
      <c r="BR9" s="107">
        <f>$H$28*H41</f>
        <v>2.5443977957061336E-2</v>
      </c>
    </row>
    <row r="10" spans="1:70" x14ac:dyDescent="0.25">
      <c r="A10" s="6" t="s">
        <v>5</v>
      </c>
      <c r="B10" s="168">
        <v>4.5</v>
      </c>
      <c r="C10" s="169">
        <v>9.25</v>
      </c>
      <c r="E10" s="192" t="s">
        <v>17</v>
      </c>
      <c r="F10" s="167" t="s">
        <v>16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>
        <f t="shared" si="8"/>
        <v>0</v>
      </c>
      <c r="S10" s="176">
        <f t="shared" si="2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>COUNTIF(J11:J18,"RAP")*AI10*AK10</f>
        <v>0.24</v>
      </c>
      <c r="Z10" s="197" t="str">
        <f>AB3</f>
        <v>0,72</v>
      </c>
      <c r="AA10" s="19">
        <f t="shared" si="3"/>
        <v>0.17279999999999998</v>
      </c>
      <c r="AB10" s="157">
        <f t="shared" si="4"/>
        <v>0.17606037735849053</v>
      </c>
      <c r="AC10" s="176">
        <f t="shared" si="5"/>
        <v>0.82393962264150944</v>
      </c>
      <c r="AD10" s="177">
        <f>AB10*PRODUCT(AC5:AC9)*PRODUCT(AC11:AC19)</f>
        <v>8.1867018823590418E-2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3.4990393695499694E-2</v>
      </c>
      <c r="AG10" s="203">
        <f>IF(COUNTIF(F11:F18,"RAP")+COUNTIF(J11:J18,"RAP")=0,0,COUNTIF(F11:F18,"RAP")/(COUNTIF(F11:F18,"RAP")+COUNTIF(J11:J18,"RAP")))</f>
        <v>0</v>
      </c>
      <c r="AI10" s="208">
        <f t="shared" si="6"/>
        <v>0.12</v>
      </c>
      <c r="AK10" s="203">
        <f>IF(COUNTIF(F11:F18,"RAP")+COUNTIF(J11:J18,"RAP")=0,0,COUNTIF(J11:J18,"RAP")/(COUNTIF(F11:F18,"RAP")+COUNTIF(J11:J18,"RAP")))</f>
        <v>1</v>
      </c>
      <c r="AM10" s="13">
        <v>0.06</v>
      </c>
      <c r="AN10">
        <f t="shared" si="7"/>
        <v>0</v>
      </c>
      <c r="BH10">
        <v>0</v>
      </c>
      <c r="BI10">
        <v>7</v>
      </c>
      <c r="BJ10" s="107">
        <f t="shared" si="0"/>
        <v>1.4585307557888217E-3</v>
      </c>
      <c r="BL10">
        <f>BH44+1</f>
        <v>6</v>
      </c>
      <c r="BM10">
        <v>6</v>
      </c>
      <c r="BN10" s="107">
        <f>$H$31*H45</f>
        <v>8.1104353088603566E-3</v>
      </c>
      <c r="BP10">
        <f>BP7+1</f>
        <v>4</v>
      </c>
      <c r="BQ10">
        <v>0</v>
      </c>
      <c r="BR10" s="107">
        <f>$H$29*H39</f>
        <v>1.1678228943242182E-3</v>
      </c>
    </row>
    <row r="11" spans="1:70" x14ac:dyDescent="0.25">
      <c r="A11" s="6" t="s">
        <v>6</v>
      </c>
      <c r="B11" s="168">
        <v>5.75</v>
      </c>
      <c r="C11" s="169">
        <v>9.25</v>
      </c>
      <c r="E11" s="192" t="s">
        <v>19</v>
      </c>
      <c r="F11" s="167" t="s">
        <v>155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>
        <f t="shared" si="8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COUNTIF(J11:J18,"RAP")*AI11*AK11</f>
        <v>0.24</v>
      </c>
      <c r="Z11" s="197" t="str">
        <f>AB3</f>
        <v>0,72</v>
      </c>
      <c r="AA11" s="19">
        <f t="shared" si="3"/>
        <v>0.17279999999999998</v>
      </c>
      <c r="AB11" s="157">
        <f t="shared" si="4"/>
        <v>0.17606037735849053</v>
      </c>
      <c r="AC11" s="176">
        <f t="shared" si="5"/>
        <v>0.82393962264150944</v>
      </c>
      <c r="AD11" s="177">
        <f>AB11*PRODUCT(AC5:AC10)*PRODUCT(AC12:AC19)</f>
        <v>8.1867018823590418E-2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1.7496953847217007E-2</v>
      </c>
      <c r="AG11" s="203">
        <f>IF(COUNTIF(F11:F18,"RAP")+COUNTIF(J11:J18,"RAP")=0,0,COUNTIF(F11:F18,"RAP")/(COUNTIF(F11:F18,"RAP")+COUNTIF(J11:J18,"RAP")))</f>
        <v>0</v>
      </c>
      <c r="AI11" s="208">
        <f t="shared" si="6"/>
        <v>0.12</v>
      </c>
      <c r="AK11" s="203">
        <f>IF(COUNTIF(F11:F18,"RAP")+COUNTIF(J11:J18,"RAP")=0,0,COUNTIF(J11:J18,"RAP")/(COUNTIF(F11:F18,"RAP")+COUNTIF(J11:J18,"RAP")))</f>
        <v>1</v>
      </c>
      <c r="AM11" s="13">
        <v>0.06</v>
      </c>
      <c r="AN11">
        <f t="shared" si="7"/>
        <v>0</v>
      </c>
      <c r="BH11">
        <v>0</v>
      </c>
      <c r="BI11">
        <v>8</v>
      </c>
      <c r="BJ11" s="107">
        <f t="shared" si="0"/>
        <v>5.8070951605558357E-4</v>
      </c>
      <c r="BL11">
        <f>BH50+1</f>
        <v>7</v>
      </c>
      <c r="BM11">
        <v>7</v>
      </c>
      <c r="BN11" s="107">
        <f>$H$32*H46</f>
        <v>1.3709372273861082E-3</v>
      </c>
      <c r="BP11">
        <f>BP8+1</f>
        <v>4</v>
      </c>
      <c r="BQ11">
        <v>1</v>
      </c>
      <c r="BR11" s="107">
        <f>$H$29*H40</f>
        <v>7.4194439004016989E-3</v>
      </c>
    </row>
    <row r="12" spans="1:70" x14ac:dyDescent="0.25">
      <c r="A12" s="6" t="s">
        <v>7</v>
      </c>
      <c r="B12" s="168">
        <v>5.25</v>
      </c>
      <c r="C12" s="169">
        <v>4.75</v>
      </c>
      <c r="E12" s="192" t="s">
        <v>19</v>
      </c>
      <c r="F12" s="167" t="s">
        <v>16</v>
      </c>
      <c r="G12" s="167"/>
      <c r="H12" s="10"/>
      <c r="I12" s="10"/>
      <c r="J12" s="166" t="s">
        <v>21</v>
      </c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8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G12" s="13"/>
      <c r="AI12" s="208"/>
      <c r="AK12" s="13"/>
      <c r="AM12" s="13">
        <v>0</v>
      </c>
      <c r="BH12">
        <v>0</v>
      </c>
      <c r="BI12">
        <v>9</v>
      </c>
      <c r="BJ12" s="107">
        <f t="shared" si="0"/>
        <v>1.751322682766556E-4</v>
      </c>
      <c r="BL12">
        <f>BH54+1</f>
        <v>8</v>
      </c>
      <c r="BM12">
        <v>8</v>
      </c>
      <c r="BN12" s="107">
        <f>$H$33*H47</f>
        <v>1.3047570808733639E-4</v>
      </c>
      <c r="BP12">
        <f>BP9+1</f>
        <v>4</v>
      </c>
      <c r="BQ12">
        <v>2</v>
      </c>
      <c r="BR12" s="107">
        <f>$H$29*H41</f>
        <v>2.1824216960372619E-2</v>
      </c>
    </row>
    <row r="13" spans="1:70" x14ac:dyDescent="0.25">
      <c r="A13" s="7" t="s">
        <v>8</v>
      </c>
      <c r="B13" s="168">
        <v>4.25</v>
      </c>
      <c r="C13" s="169">
        <v>6</v>
      </c>
      <c r="E13" s="192" t="s">
        <v>19</v>
      </c>
      <c r="F13" s="167" t="s">
        <v>16</v>
      </c>
      <c r="G13" s="167"/>
      <c r="H13" s="10"/>
      <c r="I13" s="10"/>
      <c r="J13" s="166" t="s">
        <v>155</v>
      </c>
      <c r="K13" s="166"/>
      <c r="L13" s="10"/>
      <c r="M13" s="10"/>
      <c r="O13" s="67">
        <f>AI13*B22/0.5</f>
        <v>0.12264150943396226</v>
      </c>
      <c r="P13" s="196" t="str">
        <f>P2</f>
        <v>0,4</v>
      </c>
      <c r="Q13" s="16">
        <f t="shared" si="1"/>
        <v>4.9056603773584909E-2</v>
      </c>
      <c r="R13" s="157">
        <f t="shared" si="8"/>
        <v>4.81310074759701E-2</v>
      </c>
      <c r="S13" s="176">
        <f t="shared" si="2"/>
        <v>0.9518689925240299</v>
      </c>
      <c r="T13" s="177">
        <f>R13*PRODUCT(S5:S12)*PRODUCT(S14:S19)</f>
        <v>3.7432448660272837E-2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8.6303674632433654E-3</v>
      </c>
      <c r="W13" s="186" t="s">
        <v>52</v>
      </c>
      <c r="X13" s="15" t="s">
        <v>53</v>
      </c>
      <c r="Y13" s="69">
        <f>AI13*C22/0.5</f>
        <v>0.12735849056603774</v>
      </c>
      <c r="Z13" s="197" t="str">
        <f>Z2</f>
        <v>0,4</v>
      </c>
      <c r="AA13" s="19">
        <f t="shared" si="3"/>
        <v>5.0943396226415097E-2</v>
      </c>
      <c r="AB13" s="157">
        <f t="shared" si="4"/>
        <v>5.1904592381630477E-2</v>
      </c>
      <c r="AC13" s="176">
        <f t="shared" si="5"/>
        <v>0.94809540761836952</v>
      </c>
      <c r="AD13" s="177">
        <f>AB13*PRODUCT(AC5:AC12)*PRODUCT(AC14:AC19)</f>
        <v>2.0974734762243298E-2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3.3345196400823354E-3</v>
      </c>
      <c r="AG13" s="13"/>
      <c r="AI13" s="208">
        <f>(AM13*$AI$2/2)+SUM($AN$5:$AN$19)</f>
        <v>0.125</v>
      </c>
      <c r="AK13" s="13"/>
      <c r="AM13" s="13">
        <v>0.125</v>
      </c>
      <c r="BH13">
        <v>0</v>
      </c>
      <c r="BI13">
        <v>10</v>
      </c>
      <c r="BJ13" s="107">
        <f t="shared" si="0"/>
        <v>3.8899606959551915E-5</v>
      </c>
      <c r="BL13">
        <f>BH57+1</f>
        <v>9</v>
      </c>
      <c r="BM13">
        <v>9</v>
      </c>
      <c r="BN13" s="107">
        <f>$H$34*H48</f>
        <v>6.8396933188379854E-6</v>
      </c>
      <c r="BP13">
        <f>BL7+1</f>
        <v>4</v>
      </c>
      <c r="BQ13">
        <v>3</v>
      </c>
      <c r="BR13" s="107">
        <f>$H$29*H42</f>
        <v>3.9447590028809501E-2</v>
      </c>
    </row>
    <row r="14" spans="1:70" x14ac:dyDescent="0.25">
      <c r="A14" s="7" t="s">
        <v>9</v>
      </c>
      <c r="B14" s="168">
        <v>4</v>
      </c>
      <c r="C14" s="169">
        <v>6</v>
      </c>
      <c r="E14" s="192" t="s">
        <v>20</v>
      </c>
      <c r="F14" s="167" t="s">
        <v>21</v>
      </c>
      <c r="G14" s="167"/>
      <c r="H14" s="10"/>
      <c r="I14" s="10"/>
      <c r="J14" s="166" t="s">
        <v>16</v>
      </c>
      <c r="K14" s="166"/>
      <c r="L14" s="10"/>
      <c r="M14" s="10"/>
      <c r="O14" s="67">
        <f>IF(COUNTIF(F6:F18,"CAB")&gt;0,AI14*B22/0.5,0)</f>
        <v>0.12264150943396226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4.9056603773584909E-2</v>
      </c>
      <c r="R14" s="157">
        <f t="shared" si="8"/>
        <v>4.81310074759701E-2</v>
      </c>
      <c r="S14" s="176">
        <f t="shared" si="2"/>
        <v>0.9518689925240299</v>
      </c>
      <c r="T14" s="177">
        <f>R14*PRODUCT(S5:S13)*PRODUCT(S15:S19)</f>
        <v>3.7432448660272837E-2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6.7376054545408119E-3</v>
      </c>
      <c r="W14" s="186" t="s">
        <v>54</v>
      </c>
      <c r="X14" s="15" t="s">
        <v>55</v>
      </c>
      <c r="Y14" s="69">
        <f>IF(COUNTIF(J6:J18,"CAB")&gt;0,AI14*C22/0.5,0)</f>
        <v>0.12735849056603774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5.0943396226415097E-2</v>
      </c>
      <c r="AB14" s="157">
        <f t="shared" si="4"/>
        <v>5.1904592381630477E-2</v>
      </c>
      <c r="AC14" s="176">
        <f t="shared" si="5"/>
        <v>0.94809540761836952</v>
      </c>
      <c r="AD14" s="177">
        <f>AB14*PRODUCT(AC5:AC13)*PRODUCT(AC15:AC19)</f>
        <v>2.0974734762243298E-2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2.1862332446426114E-3</v>
      </c>
      <c r="AG14" s="13"/>
      <c r="AI14" s="208">
        <f>IF(COUNTIF(J6:J18,"CAB")+COUNTIF(F6:F18,"CAB")=0,0,(AM14*$AI$2/2)+SUM($AN$5:$AN$19))</f>
        <v>0.125</v>
      </c>
      <c r="AK14" s="13"/>
      <c r="AM14" s="13">
        <v>0.125</v>
      </c>
      <c r="AN14">
        <f>IF(COUNTIF(J6:J18,"CAB")+COUNTIF(F6:F18,"CAB")=0,AM14*2/10,0)</f>
        <v>0</v>
      </c>
      <c r="BH14">
        <v>1</v>
      </c>
      <c r="BI14">
        <v>2</v>
      </c>
      <c r="BJ14" s="107">
        <f t="shared" ref="BJ14:BJ22" si="9">$H$26*H41</f>
        <v>9.4105130913996245E-3</v>
      </c>
      <c r="BL14">
        <f>BP39+1</f>
        <v>10</v>
      </c>
      <c r="BM14">
        <v>10</v>
      </c>
      <c r="BN14" s="107">
        <f>$H$35*H49</f>
        <v>1.875635470174084E-7</v>
      </c>
      <c r="BP14">
        <f>BP10+1</f>
        <v>5</v>
      </c>
      <c r="BQ14">
        <v>0</v>
      </c>
      <c r="BR14" s="107">
        <f>$H$30*H39</f>
        <v>7.0943794940664341E-4</v>
      </c>
    </row>
    <row r="15" spans="1:70" x14ac:dyDescent="0.25">
      <c r="A15" s="189" t="s">
        <v>71</v>
      </c>
      <c r="B15" s="170">
        <v>2.5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8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G15" s="13"/>
      <c r="AI15" s="208"/>
      <c r="AK15" s="13"/>
      <c r="AM15" s="13">
        <v>0</v>
      </c>
      <c r="BH15">
        <v>1</v>
      </c>
      <c r="BI15">
        <v>3</v>
      </c>
      <c r="BJ15" s="107">
        <f t="shared" si="9"/>
        <v>1.7009639478214707E-2</v>
      </c>
      <c r="BP15">
        <f>BP11+1</f>
        <v>5</v>
      </c>
      <c r="BQ15">
        <v>1</v>
      </c>
      <c r="BR15" s="107">
        <f>$H$30*H40</f>
        <v>4.5072203088504332E-3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8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G16" s="13"/>
      <c r="AI16" s="208"/>
      <c r="AK16" s="13"/>
      <c r="AM16" s="13">
        <v>0</v>
      </c>
      <c r="BH16">
        <v>1</v>
      </c>
      <c r="BI16">
        <v>4</v>
      </c>
      <c r="BJ16" s="107">
        <f t="shared" si="9"/>
        <v>2.1138881385411049E-2</v>
      </c>
      <c r="BP16">
        <f>BP12+1</f>
        <v>5</v>
      </c>
      <c r="BQ16">
        <v>2</v>
      </c>
      <c r="BR16" s="107">
        <f>$H$30*H41</f>
        <v>1.3257941596299937E-2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16</v>
      </c>
      <c r="K17" s="166"/>
      <c r="L17" s="10"/>
      <c r="M17" s="10"/>
      <c r="O17" s="67">
        <f>(AI17*2)*IF(COUNTBLANK(F14:F15)&lt;&gt;0, (2-COUNTBLANK(F14:F15))/2,1)*AG17</f>
        <v>0.12</v>
      </c>
      <c r="P17" s="196" t="str">
        <f>IF(COUNTIF(F14:F18,"CAB")&gt;0,0.95,P3)</f>
        <v>0,6</v>
      </c>
      <c r="Q17" s="16">
        <f t="shared" si="1"/>
        <v>7.1999999999999995E-2</v>
      </c>
      <c r="R17" s="157">
        <f t="shared" si="8"/>
        <v>7.064150943396226E-2</v>
      </c>
      <c r="S17" s="176">
        <f t="shared" si="2"/>
        <v>0.9293584905660377</v>
      </c>
      <c r="T17" s="177">
        <f>R17*PRODUCT(S5:S16)*PRODUCT(S18:S19)</f>
        <v>5.6270032299105301E-2</v>
      </c>
      <c r="U17" s="177">
        <f>R17*R18*PRODUCT(S5:S16)*S19+R17*R19*PRODUCT(S5:S16)*S18</f>
        <v>5.8511081744112171E-3</v>
      </c>
      <c r="W17" s="186" t="s">
        <v>60</v>
      </c>
      <c r="X17" s="15" t="s">
        <v>61</v>
      </c>
      <c r="Y17" s="69">
        <f>(AI17*2)*IF(COUNTBLANK(J14:J15)&lt;&gt;0, (2-COUNTBLANK(J14:J15))/2,1)*AK17</f>
        <v>0.12</v>
      </c>
      <c r="Z17" s="197" t="str">
        <f>IF(COUNTIF(J14:J18,"CAB")&gt;0,0.95,Z3)</f>
        <v>0,6</v>
      </c>
      <c r="AA17" s="19">
        <f t="shared" si="3"/>
        <v>7.1999999999999995E-2</v>
      </c>
      <c r="AB17" s="157">
        <f t="shared" si="4"/>
        <v>7.3358490566037729E-2</v>
      </c>
      <c r="AC17" s="176">
        <f t="shared" si="5"/>
        <v>0.92664150943396228</v>
      </c>
      <c r="AD17" s="177">
        <f>AB17*PRODUCT(AC5:AC16)*PRODUCT(AC18:AC19)</f>
        <v>3.0330625845037918E-2</v>
      </c>
      <c r="AE17" s="177">
        <f>AB17*AB18*PRODUCT(AC5:AC16)*AC19+AB17*AB19*PRODUCT(AC5:AC16)*AC18</f>
        <v>7.6026015579392574E-4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0.5</v>
      </c>
      <c r="AI17" s="208">
        <f t="shared" si="6"/>
        <v>0.12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0.5</v>
      </c>
      <c r="AM17" s="13">
        <v>0.06</v>
      </c>
      <c r="AN17">
        <f t="shared" si="7"/>
        <v>0</v>
      </c>
      <c r="BH17">
        <v>1</v>
      </c>
      <c r="BI17">
        <v>5</v>
      </c>
      <c r="BJ17" s="107">
        <f t="shared" si="9"/>
        <v>1.9135930335682349E-2</v>
      </c>
      <c r="BP17">
        <f>BP13+1</f>
        <v>5</v>
      </c>
      <c r="BQ17">
        <v>3</v>
      </c>
      <c r="BR17" s="107">
        <f>$H$30*H42</f>
        <v>2.3963922539185147E-2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146</v>
      </c>
      <c r="K18" s="166"/>
      <c r="L18" s="10"/>
      <c r="M18" s="10"/>
      <c r="O18" s="67"/>
      <c r="P18" s="196"/>
      <c r="Q18" s="16">
        <f t="shared" si="1"/>
        <v>0</v>
      </c>
      <c r="R18" s="157">
        <f t="shared" si="8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G18" s="203"/>
      <c r="AI18" s="208"/>
      <c r="AK18" s="203"/>
      <c r="AM18" s="13">
        <v>0</v>
      </c>
      <c r="BH18">
        <v>1</v>
      </c>
      <c r="BI18">
        <v>6</v>
      </c>
      <c r="BJ18" s="107">
        <f t="shared" si="9"/>
        <v>1.3026056398274215E-2</v>
      </c>
      <c r="BP18">
        <f>BL8+1</f>
        <v>5</v>
      </c>
      <c r="BQ18">
        <v>4</v>
      </c>
      <c r="BR18" s="107">
        <f>$H$30*H43</f>
        <v>2.9781378772537136E-2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0.15999999999999998</v>
      </c>
      <c r="P19" s="196" t="str">
        <f>P3</f>
        <v>0,6</v>
      </c>
      <c r="Q19" s="16">
        <f t="shared" si="1"/>
        <v>9.5999999999999988E-2</v>
      </c>
      <c r="R19" s="157">
        <f t="shared" si="8"/>
        <v>9.4188679245283013E-2</v>
      </c>
      <c r="S19" s="178">
        <f t="shared" si="2"/>
        <v>0.90581132075471693</v>
      </c>
      <c r="T19" s="179">
        <f>R19*PRODUCT(S5:S18)</f>
        <v>7.6977079123610806E-2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3.9999999999999994E-2</v>
      </c>
      <c r="Z19" s="197" t="str">
        <f>Z3</f>
        <v>0,6</v>
      </c>
      <c r="AA19" s="19">
        <f t="shared" si="3"/>
        <v>2.3999999999999997E-2</v>
      </c>
      <c r="AB19" s="157">
        <f t="shared" si="4"/>
        <v>2.4452830188679241E-2</v>
      </c>
      <c r="AC19" s="178">
        <f t="shared" si="5"/>
        <v>0.97554716981132072</v>
      </c>
      <c r="AD19" s="179">
        <f>AB19*PRODUCT(AC5:AC18)</f>
        <v>9.6033685111500226E-3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0.66666666666666663</v>
      </c>
      <c r="AI19" s="208">
        <f t="shared" si="6"/>
        <v>0.12</v>
      </c>
      <c r="AK19" s="203">
        <f>IF(COUNTIF(J11:J18,"TEC")&gt;0,IF(COUNTIF(F6:F13,"CAB")&gt;0,IF(COUNTIF(F11:F18,"TEC")+COUNTIF(J11:J18,"TEC")&gt;0,COUNTIF(J11:J18,"TEC")/(COUNTIF(F11:F18,"TEC")+COUNTIF(J11:J18,"TEC")),0),0),0)</f>
        <v>0.33333333333333331</v>
      </c>
      <c r="AM19" s="13">
        <v>0.06</v>
      </c>
      <c r="AN19">
        <f t="shared" si="7"/>
        <v>0</v>
      </c>
      <c r="BH19">
        <v>1</v>
      </c>
      <c r="BI19">
        <v>7</v>
      </c>
      <c r="BJ19" s="107">
        <f t="shared" si="9"/>
        <v>6.7726722644677797E-3</v>
      </c>
      <c r="BP19">
        <f>BP15+1</f>
        <v>6</v>
      </c>
      <c r="BQ19">
        <v>1</v>
      </c>
      <c r="BR19" s="107">
        <f>$H$31*H40</f>
        <v>1.9919443382415865E-3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0.7402875830461354</v>
      </c>
      <c r="T20" s="181">
        <f>SUM(T5:T19)</f>
        <v>0.23056240978431874</v>
      </c>
      <c r="U20" s="181">
        <f>SUM(U5:U19)</f>
        <v>2.7530409506648902E-2</v>
      </c>
      <c r="V20" s="181">
        <f>1-S20-T20-U20</f>
        <v>1.619597662896953E-3</v>
      </c>
      <c r="W20" s="21"/>
      <c r="X20" s="22"/>
      <c r="Y20" s="22"/>
      <c r="Z20" s="22"/>
      <c r="AA20" s="22"/>
      <c r="AB20" s="23"/>
      <c r="AC20" s="184">
        <f>PRODUCT(AC5:AC19)</f>
        <v>0.38312697955285563</v>
      </c>
      <c r="AD20" s="181">
        <f>SUM(AD5:AD19)</f>
        <v>0.39456780284274318</v>
      </c>
      <c r="AE20" s="181">
        <f>SUM(AE5:AE19)</f>
        <v>0.17304569013452129</v>
      </c>
      <c r="AF20" s="181">
        <f>1-AC20-AD20-AE20</f>
        <v>4.9259527469879966E-2</v>
      </c>
      <c r="BH20">
        <v>1</v>
      </c>
      <c r="BI20">
        <v>8</v>
      </c>
      <c r="BJ20" s="107">
        <f t="shared" si="9"/>
        <v>2.6965185461413771E-3</v>
      </c>
      <c r="BP20">
        <f>BP16+1</f>
        <v>6</v>
      </c>
      <c r="BQ20">
        <v>2</v>
      </c>
      <c r="BR20" s="107">
        <f>$H$31*H41</f>
        <v>5.8592835250653452E-3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9"/>
        <v>8.1322485059915392E-4</v>
      </c>
      <c r="BP21">
        <f>BP17+1</f>
        <v>6</v>
      </c>
      <c r="BQ21">
        <v>3</v>
      </c>
      <c r="BR21" s="107">
        <f>$H$31*H42</f>
        <v>1.0590740312883566E-2</v>
      </c>
    </row>
    <row r="22" spans="1:70" x14ac:dyDescent="0.25">
      <c r="A22" s="26" t="s">
        <v>77</v>
      </c>
      <c r="B22" s="62">
        <f>(B6)/((B6)+(C6))</f>
        <v>0.49056603773584906</v>
      </c>
      <c r="C22" s="63">
        <f>1-B22</f>
        <v>0.50943396226415094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9"/>
        <v>1.8062991685846916E-4</v>
      </c>
      <c r="BP22">
        <f>BP18+1</f>
        <v>6</v>
      </c>
      <c r="BQ22">
        <v>4</v>
      </c>
      <c r="BR22" s="107">
        <f>$H$31*H43</f>
        <v>1.3161737116443242E-2</v>
      </c>
    </row>
    <row r="23" spans="1:70" ht="15.75" thickBot="1" x14ac:dyDescent="0.3">
      <c r="A23" s="40" t="s">
        <v>67</v>
      </c>
      <c r="B23" s="56">
        <f>((B22^2.8)/((B22^2.8)+(C22^2.8)))*B21</f>
        <v>2.3680316341953018</v>
      </c>
      <c r="C23" s="57">
        <f>B21-B23</f>
        <v>2.6319683658046982</v>
      </c>
      <c r="D23" s="151">
        <f>SUM(D25:D30)</f>
        <v>1</v>
      </c>
      <c r="E23" s="151">
        <f>SUM(E25:E30)</f>
        <v>1</v>
      </c>
      <c r="H23" s="59">
        <f>SUM(H25:H35)</f>
        <v>0.99999137332810895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0.99940067389884579</v>
      </c>
      <c r="Y23" s="80">
        <f>SUM(Y25:Y35)</f>
        <v>1.6252856029733158E-3</v>
      </c>
      <c r="Z23" s="81"/>
      <c r="AA23" s="80">
        <f>SUM(AA25:AA35)</f>
        <v>1.4631168712404056E-2</v>
      </c>
      <c r="AB23" s="81"/>
      <c r="AC23" s="80">
        <f>SUM(AC25:AC35)</f>
        <v>5.9278139700216656E-2</v>
      </c>
      <c r="AD23" s="81"/>
      <c r="AE23" s="80">
        <f>SUM(AE25:AE35)</f>
        <v>0.14234430558106514</v>
      </c>
      <c r="AF23" s="81"/>
      <c r="AG23" s="80">
        <f>SUM(AG25:AG35)</f>
        <v>0.22436762373377619</v>
      </c>
      <c r="AH23" s="81"/>
      <c r="AI23" s="80">
        <f>SUM(AI25:AI35)</f>
        <v>0.24259456707622315</v>
      </c>
      <c r="AJ23" s="81"/>
      <c r="AK23" s="80">
        <f>SUM(AK25:AK35)</f>
        <v>0.18225986116104503</v>
      </c>
      <c r="AL23" s="81"/>
      <c r="AM23" s="80">
        <f>SUM(AM25:AM35)</f>
        <v>9.3990296019412528E-2</v>
      </c>
      <c r="AN23" s="81"/>
      <c r="AO23" s="80">
        <f>SUM(AO25:AO35)</f>
        <v>3.1872602567343838E-2</v>
      </c>
      <c r="AP23" s="81"/>
      <c r="AQ23" s="80">
        <f>SUM(AQ25:AQ35)</f>
        <v>6.4368237443858901E-3</v>
      </c>
      <c r="AR23" s="81"/>
      <c r="AS23" s="80">
        <f>SUM(AS25:AS35)</f>
        <v>5.9932610115420726E-4</v>
      </c>
      <c r="BH23">
        <f t="shared" ref="BH23:BH30" si="10">BH15+1</f>
        <v>2</v>
      </c>
      <c r="BI23">
        <v>3</v>
      </c>
      <c r="BJ23" s="107">
        <f t="shared" ref="BJ23:BJ30" si="11">$H$27*H42</f>
        <v>3.6018457107126714E-2</v>
      </c>
      <c r="BP23">
        <f>BL9+1</f>
        <v>6</v>
      </c>
      <c r="BQ23">
        <v>5</v>
      </c>
      <c r="BR23" s="107">
        <f>$H$31*H44</f>
        <v>1.1914636350182872E-2</v>
      </c>
    </row>
    <row r="24" spans="1:70" ht="15.75" thickBot="1" x14ac:dyDescent="0.3">
      <c r="A24" s="26" t="s">
        <v>76</v>
      </c>
      <c r="B24" s="64">
        <f>B23/B21</f>
        <v>0.47360632683906034</v>
      </c>
      <c r="C24" s="65">
        <f>C23/B21</f>
        <v>0.52639367316093966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>
        <f t="shared" si="11"/>
        <v>4.4762259273526998E-2</v>
      </c>
      <c r="BP24">
        <f>BH49+1</f>
        <v>7</v>
      </c>
      <c r="BQ24">
        <v>0</v>
      </c>
      <c r="BR24" s="107">
        <f t="shared" ref="BR24:BR30" si="12">$H$32*H39</f>
        <v>1.0193166712503998E-4</v>
      </c>
    </row>
    <row r="25" spans="1:70" x14ac:dyDescent="0.25">
      <c r="A25" s="26" t="s">
        <v>69</v>
      </c>
      <c r="B25" s="117">
        <f>1/(1+EXP(-3.1416*4*((B11/(B11+C8))-(3.1416/6))))</f>
        <v>0.77412977274966732</v>
      </c>
      <c r="C25" s="118">
        <f>1/(1+EXP(-3.1416*4*((C11/(C11+B8))-(3.1416/6))))</f>
        <v>0.73932738896765959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2.0225662266311221E-2</v>
      </c>
      <c r="I25" s="97">
        <v>0</v>
      </c>
      <c r="J25" s="98">
        <f t="shared" ref="J25:J35" si="13">Y25+AA25+AC25+AE25+AG25+AI25+AK25+AM25+AO25+AQ25+AS25</f>
        <v>2.7321358252541082E-2</v>
      </c>
      <c r="K25" s="97">
        <v>0</v>
      </c>
      <c r="L25" s="98">
        <f>S20</f>
        <v>0.7402875830461354</v>
      </c>
      <c r="M25" s="84">
        <v>0</v>
      </c>
      <c r="N25" s="71">
        <f>(1-$B$24)^$B$21</f>
        <v>4.0415997665650481E-2</v>
      </c>
      <c r="O25" s="70">
        <v>0</v>
      </c>
      <c r="P25" s="71">
        <f>N25</f>
        <v>4.0415997665650481E-2</v>
      </c>
      <c r="Q25" s="12">
        <v>0</v>
      </c>
      <c r="R25" s="73">
        <f>P25*N25</f>
        <v>1.6334528673098651E-3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1.6252856029733158E-3</v>
      </c>
      <c r="W25" s="136">
        <f>B31</f>
        <v>0.63788591000291062</v>
      </c>
      <c r="X25" s="12">
        <v>0</v>
      </c>
      <c r="Y25" s="79">
        <f>V25</f>
        <v>1.6252856029733158E-3</v>
      </c>
      <c r="Z25" s="12">
        <v>0</v>
      </c>
      <c r="AA25" s="78">
        <f>((1-W25)^Z26)*V26</f>
        <v>5.2981523438860806E-3</v>
      </c>
      <c r="AB25" s="12">
        <v>0</v>
      </c>
      <c r="AC25" s="79">
        <f>(((1-$W$25)^AB27))*V27</f>
        <v>7.7729417534476881E-3</v>
      </c>
      <c r="AD25" s="12">
        <v>0</v>
      </c>
      <c r="AE25" s="79">
        <f>(((1-$W$25)^AB28))*V28</f>
        <v>6.7589054195697842E-3</v>
      </c>
      <c r="AF25" s="12">
        <v>0</v>
      </c>
      <c r="AG25" s="79">
        <f>(((1-$W$25)^AB29))*V29</f>
        <v>3.8578193155849403E-3</v>
      </c>
      <c r="AH25" s="12">
        <v>0</v>
      </c>
      <c r="AI25" s="79">
        <f>(((1-$W$25)^AB30))*V30</f>
        <v>1.5104563841505532E-3</v>
      </c>
      <c r="AJ25" s="12">
        <v>0</v>
      </c>
      <c r="AK25" s="79">
        <f>(((1-$W$25)^AB31))*V31</f>
        <v>4.1092595900023038E-4</v>
      </c>
      <c r="AL25" s="12">
        <v>0</v>
      </c>
      <c r="AM25" s="79">
        <f>(((1-$W$25)^AB32))*V32</f>
        <v>7.6736322688772857E-5</v>
      </c>
      <c r="AN25" s="12">
        <v>0</v>
      </c>
      <c r="AO25" s="79">
        <f>(((1-$W$25)^AB33))*V33</f>
        <v>9.4228204770810808E-6</v>
      </c>
      <c r="AP25" s="12">
        <v>0</v>
      </c>
      <c r="AQ25" s="79">
        <f>(((1-$W$25)^AB34))*V34</f>
        <v>6.8909711336722023E-7</v>
      </c>
      <c r="AR25" s="12">
        <v>0</v>
      </c>
      <c r="AS25" s="79">
        <f>(((1-$W$25)^AB35))*V35</f>
        <v>2.3233649271788592E-8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>
        <f t="shared" si="11"/>
        <v>4.0520946189570937E-2</v>
      </c>
      <c r="BP25">
        <f>BP19+1</f>
        <v>7</v>
      </c>
      <c r="BQ25">
        <v>1</v>
      </c>
      <c r="BR25" s="107">
        <f t="shared" si="12"/>
        <v>6.4759501597739025E-4</v>
      </c>
    </row>
    <row r="26" spans="1:70" x14ac:dyDescent="0.25">
      <c r="A26" s="40" t="s">
        <v>24</v>
      </c>
      <c r="B26" s="119">
        <f>1/(1+EXP(-3.1416*4*((B10/(B10+C9))-(3.1416/6))))</f>
        <v>0.56822993442447101</v>
      </c>
      <c r="C26" s="120">
        <f>1/(1+EXP(-3.1416*4*((C10/(C10+B9))-(3.1416/6))))</f>
        <v>0.73932738896765959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9.3917650565725819E-2</v>
      </c>
      <c r="I26" s="93">
        <v>1</v>
      </c>
      <c r="J26" s="86">
        <f t="shared" si="13"/>
        <v>0.11835720924550319</v>
      </c>
      <c r="K26" s="93">
        <v>1</v>
      </c>
      <c r="L26" s="86">
        <f>T20</f>
        <v>0.23056240978431874</v>
      </c>
      <c r="M26" s="85">
        <v>1</v>
      </c>
      <c r="N26" s="71">
        <f>(($B$24)^M26)*((1-($B$24))^($B$21-M26))*HLOOKUP($B$21,$AV$24:$BF$34,M26+1)</f>
        <v>0.18181518106993383</v>
      </c>
      <c r="O26" s="72">
        <v>1</v>
      </c>
      <c r="P26" s="71">
        <f t="shared" ref="P26:P30" si="14">N26</f>
        <v>0.18181518106993383</v>
      </c>
      <c r="Q26" s="28">
        <v>1</v>
      </c>
      <c r="R26" s="37">
        <f>N26*P25+P26*N25</f>
        <v>1.469648386740453E-2</v>
      </c>
      <c r="S26" s="72">
        <v>1</v>
      </c>
      <c r="T26" s="135">
        <f t="shared" ref="T26:T35" si="15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1.4631168712404056E-2</v>
      </c>
      <c r="W26" s="137"/>
      <c r="X26" s="28">
        <v>1</v>
      </c>
      <c r="Y26" s="73"/>
      <c r="Z26" s="28">
        <v>1</v>
      </c>
      <c r="AA26" s="79">
        <f>(1-((1-W25)^Z26))*V26</f>
        <v>9.3330163685179744E-3</v>
      </c>
      <c r="AB26" s="28">
        <v>1</v>
      </c>
      <c r="AC26" s="79">
        <f>((($W$25)^M26)*((1-($W$25))^($U$27-M26))*HLOOKUP($U$27,$AV$24:$BF$34,M26+1))*V27</f>
        <v>2.738501572163321E-2</v>
      </c>
      <c r="AD26" s="28">
        <v>1</v>
      </c>
      <c r="AE26" s="79">
        <f>((($W$25)^M26)*((1-($W$25))^($U$28-M26))*HLOOKUP($U$28,$AV$24:$BF$34,M26+1))*V28</f>
        <v>3.5718664254852914E-2</v>
      </c>
      <c r="AF26" s="28">
        <v>1</v>
      </c>
      <c r="AG26" s="79">
        <f>((($W$25)^M26)*((1-($W$25))^($U$29-M26))*HLOOKUP($U$29,$AV$24:$BF$34,M26+1))*V29</f>
        <v>2.7183129877862366E-2</v>
      </c>
      <c r="AH26" s="28">
        <v>1</v>
      </c>
      <c r="AI26" s="79">
        <f>((($W$25)^M26)*((1-($W$25))^($U$30-M26))*HLOOKUP($U$30,$AV$24:$BF$34,M26+1))*V30</f>
        <v>1.3303802195757226E-2</v>
      </c>
      <c r="AJ26" s="28">
        <v>1</v>
      </c>
      <c r="AK26" s="79">
        <f>((($W$25)^M26)*((1-($W$25))^($U$31-M26))*HLOOKUP($U$31,$AV$24:$BF$34,M26+1))*V31</f>
        <v>4.3432258485626048E-3</v>
      </c>
      <c r="AL26" s="28">
        <v>1</v>
      </c>
      <c r="AM26" s="79">
        <f>((($W$25)^Q26)*((1-($W$25))^($U$32-Q26))*HLOOKUP($U$32,$AV$24:$BF$34,Q26+1))*V32</f>
        <v>9.4622977306126977E-4</v>
      </c>
      <c r="AN26" s="28">
        <v>1</v>
      </c>
      <c r="AO26" s="79">
        <f>((($W$25)^Q26)*((1-($W$25))^($U$33-Q26))*HLOOKUP($U$33,$AV$24:$BF$34,Q26+1))*V33</f>
        <v>1.3279095358847238E-4</v>
      </c>
      <c r="AP26" s="28">
        <v>1</v>
      </c>
      <c r="AQ26" s="79">
        <f>((($W$25)^Q26)*((1-($W$25))^($U$34-Q26))*HLOOKUP($U$34,$AV$24:$BF$34,Q26+1))*V34</f>
        <v>1.092497685797714E-5</v>
      </c>
      <c r="AR26" s="28">
        <v>1</v>
      </c>
      <c r="AS26" s="79">
        <f>((($W$25)^Q26)*((1-($W$25))^($U$35-Q26))*HLOOKUP($U$35,$AV$24:$BF$34,Q26+1))*V35</f>
        <v>4.0927480917802588E-7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>
        <f t="shared" si="11"/>
        <v>2.7583092178829482E-2</v>
      </c>
      <c r="BP26">
        <f>BP20+1</f>
        <v>7</v>
      </c>
      <c r="BQ26">
        <v>2</v>
      </c>
      <c r="BR26" s="107">
        <f t="shared" si="12"/>
        <v>1.904893994869527E-3</v>
      </c>
    </row>
    <row r="27" spans="1:70" x14ac:dyDescent="0.25">
      <c r="A27" s="26" t="s">
        <v>25</v>
      </c>
      <c r="B27" s="119">
        <f>1/(1+EXP(-3.1416*4*((B12/(B12+C7))-(3.1416/6))))</f>
        <v>0.50439812656108451</v>
      </c>
      <c r="C27" s="120">
        <f>1/(1+EXP(-3.1416*4*((C12/(C12+B7))-(3.1416/6))))</f>
        <v>0.38753758673857241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0.19887363708303346</v>
      </c>
      <c r="I27" s="93">
        <v>2</v>
      </c>
      <c r="J27" s="86">
        <f t="shared" si="13"/>
        <v>0.23076538015149528</v>
      </c>
      <c r="K27" s="93">
        <v>2</v>
      </c>
      <c r="L27" s="86">
        <f>U20</f>
        <v>2.7530409506648902E-2</v>
      </c>
      <c r="M27" s="85">
        <v>2</v>
      </c>
      <c r="N27" s="71">
        <f>(($B$24)^M27)*((1-($B$24))^($B$21-M27))*HLOOKUP($B$21,$AV$24:$BF$34,M27+1)</f>
        <v>0.32716510269979288</v>
      </c>
      <c r="O27" s="72">
        <v>2</v>
      </c>
      <c r="P27" s="71">
        <f t="shared" si="14"/>
        <v>0.32716510269979288</v>
      </c>
      <c r="Q27" s="28">
        <v>2</v>
      </c>
      <c r="R27" s="37">
        <f>P25*N27+P26*N26+P27*N25</f>
        <v>5.9502168121487078E-2</v>
      </c>
      <c r="S27" s="72">
        <v>2</v>
      </c>
      <c r="T27" s="135">
        <f t="shared" si="15"/>
        <v>0</v>
      </c>
      <c r="U27" s="93">
        <v>2</v>
      </c>
      <c r="V27" s="86">
        <f>R27*T25+T26*R26+R25*T27</f>
        <v>5.9278139700216663E-2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2.4120182225135765E-2</v>
      </c>
      <c r="AD27" s="28">
        <v>2</v>
      </c>
      <c r="AE27" s="79">
        <f>((($W$25)^M27)*((1-($W$25))^($U$28-M27))*HLOOKUP($U$28,$AV$24:$BF$34,M27+1))*V28</f>
        <v>6.2920591276849874E-2</v>
      </c>
      <c r="AF27" s="28">
        <v>2</v>
      </c>
      <c r="AG27" s="79">
        <f>((($W$25)^M27)*((1-($W$25))^($U$29-M27))*HLOOKUP($U$29,$AV$24:$BF$34,M27+1))*V29</f>
        <v>7.1827095456325318E-2</v>
      </c>
      <c r="AH27" s="28">
        <v>2</v>
      </c>
      <c r="AI27" s="79">
        <f>((($W$25)^M27)*((1-($W$25))^($U$30-M27))*HLOOKUP($U$30,$AV$24:$BF$34,M27+1))*V30</f>
        <v>4.6870907288957084E-2</v>
      </c>
      <c r="AJ27" s="28">
        <v>2</v>
      </c>
      <c r="AK27" s="79">
        <f>((($W$25)^M27)*((1-($W$25))^($U$31-M27))*HLOOKUP($U$31,$AV$24:$BF$34,M27+1))*V31</f>
        <v>1.9127138720153019E-2</v>
      </c>
      <c r="AL27" s="28">
        <v>2</v>
      </c>
      <c r="AM27" s="79">
        <f>((($W$25)^Q27)*((1-($W$25))^($U$32-Q27))*HLOOKUP($U$32,$AV$24:$BF$34,Q27+1))*V32</f>
        <v>5.0005232317738915E-3</v>
      </c>
      <c r="AN27" s="28">
        <v>2</v>
      </c>
      <c r="AO27" s="79">
        <f>((($W$25)^Q27)*((1-($W$25))^($U$33-Q27))*HLOOKUP($U$33,$AV$24:$BF$34,Q27+1))*V33</f>
        <v>8.1871758689964927E-4</v>
      </c>
      <c r="AP27" s="28">
        <v>2</v>
      </c>
      <c r="AQ27" s="79">
        <f>((($W$25)^Q27)*((1-($W$25))^($U$34-Q27))*HLOOKUP($U$34,$AV$24:$BF$34,Q27+1))*V34</f>
        <v>7.6980034716323835E-5</v>
      </c>
      <c r="AR27" s="28">
        <v>2</v>
      </c>
      <c r="AS27" s="79">
        <f>((($W$25)^Q27)*((1-($W$25))^($U$35-Q27))*HLOOKUP($U$35,$AV$24:$BF$34,Q27+1))*V35</f>
        <v>3.2443306843749441E-6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>
        <f t="shared" si="11"/>
        <v>1.4341350724734053E-2</v>
      </c>
      <c r="BP27">
        <f>BP21+1</f>
        <v>7</v>
      </c>
      <c r="BQ27">
        <v>3</v>
      </c>
      <c r="BR27" s="107">
        <f t="shared" si="12"/>
        <v>3.4431236407884065E-3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0.25393287353876964</v>
      </c>
      <c r="I28" s="93">
        <v>3</v>
      </c>
      <c r="J28" s="86">
        <f t="shared" si="13"/>
        <v>0.26668606075671136</v>
      </c>
      <c r="K28" s="93">
        <v>3</v>
      </c>
      <c r="L28" s="86">
        <f>V20</f>
        <v>1.619597662896953E-3</v>
      </c>
      <c r="M28" s="85">
        <v>3</v>
      </c>
      <c r="N28" s="71">
        <f>(($B$24)^M28)*((1-($B$24))^($B$21-M28))*HLOOKUP($B$21,$AV$24:$BF$34,M28+1)</f>
        <v>0.29435662026317549</v>
      </c>
      <c r="O28" s="72">
        <v>3</v>
      </c>
      <c r="P28" s="71">
        <f t="shared" si="14"/>
        <v>0.29435662026317549</v>
      </c>
      <c r="Q28" s="28">
        <v>3</v>
      </c>
      <c r="R28" s="37">
        <f>P25*N28+P26*N27+P27*N26+P28*N25</f>
        <v>0.14276059772910321</v>
      </c>
      <c r="S28" s="72">
        <v>3</v>
      </c>
      <c r="T28" s="135">
        <f t="shared" si="15"/>
        <v>0</v>
      </c>
      <c r="U28" s="93">
        <v>3</v>
      </c>
      <c r="V28" s="86">
        <f>R28*T25+R27*T26+R26*T27+R25*T28</f>
        <v>0.14234430558106514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3.6946144629792579E-2</v>
      </c>
      <c r="AF28" s="28">
        <v>3</v>
      </c>
      <c r="AG28" s="79">
        <f>((($W$25)^M28)*((1-($W$25))^($U$29-M28))*HLOOKUP($U$29,$AV$24:$BF$34,M28+1))*V29</f>
        <v>8.4351853764085383E-2</v>
      </c>
      <c r="AH28" s="28">
        <v>3</v>
      </c>
      <c r="AI28" s="79">
        <f>((($W$25)^M28)*((1-($W$25))^($U$30-M28))*HLOOKUP($U$30,$AV$24:$BF$34,M28+1))*V30</f>
        <v>8.2565943095223845E-2</v>
      </c>
      <c r="AJ28" s="28">
        <v>3</v>
      </c>
      <c r="AK28" s="79">
        <f>((($W$25)^M28)*((1-($W$25))^($U$31-M28))*HLOOKUP($U$31,$AV$24:$BF$34,M28+1))*V31</f>
        <v>4.4924818357127111E-2</v>
      </c>
      <c r="AL28" s="28">
        <v>3</v>
      </c>
      <c r="AM28" s="79">
        <f>((($W$25)^Q28)*((1-($W$25))^($U$32-Q28))*HLOOKUP($U$32,$AV$24:$BF$34,Q28+1))*V32</f>
        <v>1.4681207757001035E-2</v>
      </c>
      <c r="AN28" s="28">
        <v>3</v>
      </c>
      <c r="AO28" s="79">
        <f>((($W$25)^Q28)*((1-($W$25))^($U$33-Q28))*HLOOKUP($U$33,$AV$24:$BF$34,Q28+1))*V33</f>
        <v>2.8844412707556759E-3</v>
      </c>
      <c r="AP28" s="28">
        <v>3</v>
      </c>
      <c r="AQ28" s="79">
        <f>((($W$25)^Q28)*((1-($W$25))^($U$34-Q28))*HLOOKUP($U$34,$AV$24:$BF$34,Q28+1))*V34</f>
        <v>3.1641165586082556E-4</v>
      </c>
      <c r="AR28" s="28">
        <v>3</v>
      </c>
      <c r="AS28" s="79">
        <f>((($W$25)^Q28)*((1-($W$25))^($U$35-Q28))*HLOOKUP($U$35,$AV$24:$BF$34,Q28+1))*V35</f>
        <v>1.5240226864923602E-5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>
        <f t="shared" si="11"/>
        <v>5.7099645008442494E-3</v>
      </c>
      <c r="BP28">
        <f>BP22+1</f>
        <v>7</v>
      </c>
      <c r="BQ28">
        <v>4</v>
      </c>
      <c r="BR28" s="107">
        <f t="shared" si="12"/>
        <v>4.2789726573070185E-3</v>
      </c>
    </row>
    <row r="29" spans="1:70" x14ac:dyDescent="0.25">
      <c r="A29" s="26" t="s">
        <v>27</v>
      </c>
      <c r="B29" s="123">
        <f>1/(1+EXP(-3.1416*4*((B14/(B14+C13))-(3.1416/6))))</f>
        <v>0.17462355450482875</v>
      </c>
      <c r="C29" s="118">
        <f>1/(1+EXP(-3.1416*4*((C14/(C14+B13))-(3.1416/6))))</f>
        <v>0.68485502951759059</v>
      </c>
      <c r="D29" s="153">
        <v>0.04</v>
      </c>
      <c r="E29" s="153">
        <v>0.04</v>
      </c>
      <c r="G29" s="87">
        <v>4</v>
      </c>
      <c r="H29" s="128">
        <f>J29*L25+J28*L26+J27*L27+J26*L28</f>
        <v>0.21780737803001282</v>
      </c>
      <c r="I29" s="93">
        <v>4</v>
      </c>
      <c r="J29" s="86">
        <f t="shared" si="13"/>
        <v>0.20231980673612743</v>
      </c>
      <c r="K29" s="93">
        <v>4</v>
      </c>
      <c r="L29" s="86"/>
      <c r="M29" s="85">
        <v>4</v>
      </c>
      <c r="N29" s="71">
        <f>(($B$24)^M29)*((1-($B$24))^($B$21-M29))*HLOOKUP($B$21,$AV$24:$BF$34,M29+1)</f>
        <v>0.13241910457098111</v>
      </c>
      <c r="O29" s="72">
        <v>4</v>
      </c>
      <c r="P29" s="71">
        <f t="shared" si="14"/>
        <v>0.13241910457098111</v>
      </c>
      <c r="Q29" s="28">
        <v>4</v>
      </c>
      <c r="R29" s="37">
        <f>P25*N29+P26*N28+P27*N27+P28*N26+P29*N25</f>
        <v>0.22477770929158863</v>
      </c>
      <c r="S29" s="72">
        <v>4</v>
      </c>
      <c r="T29" s="135">
        <f t="shared" si="15"/>
        <v>0</v>
      </c>
      <c r="U29" s="93">
        <v>4</v>
      </c>
      <c r="V29" s="86">
        <f>T29*R25+T28*R26+T27*R27+T26*R28+T25*R29</f>
        <v>0.22436762373377619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3.7147725319918189E-2</v>
      </c>
      <c r="AH29" s="28">
        <v>4</v>
      </c>
      <c r="AI29" s="79">
        <f>((($W$25)^M29)*((1-($W$25))^($U$30-M29))*HLOOKUP($U$30,$AV$24:$BF$34,M29+1))*V30</f>
        <v>7.2722455714121392E-2</v>
      </c>
      <c r="AJ29" s="28">
        <v>4</v>
      </c>
      <c r="AK29" s="79">
        <f>((($W$25)^M29)*((1-($W$25))^($U$31-M29))*HLOOKUP($U$31,$AV$24:$BF$34,M29+1))*V31</f>
        <v>5.9353342146287021E-2</v>
      </c>
      <c r="AL29" s="28">
        <v>4</v>
      </c>
      <c r="AM29" s="79">
        <f>((($W$25)^Q29)*((1-($W$25))^($U$32-Q29))*HLOOKUP($U$32,$AV$24:$BF$34,Q29+1))*V32</f>
        <v>2.5861836997537632E-2</v>
      </c>
      <c r="AN29" s="28">
        <v>4</v>
      </c>
      <c r="AO29" s="79">
        <f>((($W$25)^Q29)*((1-($W$25))^($U$33-Q29))*HLOOKUP($U$33,$AV$24:$BF$34,Q29+1))*V33</f>
        <v>6.3513975832199913E-3</v>
      </c>
      <c r="AP29" s="28">
        <v>4</v>
      </c>
      <c r="AQ29" s="79">
        <f>((($W$25)^Q29)*((1-($W$25))^($U$34-Q29))*HLOOKUP($U$34,$AV$24:$BF$34,Q29+1))*V34</f>
        <v>8.360674547458212E-4</v>
      </c>
      <c r="AR29" s="28">
        <v>4</v>
      </c>
      <c r="AS29" s="79">
        <f>((($W$25)^Q29)*((1-($W$25))^($U$35-Q29))*HLOOKUP($U$35,$AV$24:$BF$34,Q29+1))*V35</f>
        <v>4.6981520297391057E-5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>
        <f t="shared" si="11"/>
        <v>1.7220297018799297E-3</v>
      </c>
      <c r="BP29">
        <f>BP23+1</f>
        <v>7</v>
      </c>
      <c r="BQ29">
        <v>5</v>
      </c>
      <c r="BR29" s="107">
        <f t="shared" si="12"/>
        <v>3.8735314885217842E-3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0.13231528546515278</v>
      </c>
      <c r="I30" s="93">
        <v>5</v>
      </c>
      <c r="J30" s="86">
        <f t="shared" si="13"/>
        <v>0.10529991523496535</v>
      </c>
      <c r="K30" s="93">
        <v>5</v>
      </c>
      <c r="L30" s="86"/>
      <c r="M30" s="85">
        <v>5</v>
      </c>
      <c r="N30" s="71">
        <f>(($B$24)^M30)*((1-($B$24))^($B$21-M30))*HLOOKUP($B$21,$AV$24:$BF$34,M30+1)</f>
        <v>2.3827993730466228E-2</v>
      </c>
      <c r="O30" s="72">
        <v>5</v>
      </c>
      <c r="P30" s="71">
        <f t="shared" si="14"/>
        <v>2.3827993730466228E-2</v>
      </c>
      <c r="Q30" s="28">
        <v>5</v>
      </c>
      <c r="R30" s="37">
        <f>P25*N30+P26*N29+P27*N28+P28*N27+P29*N26+P30*N25</f>
        <v>0.24268409902488966</v>
      </c>
      <c r="S30" s="72">
        <v>5</v>
      </c>
      <c r="T30" s="135">
        <f t="shared" si="15"/>
        <v>0</v>
      </c>
      <c r="U30" s="93">
        <v>5</v>
      </c>
      <c r="V30" s="86">
        <f>T30*R25+T29*R26+T28*R27+T27*R28+T26*R29+T25*R30</f>
        <v>0.24259456707622315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2.5621002398013046E-2</v>
      </c>
      <c r="AJ30" s="28">
        <v>5</v>
      </c>
      <c r="AK30" s="79">
        <f>((($W$25)^M30)*((1-($W$25))^($U$31-M30))*HLOOKUP($U$31,$AV$24:$BF$34,M30+1))*V31</f>
        <v>4.1821803362584134E-2</v>
      </c>
      <c r="AL30" s="28">
        <v>5</v>
      </c>
      <c r="AM30" s="79">
        <f>((($W$25)^Q30)*((1-($W$25))^($U$32-Q30))*HLOOKUP($U$32,$AV$24:$BF$34,Q30+1))*V32</f>
        <v>2.7334315703076619E-2</v>
      </c>
      <c r="AN30" s="28">
        <v>5</v>
      </c>
      <c r="AO30" s="79">
        <f>((($W$25)^Q30)*((1-($W$25))^($U$33-Q30))*HLOOKUP($U$33,$AV$24:$BF$34,Q30+1))*V33</f>
        <v>8.9506973389411881E-3</v>
      </c>
      <c r="AP30" s="28">
        <v>5</v>
      </c>
      <c r="AQ30" s="79">
        <f>((($W$25)^Q30)*((1-($W$25))^($U$34-Q30))*HLOOKUP($U$34,$AV$24:$BF$34,Q30+1))*V34</f>
        <v>1.47278347881642E-3</v>
      </c>
      <c r="AR30" s="28">
        <v>5</v>
      </c>
      <c r="AS30" s="79">
        <f>((($W$25)^Q30)*((1-($W$25))^($U$35-Q30))*HLOOKUP($U$35,$AV$24:$BF$34,Q30+1))*V35</f>
        <v>9.9312953533939742E-5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>
        <f t="shared" si="11"/>
        <v>3.8248964188590149E-4</v>
      </c>
      <c r="BP30">
        <f>BL10+1</f>
        <v>7</v>
      </c>
      <c r="BQ30">
        <v>6</v>
      </c>
      <c r="BR30" s="107">
        <f t="shared" si="12"/>
        <v>2.6367591616849729E-3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0.63788591000291062</v>
      </c>
      <c r="C31" s="61">
        <f>(C25*E25)+(C26*E26)+(C27*E27)+(C28*E28)+(C29*E29)+(C30*E30)/(C25+C26+C27+C28+C29+C30)</f>
        <v>0.65969801451313737</v>
      </c>
      <c r="G31" s="87">
        <v>6</v>
      </c>
      <c r="H31" s="128">
        <f>J31*L25+J30*L26+J29*L27+J28*L28</f>
        <v>5.847610404745282E-2</v>
      </c>
      <c r="I31" s="93">
        <v>6</v>
      </c>
      <c r="J31" s="86">
        <f t="shared" si="13"/>
        <v>3.8087942085011428E-2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0.18195622177479451</v>
      </c>
      <c r="S31" s="70">
        <v>6</v>
      </c>
      <c r="T31" s="135">
        <f t="shared" si="15"/>
        <v>0</v>
      </c>
      <c r="U31" s="93">
        <v>6</v>
      </c>
      <c r="V31" s="86">
        <f>T31*R25+T30*R26+T29*R27+T28*R28+T27*R29+T26*R30+T25*R31</f>
        <v>0.18225986116104501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1.2278606767330886E-2</v>
      </c>
      <c r="AL31" s="28">
        <v>6</v>
      </c>
      <c r="AM31" s="79">
        <f>((($W$25)^Q31)*((1-($W$25))^($U$32-Q31))*HLOOKUP($U$32,$AV$24:$BF$34,Q31+1))*V32</f>
        <v>1.6050351098557573E-2</v>
      </c>
      <c r="AN31" s="28">
        <v>6</v>
      </c>
      <c r="AO31" s="79">
        <f>((($W$25)^Q31)*((1-($W$25))^($U$33-Q31))*HLOOKUP($U$33,$AV$24:$BF$34,Q31+1))*V33</f>
        <v>7.8835978424051691E-3</v>
      </c>
      <c r="AP31" s="28">
        <v>6</v>
      </c>
      <c r="AQ31" s="79">
        <f>((($W$25)^Q31)*((1-($W$25))^($U$34-Q31))*HLOOKUP($U$34,$AV$24:$BF$34,Q31+1))*V34</f>
        <v>1.7295982225373882E-3</v>
      </c>
      <c r="AR31" s="28">
        <v>6</v>
      </c>
      <c r="AS31" s="79">
        <f>((($W$25)^Q31)*((1-($W$25))^($U$35-Q31))*HLOOKUP($U$35,$AV$24:$BF$34,Q31+1))*V35</f>
        <v>1.4578815418041114E-4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>
        <f t="shared" ref="BJ31:BJ37" si="18">$H$28*H43</f>
        <v>5.7154931594419311E-2</v>
      </c>
      <c r="BP31">
        <f t="shared" ref="BP31:BP37" si="19">BP24+1</f>
        <v>8</v>
      </c>
      <c r="BQ31">
        <v>0</v>
      </c>
      <c r="BR31" s="107">
        <f t="shared" ref="BR31:BR38" si="20">$H$33*H39</f>
        <v>2.4365642543786161E-5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1.90109898192913E-2</v>
      </c>
      <c r="I32" s="93">
        <v>7</v>
      </c>
      <c r="J32" s="86">
        <f t="shared" si="13"/>
        <v>9.459453049379965E-3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9.3548256191496038E-2</v>
      </c>
      <c r="S32" s="72">
        <v>7</v>
      </c>
      <c r="T32" s="135">
        <f t="shared" si="15"/>
        <v>0</v>
      </c>
      <c r="U32" s="93">
        <v>7</v>
      </c>
      <c r="V32" s="86">
        <f>T32*R25+T31*R26+T30*R27+T29*R28+T28*R29+T27*R30+T26*R31+T25*R32</f>
        <v>9.3990296019412528E-2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4.039095135715735E-3</v>
      </c>
      <c r="AN32" s="28">
        <v>7</v>
      </c>
      <c r="AO32" s="79">
        <f>((($W$25)^Q32)*((1-($W$25))^($U$33-Q32))*HLOOKUP($U$33,$AV$24:$BF$34,Q32+1))*V33</f>
        <v>3.9678386474747505E-3</v>
      </c>
      <c r="AP32" s="28">
        <v>7</v>
      </c>
      <c r="AQ32" s="79">
        <f>((($W$25)^Q32)*((1-($W$25))^($U$34-Q32))*HLOOKUP($U$34,$AV$24:$BF$34,Q32+1))*V34</f>
        <v>1.3057680279694014E-3</v>
      </c>
      <c r="AR32" s="28">
        <v>7</v>
      </c>
      <c r="AS32" s="79">
        <f>((($W$25)^Q32)*((1-($W$25))^($U$35-Q32))*HLOOKUP($U$35,$AV$24:$BF$34,Q32+1))*V35</f>
        <v>1.46751238220077E-4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>
        <f t="shared" si="18"/>
        <v>5.173938816300476E-2</v>
      </c>
      <c r="BP32">
        <f t="shared" si="19"/>
        <v>8</v>
      </c>
      <c r="BQ32">
        <v>1</v>
      </c>
      <c r="BR32" s="107">
        <f t="shared" si="20"/>
        <v>1.5480045718359862E-4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4.5443677652420031E-3</v>
      </c>
      <c r="I33" s="93">
        <v>8</v>
      </c>
      <c r="J33" s="86">
        <f t="shared" si="13"/>
        <v>1.5456875971676764E-3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3.1562674659684778E-2</v>
      </c>
      <c r="S33" s="72">
        <v>8</v>
      </c>
      <c r="T33" s="135">
        <f t="shared" si="15"/>
        <v>0</v>
      </c>
      <c r="U33" s="93">
        <v>8</v>
      </c>
      <c r="V33" s="86">
        <f>T33*R25+T32*R26+T31*R27+T30*R28+T29*R29+T28*R30+T27*R31+T26*R32+T25*R33</f>
        <v>3.1872602567343832E-2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8.736985235818541E-4</v>
      </c>
      <c r="AP33" s="28">
        <v>8</v>
      </c>
      <c r="AQ33" s="79">
        <f>((($W$25)^Q33)*((1-($W$25))^($U$34-Q33))*HLOOKUP($U$34,$AV$24:$BF$34,Q33+1))*V34</f>
        <v>5.7504737442049165E-4</v>
      </c>
      <c r="AR33" s="28">
        <v>8</v>
      </c>
      <c r="AS33" s="79">
        <f>((($W$25)^Q33)*((1-($W$25))^($U$35-Q33))*HLOOKUP($U$35,$AV$24:$BF$34,Q33+1))*V35</f>
        <v>9.6941699165330902E-5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>
        <f t="shared" si="18"/>
        <v>3.5219619657936498E-2</v>
      </c>
      <c r="BP33">
        <f t="shared" si="19"/>
        <v>8</v>
      </c>
      <c r="BQ33">
        <v>2</v>
      </c>
      <c r="BR33" s="107">
        <f t="shared" si="20"/>
        <v>4.5534393257651252E-4</v>
      </c>
    </row>
    <row r="34" spans="1:70" x14ac:dyDescent="0.25">
      <c r="A34" s="40" t="s">
        <v>86</v>
      </c>
      <c r="B34" s="56">
        <f>B23*2</f>
        <v>4.7360632683906037</v>
      </c>
      <c r="C34" s="57">
        <f>C23*2</f>
        <v>5.2639367316093963</v>
      </c>
      <c r="G34" s="87">
        <v>9</v>
      </c>
      <c r="H34" s="128">
        <f>J34*L25+J33*L26+J32*L27+J31*L28</f>
        <v>7.8990198912647904E-4</v>
      </c>
      <c r="I34" s="93">
        <v>9</v>
      </c>
      <c r="J34" s="86">
        <f t="shared" si="13"/>
        <v>1.5050201618609983E-4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6.3105631870225788E-3</v>
      </c>
      <c r="S34" s="72">
        <v>9</v>
      </c>
      <c r="T34" s="135">
        <f t="shared" si="15"/>
        <v>0</v>
      </c>
      <c r="U34" s="93">
        <v>9</v>
      </c>
      <c r="V34" s="86">
        <f>T34*R25+T33*R26+T32*R27+T31*R28+T30*R29+T29*R30+T28*R31+T27*R32+T26*R33+T25*R34</f>
        <v>6.4368237443858901E-3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1.1255342134787416E-4</v>
      </c>
      <c r="AR34" s="28">
        <v>9</v>
      </c>
      <c r="AS34" s="79">
        <f>((($W$25)^Q34)*((1-($W$25))^($U$35-Q34))*HLOOKUP($U$35,$AV$24:$BF$34,Q34+1))*V35</f>
        <v>3.7948594838225676E-5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>
        <f t="shared" si="18"/>
        <v>1.8311830835771058E-2</v>
      </c>
      <c r="BP34">
        <f t="shared" si="19"/>
        <v>8</v>
      </c>
      <c r="BQ34">
        <v>3</v>
      </c>
      <c r="BR34" s="107">
        <f t="shared" si="20"/>
        <v>8.230407902835229E-4</v>
      </c>
    </row>
    <row r="35" spans="1:70" ht="15.75" thickBot="1" x14ac:dyDescent="0.3">
      <c r="G35" s="88">
        <v>10</v>
      </c>
      <c r="H35" s="129">
        <f>J35*L25+J34*L26+J33*L27+J32*L28</f>
        <v>9.7522757990590927E-5</v>
      </c>
      <c r="I35" s="94">
        <v>10</v>
      </c>
      <c r="J35" s="89">
        <f t="shared" si="13"/>
        <v>6.6848749110833865E-6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5.6777328521913784E-4</v>
      </c>
      <c r="S35" s="72">
        <v>10</v>
      </c>
      <c r="T35" s="135">
        <f t="shared" si="15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5.9932610115420726E-4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6.6848749110833865E-6</v>
      </c>
      <c r="BH35">
        <f t="shared" si="17"/>
        <v>3</v>
      </c>
      <c r="BI35">
        <v>8</v>
      </c>
      <c r="BJ35" s="107">
        <f t="shared" si="18"/>
        <v>7.2907988950710774E-3</v>
      </c>
      <c r="BP35">
        <f t="shared" si="19"/>
        <v>8</v>
      </c>
      <c r="BQ35">
        <v>4</v>
      </c>
      <c r="BR35" s="107">
        <f t="shared" si="20"/>
        <v>1.0228412932232489E-3</v>
      </c>
    </row>
    <row r="36" spans="1:70" x14ac:dyDescent="0.25">
      <c r="A36" s="1"/>
      <c r="B36" s="108">
        <f>SUM(B37:B39)</f>
        <v>0.99956623275811651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7"/>
        <v>3</v>
      </c>
      <c r="BI36">
        <v>9</v>
      </c>
      <c r="BJ36" s="107">
        <f t="shared" si="18"/>
        <v>2.1987828901369609E-3</v>
      </c>
      <c r="BP36">
        <f t="shared" si="19"/>
        <v>8</v>
      </c>
      <c r="BQ36">
        <v>5</v>
      </c>
      <c r="BR36" s="107">
        <f t="shared" si="20"/>
        <v>9.2592504658678908E-4</v>
      </c>
    </row>
    <row r="37" spans="1:70" ht="15.75" thickBot="1" x14ac:dyDescent="0.3">
      <c r="A37" s="109" t="s">
        <v>104</v>
      </c>
      <c r="B37" s="107">
        <f>SUM(BN4:BN14)</f>
        <v>0.15482735654383856</v>
      </c>
      <c r="G37" s="13"/>
      <c r="H37" s="59">
        <f>SUM(H39:H49)</f>
        <v>0.99967215982440349</v>
      </c>
      <c r="I37" s="13"/>
      <c r="J37" s="59">
        <f>SUM(J39:J49)</f>
        <v>1</v>
      </c>
      <c r="K37" s="59"/>
      <c r="L37" s="59">
        <f>SUM(L39:L49)</f>
        <v>1.0000000000000002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0.99829306471335311</v>
      </c>
      <c r="W37" s="13"/>
      <c r="X37" s="13"/>
      <c r="Y37" s="80">
        <f>SUM(Y39:Y49)</f>
        <v>5.6493441879304214E-4</v>
      </c>
      <c r="Z37" s="81"/>
      <c r="AA37" s="80">
        <f>SUM(AA39:AA49)</f>
        <v>6.2818492375135617E-3</v>
      </c>
      <c r="AB37" s="81"/>
      <c r="AC37" s="80">
        <f>SUM(AC39:AC49)</f>
        <v>3.1436414102321467E-2</v>
      </c>
      <c r="AD37" s="81"/>
      <c r="AE37" s="80">
        <f>SUM(AE39:AE49)</f>
        <v>9.3238328283836977E-2</v>
      </c>
      <c r="AF37" s="81"/>
      <c r="AG37" s="80">
        <f>SUM(AG39:AG49)</f>
        <v>0.18151418194687802</v>
      </c>
      <c r="AH37" s="81"/>
      <c r="AI37" s="80">
        <f>SUM(AI39:AI49)</f>
        <v>0.24238045963863919</v>
      </c>
      <c r="AJ37" s="81"/>
      <c r="AK37" s="80">
        <f>SUM(AK39:AK49)</f>
        <v>0.22486724124025514</v>
      </c>
      <c r="AL37" s="81"/>
      <c r="AM37" s="80">
        <f>SUM(AM39:AM49)</f>
        <v>0.14317068328691565</v>
      </c>
      <c r="AN37" s="81"/>
      <c r="AO37" s="80">
        <f>SUM(AO39:AO49)</f>
        <v>5.9918460269525173E-2</v>
      </c>
      <c r="AP37" s="81"/>
      <c r="AQ37" s="80">
        <f>SUM(AQ39:AQ49)</f>
        <v>1.4920512288674944E-2</v>
      </c>
      <c r="AR37" s="81"/>
      <c r="AS37" s="80">
        <f>SUM(AS39:AS49)</f>
        <v>1.7069352866468936E-3</v>
      </c>
      <c r="BH37">
        <f t="shared" si="17"/>
        <v>3</v>
      </c>
      <c r="BI37">
        <v>10</v>
      </c>
      <c r="BJ37" s="107">
        <f t="shared" si="18"/>
        <v>4.8838395720771023E-4</v>
      </c>
      <c r="BP37">
        <f t="shared" si="19"/>
        <v>8</v>
      </c>
      <c r="BQ37">
        <v>6</v>
      </c>
      <c r="BR37" s="107">
        <f t="shared" si="20"/>
        <v>6.3028824132600595E-4</v>
      </c>
    </row>
    <row r="38" spans="1:70" ht="15.75" thickBot="1" x14ac:dyDescent="0.3">
      <c r="A38" s="110" t="s">
        <v>105</v>
      </c>
      <c r="B38" s="107">
        <f>SUM(BJ4:BJ59)</f>
        <v>0.5933092814387837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>
        <f t="shared" ref="BJ38:BJ43" si="34">$H$29*H44</f>
        <v>4.4378738048426014E-2</v>
      </c>
      <c r="BP38">
        <f>BL11+1</f>
        <v>8</v>
      </c>
      <c r="BQ38">
        <v>7</v>
      </c>
      <c r="BR38" s="107">
        <f t="shared" si="20"/>
        <v>3.2770744729881311E-4</v>
      </c>
    </row>
    <row r="39" spans="1:70" x14ac:dyDescent="0.25">
      <c r="A39" s="111" t="s">
        <v>0</v>
      </c>
      <c r="B39" s="107">
        <f>SUM(BR4:BR47)</f>
        <v>0.25142959477549431</v>
      </c>
      <c r="G39" s="130">
        <v>0</v>
      </c>
      <c r="H39" s="131">
        <f>L39*J39</f>
        <v>5.3617233028869105E-3</v>
      </c>
      <c r="I39" s="97">
        <v>0</v>
      </c>
      <c r="J39" s="98">
        <f t="shared" ref="J39:J49" si="35">Y39+AA39+AC39+AE39+AG39+AI39+AK39+AM39+AO39+AQ39+AS39</f>
        <v>1.3994637780781019E-2</v>
      </c>
      <c r="K39" s="102">
        <v>0</v>
      </c>
      <c r="L39" s="98">
        <f>AC20</f>
        <v>0.38312697955285563</v>
      </c>
      <c r="M39" s="84">
        <v>0</v>
      </c>
      <c r="N39" s="71">
        <f>(1-$C$24)^$B$21</f>
        <v>2.3827993730466228E-2</v>
      </c>
      <c r="O39" s="70">
        <v>0</v>
      </c>
      <c r="P39" s="71">
        <f>N39</f>
        <v>2.3827993730466228E-2</v>
      </c>
      <c r="Q39" s="12">
        <v>0</v>
      </c>
      <c r="R39" s="73">
        <f>P39*N39</f>
        <v>5.6777328521913784E-4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5.6493441879304214E-4</v>
      </c>
      <c r="W39" s="136">
        <f>C31</f>
        <v>0.65969801451313737</v>
      </c>
      <c r="X39" s="12">
        <v>0</v>
      </c>
      <c r="Y39" s="79">
        <f>V39</f>
        <v>5.6493441879304214E-4</v>
      </c>
      <c r="Z39" s="12">
        <v>0</v>
      </c>
      <c r="AA39" s="78">
        <f>((1-W39)^Z40)*V40</f>
        <v>2.137725768054999E-3</v>
      </c>
      <c r="AB39" s="12">
        <v>0</v>
      </c>
      <c r="AC39" s="79">
        <f>(((1-$W$39)^AB41))*V41</f>
        <v>3.6405078088356858E-3</v>
      </c>
      <c r="AD39" s="12">
        <v>0</v>
      </c>
      <c r="AE39" s="79">
        <f>(((1-$W$39)^AB42))*V42</f>
        <v>3.6744126468807869E-3</v>
      </c>
      <c r="AF39" s="12">
        <v>0</v>
      </c>
      <c r="AG39" s="79">
        <f>(((1-$W$39)^AB43))*V43</f>
        <v>2.4342685863762465E-3</v>
      </c>
      <c r="AH39" s="12">
        <v>0</v>
      </c>
      <c r="AI39" s="79">
        <f>(((1-$W$39)^AB44))*V44</f>
        <v>1.1061652718936804E-3</v>
      </c>
      <c r="AJ39" s="12">
        <v>0</v>
      </c>
      <c r="AK39" s="79">
        <f>(((1-$W$39)^AB45))*V45</f>
        <v>3.4923124303249889E-4</v>
      </c>
      <c r="AL39" s="12">
        <v>0</v>
      </c>
      <c r="AM39" s="79">
        <f>(((1-$W$39)^AB46))*V46</f>
        <v>7.5666819307226288E-5</v>
      </c>
      <c r="AN39" s="12">
        <v>0</v>
      </c>
      <c r="AO39" s="79">
        <f>(((1-$W$39)^AB47))*V47</f>
        <v>1.077646961248362E-5</v>
      </c>
      <c r="AP39" s="12">
        <v>0</v>
      </c>
      <c r="AQ39" s="79">
        <f>(((1-$W$39)^AB48))*V48</f>
        <v>9.1319617044760141E-7</v>
      </c>
      <c r="AR39" s="12">
        <v>0</v>
      </c>
      <c r="AS39" s="79">
        <f>(((1-$W$39)^AB49))*V49</f>
        <v>3.5551823921804211E-8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>
        <f t="shared" si="34"/>
        <v>3.0209137186557485E-2</v>
      </c>
      <c r="BP39">
        <f t="shared" ref="BP39:BP46" si="36">BP31+1</f>
        <v>9</v>
      </c>
      <c r="BQ39">
        <v>0</v>
      </c>
      <c r="BR39" s="107">
        <f t="shared" ref="BR39:BR47" si="37">$H$34*H39</f>
        <v>4.2352359020961659E-6</v>
      </c>
    </row>
    <row r="40" spans="1:70" x14ac:dyDescent="0.25">
      <c r="G40" s="91">
        <v>1</v>
      </c>
      <c r="H40" s="132">
        <f>L39*J40+L40*J39</f>
        <v>3.4064245056837951E-2</v>
      </c>
      <c r="I40" s="93">
        <v>1</v>
      </c>
      <c r="J40" s="86">
        <f t="shared" si="35"/>
        <v>7.4498568619225825E-2</v>
      </c>
      <c r="K40" s="95">
        <v>1</v>
      </c>
      <c r="L40" s="86">
        <f>AD20</f>
        <v>0.39456780284274318</v>
      </c>
      <c r="M40" s="85">
        <v>1</v>
      </c>
      <c r="N40" s="71">
        <f>(($C$24)^M26)*((1-($C$24))^($B$21-M26))*HLOOKUP($B$21,$AV$24:$BF$34,M26+1)</f>
        <v>0.13241910457098111</v>
      </c>
      <c r="O40" s="72">
        <v>1</v>
      </c>
      <c r="P40" s="71">
        <f t="shared" ref="P40:P44" si="38">N40</f>
        <v>0.13241910457098111</v>
      </c>
      <c r="Q40" s="28">
        <v>1</v>
      </c>
      <c r="R40" s="37">
        <f>P40*N39+P39*N40</f>
        <v>6.3105631870225788E-3</v>
      </c>
      <c r="S40" s="72">
        <v>1</v>
      </c>
      <c r="T40" s="135">
        <f t="shared" ref="T40:T49" si="39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6.2818492375135617E-3</v>
      </c>
      <c r="W40" s="137"/>
      <c r="X40" s="28">
        <v>1</v>
      </c>
      <c r="Y40" s="73"/>
      <c r="Z40" s="28">
        <v>1</v>
      </c>
      <c r="AA40" s="79">
        <f>(1-((1-W39)^Z40))*V40</f>
        <v>4.1441234694585627E-3</v>
      </c>
      <c r="AB40" s="28">
        <v>1</v>
      </c>
      <c r="AC40" s="79">
        <f>((($W$39)^M40)*((1-($W$39))^($U$27-M40))*HLOOKUP($U$27,$AV$24:$BF$34,M40+1))*V41</f>
        <v>1.4114732653543037E-2</v>
      </c>
      <c r="AD40" s="28">
        <v>1</v>
      </c>
      <c r="AE40" s="79">
        <f>((($W$39)^M40)*((1-($W$39))^($U$28-M40))*HLOOKUP($U$28,$AV$24:$BF$34,M40+1))*V42</f>
        <v>2.1369279325666426E-2</v>
      </c>
      <c r="AF40" s="28">
        <v>1</v>
      </c>
      <c r="AG40" s="79">
        <f>((($W$39)^M40)*((1-($W$39))^($U$29-M40))*HLOOKUP($U$29,$AV$24:$BF$34,M40+1))*V43</f>
        <v>1.8875965721170989E-2</v>
      </c>
      <c r="AH40" s="28">
        <v>1</v>
      </c>
      <c r="AI40" s="79">
        <f>((($W$39)^M40)*((1-($W$39))^($U$30-M40))*HLOOKUP($U$30,$AV$24:$BF$34,M40+1))*V44</f>
        <v>1.0721874463171729E-2</v>
      </c>
      <c r="AJ40" s="28">
        <v>1</v>
      </c>
      <c r="AK40" s="79">
        <f>((($W$39)^M40)*((1-($W$39))^($U$31-M40))*HLOOKUP($U$31,$AV$24:$BF$34,M40+1))*V45</f>
        <v>4.0620478420932728E-3</v>
      </c>
      <c r="AL40" s="28">
        <v>1</v>
      </c>
      <c r="AM40" s="79">
        <f>((($W$39)^Q40)*((1-($W$39))^($U$32-Q40))*HLOOKUP($U$32,$AV$24:$BF$34,Q40+1))*V46</f>
        <v>1.0267961050259577E-3</v>
      </c>
      <c r="AN40" s="28">
        <v>1</v>
      </c>
      <c r="AO40" s="79">
        <f>((($W$39)^Q40)*((1-($W$39))^($U$33-Q40))*HLOOKUP($U$33,$AV$24:$BF$34,Q40+1))*V47</f>
        <v>1.6712722017523589E-4</v>
      </c>
      <c r="AP40" s="28">
        <v>1</v>
      </c>
      <c r="AQ40" s="79">
        <f>((($W$39)^Q40)*((1-($W$39))^($U$34-Q40))*HLOOKUP($U$34,$AV$24:$BF$34,Q40+1))*V48</f>
        <v>1.5932623186992434E-5</v>
      </c>
      <c r="AR40" s="28">
        <v>1</v>
      </c>
      <c r="AS40" s="79">
        <f>((($W$39)^Q40)*((1-($W$39))^($U$35-Q40))*HLOOKUP($U$35,$AV$24:$BF$34,Q40+1))*V49</f>
        <v>6.8919573360644762E-7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>
        <f t="shared" si="34"/>
        <v>1.570671731346154E-2</v>
      </c>
      <c r="BP40">
        <f t="shared" si="36"/>
        <v>9</v>
      </c>
      <c r="BQ40">
        <v>1</v>
      </c>
      <c r="BR40" s="107">
        <f t="shared" si="37"/>
        <v>2.6907414928488129E-5</v>
      </c>
    </row>
    <row r="41" spans="1:70" x14ac:dyDescent="0.25">
      <c r="G41" s="91">
        <v>2</v>
      </c>
      <c r="H41" s="132">
        <f>L39*J41+J40*L40+J39*L41</f>
        <v>0.10019962205947562</v>
      </c>
      <c r="I41" s="93">
        <v>2</v>
      </c>
      <c r="J41" s="86">
        <f t="shared" si="35"/>
        <v>0.17848697017189941</v>
      </c>
      <c r="K41" s="95">
        <v>2</v>
      </c>
      <c r="L41" s="86">
        <f>AE20</f>
        <v>0.17304569013452129</v>
      </c>
      <c r="M41" s="85">
        <v>2</v>
      </c>
      <c r="N41" s="71">
        <f>(($C$24)^M27)*((1-($C$24))^($B$21-M27))*HLOOKUP($B$21,$AV$24:$BF$34,M27+1)</f>
        <v>0.29435662026317549</v>
      </c>
      <c r="O41" s="72">
        <v>2</v>
      </c>
      <c r="P41" s="71">
        <f t="shared" si="38"/>
        <v>0.29435662026317549</v>
      </c>
      <c r="Q41" s="28">
        <v>2</v>
      </c>
      <c r="R41" s="37">
        <f>P41*N39+P40*N40+P39*N41</f>
        <v>3.1562674659684778E-2</v>
      </c>
      <c r="S41" s="72">
        <v>2</v>
      </c>
      <c r="T41" s="135">
        <f t="shared" si="39"/>
        <v>0</v>
      </c>
      <c r="U41" s="93">
        <v>2</v>
      </c>
      <c r="V41" s="86">
        <f>R41*T39+T40*R40+R39*T41</f>
        <v>3.1436414102321467E-2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1.3681173639942746E-2</v>
      </c>
      <c r="AD41" s="28">
        <v>2</v>
      </c>
      <c r="AE41" s="79">
        <f>((($W$39)^M41)*((1-($W$39))^($U$28-M41))*HLOOKUP($U$28,$AV$24:$BF$34,M41+1))*V42</f>
        <v>4.1425768123421663E-2</v>
      </c>
      <c r="AF41" s="28">
        <v>2</v>
      </c>
      <c r="AG41" s="79">
        <f>((($W$39)^M41)*((1-($W$39))^($U$29-M41))*HLOOKUP($U$29,$AV$24:$BF$34,M41+1))*V43</f>
        <v>5.4888471002273655E-2</v>
      </c>
      <c r="AH41" s="28">
        <v>2</v>
      </c>
      <c r="AI41" s="79">
        <f>((($W$39)^M41)*((1-($W$39))^($U$30-M41))*HLOOKUP($U$30,$AV$24:$BF$34,M41+1))*V44</f>
        <v>4.1570132393403639E-2</v>
      </c>
      <c r="AJ41" s="28">
        <v>2</v>
      </c>
      <c r="AK41" s="79">
        <f>((($W$39)^M41)*((1-($W$39))^($U$31-M41))*HLOOKUP($U$31,$AV$24:$BF$34,M41+1))*V45</f>
        <v>1.9686374239430912E-2</v>
      </c>
      <c r="AL41" s="28">
        <v>2</v>
      </c>
      <c r="AM41" s="79">
        <f>((($W$39)^Q41)*((1-($W$39))^($U$32-Q41))*HLOOKUP($U$32,$AV$24:$BF$34,Q41+1))*V46</f>
        <v>5.9715374639352252E-3</v>
      </c>
      <c r="AN41" s="28">
        <v>2</v>
      </c>
      <c r="AO41" s="79">
        <f>((($W$39)^Q41)*((1-($W$39))^($U$33-Q41))*HLOOKUP($U$33,$AV$24:$BF$34,Q41+1))*V47</f>
        <v>1.1339552811317874E-3</v>
      </c>
      <c r="AP41" s="28">
        <v>2</v>
      </c>
      <c r="AQ41" s="79">
        <f>((($W$39)^Q41)*((1-($W$39))^($U$34-Q41))*HLOOKUP($U$34,$AV$24:$BF$34,Q41+1))*V48</f>
        <v>1.2354579556633999E-4</v>
      </c>
      <c r="AR41" s="28">
        <v>2</v>
      </c>
      <c r="AS41" s="79">
        <f>((($W$39)^Q41)*((1-($W$39))^($U$35-Q41))*HLOOKUP($U$35,$AV$24:$BF$34,Q41+1))*V49</f>
        <v>6.0122327934490677E-6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>
        <f t="shared" si="34"/>
        <v>6.2535809915020583E-3</v>
      </c>
      <c r="BP41">
        <f t="shared" si="36"/>
        <v>9</v>
      </c>
      <c r="BQ41">
        <v>2</v>
      </c>
      <c r="BR41" s="107">
        <f t="shared" si="37"/>
        <v>7.9147880774501218E-5</v>
      </c>
    </row>
    <row r="42" spans="1:70" ht="15" customHeight="1" x14ac:dyDescent="0.25">
      <c r="G42" s="91">
        <v>3</v>
      </c>
      <c r="H42" s="132">
        <f>J42*L39+J41*L40+L42*J39+L41*J40</f>
        <v>0.18111227629476268</v>
      </c>
      <c r="I42" s="93">
        <v>3</v>
      </c>
      <c r="J42" s="86">
        <f t="shared" si="35"/>
        <v>0.25345654144839508</v>
      </c>
      <c r="K42" s="95">
        <v>3</v>
      </c>
      <c r="L42" s="86">
        <f>AF20</f>
        <v>4.9259527469879966E-2</v>
      </c>
      <c r="M42" s="85">
        <v>3</v>
      </c>
      <c r="N42" s="71">
        <f>(($C$24)^M28)*((1-($C$24))^($B$21-M28))*HLOOKUP($B$21,$AV$24:$BF$34,M28+1)</f>
        <v>0.32716510269979288</v>
      </c>
      <c r="O42" s="72">
        <v>3</v>
      </c>
      <c r="P42" s="71">
        <f t="shared" si="38"/>
        <v>0.32716510269979288</v>
      </c>
      <c r="Q42" s="28">
        <v>3</v>
      </c>
      <c r="R42" s="37">
        <f>P42*N39+P41*N40+P40*N41+P39*N42</f>
        <v>9.3548256191496038E-2</v>
      </c>
      <c r="S42" s="72">
        <v>3</v>
      </c>
      <c r="T42" s="135">
        <f t="shared" si="39"/>
        <v>0</v>
      </c>
      <c r="U42" s="93">
        <v>3</v>
      </c>
      <c r="V42" s="86">
        <f>R42*T39+R41*T40+R40*T41+R39*T42</f>
        <v>9.3238328283836977E-2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2.6768868187868101E-2</v>
      </c>
      <c r="AF42" s="28">
        <v>3</v>
      </c>
      <c r="AG42" s="79">
        <f>((($W$39)^M42)*((1-($W$39))^($U$29-M42))*HLOOKUP($U$29,$AV$24:$BF$34,M42+1))*V43</f>
        <v>7.0936632528619648E-2</v>
      </c>
      <c r="AH42" s="28">
        <v>3</v>
      </c>
      <c r="AI42" s="79">
        <f>((($W$39)^M42)*((1-($W$39))^($U$30-M42))*HLOOKUP($U$30,$AV$24:$BF$34,M42+1))*V44</f>
        <v>8.0586464295064567E-2</v>
      </c>
      <c r="AJ42" s="28">
        <v>3</v>
      </c>
      <c r="AK42" s="79">
        <f>((($W$39)^M42)*((1-($W$39))^($U$31-M42))*HLOOKUP($U$31,$AV$24:$BF$34,M42+1))*V45</f>
        <v>5.0884459695936808E-2</v>
      </c>
      <c r="AL42" s="28">
        <v>3</v>
      </c>
      <c r="AM42" s="79">
        <f>((($W$39)^Q42)*((1-($W$39))^($U$32-Q42))*HLOOKUP($U$32,$AV$24:$BF$34,Q42+1))*V46</f>
        <v>1.9293703712957841E-2</v>
      </c>
      <c r="AN42" s="28">
        <v>3</v>
      </c>
      <c r="AO42" s="79">
        <f>((($W$39)^Q42)*((1-($W$39))^($U$33-Q42))*HLOOKUP($U$33,$AV$24:$BF$34,Q42+1))*V47</f>
        <v>4.3964953447984262E-3</v>
      </c>
      <c r="AP42" s="28">
        <v>3</v>
      </c>
      <c r="AQ42" s="79">
        <f>((($W$39)^Q42)*((1-($W$39))^($U$34-Q42))*HLOOKUP($U$34,$AV$24:$BF$34,Q42+1))*V48</f>
        <v>5.5883738227356314E-4</v>
      </c>
      <c r="AR42" s="28">
        <v>3</v>
      </c>
      <c r="AS42" s="79">
        <f>((($W$39)^Q42)*((1-($W$39))^($U$35-Q42))*HLOOKUP($U$35,$AV$24:$BF$34,Q42+1))*V49</f>
        <v>3.1080300876134541E-5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>
        <f t="shared" si="34"/>
        <v>1.8859753346778341E-3</v>
      </c>
      <c r="BP42">
        <f t="shared" si="36"/>
        <v>9</v>
      </c>
      <c r="BQ42">
        <v>3</v>
      </c>
      <c r="BR42" s="107">
        <f t="shared" si="37"/>
        <v>1.4306094730045751E-4</v>
      </c>
    </row>
    <row r="43" spans="1:70" ht="15" customHeight="1" x14ac:dyDescent="0.25">
      <c r="G43" s="91">
        <v>4</v>
      </c>
      <c r="H43" s="132">
        <f>J43*L39+J42*L40+J41*L41+J40*L42</f>
        <v>0.22507889899372593</v>
      </c>
      <c r="I43" s="93">
        <v>4</v>
      </c>
      <c r="J43" s="86">
        <f t="shared" si="35"/>
        <v>0.23625833712669381</v>
      </c>
      <c r="K43" s="95">
        <v>4</v>
      </c>
      <c r="L43" s="86"/>
      <c r="M43" s="85">
        <v>4</v>
      </c>
      <c r="N43" s="71">
        <f>(($C$24)^M29)*((1-($C$24))^($B$21-M29))*HLOOKUP($B$21,$AV$24:$BF$34,M29+1)</f>
        <v>0.18181518106993383</v>
      </c>
      <c r="O43" s="72">
        <v>4</v>
      </c>
      <c r="P43" s="71">
        <f t="shared" si="38"/>
        <v>0.18181518106993383</v>
      </c>
      <c r="Q43" s="28">
        <v>4</v>
      </c>
      <c r="R43" s="37">
        <f>P43*N39+P42*N40+P41*N41+P40*N42+P39*N43</f>
        <v>0.18195622177479451</v>
      </c>
      <c r="S43" s="72">
        <v>4</v>
      </c>
      <c r="T43" s="135">
        <f t="shared" si="39"/>
        <v>0</v>
      </c>
      <c r="U43" s="93">
        <v>4</v>
      </c>
      <c r="V43" s="86">
        <f>T43*R39+T42*R40+T41*R41+T40*R42+T39*R43</f>
        <v>0.18151418194687802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3.437884410843748E-2</v>
      </c>
      <c r="AH43" s="28">
        <v>4</v>
      </c>
      <c r="AI43" s="79">
        <f>((($W$39)^M43)*((1-($W$39))^($U$30-M43))*HLOOKUP($U$30,$AV$24:$BF$34,M43+1))*V44</f>
        <v>7.8111108308741073E-2</v>
      </c>
      <c r="AJ43" s="28">
        <v>4</v>
      </c>
      <c r="AK43" s="79">
        <f>((($W$39)^M43)*((1-($W$39))^($U$31-M43))*HLOOKUP($U$31,$AV$24:$BF$34,M43+1))*V45</f>
        <v>7.3982180084016552E-2</v>
      </c>
      <c r="AL43" s="28">
        <v>4</v>
      </c>
      <c r="AM43" s="79">
        <f>((($W$39)^Q43)*((1-($W$39))^($U$32-Q43))*HLOOKUP($U$32,$AV$24:$BF$34,Q43+1))*V46</f>
        <v>3.7402126860451121E-2</v>
      </c>
      <c r="AN43" s="28">
        <v>4</v>
      </c>
      <c r="AO43" s="79">
        <f>((($W$39)^Q43)*((1-($W$39))^($U$33-Q43))*HLOOKUP($U$33,$AV$24:$BF$34,Q43+1))*V47</f>
        <v>1.0653623007922995E-2</v>
      </c>
      <c r="AP43" s="28">
        <v>4</v>
      </c>
      <c r="AQ43" s="79">
        <f>((($W$39)^Q43)*((1-($W$39))^($U$34-Q43))*HLOOKUP($U$34,$AV$24:$BF$34,Q43+1))*V48</f>
        <v>1.6250151067770703E-3</v>
      </c>
      <c r="AR43" s="28">
        <v>4</v>
      </c>
      <c r="AS43" s="79">
        <f>((($W$39)^Q43)*((1-($W$39))^($U$35-Q43))*HLOOKUP($U$35,$AV$24:$BF$34,Q43+1))*V49</f>
        <v>1.0543965034751388E-4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>
        <f t="shared" si="34"/>
        <v>4.1890452271471098E-4</v>
      </c>
      <c r="BP43">
        <f t="shared" si="36"/>
        <v>9</v>
      </c>
      <c r="BQ43">
        <v>4</v>
      </c>
      <c r="BR43" s="107">
        <f t="shared" si="37"/>
        <v>1.7779027002554198E-4</v>
      </c>
    </row>
    <row r="44" spans="1:70" ht="15" customHeight="1" thickBot="1" x14ac:dyDescent="0.3">
      <c r="G44" s="91">
        <v>5</v>
      </c>
      <c r="H44" s="132">
        <f>J44*L39+J43*L40+J42*L41+J41*L42</f>
        <v>0.2037522257042681</v>
      </c>
      <c r="I44" s="93">
        <v>5</v>
      </c>
      <c r="J44" s="86">
        <f t="shared" si="35"/>
        <v>0.15107405603284732</v>
      </c>
      <c r="K44" s="95">
        <v>5</v>
      </c>
      <c r="L44" s="86"/>
      <c r="M44" s="85">
        <v>5</v>
      </c>
      <c r="N44" s="71">
        <f>(($C$24)^M30)*((1-($C$24))^($B$21-M30))*HLOOKUP($B$21,$AV$24:$BF$34,M30+1)</f>
        <v>4.0415997665650481E-2</v>
      </c>
      <c r="O44" s="72">
        <v>5</v>
      </c>
      <c r="P44" s="71">
        <f t="shared" si="38"/>
        <v>4.0415997665650481E-2</v>
      </c>
      <c r="Q44" s="28">
        <v>5</v>
      </c>
      <c r="R44" s="37">
        <f>P44*N39+P43*N40+P42*N41+P41*N42+P40*N43+P39*N44</f>
        <v>0.24268409902488966</v>
      </c>
      <c r="S44" s="72">
        <v>5</v>
      </c>
      <c r="T44" s="135">
        <f t="shared" si="39"/>
        <v>0</v>
      </c>
      <c r="U44" s="93">
        <v>5</v>
      </c>
      <c r="V44" s="86">
        <f>T44*R39+T43*R40+T42*R41+T41*R42+T40*R43+T39*R44</f>
        <v>0.24238045963863916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3.0284714906364498E-2</v>
      </c>
      <c r="AJ44" s="28">
        <v>5</v>
      </c>
      <c r="AK44" s="79">
        <f>((($W$39)^M44)*((1-($W$39))^($U$31-M44))*HLOOKUP($U$31,$AV$24:$BF$34,M44+1))*V45</f>
        <v>5.7367749107844382E-2</v>
      </c>
      <c r="AL44" s="28">
        <v>5</v>
      </c>
      <c r="AM44" s="79">
        <f>((($W$39)^Q44)*((1-($W$39))^($U$32-Q44))*HLOOKUP($U$32,$AV$24:$BF$34,Q44+1))*V46</f>
        <v>4.3503905144321828E-2</v>
      </c>
      <c r="AN44" s="28">
        <v>5</v>
      </c>
      <c r="AO44" s="79">
        <f>((($W$39)^Q44)*((1-($W$39))^($U$33-Q44))*HLOOKUP($U$33,$AV$24:$BF$34,Q44+1))*V47</f>
        <v>1.652220497190041E-2</v>
      </c>
      <c r="AP44" s="28">
        <v>5</v>
      </c>
      <c r="AQ44" s="79">
        <f>((($W$39)^Q44)*((1-($W$39))^($U$34-Q44))*HLOOKUP($U$34,$AV$24:$BF$34,Q44+1))*V48</f>
        <v>3.1501997790608616E-3</v>
      </c>
      <c r="AR44" s="28">
        <v>5</v>
      </c>
      <c r="AS44" s="79">
        <f>((($W$39)^Q44)*((1-($W$39))^($U$35-Q44))*HLOOKUP($U$35,$AV$24:$BF$34,Q44+1))*V49</f>
        <v>2.4528212335534426E-4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>
        <f>$H$30*H45</f>
        <v>1.8351676819435062E-2</v>
      </c>
      <c r="BP44">
        <f t="shared" si="36"/>
        <v>9</v>
      </c>
      <c r="BQ44">
        <v>5</v>
      </c>
      <c r="BR44" s="107">
        <f t="shared" si="37"/>
        <v>1.6094428837274869E-4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0.13869657428406676</v>
      </c>
      <c r="I45" s="93">
        <v>6</v>
      </c>
      <c r="J45" s="86">
        <f t="shared" si="35"/>
        <v>6.7129126470393749E-2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0.22477770929158863</v>
      </c>
      <c r="S45" s="70">
        <v>6</v>
      </c>
      <c r="T45" s="135">
        <f t="shared" si="39"/>
        <v>0</v>
      </c>
      <c r="U45" s="93">
        <v>6</v>
      </c>
      <c r="V45" s="86">
        <f>T45*R39+T44*R40+T43*R41+T42*R42+T41*R43+T40*R44+T39*R45</f>
        <v>0.22486724124025514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1.853519902790075E-2</v>
      </c>
      <c r="AL45" s="28">
        <v>6</v>
      </c>
      <c r="AM45" s="79">
        <f>((($W$39)^Q45)*((1-($W$39))^($U$32-Q45))*HLOOKUP($U$32,$AV$24:$BF$34,Q45+1))*V46</f>
        <v>2.8111737095526407E-2</v>
      </c>
      <c r="AN45" s="28">
        <v>6</v>
      </c>
      <c r="AO45" s="79">
        <f>((($W$39)^Q45)*((1-($W$39))^($U$33-Q45))*HLOOKUP($U$33,$AV$24:$BF$34,Q45+1))*V47</f>
        <v>1.6014696181904247E-2</v>
      </c>
      <c r="AP45" s="28">
        <v>6</v>
      </c>
      <c r="AQ45" s="79">
        <f>((($W$39)^Q45)*((1-($W$39))^($U$34-Q45))*HLOOKUP($U$34,$AV$24:$BF$34,Q45+1))*V48</f>
        <v>4.0712477509115266E-3</v>
      </c>
      <c r="AR45" s="28">
        <v>6</v>
      </c>
      <c r="AS45" s="79">
        <f>((($W$39)^Q45)*((1-($W$39))^($U$35-Q45))*HLOOKUP($U$35,$AV$24:$BF$34,Q45+1))*V49</f>
        <v>3.9624641415081661E-4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>
        <f>$H$30*H46</f>
        <v>9.5416363019839925E-3</v>
      </c>
      <c r="BP45">
        <f t="shared" si="36"/>
        <v>9</v>
      </c>
      <c r="BQ45">
        <v>6</v>
      </c>
      <c r="BR45" s="107">
        <f t="shared" si="37"/>
        <v>1.0955669991201279E-4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7.2112879992968962E-2</v>
      </c>
      <c r="I46" s="93">
        <v>7</v>
      </c>
      <c r="J46" s="86">
        <f t="shared" si="35"/>
        <v>2.0476761330259732E-2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0.14276059772910321</v>
      </c>
      <c r="S46" s="72">
        <v>7</v>
      </c>
      <c r="T46" s="135">
        <f t="shared" si="39"/>
        <v>0</v>
      </c>
      <c r="U46" s="93">
        <v>7</v>
      </c>
      <c r="V46" s="86">
        <f>T46*R39+T45*R40+T44*R41+T43*R42+T42*R43+T41*R44+T40*R45+T39*R46</f>
        <v>0.14317068328691565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7.7852100853900534E-3</v>
      </c>
      <c r="AN46" s="28">
        <v>7</v>
      </c>
      <c r="AO46" s="79">
        <f>((($W$39)^Q46)*((1-($W$39))^($U$33-Q46))*HLOOKUP($U$33,$AV$24:$BF$34,Q46+1))*V47</f>
        <v>8.870157956169791E-3</v>
      </c>
      <c r="AP46" s="28">
        <v>7</v>
      </c>
      <c r="AQ46" s="79">
        <f>((($W$39)^Q46)*((1-($W$39))^($U$34-Q46))*HLOOKUP($U$34,$AV$24:$BF$34,Q46+1))*V48</f>
        <v>3.3824504273229591E-3</v>
      </c>
      <c r="AR46" s="28">
        <v>7</v>
      </c>
      <c r="AS46" s="79">
        <f>((($W$39)^Q46)*((1-($W$39))^($U$35-Q46))*HLOOKUP($U$35,$AV$24:$BF$34,Q46+1))*V49</f>
        <v>4.3894286137692931E-4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>
        <f>$H$30*H47</f>
        <v>3.7989730263225064E-3</v>
      </c>
      <c r="BP46">
        <f t="shared" si="36"/>
        <v>9</v>
      </c>
      <c r="BQ46">
        <v>7</v>
      </c>
      <c r="BR46" s="107">
        <f t="shared" si="37"/>
        <v>5.6962107348085256E-5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2.8711520463922689E-2</v>
      </c>
      <c r="I47" s="93">
        <v>8</v>
      </c>
      <c r="J47" s="86">
        <f t="shared" si="35"/>
        <v>4.1077950370672365E-3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5.9502168121487078E-2</v>
      </c>
      <c r="S47" s="72">
        <v>8</v>
      </c>
      <c r="T47" s="135">
        <f t="shared" si="39"/>
        <v>0</v>
      </c>
      <c r="U47" s="93">
        <v>8</v>
      </c>
      <c r="V47" s="86">
        <f>T47*R39+T46*R40+T45*R41+T44*R42+T43*R43+T42*R44+T41*R45+T40*R46+T39*R47</f>
        <v>5.9918460269525159E-2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2.1494238359097907E-3</v>
      </c>
      <c r="AP47" s="28">
        <v>8</v>
      </c>
      <c r="AQ47" s="79">
        <f>((($W$39)^Q47)*((1-($W$39))^($U$34-Q47))*HLOOKUP($U$34,$AV$24:$BF$34,Q47+1))*V48</f>
        <v>1.6392762357099241E-3</v>
      </c>
      <c r="AR47" s="28">
        <v>8</v>
      </c>
      <c r="AS47" s="79">
        <f>((($W$39)^Q47)*((1-($W$39))^($U$35-Q47))*HLOOKUP($U$35,$AV$24:$BF$34,Q47+1))*V49</f>
        <v>3.1909496544752126E-4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>
        <f>$H$30*H48</f>
        <v>1.1457066654268653E-3</v>
      </c>
      <c r="BP47">
        <f>BL12+1</f>
        <v>9</v>
      </c>
      <c r="BQ47">
        <v>8</v>
      </c>
      <c r="BR47" s="107">
        <f t="shared" si="37"/>
        <v>2.2679287125298141E-5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8.6589139070300716E-3</v>
      </c>
      <c r="I48" s="93">
        <v>9</v>
      </c>
      <c r="J48" s="86">
        <f t="shared" si="35"/>
        <v>4.9055772431739629E-4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1.469648386740453E-2</v>
      </c>
      <c r="S48" s="72">
        <v>9</v>
      </c>
      <c r="T48" s="135">
        <f t="shared" si="39"/>
        <v>0</v>
      </c>
      <c r="U48" s="93">
        <v>9</v>
      </c>
      <c r="V48" s="86">
        <f>T48*R39+T47*R40+T46*R41+T45*R42+T44*R43+T43*R44+T42*R45+T41*R46+T40*R47+T39*R48</f>
        <v>1.4920512288674942E-2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3.5309399169525924E-4</v>
      </c>
      <c r="AR48" s="28">
        <v>9</v>
      </c>
      <c r="AS48" s="79">
        <f>((($W$39)^Q48)*((1-($W$39))^($U$35-Q48))*HLOOKUP($U$35,$AV$24:$BF$34,Q48+1))*V49</f>
        <v>1.3746373262213702E-4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>
        <f>$H$30*H49</f>
        <v>2.544793110635716E-4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1.9232797644576939E-3</v>
      </c>
      <c r="I49" s="94">
        <v>10</v>
      </c>
      <c r="J49" s="89">
        <f t="shared" si="35"/>
        <v>2.6648258119519394E-5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1.6334528673098651E-3</v>
      </c>
      <c r="S49" s="72">
        <v>10</v>
      </c>
      <c r="T49" s="135">
        <f t="shared" si="39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1.7069352866468934E-3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2.6648258119519394E-5</v>
      </c>
      <c r="BH49">
        <f>BP14+1</f>
        <v>6</v>
      </c>
      <c r="BI49">
        <v>0</v>
      </c>
      <c r="BJ49" s="107">
        <f>$H$31*H39</f>
        <v>3.1353268973326735E-4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4.216880273630332E-3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1.6789378580089141E-3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5.0633955056542666E-4</v>
      </c>
    </row>
    <row r="53" spans="1:62" x14ac:dyDescent="0.25">
      <c r="BH53">
        <f>BH48+1</f>
        <v>6</v>
      </c>
      <c r="BI53">
        <v>10</v>
      </c>
      <c r="BJ53" s="107">
        <f>$H$31*H49</f>
        <v>1.1246590761878867E-4</v>
      </c>
    </row>
    <row r="54" spans="1:62" x14ac:dyDescent="0.25">
      <c r="BH54">
        <f>BH51+1</f>
        <v>7</v>
      </c>
      <c r="BI54">
        <v>8</v>
      </c>
      <c r="BJ54" s="107">
        <f>$H$32*H47</f>
        <v>5.4583442323600812E-4</v>
      </c>
    </row>
    <row r="55" spans="1:62" x14ac:dyDescent="0.25">
      <c r="BH55">
        <f>BH52+1</f>
        <v>7</v>
      </c>
      <c r="BI55">
        <v>9</v>
      </c>
      <c r="BJ55" s="107">
        <f>$H$32*H48</f>
        <v>1.6461452413266855E-4</v>
      </c>
    </row>
    <row r="56" spans="1:62" x14ac:dyDescent="0.25">
      <c r="BH56">
        <f>BH53+1</f>
        <v>7</v>
      </c>
      <c r="BI56">
        <v>10</v>
      </c>
      <c r="BJ56" s="107">
        <f>$H$32*H49</f>
        <v>3.656345202175419E-5</v>
      </c>
    </row>
    <row r="57" spans="1:62" x14ac:dyDescent="0.25">
      <c r="BH57">
        <f>BH55+1</f>
        <v>8</v>
      </c>
      <c r="BI57">
        <v>9</v>
      </c>
      <c r="BJ57" s="107">
        <f>$H$33*H48</f>
        <v>3.9349289241113149E-5</v>
      </c>
    </row>
    <row r="58" spans="1:62" x14ac:dyDescent="0.25">
      <c r="BH58">
        <f>BH56+1</f>
        <v>8</v>
      </c>
      <c r="BI58">
        <v>10</v>
      </c>
      <c r="BJ58" s="107">
        <f>$H$33*H49</f>
        <v>8.7400905651437762E-6</v>
      </c>
    </row>
    <row r="59" spans="1:62" x14ac:dyDescent="0.25">
      <c r="BH59">
        <f t="shared" ref="BH59" si="41">BH58+1</f>
        <v>9</v>
      </c>
      <c r="BI59">
        <v>10</v>
      </c>
      <c r="BJ59" s="107">
        <f>$H$34*H49</f>
        <v>1.5192025115918385E-6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7" t="s">
        <v>123</v>
      </c>
      <c r="K1" s="202">
        <f>IF(D3="SI",COUNTIF($J$6:$J$18,"RAP"),0)</f>
        <v>0</v>
      </c>
      <c r="L1" s="13"/>
      <c r="P1" s="209"/>
      <c r="Q1" s="209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7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0" t="s">
        <v>116</v>
      </c>
      <c r="C3" s="210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7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0.04</v>
      </c>
      <c r="AN5">
        <f>IF(AK5+AG5=0,AM5*2/10,0)</f>
        <v>8.0000000000000002E-3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0.04</v>
      </c>
      <c r="AN6">
        <f t="shared" ref="AN6:AN19" si="7">IF(AK6+AG6=0,AM6*2/10,0)</f>
        <v>8.0000000000000002E-3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0.04</v>
      </c>
      <c r="AN8">
        <f t="shared" si="7"/>
        <v>8.0000000000000002E-3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0.06</v>
      </c>
      <c r="AN10">
        <f t="shared" si="7"/>
        <v>1.2E-2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0.06</v>
      </c>
      <c r="AN11">
        <f t="shared" si="7"/>
        <v>1.2E-2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0.22700000000000001</v>
      </c>
      <c r="AK13" s="13"/>
      <c r="AM13" s="13">
        <v>0.125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0.06</v>
      </c>
      <c r="AN17">
        <f t="shared" si="7"/>
        <v>1.2E-2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09"/>
      <c r="Q1" s="209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1" t="s">
        <v>116</v>
      </c>
      <c r="C3" s="211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9" t="s">
        <v>135</v>
      </c>
      <c r="Q1" s="209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1" t="s">
        <v>23</v>
      </c>
      <c r="C3" s="211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09" t="s">
        <v>135</v>
      </c>
      <c r="Q1" s="209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2" t="s">
        <v>130</v>
      </c>
      <c r="C3" s="212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OBIWAN-PedraPedra</vt:lpstr>
      <vt:lpstr>kobelegends-VADER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2017-12-22T15:52:09Z</dcterms:modified>
</cp:coreProperties>
</file>