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23BFEC92-A4CD-41DA-8B60-F1C6247659FA}" xr6:coauthVersionLast="44" xr6:coauthVersionMax="44" xr10:uidLastSave="{00000000-0000-0000-0000-000000000000}"/>
  <bookViews>
    <workbookView xWindow="28680" yWindow="-120" windowWidth="29040" windowHeight="15840" tabRatio="500" xr2:uid="{00000000-000D-0000-FFFF-FFFF00000000}"/>
  </bookViews>
  <sheets>
    <sheet name="Obiwan-AVENTURA" sheetId="9" r:id="rId1"/>
    <sheet name="SIMULADOR_v3" sheetId="4" r:id="rId2"/>
    <sheet name="SIMULADOR&gt;22-12-17_v2" sheetId="5" r:id="rId3"/>
    <sheet name="SIMULADOR&gt;22-12-17" sheetId="6" r:id="rId4"/>
    <sheet name="SIMULADOR" sheetId="7" r:id="rId5"/>
    <sheet name="SIMULADOR_sinJC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253380" val="976" rev="124" rev64="64" revOS="3" revMin="124" revMax="0"/>
      <pm:docPrefs xmlns:pm="smNativeData" id="1595253380" fixedDigits="0" showNotice="1" showFrameBounds="1" autoChart="1" recalcOnPrint="1" recalcOnCopy="1" finalRounding="1" compatTextArt="1" tab="567" useDefinedPrintRange="1" printArea="currentSheet"/>
      <pm:compatibility xmlns:pm="smNativeData" id="1595253380" overlapCells="1"/>
      <pm:defCurrency xmlns:pm="smNativeData" id="1595253380"/>
    </ext>
  </extLst>
</workbook>
</file>

<file path=xl/calcChain.xml><?xml version="1.0" encoding="utf-8"?>
<calcChain xmlns="http://schemas.openxmlformats.org/spreadsheetml/2006/main">
  <c r="BF48" i="9" l="1"/>
  <c r="BF47" i="9"/>
  <c r="BF46" i="9"/>
  <c r="BE45" i="9"/>
  <c r="BH44" i="9"/>
  <c r="BL10" i="9" s="1"/>
  <c r="BP30" i="9" s="1"/>
  <c r="BP37" i="9" s="1"/>
  <c r="BP45" i="9" s="1"/>
  <c r="BE44" i="9"/>
  <c r="BF45" i="9" s="1"/>
  <c r="BD44" i="9"/>
  <c r="BF43" i="9"/>
  <c r="BE43" i="9"/>
  <c r="BD43" i="9"/>
  <c r="BC43" i="9"/>
  <c r="BF42" i="9"/>
  <c r="BE42" i="9"/>
  <c r="BD42" i="9"/>
  <c r="BC42" i="9"/>
  <c r="BF41" i="9"/>
  <c r="BE41" i="9"/>
  <c r="BD41" i="9"/>
  <c r="BC41" i="9"/>
  <c r="BH40" i="9"/>
  <c r="BH45" i="9" s="1"/>
  <c r="BH50" i="9" s="1"/>
  <c r="BL11" i="9" s="1"/>
  <c r="BP38" i="9" s="1"/>
  <c r="BP46" i="9" s="1"/>
  <c r="BF40" i="9"/>
  <c r="BE40" i="9"/>
  <c r="BD40" i="9"/>
  <c r="BC40" i="9"/>
  <c r="BC39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BH36" i="9"/>
  <c r="BH42" i="9" s="1"/>
  <c r="BH47" i="9" s="1"/>
  <c r="BH52" i="9" s="1"/>
  <c r="BH55" i="9" s="1"/>
  <c r="BH57" i="9" s="1"/>
  <c r="BL13" i="9" s="1"/>
  <c r="BF34" i="9"/>
  <c r="BF33" i="9"/>
  <c r="C33" i="9"/>
  <c r="B33" i="9"/>
  <c r="C32" i="9"/>
  <c r="B32" i="9"/>
  <c r="D25" i="9" s="1"/>
  <c r="BE31" i="9"/>
  <c r="BF32" i="9" s="1"/>
  <c r="BH30" i="9"/>
  <c r="BH37" i="9" s="1"/>
  <c r="BH43" i="9" s="1"/>
  <c r="BH48" i="9" s="1"/>
  <c r="BH53" i="9" s="1"/>
  <c r="BH56" i="9" s="1"/>
  <c r="BH58" i="9" s="1"/>
  <c r="BH59" i="9" s="1"/>
  <c r="BE30" i="9"/>
  <c r="BD30" i="9"/>
  <c r="E30" i="9"/>
  <c r="BH29" i="9"/>
  <c r="BE29" i="9"/>
  <c r="BF30" i="9" s="1"/>
  <c r="BD29" i="9"/>
  <c r="BC29" i="9"/>
  <c r="C29" i="9"/>
  <c r="B29" i="9"/>
  <c r="BH28" i="9"/>
  <c r="BH35" i="9" s="1"/>
  <c r="BH41" i="9" s="1"/>
  <c r="BH46" i="9" s="1"/>
  <c r="BH51" i="9" s="1"/>
  <c r="BH54" i="9" s="1"/>
  <c r="BL12" i="9" s="1"/>
  <c r="BP47" i="9" s="1"/>
  <c r="BE28" i="9"/>
  <c r="BD28" i="9"/>
  <c r="BC28" i="9"/>
  <c r="BH27" i="9"/>
  <c r="BH34" i="9" s="1"/>
  <c r="BF27" i="9"/>
  <c r="BE27" i="9"/>
  <c r="BD27" i="9"/>
  <c r="BC27" i="9"/>
  <c r="C27" i="9"/>
  <c r="B27" i="9"/>
  <c r="BH26" i="9"/>
  <c r="BH33" i="9" s="1"/>
  <c r="BH39" i="9" s="1"/>
  <c r="BF26" i="9"/>
  <c r="BE26" i="9"/>
  <c r="BD26" i="9"/>
  <c r="BC26" i="9"/>
  <c r="E26" i="9"/>
  <c r="E27" i="9" s="1"/>
  <c r="C26" i="9"/>
  <c r="B26" i="9"/>
  <c r="BH25" i="9"/>
  <c r="BH32" i="9" s="1"/>
  <c r="BH38" i="9" s="1"/>
  <c r="BC25" i="9"/>
  <c r="E25" i="9"/>
  <c r="C25" i="9"/>
  <c r="B25" i="9"/>
  <c r="BH24" i="9"/>
  <c r="BH31" i="9" s="1"/>
  <c r="BH23" i="9"/>
  <c r="B22" i="9"/>
  <c r="B20" i="9"/>
  <c r="B21" i="9" s="1"/>
  <c r="AO19" i="9"/>
  <c r="AL19" i="9"/>
  <c r="AK19" i="9"/>
  <c r="AH19" i="9"/>
  <c r="AG19" i="9"/>
  <c r="Z19" i="9"/>
  <c r="P19" i="9"/>
  <c r="BP18" i="9"/>
  <c r="BP22" i="9" s="1"/>
  <c r="BP28" i="9" s="1"/>
  <c r="BP35" i="9" s="1"/>
  <c r="BP43" i="9" s="1"/>
  <c r="AO18" i="9"/>
  <c r="AL18" i="9"/>
  <c r="AK18" i="9"/>
  <c r="AH18" i="9"/>
  <c r="AG18" i="9"/>
  <c r="BP17" i="9"/>
  <c r="BP21" i="9" s="1"/>
  <c r="BP27" i="9" s="1"/>
  <c r="BP34" i="9" s="1"/>
  <c r="BP42" i="9" s="1"/>
  <c r="AO17" i="9"/>
  <c r="AL17" i="9"/>
  <c r="AK17" i="9"/>
  <c r="AH17" i="9"/>
  <c r="AG17" i="9"/>
  <c r="AN17" i="9" s="1"/>
  <c r="Z17" i="9"/>
  <c r="Z18" i="9" s="1"/>
  <c r="P17" i="9"/>
  <c r="P18" i="9" s="1"/>
  <c r="C16" i="9"/>
  <c r="B16" i="9"/>
  <c r="Z15" i="9"/>
  <c r="P15" i="9"/>
  <c r="AL14" i="9"/>
  <c r="AH14" i="9"/>
  <c r="AK14" i="9" s="1"/>
  <c r="Z14" i="9"/>
  <c r="P14" i="9"/>
  <c r="BP13" i="9"/>
  <c r="Z13" i="9"/>
  <c r="P13" i="9"/>
  <c r="AO12" i="9"/>
  <c r="AL12" i="9"/>
  <c r="AK12" i="9"/>
  <c r="AH12" i="9"/>
  <c r="AG12" i="9"/>
  <c r="AN12" i="9" s="1"/>
  <c r="Z12" i="9"/>
  <c r="P12" i="9"/>
  <c r="AO11" i="9"/>
  <c r="AL11" i="9"/>
  <c r="AK11" i="9"/>
  <c r="AH11" i="9"/>
  <c r="AG11" i="9"/>
  <c r="Z11" i="9"/>
  <c r="P11" i="9"/>
  <c r="AO10" i="9"/>
  <c r="AL10" i="9"/>
  <c r="AK10" i="9"/>
  <c r="AH10" i="9"/>
  <c r="AG10" i="9"/>
  <c r="AN10" i="9" s="1"/>
  <c r="Z10" i="9"/>
  <c r="P10" i="9"/>
  <c r="BL9" i="9"/>
  <c r="BP23" i="9" s="1"/>
  <c r="BP29" i="9" s="1"/>
  <c r="BP36" i="9" s="1"/>
  <c r="BP44" i="9" s="1"/>
  <c r="AL9" i="9"/>
  <c r="AK9" i="9"/>
  <c r="AH9" i="9"/>
  <c r="AG9" i="9"/>
  <c r="Z9" i="9"/>
  <c r="P9" i="9"/>
  <c r="BP8" i="9"/>
  <c r="BP11" i="9" s="1"/>
  <c r="BP15" i="9" s="1"/>
  <c r="BP19" i="9" s="1"/>
  <c r="BP25" i="9" s="1"/>
  <c r="BP32" i="9" s="1"/>
  <c r="BP40" i="9" s="1"/>
  <c r="BL8" i="9"/>
  <c r="AO8" i="9"/>
  <c r="AL8" i="9"/>
  <c r="AK8" i="9"/>
  <c r="AH8" i="9"/>
  <c r="AG8" i="9"/>
  <c r="Z8" i="9"/>
  <c r="P8" i="9"/>
  <c r="BL7" i="9"/>
  <c r="AL7" i="9"/>
  <c r="AK7" i="9"/>
  <c r="AH7" i="9"/>
  <c r="AG7" i="9"/>
  <c r="AN7" i="9" s="1"/>
  <c r="Z7" i="9"/>
  <c r="P7" i="9"/>
  <c r="BP6" i="9"/>
  <c r="BL6" i="9"/>
  <c r="BP9" i="9" s="1"/>
  <c r="BP12" i="9" s="1"/>
  <c r="BP16" i="9" s="1"/>
  <c r="BP20" i="9" s="1"/>
  <c r="BP26" i="9" s="1"/>
  <c r="BP33" i="9" s="1"/>
  <c r="BP41" i="9" s="1"/>
  <c r="AO6" i="9"/>
  <c r="AL6" i="9"/>
  <c r="AK6" i="9"/>
  <c r="AH6" i="9"/>
  <c r="AG6" i="9"/>
  <c r="Z6" i="9"/>
  <c r="P6" i="9"/>
  <c r="BP5" i="9"/>
  <c r="BP7" i="9" s="1"/>
  <c r="BP10" i="9" s="1"/>
  <c r="BP14" i="9" s="1"/>
  <c r="BH49" i="9" s="1"/>
  <c r="BP24" i="9" s="1"/>
  <c r="BP31" i="9" s="1"/>
  <c r="BP39" i="9" s="1"/>
  <c r="BL14" i="9" s="1"/>
  <c r="AO5" i="9"/>
  <c r="AL5" i="9"/>
  <c r="AK5" i="9"/>
  <c r="AH5" i="9"/>
  <c r="AG5" i="9"/>
  <c r="Z5" i="9"/>
  <c r="P5" i="9"/>
  <c r="AM3" i="9"/>
  <c r="D3" i="9"/>
  <c r="K3" i="9" s="1"/>
  <c r="K2" i="9"/>
  <c r="G1" i="9"/>
  <c r="BF48" i="8"/>
  <c r="BF47" i="8"/>
  <c r="BE45" i="8"/>
  <c r="BF46" i="8" s="1"/>
  <c r="BE44" i="8"/>
  <c r="BF45" i="8" s="1"/>
  <c r="BD44" i="8"/>
  <c r="BE43" i="8"/>
  <c r="BF44" i="8" s="1"/>
  <c r="BD43" i="8"/>
  <c r="BC43" i="8"/>
  <c r="BF42" i="8"/>
  <c r="BE42" i="8"/>
  <c r="BF43" i="8" s="1"/>
  <c r="BD42" i="8"/>
  <c r="BC42" i="8"/>
  <c r="BF41" i="8"/>
  <c r="BE41" i="8"/>
  <c r="BD41" i="8"/>
  <c r="BC41" i="8"/>
  <c r="BF40" i="8"/>
  <c r="BE40" i="8"/>
  <c r="BD40" i="8"/>
  <c r="BC40" i="8"/>
  <c r="BC39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BF34" i="8"/>
  <c r="BF33" i="8"/>
  <c r="C33" i="8"/>
  <c r="B33" i="8"/>
  <c r="C32" i="8"/>
  <c r="B32" i="8"/>
  <c r="BE31" i="8"/>
  <c r="BF32" i="8" s="1"/>
  <c r="BH30" i="8"/>
  <c r="BH37" i="8" s="1"/>
  <c r="BH43" i="8" s="1"/>
  <c r="BH48" i="8" s="1"/>
  <c r="BH53" i="8" s="1"/>
  <c r="BH56" i="8" s="1"/>
  <c r="BH58" i="8" s="1"/>
  <c r="BH59" i="8" s="1"/>
  <c r="BF30" i="8"/>
  <c r="BE30" i="8"/>
  <c r="BF31" i="8" s="1"/>
  <c r="BD30" i="8"/>
  <c r="E30" i="8"/>
  <c r="D30" i="8"/>
  <c r="BH29" i="8"/>
  <c r="BH36" i="8" s="1"/>
  <c r="BH42" i="8" s="1"/>
  <c r="BH47" i="8" s="1"/>
  <c r="BH52" i="8" s="1"/>
  <c r="BH55" i="8" s="1"/>
  <c r="BH57" i="8" s="1"/>
  <c r="BL13" i="8" s="1"/>
  <c r="BE29" i="8"/>
  <c r="BD29" i="8"/>
  <c r="BC29" i="8"/>
  <c r="C29" i="8"/>
  <c r="B29" i="8"/>
  <c r="BH28" i="8"/>
  <c r="BH35" i="8" s="1"/>
  <c r="BH41" i="8" s="1"/>
  <c r="BH46" i="8" s="1"/>
  <c r="BH51" i="8" s="1"/>
  <c r="BH54" i="8" s="1"/>
  <c r="BE28" i="8"/>
  <c r="BF28" i="8" s="1"/>
  <c r="BD28" i="8"/>
  <c r="BC28" i="8"/>
  <c r="BH27" i="8"/>
  <c r="BH34" i="8" s="1"/>
  <c r="BH40" i="8" s="1"/>
  <c r="BH45" i="8" s="1"/>
  <c r="BH50" i="8" s="1"/>
  <c r="BL11" i="8" s="1"/>
  <c r="BP38" i="8" s="1"/>
  <c r="BP46" i="8" s="1"/>
  <c r="BF27" i="8"/>
  <c r="BE27" i="8"/>
  <c r="BD27" i="8"/>
  <c r="BC27" i="8"/>
  <c r="C27" i="8"/>
  <c r="B27" i="8"/>
  <c r="BH26" i="8"/>
  <c r="BH33" i="8" s="1"/>
  <c r="BH39" i="8" s="1"/>
  <c r="BH44" i="8" s="1"/>
  <c r="BL10" i="8" s="1"/>
  <c r="BP30" i="8" s="1"/>
  <c r="BP37" i="8" s="1"/>
  <c r="BP45" i="8" s="1"/>
  <c r="BF26" i="8"/>
  <c r="BE26" i="8"/>
  <c r="BD26" i="8"/>
  <c r="BC26" i="8"/>
  <c r="E26" i="8"/>
  <c r="E27" i="8" s="1"/>
  <c r="E23" i="8" s="1"/>
  <c r="D26" i="8"/>
  <c r="D27" i="8" s="1"/>
  <c r="B31" i="8" s="1"/>
  <c r="W24" i="8" s="1"/>
  <c r="C26" i="8"/>
  <c r="B26" i="8"/>
  <c r="BH25" i="8"/>
  <c r="BH32" i="8" s="1"/>
  <c r="BH38" i="8" s="1"/>
  <c r="BC25" i="8"/>
  <c r="E25" i="8"/>
  <c r="D25" i="8"/>
  <c r="D23" i="8" s="1"/>
  <c r="C25" i="8"/>
  <c r="C31" i="8" s="1"/>
  <c r="W38" i="8" s="1"/>
  <c r="B25" i="8"/>
  <c r="BH24" i="8"/>
  <c r="BH31" i="8" s="1"/>
  <c r="BH23" i="8"/>
  <c r="C22" i="8"/>
  <c r="B22" i="8"/>
  <c r="B20" i="8"/>
  <c r="B21" i="8" s="1"/>
  <c r="Z19" i="8"/>
  <c r="AA19" i="8" s="1"/>
  <c r="Y19" i="8"/>
  <c r="P19" i="8"/>
  <c r="O19" i="8"/>
  <c r="Q19" i="8" s="1"/>
  <c r="AA18" i="8"/>
  <c r="Q18" i="8"/>
  <c r="Z17" i="8"/>
  <c r="AA17" i="8" s="1"/>
  <c r="Y17" i="8"/>
  <c r="P17" i="8"/>
  <c r="O17" i="8"/>
  <c r="Q17" i="8" s="1"/>
  <c r="Y16" i="8"/>
  <c r="AA16" i="8" s="1"/>
  <c r="O16" i="8"/>
  <c r="Q16" i="8" s="1"/>
  <c r="C16" i="8"/>
  <c r="B16" i="8"/>
  <c r="AA15" i="8"/>
  <c r="Q15" i="8"/>
  <c r="Y14" i="8"/>
  <c r="AA14" i="8" s="1"/>
  <c r="O14" i="8"/>
  <c r="Q14" i="8" s="1"/>
  <c r="AA13" i="8"/>
  <c r="Z13" i="8"/>
  <c r="Q13" i="8"/>
  <c r="P13" i="8"/>
  <c r="BL12" i="8"/>
  <c r="BP47" i="8" s="1"/>
  <c r="AA12" i="8"/>
  <c r="Q12" i="8"/>
  <c r="AA11" i="8"/>
  <c r="Z11" i="8"/>
  <c r="Y11" i="8"/>
  <c r="P11" i="8"/>
  <c r="O11" i="8"/>
  <c r="BP10" i="8"/>
  <c r="BP14" i="8" s="1"/>
  <c r="BH49" i="8" s="1"/>
  <c r="BP24" i="8" s="1"/>
  <c r="BP31" i="8" s="1"/>
  <c r="BP39" i="8" s="1"/>
  <c r="BL14" i="8" s="1"/>
  <c r="AA10" i="8"/>
  <c r="Z10" i="8"/>
  <c r="Y10" i="8"/>
  <c r="P10" i="8"/>
  <c r="Q10" i="8" s="1"/>
  <c r="O10" i="8"/>
  <c r="BL9" i="8"/>
  <c r="BP23" i="8" s="1"/>
  <c r="BP29" i="8" s="1"/>
  <c r="BP36" i="8" s="1"/>
  <c r="BP44" i="8" s="1"/>
  <c r="AA9" i="8"/>
  <c r="Y9" i="8"/>
  <c r="O9" i="8"/>
  <c r="Q9" i="8" s="1"/>
  <c r="BL8" i="8"/>
  <c r="BP18" i="8" s="1"/>
  <c r="BP22" i="8" s="1"/>
  <c r="BP28" i="8" s="1"/>
  <c r="BP35" i="8" s="1"/>
  <c r="BP43" i="8" s="1"/>
  <c r="Z8" i="8"/>
  <c r="AA8" i="8" s="1"/>
  <c r="Y8" i="8"/>
  <c r="P8" i="8"/>
  <c r="O8" i="8"/>
  <c r="Q8" i="8" s="1"/>
  <c r="BL7" i="8"/>
  <c r="BP13" i="8" s="1"/>
  <c r="BP17" i="8" s="1"/>
  <c r="BP21" i="8" s="1"/>
  <c r="BP27" i="8" s="1"/>
  <c r="BP34" i="8" s="1"/>
  <c r="BP42" i="8" s="1"/>
  <c r="AA7" i="8"/>
  <c r="Q7" i="8"/>
  <c r="BP6" i="8"/>
  <c r="BP8" i="8" s="1"/>
  <c r="BP11" i="8" s="1"/>
  <c r="BP15" i="8" s="1"/>
  <c r="BP19" i="8" s="1"/>
  <c r="BP25" i="8" s="1"/>
  <c r="BP32" i="8" s="1"/>
  <c r="BP40" i="8" s="1"/>
  <c r="BL6" i="8"/>
  <c r="BP9" i="8" s="1"/>
  <c r="BP12" i="8" s="1"/>
  <c r="BP16" i="8" s="1"/>
  <c r="BP20" i="8" s="1"/>
  <c r="BP26" i="8" s="1"/>
  <c r="BP33" i="8" s="1"/>
  <c r="BP41" i="8" s="1"/>
  <c r="Z6" i="8"/>
  <c r="Y6" i="8"/>
  <c r="AA6" i="8" s="1"/>
  <c r="P6" i="8"/>
  <c r="Q6" i="8" s="1"/>
  <c r="O6" i="8"/>
  <c r="BP5" i="8"/>
  <c r="BP7" i="8" s="1"/>
  <c r="AA5" i="8"/>
  <c r="Z5" i="8"/>
  <c r="Y5" i="8"/>
  <c r="P5" i="8"/>
  <c r="O5" i="8"/>
  <c r="D3" i="8"/>
  <c r="K3" i="8" s="1"/>
  <c r="S2" i="8"/>
  <c r="K2" i="8"/>
  <c r="G2" i="8"/>
  <c r="AF1" i="8"/>
  <c r="S1" i="8"/>
  <c r="G1" i="8"/>
  <c r="BF48" i="7"/>
  <c r="BF47" i="7"/>
  <c r="BE45" i="7"/>
  <c r="BF46" i="7" s="1"/>
  <c r="BE44" i="7"/>
  <c r="BD44" i="7"/>
  <c r="BE43" i="7"/>
  <c r="BD43" i="7"/>
  <c r="BC43" i="7"/>
  <c r="BF42" i="7"/>
  <c r="BE42" i="7"/>
  <c r="BF43" i="7" s="1"/>
  <c r="BD42" i="7"/>
  <c r="BC42" i="7"/>
  <c r="BF41" i="7"/>
  <c r="BE41" i="7"/>
  <c r="BD41" i="7"/>
  <c r="BC41" i="7"/>
  <c r="BH40" i="7"/>
  <c r="BH45" i="7" s="1"/>
  <c r="BH50" i="7" s="1"/>
  <c r="BF40" i="7"/>
  <c r="BE40" i="7"/>
  <c r="BD40" i="7"/>
  <c r="BC40" i="7"/>
  <c r="BC39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BH36" i="7"/>
  <c r="BH42" i="7" s="1"/>
  <c r="BH47" i="7" s="1"/>
  <c r="BH52" i="7" s="1"/>
  <c r="BH55" i="7" s="1"/>
  <c r="BH57" i="7" s="1"/>
  <c r="BL13" i="7" s="1"/>
  <c r="BH35" i="7"/>
  <c r="BH41" i="7" s="1"/>
  <c r="BH46" i="7" s="1"/>
  <c r="BH51" i="7" s="1"/>
  <c r="BH54" i="7" s="1"/>
  <c r="BL12" i="7" s="1"/>
  <c r="BP47" i="7" s="1"/>
  <c r="BP34" i="7"/>
  <c r="BP42" i="7" s="1"/>
  <c r="BH34" i="7"/>
  <c r="BF34" i="7"/>
  <c r="BH33" i="7"/>
  <c r="BH39" i="7" s="1"/>
  <c r="BH44" i="7" s="1"/>
  <c r="BF33" i="7"/>
  <c r="C33" i="7"/>
  <c r="B33" i="7"/>
  <c r="C32" i="7"/>
  <c r="B32" i="7"/>
  <c r="BF31" i="7"/>
  <c r="BE31" i="7"/>
  <c r="BF32" i="7" s="1"/>
  <c r="BH30" i="7"/>
  <c r="BH37" i="7" s="1"/>
  <c r="BH43" i="7" s="1"/>
  <c r="BH48" i="7" s="1"/>
  <c r="BH53" i="7" s="1"/>
  <c r="BH56" i="7" s="1"/>
  <c r="BH58" i="7" s="1"/>
  <c r="BH59" i="7" s="1"/>
  <c r="BF30" i="7"/>
  <c r="BE30" i="7"/>
  <c r="BD30" i="7"/>
  <c r="E30" i="7"/>
  <c r="D30" i="7"/>
  <c r="BH29" i="7"/>
  <c r="BE29" i="7"/>
  <c r="BD29" i="7"/>
  <c r="BC29" i="7"/>
  <c r="C29" i="7"/>
  <c r="B29" i="7"/>
  <c r="BH28" i="7"/>
  <c r="BE28" i="7"/>
  <c r="BD28" i="7"/>
  <c r="BC28" i="7"/>
  <c r="BH27" i="7"/>
  <c r="BF27" i="7"/>
  <c r="BE27" i="7"/>
  <c r="BD27" i="7"/>
  <c r="BC27" i="7"/>
  <c r="C27" i="7"/>
  <c r="B27" i="7"/>
  <c r="BP26" i="7"/>
  <c r="BP33" i="7" s="1"/>
  <c r="BP41" i="7" s="1"/>
  <c r="BH26" i="7"/>
  <c r="BF26" i="7"/>
  <c r="BE26" i="7"/>
  <c r="BD26" i="7"/>
  <c r="BC26" i="7"/>
  <c r="E26" i="7"/>
  <c r="E27" i="7" s="1"/>
  <c r="D26" i="7"/>
  <c r="D27" i="7" s="1"/>
  <c r="C26" i="7"/>
  <c r="B26" i="7"/>
  <c r="BH25" i="7"/>
  <c r="BH32" i="7" s="1"/>
  <c r="BH38" i="7" s="1"/>
  <c r="BC25" i="7"/>
  <c r="E25" i="7"/>
  <c r="D25" i="7"/>
  <c r="C25" i="7"/>
  <c r="C31" i="7" s="1"/>
  <c r="W39" i="7" s="1"/>
  <c r="B25" i="7"/>
  <c r="B31" i="7" s="1"/>
  <c r="W25" i="7" s="1"/>
  <c r="BH24" i="7"/>
  <c r="BH31" i="7" s="1"/>
  <c r="BH23" i="7"/>
  <c r="E23" i="7"/>
  <c r="D23" i="7"/>
  <c r="C22" i="7"/>
  <c r="B22" i="7"/>
  <c r="B20" i="7"/>
  <c r="B21" i="7" s="1"/>
  <c r="AA19" i="7"/>
  <c r="Z19" i="7"/>
  <c r="Y19" i="7"/>
  <c r="Q19" i="7"/>
  <c r="P19" i="7"/>
  <c r="O19" i="7"/>
  <c r="BP18" i="7"/>
  <c r="BP22" i="7" s="1"/>
  <c r="BP28" i="7" s="1"/>
  <c r="BP35" i="7" s="1"/>
  <c r="BP43" i="7" s="1"/>
  <c r="AA18" i="7"/>
  <c r="Q18" i="7"/>
  <c r="AA17" i="7"/>
  <c r="Z17" i="7"/>
  <c r="Y17" i="7"/>
  <c r="P17" i="7"/>
  <c r="Q17" i="7" s="1"/>
  <c r="O17" i="7"/>
  <c r="AA16" i="7"/>
  <c r="Y16" i="7"/>
  <c r="O16" i="7"/>
  <c r="Q16" i="7" s="1"/>
  <c r="C16" i="7"/>
  <c r="B16" i="7"/>
  <c r="AA15" i="7"/>
  <c r="Q15" i="7"/>
  <c r="Y14" i="7"/>
  <c r="AA14" i="7" s="1"/>
  <c r="O14" i="7"/>
  <c r="Q14" i="7" s="1"/>
  <c r="AA13" i="7"/>
  <c r="Z13" i="7"/>
  <c r="Q13" i="7"/>
  <c r="P13" i="7"/>
  <c r="AA12" i="7"/>
  <c r="Q12" i="7"/>
  <c r="BL11" i="7"/>
  <c r="BP38" i="7" s="1"/>
  <c r="BP46" i="7" s="1"/>
  <c r="Z11" i="7"/>
  <c r="Y11" i="7"/>
  <c r="AA11" i="7" s="1"/>
  <c r="P11" i="7"/>
  <c r="Q11" i="7" s="1"/>
  <c r="O11" i="7"/>
  <c r="BL10" i="7"/>
  <c r="BP30" i="7" s="1"/>
  <c r="BP37" i="7" s="1"/>
  <c r="BP45" i="7" s="1"/>
  <c r="Z10" i="7"/>
  <c r="Y10" i="7"/>
  <c r="Q10" i="7"/>
  <c r="P10" i="7"/>
  <c r="O10" i="7"/>
  <c r="BP9" i="7"/>
  <c r="BP12" i="7" s="1"/>
  <c r="BP16" i="7" s="1"/>
  <c r="BP20" i="7" s="1"/>
  <c r="BL9" i="7"/>
  <c r="BP23" i="7" s="1"/>
  <c r="BP29" i="7" s="1"/>
  <c r="BP36" i="7" s="1"/>
  <c r="BP44" i="7" s="1"/>
  <c r="AA9" i="7"/>
  <c r="Y9" i="7"/>
  <c r="O9" i="7"/>
  <c r="Q9" i="7" s="1"/>
  <c r="BP8" i="7"/>
  <c r="BP11" i="7" s="1"/>
  <c r="BP15" i="7" s="1"/>
  <c r="BP19" i="7" s="1"/>
  <c r="BP25" i="7" s="1"/>
  <c r="BP32" i="7" s="1"/>
  <c r="BP40" i="7" s="1"/>
  <c r="BL8" i="7"/>
  <c r="AA8" i="7"/>
  <c r="Z8" i="7"/>
  <c r="Y8" i="7"/>
  <c r="Q8" i="7"/>
  <c r="P8" i="7"/>
  <c r="O8" i="7"/>
  <c r="BP7" i="7"/>
  <c r="BP10" i="7" s="1"/>
  <c r="BP14" i="7" s="1"/>
  <c r="BH49" i="7" s="1"/>
  <c r="BP24" i="7" s="1"/>
  <c r="BP31" i="7" s="1"/>
  <c r="BP39" i="7" s="1"/>
  <c r="BL14" i="7" s="1"/>
  <c r="BL7" i="7"/>
  <c r="BP13" i="7" s="1"/>
  <c r="BP17" i="7" s="1"/>
  <c r="BP21" i="7" s="1"/>
  <c r="BP27" i="7" s="1"/>
  <c r="AA7" i="7"/>
  <c r="Q7" i="7"/>
  <c r="BP6" i="7"/>
  <c r="BL6" i="7"/>
  <c r="Z6" i="7"/>
  <c r="AA6" i="7" s="1"/>
  <c r="Y6" i="7"/>
  <c r="P6" i="7"/>
  <c r="O6" i="7"/>
  <c r="Q6" i="7" s="1"/>
  <c r="BP5" i="7"/>
  <c r="Z5" i="7"/>
  <c r="Y5" i="7"/>
  <c r="AA5" i="7" s="1"/>
  <c r="Q5" i="7"/>
  <c r="P5" i="7"/>
  <c r="O5" i="7"/>
  <c r="D3" i="7"/>
  <c r="K3" i="7" s="1"/>
  <c r="S2" i="7"/>
  <c r="K2" i="7"/>
  <c r="G2" i="7"/>
  <c r="AF1" i="7"/>
  <c r="V1" i="7"/>
  <c r="S1" i="7"/>
  <c r="G1" i="7"/>
  <c r="BF48" i="6"/>
  <c r="BF47" i="6"/>
  <c r="BF46" i="6"/>
  <c r="BE45" i="6"/>
  <c r="BE44" i="6"/>
  <c r="BF45" i="6" s="1"/>
  <c r="BD44" i="6"/>
  <c r="BE43" i="6"/>
  <c r="BF44" i="6" s="1"/>
  <c r="BD43" i="6"/>
  <c r="BC43" i="6"/>
  <c r="BF42" i="6"/>
  <c r="BE42" i="6"/>
  <c r="BF43" i="6" s="1"/>
  <c r="BD42" i="6"/>
  <c r="BC42" i="6"/>
  <c r="BF41" i="6"/>
  <c r="BE41" i="6"/>
  <c r="BD41" i="6"/>
  <c r="BC41" i="6"/>
  <c r="BF40" i="6"/>
  <c r="BE40" i="6"/>
  <c r="BD40" i="6"/>
  <c r="BC40" i="6"/>
  <c r="BC39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BF34" i="6"/>
  <c r="BF33" i="6"/>
  <c r="C33" i="6"/>
  <c r="B33" i="6"/>
  <c r="C32" i="6"/>
  <c r="B32" i="6"/>
  <c r="BE31" i="6"/>
  <c r="BF32" i="6" s="1"/>
  <c r="BH30" i="6"/>
  <c r="BH37" i="6" s="1"/>
  <c r="BH43" i="6" s="1"/>
  <c r="BH48" i="6" s="1"/>
  <c r="BH53" i="6" s="1"/>
  <c r="BH56" i="6" s="1"/>
  <c r="BH58" i="6" s="1"/>
  <c r="BH59" i="6" s="1"/>
  <c r="BE30" i="6"/>
  <c r="BF31" i="6" s="1"/>
  <c r="BD30" i="6"/>
  <c r="E30" i="6"/>
  <c r="D30" i="6"/>
  <c r="BH29" i="6"/>
  <c r="BH36" i="6" s="1"/>
  <c r="BH42" i="6" s="1"/>
  <c r="BH47" i="6" s="1"/>
  <c r="BH52" i="6" s="1"/>
  <c r="BH55" i="6" s="1"/>
  <c r="BH57" i="6" s="1"/>
  <c r="BL13" i="6" s="1"/>
  <c r="BE29" i="6"/>
  <c r="BF30" i="6" s="1"/>
  <c r="BD29" i="6"/>
  <c r="BC29" i="6"/>
  <c r="C29" i="6"/>
  <c r="B29" i="6"/>
  <c r="BH28" i="6"/>
  <c r="BH35" i="6" s="1"/>
  <c r="BH41" i="6" s="1"/>
  <c r="BH46" i="6" s="1"/>
  <c r="BH51" i="6" s="1"/>
  <c r="BH54" i="6" s="1"/>
  <c r="BL12" i="6" s="1"/>
  <c r="BP47" i="6" s="1"/>
  <c r="BE28" i="6"/>
  <c r="BF29" i="6" s="1"/>
  <c r="BD28" i="6"/>
  <c r="BC28" i="6"/>
  <c r="BP27" i="6"/>
  <c r="BP34" i="6" s="1"/>
  <c r="BP42" i="6" s="1"/>
  <c r="BH27" i="6"/>
  <c r="BH34" i="6" s="1"/>
  <c r="BH40" i="6" s="1"/>
  <c r="BH45" i="6" s="1"/>
  <c r="BH50" i="6" s="1"/>
  <c r="BL11" i="6" s="1"/>
  <c r="BP38" i="6" s="1"/>
  <c r="BP46" i="6" s="1"/>
  <c r="BF27" i="6"/>
  <c r="BE27" i="6"/>
  <c r="BF28" i="6" s="1"/>
  <c r="BD27" i="6"/>
  <c r="BC27" i="6"/>
  <c r="E27" i="6"/>
  <c r="C27" i="6"/>
  <c r="B27" i="6"/>
  <c r="BH26" i="6"/>
  <c r="BH33" i="6" s="1"/>
  <c r="BH39" i="6" s="1"/>
  <c r="BH44" i="6" s="1"/>
  <c r="BF26" i="6"/>
  <c r="BE26" i="6"/>
  <c r="BD26" i="6"/>
  <c r="BC26" i="6"/>
  <c r="E26" i="6"/>
  <c r="E23" i="6" s="1"/>
  <c r="D26" i="6"/>
  <c r="D27" i="6" s="1"/>
  <c r="C26" i="6"/>
  <c r="C31" i="6" s="1"/>
  <c r="W39" i="6" s="1"/>
  <c r="B26" i="6"/>
  <c r="BH25" i="6"/>
  <c r="BH32" i="6" s="1"/>
  <c r="BH38" i="6" s="1"/>
  <c r="BC25" i="6"/>
  <c r="E25" i="6"/>
  <c r="D25" i="6"/>
  <c r="C25" i="6"/>
  <c r="B25" i="6"/>
  <c r="BH24" i="6"/>
  <c r="BH31" i="6" s="1"/>
  <c r="BL8" i="6" s="1"/>
  <c r="BH23" i="6"/>
  <c r="B22" i="6"/>
  <c r="C22" i="6" s="1"/>
  <c r="B20" i="6"/>
  <c r="B21" i="6" s="1"/>
  <c r="Z19" i="6"/>
  <c r="Y19" i="6"/>
  <c r="P19" i="6"/>
  <c r="Q19" i="6" s="1"/>
  <c r="O19" i="6"/>
  <c r="BP18" i="6"/>
  <c r="BP22" i="6" s="1"/>
  <c r="BP28" i="6" s="1"/>
  <c r="BP35" i="6" s="1"/>
  <c r="BP43" i="6" s="1"/>
  <c r="Y18" i="6"/>
  <c r="AA18" i="6" s="1"/>
  <c r="O18" i="6"/>
  <c r="Q18" i="6" s="1"/>
  <c r="Z17" i="6"/>
  <c r="AA17" i="6" s="1"/>
  <c r="Y17" i="6"/>
  <c r="P17" i="6"/>
  <c r="Q17" i="6" s="1"/>
  <c r="O17" i="6"/>
  <c r="AA16" i="6"/>
  <c r="Q16" i="6"/>
  <c r="C16" i="6"/>
  <c r="B16" i="6"/>
  <c r="AA15" i="6"/>
  <c r="Q15" i="6"/>
  <c r="Z14" i="6"/>
  <c r="AA14" i="6" s="1"/>
  <c r="Y14" i="6"/>
  <c r="P14" i="6"/>
  <c r="O14" i="6"/>
  <c r="AA13" i="6"/>
  <c r="Z13" i="6"/>
  <c r="Y13" i="6"/>
  <c r="P13" i="6"/>
  <c r="Q13" i="6" s="1"/>
  <c r="O13" i="6"/>
  <c r="AA12" i="6"/>
  <c r="Q12" i="6"/>
  <c r="BP11" i="6"/>
  <c r="BP15" i="6" s="1"/>
  <c r="BP19" i="6" s="1"/>
  <c r="BP25" i="6" s="1"/>
  <c r="BP32" i="6" s="1"/>
  <c r="BP40" i="6" s="1"/>
  <c r="AA11" i="6"/>
  <c r="Z11" i="6"/>
  <c r="Y11" i="6"/>
  <c r="Q11" i="6"/>
  <c r="P11" i="6"/>
  <c r="O11" i="6"/>
  <c r="BL10" i="6"/>
  <c r="BP30" i="6" s="1"/>
  <c r="BP37" i="6" s="1"/>
  <c r="BP45" i="6" s="1"/>
  <c r="Z10" i="6"/>
  <c r="AA10" i="6" s="1"/>
  <c r="Y10" i="6"/>
  <c r="P10" i="6"/>
  <c r="O10" i="6"/>
  <c r="BL9" i="6"/>
  <c r="BP23" i="6" s="1"/>
  <c r="BP29" i="6" s="1"/>
  <c r="BP36" i="6" s="1"/>
  <c r="BP44" i="6" s="1"/>
  <c r="AA9" i="6"/>
  <c r="Z9" i="6"/>
  <c r="Y9" i="6"/>
  <c r="P9" i="6"/>
  <c r="Q9" i="6" s="1"/>
  <c r="O9" i="6"/>
  <c r="Z8" i="6"/>
  <c r="Y8" i="6"/>
  <c r="AA8" i="6" s="1"/>
  <c r="Q8" i="6"/>
  <c r="P8" i="6"/>
  <c r="O8" i="6"/>
  <c r="BL7" i="6"/>
  <c r="BP13" i="6" s="1"/>
  <c r="BP17" i="6" s="1"/>
  <c r="BP21" i="6" s="1"/>
  <c r="Z7" i="6"/>
  <c r="AA7" i="6" s="1"/>
  <c r="P7" i="6"/>
  <c r="Q7" i="6" s="1"/>
  <c r="BP6" i="6"/>
  <c r="BP8" i="6" s="1"/>
  <c r="BL6" i="6"/>
  <c r="BP9" i="6" s="1"/>
  <c r="BP12" i="6" s="1"/>
  <c r="BP16" i="6" s="1"/>
  <c r="BP20" i="6" s="1"/>
  <c r="BP26" i="6" s="1"/>
  <c r="BP33" i="6" s="1"/>
  <c r="BP41" i="6" s="1"/>
  <c r="AA6" i="6"/>
  <c r="Z6" i="6"/>
  <c r="Y6" i="6"/>
  <c r="P6" i="6"/>
  <c r="O6" i="6"/>
  <c r="BP5" i="6"/>
  <c r="BP7" i="6" s="1"/>
  <c r="BP10" i="6" s="1"/>
  <c r="BP14" i="6" s="1"/>
  <c r="BH49" i="6" s="1"/>
  <c r="BP24" i="6" s="1"/>
  <c r="BP31" i="6" s="1"/>
  <c r="BP39" i="6" s="1"/>
  <c r="BL14" i="6" s="1"/>
  <c r="Z5" i="6"/>
  <c r="AA5" i="6" s="1"/>
  <c r="Y5" i="6"/>
  <c r="Q5" i="6"/>
  <c r="P5" i="6"/>
  <c r="O5" i="6"/>
  <c r="K3" i="6"/>
  <c r="D3" i="6"/>
  <c r="K1" i="6" s="1"/>
  <c r="AE2" i="6"/>
  <c r="U2" i="6"/>
  <c r="S2" i="6"/>
  <c r="K2" i="6"/>
  <c r="G2" i="6"/>
  <c r="V1" i="6"/>
  <c r="S1" i="6"/>
  <c r="BF48" i="5"/>
  <c r="BF47" i="5"/>
  <c r="BF46" i="5"/>
  <c r="BF45" i="5"/>
  <c r="BE45" i="5"/>
  <c r="BF44" i="5"/>
  <c r="BE44" i="5"/>
  <c r="BD44" i="5"/>
  <c r="BE43" i="5"/>
  <c r="BD43" i="5"/>
  <c r="BC43" i="5"/>
  <c r="BE42" i="5"/>
  <c r="BF43" i="5" s="1"/>
  <c r="BD42" i="5"/>
  <c r="BC42" i="5"/>
  <c r="BF41" i="5"/>
  <c r="BE41" i="5"/>
  <c r="BF42" i="5" s="1"/>
  <c r="BD41" i="5"/>
  <c r="BC41" i="5"/>
  <c r="BF40" i="5"/>
  <c r="BE40" i="5"/>
  <c r="BD40" i="5"/>
  <c r="BC40" i="5"/>
  <c r="BC39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BH34" i="5"/>
  <c r="BH40" i="5" s="1"/>
  <c r="BH45" i="5" s="1"/>
  <c r="BH50" i="5" s="1"/>
  <c r="BF34" i="5"/>
  <c r="BF33" i="5"/>
  <c r="C33" i="5"/>
  <c r="B33" i="5"/>
  <c r="C32" i="5"/>
  <c r="B32" i="5"/>
  <c r="BE31" i="5"/>
  <c r="BF32" i="5" s="1"/>
  <c r="BH30" i="5"/>
  <c r="BH37" i="5" s="1"/>
  <c r="BH43" i="5" s="1"/>
  <c r="BH48" i="5" s="1"/>
  <c r="BH53" i="5" s="1"/>
  <c r="BH56" i="5" s="1"/>
  <c r="BH58" i="5" s="1"/>
  <c r="BH59" i="5" s="1"/>
  <c r="BF30" i="5"/>
  <c r="BE30" i="5"/>
  <c r="BF31" i="5" s="1"/>
  <c r="BD30" i="5"/>
  <c r="E30" i="5"/>
  <c r="D30" i="5"/>
  <c r="BH29" i="5"/>
  <c r="BH36" i="5" s="1"/>
  <c r="BH42" i="5" s="1"/>
  <c r="BH47" i="5" s="1"/>
  <c r="BH52" i="5" s="1"/>
  <c r="BH55" i="5" s="1"/>
  <c r="BH57" i="5" s="1"/>
  <c r="BL13" i="5" s="1"/>
  <c r="BE29" i="5"/>
  <c r="BD29" i="5"/>
  <c r="BC29" i="5"/>
  <c r="C29" i="5"/>
  <c r="B29" i="5"/>
  <c r="BH28" i="5"/>
  <c r="BH35" i="5" s="1"/>
  <c r="BH41" i="5" s="1"/>
  <c r="BH46" i="5" s="1"/>
  <c r="BH51" i="5" s="1"/>
  <c r="BH54" i="5" s="1"/>
  <c r="BL12" i="5" s="1"/>
  <c r="BP47" i="5" s="1"/>
  <c r="BE28" i="5"/>
  <c r="BF29" i="5" s="1"/>
  <c r="BD28" i="5"/>
  <c r="BC28" i="5"/>
  <c r="BH27" i="5"/>
  <c r="BF27" i="5"/>
  <c r="BE27" i="5"/>
  <c r="BF28" i="5" s="1"/>
  <c r="BD27" i="5"/>
  <c r="BC27" i="5"/>
  <c r="C27" i="5"/>
  <c r="B27" i="5"/>
  <c r="BH26" i="5"/>
  <c r="BH33" i="5" s="1"/>
  <c r="BH39" i="5" s="1"/>
  <c r="BH44" i="5" s="1"/>
  <c r="BL10" i="5" s="1"/>
  <c r="BP30" i="5" s="1"/>
  <c r="BP37" i="5" s="1"/>
  <c r="BP45" i="5" s="1"/>
  <c r="BF26" i="5"/>
  <c r="BE26" i="5"/>
  <c r="BD26" i="5"/>
  <c r="BC26" i="5"/>
  <c r="E26" i="5"/>
  <c r="E27" i="5" s="1"/>
  <c r="D26" i="5"/>
  <c r="D27" i="5" s="1"/>
  <c r="D23" i="5" s="1"/>
  <c r="C26" i="5"/>
  <c r="B26" i="5"/>
  <c r="BH25" i="5"/>
  <c r="BH32" i="5" s="1"/>
  <c r="BH38" i="5" s="1"/>
  <c r="BC25" i="5"/>
  <c r="E25" i="5"/>
  <c r="D25" i="5"/>
  <c r="C25" i="5"/>
  <c r="C31" i="5" s="1"/>
  <c r="W39" i="5" s="1"/>
  <c r="B25" i="5"/>
  <c r="BH24" i="5"/>
  <c r="BH31" i="5" s="1"/>
  <c r="BH23" i="5"/>
  <c r="C22" i="5"/>
  <c r="AB18" i="5" s="1"/>
  <c r="B22" i="5"/>
  <c r="R18" i="5" s="1"/>
  <c r="B21" i="5"/>
  <c r="B20" i="5"/>
  <c r="AN19" i="5"/>
  <c r="AI19" i="5" s="1"/>
  <c r="Y19" i="5" s="1"/>
  <c r="AK19" i="5"/>
  <c r="AG19" i="5"/>
  <c r="Z19" i="5"/>
  <c r="P19" i="5"/>
  <c r="AA18" i="5"/>
  <c r="Q18" i="5"/>
  <c r="AN17" i="5"/>
  <c r="AI17" i="5" s="1"/>
  <c r="Y17" i="5" s="1"/>
  <c r="AK17" i="5"/>
  <c r="AG17" i="5"/>
  <c r="Z17" i="5"/>
  <c r="AA17" i="5" s="1"/>
  <c r="AB17" i="5" s="1"/>
  <c r="P17" i="5"/>
  <c r="O17" i="5"/>
  <c r="AA16" i="5"/>
  <c r="AB16" i="5" s="1"/>
  <c r="Q16" i="5"/>
  <c r="R16" i="5" s="1"/>
  <c r="C16" i="5"/>
  <c r="B16" i="5"/>
  <c r="AA15" i="5"/>
  <c r="Q15" i="5"/>
  <c r="AN14" i="5"/>
  <c r="AI14" i="5"/>
  <c r="Z14" i="5"/>
  <c r="Y14" i="5"/>
  <c r="AA14" i="5" s="1"/>
  <c r="AB14" i="5" s="1"/>
  <c r="P14" i="5"/>
  <c r="Q14" i="5" s="1"/>
  <c r="R14" i="5" s="1"/>
  <c r="O14" i="5"/>
  <c r="Z13" i="5"/>
  <c r="P13" i="5"/>
  <c r="AC12" i="5"/>
  <c r="AA12" i="5"/>
  <c r="AB12" i="5" s="1"/>
  <c r="Q12" i="5"/>
  <c r="BL11" i="5"/>
  <c r="BP38" i="5" s="1"/>
  <c r="BP46" i="5" s="1"/>
  <c r="AK11" i="5"/>
  <c r="AG11" i="5"/>
  <c r="Z11" i="5"/>
  <c r="P11" i="5"/>
  <c r="AN10" i="5"/>
  <c r="AI10" i="5" s="1"/>
  <c r="AK10" i="5"/>
  <c r="AG10" i="5"/>
  <c r="Z10" i="5"/>
  <c r="P10" i="5"/>
  <c r="BL9" i="5"/>
  <c r="BP23" i="5" s="1"/>
  <c r="BP29" i="5" s="1"/>
  <c r="BP36" i="5" s="1"/>
  <c r="BP44" i="5" s="1"/>
  <c r="AK9" i="5"/>
  <c r="AN9" i="5" s="1"/>
  <c r="AI9" i="5" s="1"/>
  <c r="Y9" i="5" s="1"/>
  <c r="AG9" i="5"/>
  <c r="Z9" i="5"/>
  <c r="P9" i="5"/>
  <c r="O9" i="5"/>
  <c r="Q9" i="5" s="1"/>
  <c r="R9" i="5" s="1"/>
  <c r="BL8" i="5"/>
  <c r="BP18" i="5" s="1"/>
  <c r="BP22" i="5" s="1"/>
  <c r="BP28" i="5" s="1"/>
  <c r="BP35" i="5" s="1"/>
  <c r="BP43" i="5" s="1"/>
  <c r="AK8" i="5"/>
  <c r="AN8" i="5" s="1"/>
  <c r="AI8" i="5"/>
  <c r="O8" i="5" s="1"/>
  <c r="AG8" i="5"/>
  <c r="Z8" i="5"/>
  <c r="P8" i="5"/>
  <c r="Q8" i="5" s="1"/>
  <c r="R8" i="5" s="1"/>
  <c r="BL7" i="5"/>
  <c r="BP13" i="5" s="1"/>
  <c r="BP17" i="5" s="1"/>
  <c r="BP21" i="5" s="1"/>
  <c r="BP27" i="5" s="1"/>
  <c r="BP34" i="5" s="1"/>
  <c r="BP42" i="5" s="1"/>
  <c r="AB7" i="5"/>
  <c r="Z7" i="5"/>
  <c r="AA7" i="5" s="1"/>
  <c r="P7" i="5"/>
  <c r="Q7" i="5" s="1"/>
  <c r="R7" i="5" s="1"/>
  <c r="S7" i="5" s="1"/>
  <c r="BP6" i="5"/>
  <c r="BP8" i="5" s="1"/>
  <c r="BP11" i="5" s="1"/>
  <c r="BP15" i="5" s="1"/>
  <c r="BP19" i="5" s="1"/>
  <c r="BP25" i="5" s="1"/>
  <c r="BP32" i="5" s="1"/>
  <c r="BP40" i="5" s="1"/>
  <c r="BL6" i="5"/>
  <c r="BP9" i="5" s="1"/>
  <c r="BP12" i="5" s="1"/>
  <c r="BP16" i="5" s="1"/>
  <c r="BP20" i="5" s="1"/>
  <c r="BP26" i="5" s="1"/>
  <c r="BP33" i="5" s="1"/>
  <c r="BP41" i="5" s="1"/>
  <c r="AK6" i="5"/>
  <c r="AN6" i="5" s="1"/>
  <c r="AI6" i="5" s="1"/>
  <c r="AG6" i="5"/>
  <c r="Z6" i="5"/>
  <c r="P6" i="5"/>
  <c r="BP5" i="5"/>
  <c r="BP7" i="5" s="1"/>
  <c r="BP10" i="5" s="1"/>
  <c r="BP14" i="5" s="1"/>
  <c r="BH49" i="5" s="1"/>
  <c r="BP24" i="5" s="1"/>
  <c r="BP31" i="5" s="1"/>
  <c r="BP39" i="5" s="1"/>
  <c r="BL14" i="5" s="1"/>
  <c r="AN5" i="5"/>
  <c r="AI5" i="5" s="1"/>
  <c r="AK5" i="5"/>
  <c r="AG5" i="5"/>
  <c r="Z5" i="5"/>
  <c r="P5" i="5"/>
  <c r="D3" i="5"/>
  <c r="AI2" i="5"/>
  <c r="S2" i="5"/>
  <c r="R12" i="5" s="1"/>
  <c r="S1" i="5"/>
  <c r="BF48" i="4"/>
  <c r="BF47" i="4"/>
  <c r="BF45" i="4"/>
  <c r="BE45" i="4"/>
  <c r="BF46" i="4" s="1"/>
  <c r="BF44" i="4"/>
  <c r="BE44" i="4"/>
  <c r="BD44" i="4"/>
  <c r="BH43" i="4"/>
  <c r="BH48" i="4" s="1"/>
  <c r="BH53" i="4" s="1"/>
  <c r="BH56" i="4" s="1"/>
  <c r="BH58" i="4" s="1"/>
  <c r="BH59" i="4" s="1"/>
  <c r="BE43" i="4"/>
  <c r="BD43" i="4"/>
  <c r="BC43" i="4"/>
  <c r="BE42" i="4"/>
  <c r="BF43" i="4" s="1"/>
  <c r="BD42" i="4"/>
  <c r="BC42" i="4"/>
  <c r="BF41" i="4"/>
  <c r="BE41" i="4"/>
  <c r="BF42" i="4" s="1"/>
  <c r="BD41" i="4"/>
  <c r="BC41" i="4"/>
  <c r="BF40" i="4"/>
  <c r="BE40" i="4"/>
  <c r="BD40" i="4"/>
  <c r="BC40" i="4"/>
  <c r="BH39" i="4"/>
  <c r="BH44" i="4" s="1"/>
  <c r="BL10" i="4" s="1"/>
  <c r="BP30" i="4" s="1"/>
  <c r="BP37" i="4" s="1"/>
  <c r="BP45" i="4" s="1"/>
  <c r="BC39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BH36" i="4"/>
  <c r="BH42" i="4" s="1"/>
  <c r="BH47" i="4" s="1"/>
  <c r="BH52" i="4" s="1"/>
  <c r="BH55" i="4" s="1"/>
  <c r="BH57" i="4" s="1"/>
  <c r="BL13" i="4" s="1"/>
  <c r="BH35" i="4"/>
  <c r="BH41" i="4" s="1"/>
  <c r="BH46" i="4" s="1"/>
  <c r="BH51" i="4" s="1"/>
  <c r="BH54" i="4" s="1"/>
  <c r="BL12" i="4" s="1"/>
  <c r="BP47" i="4" s="1"/>
  <c r="BH34" i="4"/>
  <c r="BH40" i="4" s="1"/>
  <c r="BH45" i="4" s="1"/>
  <c r="BH50" i="4" s="1"/>
  <c r="BF34" i="4"/>
  <c r="BF33" i="4"/>
  <c r="C33" i="4"/>
  <c r="B33" i="4"/>
  <c r="C32" i="4"/>
  <c r="B32" i="4"/>
  <c r="BE31" i="4"/>
  <c r="BF32" i="4" s="1"/>
  <c r="BH30" i="4"/>
  <c r="BH37" i="4" s="1"/>
  <c r="BF30" i="4"/>
  <c r="BE30" i="4"/>
  <c r="BF31" i="4" s="1"/>
  <c r="BD30" i="4"/>
  <c r="E30" i="4"/>
  <c r="D30" i="4"/>
  <c r="BH29" i="4"/>
  <c r="BE29" i="4"/>
  <c r="BD29" i="4"/>
  <c r="BC29" i="4"/>
  <c r="C29" i="4"/>
  <c r="B29" i="4"/>
  <c r="BH28" i="4"/>
  <c r="BE28" i="4"/>
  <c r="BF29" i="4" s="1"/>
  <c r="BD28" i="4"/>
  <c r="BC28" i="4"/>
  <c r="BH27" i="4"/>
  <c r="BF27" i="4"/>
  <c r="BE27" i="4"/>
  <c r="BF28" i="4" s="1"/>
  <c r="BD27" i="4"/>
  <c r="BC27" i="4"/>
  <c r="E27" i="4"/>
  <c r="E23" i="4" s="1"/>
  <c r="C27" i="4"/>
  <c r="B27" i="4"/>
  <c r="BH26" i="4"/>
  <c r="BH33" i="4" s="1"/>
  <c r="BF26" i="4"/>
  <c r="BE26" i="4"/>
  <c r="BD26" i="4"/>
  <c r="BC26" i="4"/>
  <c r="E26" i="4"/>
  <c r="D26" i="4"/>
  <c r="C26" i="4"/>
  <c r="B26" i="4"/>
  <c r="BH25" i="4"/>
  <c r="BH32" i="4" s="1"/>
  <c r="BH38" i="4" s="1"/>
  <c r="BC25" i="4"/>
  <c r="E25" i="4"/>
  <c r="D25" i="4"/>
  <c r="C25" i="4"/>
  <c r="B25" i="4"/>
  <c r="BH24" i="4"/>
  <c r="BH31" i="4" s="1"/>
  <c r="BL8" i="4" s="1"/>
  <c r="BP18" i="4" s="1"/>
  <c r="BP22" i="4" s="1"/>
  <c r="BP28" i="4" s="1"/>
  <c r="BP35" i="4" s="1"/>
  <c r="BP43" i="4" s="1"/>
  <c r="BH23" i="4"/>
  <c r="BL7" i="4" s="1"/>
  <c r="BP13" i="4" s="1"/>
  <c r="BP17" i="4" s="1"/>
  <c r="BP21" i="4" s="1"/>
  <c r="BP27" i="4" s="1"/>
  <c r="BP34" i="4" s="1"/>
  <c r="BP42" i="4" s="1"/>
  <c r="C22" i="4"/>
  <c r="B22" i="4"/>
  <c r="B20" i="4"/>
  <c r="B21" i="4" s="1"/>
  <c r="BP19" i="4"/>
  <c r="BP25" i="4" s="1"/>
  <c r="BP32" i="4" s="1"/>
  <c r="BP40" i="4" s="1"/>
  <c r="AO19" i="4"/>
  <c r="AL19" i="4"/>
  <c r="AK19" i="4"/>
  <c r="AH19" i="4"/>
  <c r="AG19" i="4"/>
  <c r="Z19" i="4"/>
  <c r="P19" i="4"/>
  <c r="AO18" i="4"/>
  <c r="AL18" i="4"/>
  <c r="AK18" i="4"/>
  <c r="AH18" i="4"/>
  <c r="AG18" i="4"/>
  <c r="AO17" i="4"/>
  <c r="AL17" i="4"/>
  <c r="AK17" i="4"/>
  <c r="AH17" i="4"/>
  <c r="AG17" i="4"/>
  <c r="Z17" i="4"/>
  <c r="P17" i="4"/>
  <c r="AN16" i="4"/>
  <c r="AK16" i="4"/>
  <c r="AG16" i="4"/>
  <c r="C16" i="4"/>
  <c r="B16" i="4"/>
  <c r="AK15" i="4"/>
  <c r="AG15" i="4"/>
  <c r="Z15" i="4"/>
  <c r="P15" i="4"/>
  <c r="AL14" i="4"/>
  <c r="AG14" i="4" s="1"/>
  <c r="AN14" i="4" s="1"/>
  <c r="AH14" i="4"/>
  <c r="AK14" i="4" s="1"/>
  <c r="Z14" i="4"/>
  <c r="P14" i="4"/>
  <c r="AK13" i="4"/>
  <c r="AG13" i="4"/>
  <c r="Z13" i="4"/>
  <c r="P13" i="4"/>
  <c r="BP12" i="4"/>
  <c r="BP16" i="4" s="1"/>
  <c r="BP20" i="4" s="1"/>
  <c r="BP26" i="4" s="1"/>
  <c r="BP33" i="4" s="1"/>
  <c r="BP41" i="4" s="1"/>
  <c r="AO12" i="4"/>
  <c r="AN12" i="4"/>
  <c r="AL12" i="4"/>
  <c r="AK12" i="4"/>
  <c r="AH12" i="4"/>
  <c r="AG12" i="4"/>
  <c r="Z12" i="4"/>
  <c r="P12" i="4"/>
  <c r="BL11" i="4"/>
  <c r="BP38" i="4" s="1"/>
  <c r="BP46" i="4" s="1"/>
  <c r="AO11" i="4"/>
  <c r="AN11" i="4"/>
  <c r="AL11" i="4"/>
  <c r="AK11" i="4"/>
  <c r="AH11" i="4"/>
  <c r="AG11" i="4"/>
  <c r="Z11" i="4"/>
  <c r="P11" i="4"/>
  <c r="AO10" i="4"/>
  <c r="AL10" i="4"/>
  <c r="AK10" i="4"/>
  <c r="AH10" i="4"/>
  <c r="AG10" i="4"/>
  <c r="Z10" i="4"/>
  <c r="P10" i="4"/>
  <c r="BP9" i="4"/>
  <c r="BL9" i="4"/>
  <c r="BP23" i="4" s="1"/>
  <c r="BP29" i="4" s="1"/>
  <c r="BP36" i="4" s="1"/>
  <c r="BP44" i="4" s="1"/>
  <c r="AL9" i="4"/>
  <c r="AK9" i="4"/>
  <c r="AH9" i="4"/>
  <c r="AG9" i="4"/>
  <c r="Z9" i="4"/>
  <c r="P9" i="4"/>
  <c r="BP8" i="4"/>
  <c r="BP11" i="4" s="1"/>
  <c r="BP15" i="4" s="1"/>
  <c r="AO8" i="4"/>
  <c r="AL8" i="4"/>
  <c r="AK8" i="4"/>
  <c r="AH8" i="4"/>
  <c r="AG8" i="4"/>
  <c r="AN8" i="4" s="1"/>
  <c r="Z8" i="4"/>
  <c r="P8" i="4"/>
  <c r="BP7" i="4"/>
  <c r="BP10" i="4" s="1"/>
  <c r="BP14" i="4" s="1"/>
  <c r="BH49" i="4" s="1"/>
  <c r="BP24" i="4" s="1"/>
  <c r="BP31" i="4" s="1"/>
  <c r="BP39" i="4" s="1"/>
  <c r="BL14" i="4" s="1"/>
  <c r="AN7" i="4"/>
  <c r="AL7" i="4"/>
  <c r="AK7" i="4"/>
  <c r="AH7" i="4"/>
  <c r="AG7" i="4"/>
  <c r="Z7" i="4"/>
  <c r="P7" i="4"/>
  <c r="BP6" i="4"/>
  <c r="BL6" i="4"/>
  <c r="AO6" i="4"/>
  <c r="AN6" i="4"/>
  <c r="AL6" i="4"/>
  <c r="AK6" i="4"/>
  <c r="AH6" i="4"/>
  <c r="AG6" i="4"/>
  <c r="Z6" i="4"/>
  <c r="P6" i="4"/>
  <c r="BP5" i="4"/>
  <c r="AO5" i="4"/>
  <c r="AN5" i="4"/>
  <c r="AL5" i="4"/>
  <c r="AK5" i="4"/>
  <c r="AH5" i="4"/>
  <c r="AG5" i="4"/>
  <c r="Z5" i="4"/>
  <c r="P5" i="4"/>
  <c r="AM3" i="4"/>
  <c r="D3" i="4"/>
  <c r="K3" i="4" s="1"/>
  <c r="G2" i="4"/>
  <c r="K1" i="4"/>
  <c r="G1" i="4"/>
  <c r="AN8" i="9" l="1"/>
  <c r="D26" i="9"/>
  <c r="D27" i="9" s="1"/>
  <c r="D30" i="9"/>
  <c r="AN19" i="9"/>
  <c r="AN9" i="9"/>
  <c r="AG14" i="9"/>
  <c r="AN14" i="9" s="1"/>
  <c r="E23" i="9"/>
  <c r="C31" i="9"/>
  <c r="W39" i="9" s="1"/>
  <c r="C22" i="9"/>
  <c r="B23" i="9"/>
  <c r="AG15" i="9"/>
  <c r="AG13" i="9"/>
  <c r="BF29" i="9"/>
  <c r="K1" i="9"/>
  <c r="AN6" i="9"/>
  <c r="AN18" i="9"/>
  <c r="AN5" i="9"/>
  <c r="G2" i="9"/>
  <c r="AK16" i="9"/>
  <c r="BF28" i="9"/>
  <c r="G3" i="9"/>
  <c r="BF31" i="9"/>
  <c r="AN11" i="9"/>
  <c r="BF44" i="9"/>
  <c r="C31" i="4"/>
  <c r="W39" i="4" s="1"/>
  <c r="S9" i="5"/>
  <c r="S8" i="5"/>
  <c r="O6" i="5"/>
  <c r="Y6" i="5"/>
  <c r="S18" i="5"/>
  <c r="AC18" i="5"/>
  <c r="AA8" i="5"/>
  <c r="AB8" i="5" s="1"/>
  <c r="C23" i="4"/>
  <c r="T34" i="4" s="1"/>
  <c r="B23" i="4"/>
  <c r="D27" i="4"/>
  <c r="B31" i="4" s="1"/>
  <c r="K2" i="5"/>
  <c r="G2" i="5"/>
  <c r="K3" i="5"/>
  <c r="K1" i="5"/>
  <c r="G3" i="5"/>
  <c r="G1" i="5"/>
  <c r="AN9" i="4"/>
  <c r="AN19" i="4"/>
  <c r="AN13" i="4"/>
  <c r="S14" i="5"/>
  <c r="AN15" i="4"/>
  <c r="AC7" i="5"/>
  <c r="S16" i="5"/>
  <c r="AC16" i="5"/>
  <c r="AN10" i="4"/>
  <c r="AN17" i="4"/>
  <c r="AN18" i="4"/>
  <c r="AI13" i="5"/>
  <c r="Q6" i="5"/>
  <c r="R6" i="5" s="1"/>
  <c r="Y8" i="5"/>
  <c r="Q19" i="5"/>
  <c r="R19" i="5" s="1"/>
  <c r="C23" i="5"/>
  <c r="T33" i="5" s="1"/>
  <c r="K2" i="4"/>
  <c r="Y5" i="5"/>
  <c r="AA5" i="5" s="1"/>
  <c r="AB5" i="5" s="1"/>
  <c r="O5" i="5"/>
  <c r="Q5" i="5" s="1"/>
  <c r="R5" i="5" s="1"/>
  <c r="AA6" i="5"/>
  <c r="AB6" i="5" s="1"/>
  <c r="Z18" i="4"/>
  <c r="AA9" i="5"/>
  <c r="AB9" i="5" s="1"/>
  <c r="O10" i="5"/>
  <c r="Q10" i="5" s="1"/>
  <c r="R10" i="5" s="1"/>
  <c r="Y10" i="5"/>
  <c r="AA10" i="5" s="1"/>
  <c r="AB10" i="5" s="1"/>
  <c r="G3" i="4"/>
  <c r="P18" i="4"/>
  <c r="T31" i="4"/>
  <c r="AC14" i="5"/>
  <c r="S12" i="5"/>
  <c r="AN11" i="5"/>
  <c r="AI11" i="5" s="1"/>
  <c r="AC17" i="5"/>
  <c r="B23" i="6"/>
  <c r="T43" i="6" s="1"/>
  <c r="R15" i="5"/>
  <c r="O19" i="5"/>
  <c r="L1" i="6"/>
  <c r="B31" i="6"/>
  <c r="W25" i="6" s="1"/>
  <c r="AB15" i="5"/>
  <c r="Q17" i="5"/>
  <c r="R17" i="5" s="1"/>
  <c r="Q6" i="6"/>
  <c r="B23" i="5"/>
  <c r="B31" i="5"/>
  <c r="W25" i="5" s="1"/>
  <c r="T28" i="5"/>
  <c r="T27" i="5"/>
  <c r="T34" i="5"/>
  <c r="T30" i="5"/>
  <c r="T29" i="5"/>
  <c r="AA19" i="5"/>
  <c r="AB19" i="5" s="1"/>
  <c r="T46" i="5"/>
  <c r="T41" i="5"/>
  <c r="T47" i="5"/>
  <c r="E23" i="5"/>
  <c r="BF29" i="7"/>
  <c r="BF28" i="7"/>
  <c r="G3" i="6"/>
  <c r="Q14" i="6"/>
  <c r="G1" i="6"/>
  <c r="H1" i="6" s="1"/>
  <c r="H1" i="7"/>
  <c r="Q10" i="6"/>
  <c r="AA19" i="6"/>
  <c r="D23" i="6"/>
  <c r="T46" i="6"/>
  <c r="T45" i="6"/>
  <c r="T49" i="6"/>
  <c r="T39" i="6"/>
  <c r="AA10" i="7"/>
  <c r="K1" i="7"/>
  <c r="L1" i="7" s="1"/>
  <c r="B23" i="7"/>
  <c r="BF45" i="7"/>
  <c r="G3" i="7"/>
  <c r="BF44" i="7"/>
  <c r="T39" i="7"/>
  <c r="T37" i="7" s="1"/>
  <c r="T46" i="7"/>
  <c r="K1" i="8"/>
  <c r="L1" i="8" s="1"/>
  <c r="Q5" i="8"/>
  <c r="Q11" i="8"/>
  <c r="B23" i="8"/>
  <c r="T43" i="8" s="1"/>
  <c r="G3" i="8"/>
  <c r="H1" i="8" s="1"/>
  <c r="T42" i="8"/>
  <c r="T39" i="8"/>
  <c r="T46" i="8"/>
  <c r="BF29" i="8"/>
  <c r="B31" i="9" l="1"/>
  <c r="W25" i="9" s="1"/>
  <c r="D23" i="9"/>
  <c r="AN13" i="9"/>
  <c r="AN15" i="9"/>
  <c r="AK13" i="9"/>
  <c r="AG16" i="9"/>
  <c r="AK15" i="9"/>
  <c r="B34" i="9"/>
  <c r="B24" i="9"/>
  <c r="C23" i="9"/>
  <c r="W25" i="4"/>
  <c r="T46" i="4"/>
  <c r="T45" i="4"/>
  <c r="T49" i="4"/>
  <c r="T42" i="4"/>
  <c r="T47" i="4"/>
  <c r="T44" i="4"/>
  <c r="T40" i="4"/>
  <c r="T48" i="4"/>
  <c r="T39" i="4"/>
  <c r="S10" i="5"/>
  <c r="S19" i="5"/>
  <c r="AI13" i="4"/>
  <c r="AC8" i="5"/>
  <c r="B34" i="7"/>
  <c r="T47" i="7"/>
  <c r="B24" i="7"/>
  <c r="T40" i="7"/>
  <c r="T44" i="7"/>
  <c r="T40" i="8"/>
  <c r="M1" i="7"/>
  <c r="M2" i="7" s="1"/>
  <c r="T41" i="6"/>
  <c r="T43" i="5"/>
  <c r="T25" i="5"/>
  <c r="T23" i="5" s="1"/>
  <c r="B24" i="5"/>
  <c r="B34" i="5"/>
  <c r="T39" i="5"/>
  <c r="T37" i="5" s="1"/>
  <c r="T49" i="5"/>
  <c r="T48" i="8"/>
  <c r="T44" i="8"/>
  <c r="T41" i="8"/>
  <c r="T38" i="8"/>
  <c r="T36" i="8" s="1"/>
  <c r="M1" i="8"/>
  <c r="M2" i="8" s="1"/>
  <c r="T49" i="7"/>
  <c r="T48" i="7"/>
  <c r="T45" i="5"/>
  <c r="T31" i="5"/>
  <c r="S6" i="5"/>
  <c r="S15" i="5"/>
  <c r="Y13" i="5"/>
  <c r="AA13" i="5" s="1"/>
  <c r="AB13" i="5" s="1"/>
  <c r="O13" i="5"/>
  <c r="Q13" i="5" s="1"/>
  <c r="R13" i="5" s="1"/>
  <c r="AC10" i="5"/>
  <c r="AD9" i="5" s="1"/>
  <c r="T42" i="7"/>
  <c r="T48" i="5"/>
  <c r="S17" i="5"/>
  <c r="U15" i="5" s="1"/>
  <c r="U17" i="5"/>
  <c r="T17" i="5"/>
  <c r="B34" i="6"/>
  <c r="B24" i="6"/>
  <c r="T40" i="6"/>
  <c r="T44" i="6"/>
  <c r="T37" i="6" s="1"/>
  <c r="AD6" i="5"/>
  <c r="AC6" i="5"/>
  <c r="T45" i="8"/>
  <c r="T47" i="8"/>
  <c r="T45" i="7"/>
  <c r="T42" i="5"/>
  <c r="S5" i="5"/>
  <c r="U14" i="5" s="1"/>
  <c r="T5" i="5"/>
  <c r="T20" i="5" s="1"/>
  <c r="L26" i="5" s="1"/>
  <c r="T43" i="7"/>
  <c r="T47" i="6"/>
  <c r="T42" i="6"/>
  <c r="T40" i="5"/>
  <c r="AC19" i="5"/>
  <c r="T32" i="5"/>
  <c r="AD15" i="5"/>
  <c r="AE15" i="5"/>
  <c r="AC15" i="5"/>
  <c r="C23" i="6"/>
  <c r="AD5" i="5"/>
  <c r="AD20" i="5" s="1"/>
  <c r="L40" i="5" s="1"/>
  <c r="AC5" i="5"/>
  <c r="AI17" i="4"/>
  <c r="D23" i="4"/>
  <c r="T41" i="7"/>
  <c r="T48" i="6"/>
  <c r="T44" i="5"/>
  <c r="T26" i="5"/>
  <c r="AC9" i="5"/>
  <c r="B24" i="4"/>
  <c r="B34" i="4"/>
  <c r="T43" i="4"/>
  <c r="T41" i="4"/>
  <c r="AN3" i="4"/>
  <c r="AI9" i="4" s="1"/>
  <c r="B34" i="8"/>
  <c r="B24" i="8"/>
  <c r="C23" i="7"/>
  <c r="M1" i="6"/>
  <c r="M2" i="6" s="1"/>
  <c r="O11" i="5"/>
  <c r="Q11" i="5" s="1"/>
  <c r="R11" i="5" s="1"/>
  <c r="Y11" i="5"/>
  <c r="AA11" i="5" s="1"/>
  <c r="AB11" i="5" s="1"/>
  <c r="C24" i="5"/>
  <c r="T35" i="5"/>
  <c r="C34" i="5"/>
  <c r="C24" i="4"/>
  <c r="T25" i="4"/>
  <c r="C34" i="4"/>
  <c r="T33" i="4"/>
  <c r="T32" i="4"/>
  <c r="T27" i="4"/>
  <c r="T30" i="4"/>
  <c r="T26" i="4"/>
  <c r="T28" i="4"/>
  <c r="T35" i="4"/>
  <c r="T29" i="4"/>
  <c r="C23" i="8"/>
  <c r="U18" i="5"/>
  <c r="T44" i="9" l="1"/>
  <c r="T39" i="9"/>
  <c r="T47" i="9"/>
  <c r="T48" i="9"/>
  <c r="T42" i="9"/>
  <c r="T46" i="9"/>
  <c r="T49" i="9"/>
  <c r="T40" i="9"/>
  <c r="T43" i="9"/>
  <c r="T45" i="9"/>
  <c r="T41" i="9"/>
  <c r="AN16" i="9"/>
  <c r="AN3" i="9" s="1"/>
  <c r="AI13" i="9" s="1"/>
  <c r="C34" i="9"/>
  <c r="C24" i="9"/>
  <c r="T32" i="9"/>
  <c r="T25" i="9"/>
  <c r="T27" i="9"/>
  <c r="T33" i="9"/>
  <c r="T30" i="9"/>
  <c r="T35" i="9"/>
  <c r="T28" i="9"/>
  <c r="T34" i="9"/>
  <c r="T31" i="9"/>
  <c r="T26" i="9"/>
  <c r="T29" i="9"/>
  <c r="N25" i="9"/>
  <c r="N30" i="9"/>
  <c r="P30" i="9" s="1"/>
  <c r="R35" i="9" s="1"/>
  <c r="N29" i="9"/>
  <c r="P29" i="9" s="1"/>
  <c r="N26" i="9"/>
  <c r="N28" i="9"/>
  <c r="P28" i="9" s="1"/>
  <c r="N27" i="9"/>
  <c r="P27" i="9" s="1"/>
  <c r="Y9" i="4"/>
  <c r="AA9" i="4" s="1"/>
  <c r="AB9" i="4" s="1"/>
  <c r="O9" i="4"/>
  <c r="Q9" i="4" s="1"/>
  <c r="R9" i="4" s="1"/>
  <c r="AE7" i="5"/>
  <c r="N39" i="5"/>
  <c r="N42" i="5"/>
  <c r="P42" i="5" s="1"/>
  <c r="N44" i="5"/>
  <c r="P44" i="5" s="1"/>
  <c r="N40" i="5"/>
  <c r="P40" i="5" s="1"/>
  <c r="N43" i="5"/>
  <c r="P43" i="5" s="1"/>
  <c r="N41" i="5"/>
  <c r="P41" i="5" s="1"/>
  <c r="AE17" i="5"/>
  <c r="AE16" i="5"/>
  <c r="R19" i="6"/>
  <c r="R18" i="6"/>
  <c r="R17" i="6"/>
  <c r="AB14" i="6"/>
  <c r="AB10" i="6"/>
  <c r="AB17" i="6"/>
  <c r="AB15" i="6"/>
  <c r="AB19" i="6"/>
  <c r="AB18" i="6"/>
  <c r="AB16" i="6"/>
  <c r="R16" i="6"/>
  <c r="R14" i="6"/>
  <c r="R10" i="6"/>
  <c r="R7" i="6"/>
  <c r="AB8" i="6"/>
  <c r="AB7" i="6"/>
  <c r="R11" i="6"/>
  <c r="AB9" i="6"/>
  <c r="R5" i="6"/>
  <c r="R12" i="6"/>
  <c r="AB11" i="6"/>
  <c r="R6" i="6"/>
  <c r="AB5" i="6"/>
  <c r="R13" i="6"/>
  <c r="AB13" i="6"/>
  <c r="AB6" i="6"/>
  <c r="R15" i="6"/>
  <c r="AB12" i="6"/>
  <c r="R9" i="6"/>
  <c r="R8" i="6"/>
  <c r="T15" i="5"/>
  <c r="N30" i="5"/>
  <c r="P30" i="5" s="1"/>
  <c r="R35" i="5" s="1"/>
  <c r="N29" i="5"/>
  <c r="P29" i="5" s="1"/>
  <c r="R34" i="5" s="1"/>
  <c r="N26" i="5"/>
  <c r="N28" i="5"/>
  <c r="P28" i="5" s="1"/>
  <c r="N27" i="5"/>
  <c r="P27" i="5" s="1"/>
  <c r="N25" i="5"/>
  <c r="AI19" i="4"/>
  <c r="N39" i="4"/>
  <c r="N42" i="4"/>
  <c r="P42" i="4" s="1"/>
  <c r="N44" i="4"/>
  <c r="P44" i="4" s="1"/>
  <c r="N40" i="4"/>
  <c r="P40" i="4" s="1"/>
  <c r="N43" i="4"/>
  <c r="P43" i="4" s="1"/>
  <c r="N41" i="4"/>
  <c r="P41" i="4" s="1"/>
  <c r="Y17" i="4"/>
  <c r="AA17" i="4" s="1"/>
  <c r="AB17" i="4" s="1"/>
  <c r="O17" i="4"/>
  <c r="Q17" i="4" s="1"/>
  <c r="R17" i="4" s="1"/>
  <c r="C34" i="7"/>
  <c r="T26" i="7"/>
  <c r="T28" i="7"/>
  <c r="T27" i="7"/>
  <c r="T25" i="7"/>
  <c r="T23" i="7" s="1"/>
  <c r="C24" i="7"/>
  <c r="T31" i="7"/>
  <c r="T34" i="7"/>
  <c r="T32" i="7"/>
  <c r="T35" i="7"/>
  <c r="T33" i="7"/>
  <c r="T29" i="7"/>
  <c r="T30" i="7"/>
  <c r="AI15" i="4"/>
  <c r="T19" i="5"/>
  <c r="N30" i="4"/>
  <c r="P30" i="4" s="1"/>
  <c r="R35" i="4" s="1"/>
  <c r="N29" i="4"/>
  <c r="P29" i="4" s="1"/>
  <c r="R34" i="4" s="1"/>
  <c r="N26" i="4"/>
  <c r="N28" i="4"/>
  <c r="P28" i="4" s="1"/>
  <c r="R33" i="4" s="1"/>
  <c r="N27" i="4"/>
  <c r="P27" i="4" s="1"/>
  <c r="N25" i="4"/>
  <c r="AI7" i="4"/>
  <c r="AI8" i="4"/>
  <c r="AI6" i="4"/>
  <c r="AI12" i="4"/>
  <c r="AI11" i="4"/>
  <c r="AI5" i="4"/>
  <c r="AI16" i="4"/>
  <c r="AI14" i="4"/>
  <c r="AI10" i="4"/>
  <c r="AC20" i="5"/>
  <c r="AD14" i="5"/>
  <c r="AD18" i="5"/>
  <c r="AD16" i="5"/>
  <c r="AD12" i="5"/>
  <c r="AD7" i="5"/>
  <c r="AD17" i="5"/>
  <c r="AE18" i="5"/>
  <c r="AD19" i="5"/>
  <c r="AI18" i="4"/>
  <c r="U13" i="5"/>
  <c r="T13" i="5"/>
  <c r="S13" i="5"/>
  <c r="U12" i="5"/>
  <c r="R18" i="7"/>
  <c r="R19" i="7"/>
  <c r="AB12" i="7"/>
  <c r="AB6" i="7"/>
  <c r="AB18" i="7"/>
  <c r="R10" i="7"/>
  <c r="AB7" i="7"/>
  <c r="R5" i="7"/>
  <c r="AB10" i="7"/>
  <c r="AB5" i="7"/>
  <c r="R9" i="7"/>
  <c r="R17" i="7"/>
  <c r="R16" i="7"/>
  <c r="R15" i="7"/>
  <c r="R14" i="7"/>
  <c r="AB15" i="7"/>
  <c r="AB13" i="7"/>
  <c r="AB11" i="7"/>
  <c r="R6" i="7"/>
  <c r="R7" i="7"/>
  <c r="AB17" i="7"/>
  <c r="AB16" i="7"/>
  <c r="AB9" i="7"/>
  <c r="AB8" i="7"/>
  <c r="R12" i="7"/>
  <c r="R11" i="7"/>
  <c r="R13" i="7"/>
  <c r="AB14" i="7"/>
  <c r="AB19" i="7"/>
  <c r="R8" i="7"/>
  <c r="Y13" i="4"/>
  <c r="AA13" i="4" s="1"/>
  <c r="AB13" i="4" s="1"/>
  <c r="O13" i="4"/>
  <c r="Q13" i="4" s="1"/>
  <c r="R13" i="4" s="1"/>
  <c r="N24" i="8"/>
  <c r="N26" i="8"/>
  <c r="P26" i="8" s="1"/>
  <c r="N27" i="8"/>
  <c r="P27" i="8" s="1"/>
  <c r="R32" i="8" s="1"/>
  <c r="N25" i="8"/>
  <c r="N29" i="8"/>
  <c r="P29" i="8" s="1"/>
  <c r="R34" i="8" s="1"/>
  <c r="N28" i="8"/>
  <c r="P28" i="8" s="1"/>
  <c r="R33" i="8" s="1"/>
  <c r="AE13" i="5"/>
  <c r="AD13" i="5"/>
  <c r="AC13" i="5"/>
  <c r="AE12" i="5" s="1"/>
  <c r="AB10" i="8"/>
  <c r="AB5" i="8"/>
  <c r="R17" i="8"/>
  <c r="R16" i="8"/>
  <c r="R15" i="8"/>
  <c r="R14" i="8"/>
  <c r="R18" i="8"/>
  <c r="AB17" i="8"/>
  <c r="R13" i="8"/>
  <c r="R12" i="8"/>
  <c r="R19" i="8"/>
  <c r="AB16" i="8"/>
  <c r="AB14" i="8"/>
  <c r="AB15" i="8"/>
  <c r="AB13" i="8"/>
  <c r="AB11" i="8"/>
  <c r="AB19" i="8"/>
  <c r="AB18" i="8"/>
  <c r="R8" i="8"/>
  <c r="R7" i="8"/>
  <c r="R6" i="8"/>
  <c r="R11" i="8"/>
  <c r="AB6" i="8"/>
  <c r="R5" i="8"/>
  <c r="R9" i="8"/>
  <c r="AB12" i="8"/>
  <c r="R10" i="8"/>
  <c r="AB9" i="8"/>
  <c r="AB7" i="8"/>
  <c r="AB8" i="8"/>
  <c r="N25" i="7"/>
  <c r="N30" i="7"/>
  <c r="P30" i="7" s="1"/>
  <c r="R35" i="7" s="1"/>
  <c r="N29" i="7"/>
  <c r="P29" i="7" s="1"/>
  <c r="R34" i="7" s="1"/>
  <c r="N26" i="7"/>
  <c r="N27" i="7"/>
  <c r="P27" i="7" s="1"/>
  <c r="N28" i="7"/>
  <c r="P28" i="7" s="1"/>
  <c r="R33" i="7" s="1"/>
  <c r="AD11" i="5"/>
  <c r="AC11" i="5"/>
  <c r="AE5" i="5" s="1"/>
  <c r="AE20" i="5" s="1"/>
  <c r="L41" i="5" s="1"/>
  <c r="AE11" i="5"/>
  <c r="AE14" i="5"/>
  <c r="S20" i="5"/>
  <c r="T16" i="5"/>
  <c r="T7" i="5"/>
  <c r="T18" i="5"/>
  <c r="T14" i="5"/>
  <c r="T8" i="5"/>
  <c r="T9" i="5"/>
  <c r="T12" i="5"/>
  <c r="AD8" i="5"/>
  <c r="T37" i="4"/>
  <c r="U16" i="5"/>
  <c r="T23" i="4"/>
  <c r="C34" i="8"/>
  <c r="C24" i="8"/>
  <c r="T24" i="8"/>
  <c r="T22" i="8" s="1"/>
  <c r="T25" i="8"/>
  <c r="T30" i="8"/>
  <c r="T29" i="8"/>
  <c r="T27" i="8"/>
  <c r="T31" i="8"/>
  <c r="T32" i="8"/>
  <c r="T34" i="8"/>
  <c r="T33" i="8"/>
  <c r="T26" i="8"/>
  <c r="T28" i="8"/>
  <c r="S11" i="5"/>
  <c r="T11" i="5"/>
  <c r="U11" i="5"/>
  <c r="C24" i="6"/>
  <c r="T25" i="6"/>
  <c r="C34" i="6"/>
  <c r="T30" i="6"/>
  <c r="T26" i="6"/>
  <c r="T28" i="6"/>
  <c r="T29" i="6"/>
  <c r="T35" i="6"/>
  <c r="T31" i="6"/>
  <c r="T27" i="6"/>
  <c r="T32" i="6"/>
  <c r="T34" i="6"/>
  <c r="T33" i="6"/>
  <c r="U5" i="5"/>
  <c r="U20" i="5" s="1"/>
  <c r="L27" i="5" s="1"/>
  <c r="AE6" i="5"/>
  <c r="N30" i="6"/>
  <c r="P30" i="6" s="1"/>
  <c r="R35" i="6" s="1"/>
  <c r="N29" i="6"/>
  <c r="P29" i="6" s="1"/>
  <c r="N26" i="6"/>
  <c r="N28" i="6"/>
  <c r="P28" i="6" s="1"/>
  <c r="N27" i="6"/>
  <c r="P27" i="6" s="1"/>
  <c r="N25" i="6"/>
  <c r="AE10" i="5"/>
  <c r="T6" i="5"/>
  <c r="AE8" i="5"/>
  <c r="T37" i="9" l="1"/>
  <c r="R33" i="9"/>
  <c r="R34" i="9"/>
  <c r="O13" i="9"/>
  <c r="Q13" i="9" s="1"/>
  <c r="R13" i="9" s="1"/>
  <c r="Y13" i="9"/>
  <c r="AA13" i="9" s="1"/>
  <c r="AB13" i="9" s="1"/>
  <c r="AI16" i="9"/>
  <c r="R32" i="9"/>
  <c r="AI17" i="9"/>
  <c r="AI7" i="9"/>
  <c r="AI10" i="9"/>
  <c r="AI8" i="9"/>
  <c r="AI19" i="9"/>
  <c r="AI9" i="9"/>
  <c r="AI12" i="9"/>
  <c r="AI18" i="9"/>
  <c r="AI11" i="9"/>
  <c r="AI6" i="9"/>
  <c r="AI14" i="9"/>
  <c r="AI5" i="9"/>
  <c r="P26" i="9"/>
  <c r="R31" i="9" s="1"/>
  <c r="T23" i="9"/>
  <c r="N43" i="9"/>
  <c r="P43" i="9" s="1"/>
  <c r="N41" i="9"/>
  <c r="P41" i="9" s="1"/>
  <c r="N44" i="9"/>
  <c r="P44" i="9" s="1"/>
  <c r="N40" i="9"/>
  <c r="P40" i="9" s="1"/>
  <c r="N39" i="9"/>
  <c r="N42" i="9"/>
  <c r="P42" i="9" s="1"/>
  <c r="AI15" i="9"/>
  <c r="N23" i="9"/>
  <c r="P25" i="9"/>
  <c r="S6" i="8"/>
  <c r="S13" i="4"/>
  <c r="T16" i="7"/>
  <c r="S16" i="7"/>
  <c r="S17" i="4"/>
  <c r="AC15" i="6"/>
  <c r="S9" i="8"/>
  <c r="S13" i="8"/>
  <c r="U12" i="8" s="1"/>
  <c r="T13" i="8"/>
  <c r="S12" i="7"/>
  <c r="U18" i="7"/>
  <c r="S18" i="7"/>
  <c r="R41" i="4"/>
  <c r="O19" i="4"/>
  <c r="Q19" i="4" s="1"/>
  <c r="R19" i="4" s="1"/>
  <c r="Y19" i="4"/>
  <c r="AA19" i="4" s="1"/>
  <c r="AB19" i="4" s="1"/>
  <c r="S15" i="6"/>
  <c r="AC9" i="4"/>
  <c r="R34" i="6"/>
  <c r="AD8" i="8"/>
  <c r="AC8" i="8"/>
  <c r="S11" i="8"/>
  <c r="U10" i="8" s="1"/>
  <c r="U11" i="8"/>
  <c r="AC15" i="8"/>
  <c r="S14" i="8"/>
  <c r="U13" i="8" s="1"/>
  <c r="T8" i="7"/>
  <c r="S8" i="7"/>
  <c r="AC16" i="7"/>
  <c r="AE15" i="7" s="1"/>
  <c r="S15" i="7"/>
  <c r="T14" i="7" s="1"/>
  <c r="S10" i="7"/>
  <c r="U8" i="7" s="1"/>
  <c r="Y16" i="4"/>
  <c r="AA16" i="4" s="1"/>
  <c r="AB16" i="4" s="1"/>
  <c r="O16" i="4"/>
  <c r="Q16" i="4" s="1"/>
  <c r="R16" i="4" s="1"/>
  <c r="R32" i="4"/>
  <c r="R48" i="4"/>
  <c r="R46" i="4"/>
  <c r="R45" i="4"/>
  <c r="R49" i="4"/>
  <c r="R47" i="4"/>
  <c r="R33" i="5"/>
  <c r="S13" i="6"/>
  <c r="AC7" i="6"/>
  <c r="AD9" i="6" s="1"/>
  <c r="AC19" i="6"/>
  <c r="AE16" i="6" s="1"/>
  <c r="AC19" i="7"/>
  <c r="AC18" i="7"/>
  <c r="AD17" i="7" s="1"/>
  <c r="Y5" i="4"/>
  <c r="AA5" i="4" s="1"/>
  <c r="AB5" i="4" s="1"/>
  <c r="AI3" i="4"/>
  <c r="O5" i="4"/>
  <c r="Q5" i="4" s="1"/>
  <c r="R5" i="4" s="1"/>
  <c r="P26" i="5"/>
  <c r="R31" i="5" s="1"/>
  <c r="AC5" i="6"/>
  <c r="T10" i="5"/>
  <c r="U8" i="5"/>
  <c r="S7" i="8"/>
  <c r="AD14" i="7"/>
  <c r="AC14" i="7"/>
  <c r="AC17" i="4"/>
  <c r="U8" i="6"/>
  <c r="S8" i="6"/>
  <c r="S6" i="6"/>
  <c r="AC17" i="6"/>
  <c r="R32" i="7"/>
  <c r="T10" i="8"/>
  <c r="S10" i="8"/>
  <c r="S8" i="8"/>
  <c r="S19" i="8"/>
  <c r="U17" i="8" s="1"/>
  <c r="T17" i="8"/>
  <c r="S17" i="8"/>
  <c r="T13" i="7"/>
  <c r="S13" i="7"/>
  <c r="U12" i="7" s="1"/>
  <c r="T6" i="7"/>
  <c r="S6" i="7"/>
  <c r="T5" i="7" s="1"/>
  <c r="T20" i="7" s="1"/>
  <c r="T21" i="7" s="1"/>
  <c r="S9" i="7"/>
  <c r="U7" i="7" s="1"/>
  <c r="AC12" i="7"/>
  <c r="AE11" i="7" s="1"/>
  <c r="O12" i="4"/>
  <c r="Q12" i="4" s="1"/>
  <c r="R12" i="4" s="1"/>
  <c r="Y12" i="4"/>
  <c r="AA12" i="4" s="1"/>
  <c r="AB12" i="4" s="1"/>
  <c r="U9" i="6"/>
  <c r="S9" i="6"/>
  <c r="AC11" i="6"/>
  <c r="AE10" i="6" s="1"/>
  <c r="S10" i="6"/>
  <c r="AC10" i="6"/>
  <c r="AD16" i="6" s="1"/>
  <c r="AD10" i="5"/>
  <c r="AD14" i="8"/>
  <c r="AC14" i="8"/>
  <c r="AD13" i="8" s="1"/>
  <c r="V20" i="5"/>
  <c r="L28" i="5" s="1"/>
  <c r="L25" i="5"/>
  <c r="AC9" i="8"/>
  <c r="AD9" i="8"/>
  <c r="AD16" i="8"/>
  <c r="AC16" i="8"/>
  <c r="AE15" i="8" s="1"/>
  <c r="S16" i="8"/>
  <c r="AC13" i="4"/>
  <c r="S7" i="7"/>
  <c r="S17" i="7"/>
  <c r="U15" i="7" s="1"/>
  <c r="AC6" i="7"/>
  <c r="AE6" i="7"/>
  <c r="O11" i="4"/>
  <c r="Q11" i="4" s="1"/>
  <c r="R11" i="4" s="1"/>
  <c r="Y11" i="4"/>
  <c r="AA11" i="4" s="1"/>
  <c r="AB11" i="4" s="1"/>
  <c r="P26" i="4"/>
  <c r="R31" i="4" s="1"/>
  <c r="P39" i="4"/>
  <c r="R44" i="4" s="1"/>
  <c r="N37" i="4"/>
  <c r="S7" i="6"/>
  <c r="R41" i="5"/>
  <c r="P25" i="6"/>
  <c r="N23" i="6"/>
  <c r="AE9" i="5"/>
  <c r="P26" i="7"/>
  <c r="R31" i="7" s="1"/>
  <c r="AE12" i="8"/>
  <c r="AC12" i="8"/>
  <c r="AD18" i="8"/>
  <c r="AC18" i="8"/>
  <c r="S12" i="8"/>
  <c r="T12" i="8"/>
  <c r="AC5" i="8"/>
  <c r="AC20" i="8" s="1"/>
  <c r="R25" i="8"/>
  <c r="P25" i="8"/>
  <c r="R30" i="8" s="1"/>
  <c r="T11" i="7"/>
  <c r="S11" i="7"/>
  <c r="U10" i="7" s="1"/>
  <c r="AC11" i="7"/>
  <c r="AD5" i="7"/>
  <c r="AD20" i="7" s="1"/>
  <c r="AD21" i="7" s="1"/>
  <c r="AC5" i="7"/>
  <c r="AC20" i="7" s="1"/>
  <c r="S19" i="7"/>
  <c r="U17" i="7" s="1"/>
  <c r="T19" i="7"/>
  <c r="Y18" i="4"/>
  <c r="AA18" i="4" s="1"/>
  <c r="AB18" i="4" s="1"/>
  <c r="O18" i="4"/>
  <c r="Q18" i="4" s="1"/>
  <c r="R18" i="4" s="1"/>
  <c r="Y6" i="4"/>
  <c r="AA6" i="4" s="1"/>
  <c r="AB6" i="4" s="1"/>
  <c r="O6" i="4"/>
  <c r="Q6" i="4" s="1"/>
  <c r="R6" i="4" s="1"/>
  <c r="Y15" i="4"/>
  <c r="AA15" i="4" s="1"/>
  <c r="AB15" i="4" s="1"/>
  <c r="O15" i="4"/>
  <c r="Q15" i="4" s="1"/>
  <c r="R15" i="4" s="1"/>
  <c r="N44" i="7"/>
  <c r="P44" i="7" s="1"/>
  <c r="N40" i="7"/>
  <c r="P40" i="7" s="1"/>
  <c r="N39" i="7"/>
  <c r="N43" i="7"/>
  <c r="P43" i="7" s="1"/>
  <c r="N41" i="7"/>
  <c r="P41" i="7" s="1"/>
  <c r="N42" i="7"/>
  <c r="P42" i="7" s="1"/>
  <c r="U9" i="5"/>
  <c r="AC12" i="6"/>
  <c r="S12" i="6"/>
  <c r="S14" i="6"/>
  <c r="T11" i="6" s="1"/>
  <c r="T14" i="6"/>
  <c r="AC14" i="6"/>
  <c r="R40" i="5"/>
  <c r="S9" i="4"/>
  <c r="AD7" i="8"/>
  <c r="AC7" i="8"/>
  <c r="AE5" i="8" s="1"/>
  <c r="AE20" i="8" s="1"/>
  <c r="L40" i="8" s="1"/>
  <c r="AE17" i="7"/>
  <c r="AC17" i="7"/>
  <c r="AE16" i="7" s="1"/>
  <c r="AD10" i="7"/>
  <c r="AC10" i="7"/>
  <c r="L39" i="5"/>
  <c r="AF20" i="5"/>
  <c r="L42" i="5" s="1"/>
  <c r="Y8" i="4"/>
  <c r="AA8" i="4" s="1"/>
  <c r="AB8" i="4" s="1"/>
  <c r="O8" i="4"/>
  <c r="Q8" i="4" s="1"/>
  <c r="R8" i="4" s="1"/>
  <c r="S5" i="6"/>
  <c r="U6" i="6" s="1"/>
  <c r="T5" i="6"/>
  <c r="R48" i="5"/>
  <c r="R46" i="5"/>
  <c r="R45" i="5"/>
  <c r="R44" i="5"/>
  <c r="R47" i="5"/>
  <c r="R49" i="5"/>
  <c r="R33" i="6"/>
  <c r="N44" i="6"/>
  <c r="P44" i="6" s="1"/>
  <c r="N40" i="6"/>
  <c r="P40" i="6" s="1"/>
  <c r="N43" i="6"/>
  <c r="P43" i="6" s="1"/>
  <c r="N41" i="6"/>
  <c r="P41" i="6" s="1"/>
  <c r="N42" i="6"/>
  <c r="P42" i="6" s="1"/>
  <c r="N39" i="6"/>
  <c r="T5" i="8"/>
  <c r="T20" i="8" s="1"/>
  <c r="L25" i="8" s="1"/>
  <c r="S5" i="8"/>
  <c r="S20" i="8" s="1"/>
  <c r="AE11" i="8"/>
  <c r="AD11" i="8"/>
  <c r="AC11" i="8"/>
  <c r="AC17" i="8"/>
  <c r="AE16" i="8" s="1"/>
  <c r="AD17" i="8"/>
  <c r="R31" i="8"/>
  <c r="AD8" i="7"/>
  <c r="AC8" i="7"/>
  <c r="AC15" i="7"/>
  <c r="AE13" i="7" s="1"/>
  <c r="S5" i="7"/>
  <c r="S20" i="7" s="1"/>
  <c r="Y10" i="4"/>
  <c r="AA10" i="4" s="1"/>
  <c r="AB10" i="4" s="1"/>
  <c r="O10" i="4"/>
  <c r="Q10" i="4" s="1"/>
  <c r="R10" i="4" s="1"/>
  <c r="O7" i="4"/>
  <c r="Q7" i="4" s="1"/>
  <c r="R7" i="4" s="1"/>
  <c r="Y7" i="4"/>
  <c r="AA7" i="4" s="1"/>
  <c r="AB7" i="4" s="1"/>
  <c r="P25" i="5"/>
  <c r="N23" i="5"/>
  <c r="U6" i="5"/>
  <c r="AC6" i="6"/>
  <c r="AD12" i="6" s="1"/>
  <c r="AC9" i="6"/>
  <c r="AE7" i="6" s="1"/>
  <c r="AC16" i="6"/>
  <c r="AE15" i="6" s="1"/>
  <c r="S18" i="6"/>
  <c r="T18" i="6"/>
  <c r="T15" i="8"/>
  <c r="S15" i="8"/>
  <c r="U14" i="8" s="1"/>
  <c r="R42" i="4"/>
  <c r="AC8" i="6"/>
  <c r="AE6" i="6" s="1"/>
  <c r="R32" i="6"/>
  <c r="T23" i="6"/>
  <c r="AD19" i="8"/>
  <c r="AC19" i="8"/>
  <c r="AE17" i="8" s="1"/>
  <c r="AD10" i="8"/>
  <c r="AC10" i="8"/>
  <c r="AE7" i="8" s="1"/>
  <c r="AD13" i="7"/>
  <c r="AC13" i="7"/>
  <c r="AE12" i="7" s="1"/>
  <c r="U16" i="6"/>
  <c r="T16" i="6"/>
  <c r="S16" i="6"/>
  <c r="U15" i="6" s="1"/>
  <c r="S17" i="6"/>
  <c r="T17" i="6"/>
  <c r="U7" i="5"/>
  <c r="P26" i="6"/>
  <c r="R31" i="6" s="1"/>
  <c r="N42" i="8"/>
  <c r="P42" i="8" s="1"/>
  <c r="N40" i="8"/>
  <c r="P40" i="8" s="1"/>
  <c r="N38" i="8"/>
  <c r="N43" i="8"/>
  <c r="P43" i="8" s="1"/>
  <c r="N41" i="8"/>
  <c r="P41" i="8" s="1"/>
  <c r="N39" i="8"/>
  <c r="P39" i="8" s="1"/>
  <c r="N23" i="7"/>
  <c r="P25" i="7"/>
  <c r="AC6" i="8"/>
  <c r="AD5" i="8" s="1"/>
  <c r="AD20" i="8" s="1"/>
  <c r="L39" i="8" s="1"/>
  <c r="AC13" i="8"/>
  <c r="AE10" i="8" s="1"/>
  <c r="U18" i="8"/>
  <c r="S18" i="8"/>
  <c r="P24" i="8"/>
  <c r="N22" i="8"/>
  <c r="AD9" i="7"/>
  <c r="AC9" i="7"/>
  <c r="AE7" i="7" s="1"/>
  <c r="U14" i="7"/>
  <c r="S14" i="7"/>
  <c r="U13" i="7" s="1"/>
  <c r="AC7" i="7"/>
  <c r="AE5" i="7" s="1"/>
  <c r="AE20" i="7" s="1"/>
  <c r="AE21" i="7" s="1"/>
  <c r="L41" i="7" s="1"/>
  <c r="AD7" i="7"/>
  <c r="Y14" i="4"/>
  <c r="AA14" i="4" s="1"/>
  <c r="AB14" i="4" s="1"/>
  <c r="O14" i="4"/>
  <c r="Q14" i="4" s="1"/>
  <c r="R14" i="4" s="1"/>
  <c r="P25" i="4"/>
  <c r="R26" i="4" s="1"/>
  <c r="N23" i="4"/>
  <c r="R32" i="5"/>
  <c r="AC13" i="6"/>
  <c r="AE9" i="6" s="1"/>
  <c r="S11" i="6"/>
  <c r="U7" i="6" s="1"/>
  <c r="U11" i="6"/>
  <c r="AD18" i="6"/>
  <c r="AC18" i="6"/>
  <c r="S19" i="6"/>
  <c r="U17" i="6" s="1"/>
  <c r="T19" i="6"/>
  <c r="N37" i="5"/>
  <c r="P39" i="5"/>
  <c r="R43" i="5" s="1"/>
  <c r="U10" i="5"/>
  <c r="R26" i="9" l="1"/>
  <c r="Y17" i="9"/>
  <c r="AA17" i="9" s="1"/>
  <c r="AB17" i="9" s="1"/>
  <c r="O17" i="9"/>
  <c r="Q17" i="9" s="1"/>
  <c r="R17" i="9" s="1"/>
  <c r="O18" i="9"/>
  <c r="Q18" i="9" s="1"/>
  <c r="R18" i="9" s="1"/>
  <c r="Y18" i="9"/>
  <c r="AA18" i="9" s="1"/>
  <c r="AB18" i="9" s="1"/>
  <c r="O15" i="9"/>
  <c r="Q15" i="9" s="1"/>
  <c r="R15" i="9" s="1"/>
  <c r="Y15" i="9"/>
  <c r="AA15" i="9" s="1"/>
  <c r="AB15" i="9" s="1"/>
  <c r="Y11" i="9"/>
  <c r="AA11" i="9" s="1"/>
  <c r="AB11" i="9" s="1"/>
  <c r="O11" i="9"/>
  <c r="Q11" i="9" s="1"/>
  <c r="R11" i="9" s="1"/>
  <c r="P39" i="9"/>
  <c r="R42" i="9" s="1"/>
  <c r="N37" i="9"/>
  <c r="O12" i="9"/>
  <c r="Q12" i="9" s="1"/>
  <c r="R12" i="9" s="1"/>
  <c r="Y12" i="9"/>
  <c r="AA12" i="9" s="1"/>
  <c r="AB12" i="9" s="1"/>
  <c r="R47" i="9"/>
  <c r="R49" i="9"/>
  <c r="R48" i="9"/>
  <c r="R46" i="9"/>
  <c r="R45" i="9"/>
  <c r="Y19" i="9"/>
  <c r="AA19" i="9" s="1"/>
  <c r="AB19" i="9" s="1"/>
  <c r="O19" i="9"/>
  <c r="Q19" i="9" s="1"/>
  <c r="R19" i="9" s="1"/>
  <c r="Y16" i="9"/>
  <c r="AA16" i="9" s="1"/>
  <c r="AB16" i="9" s="1"/>
  <c r="O16" i="9"/>
  <c r="Q16" i="9" s="1"/>
  <c r="R16" i="9" s="1"/>
  <c r="R25" i="9"/>
  <c r="P23" i="9"/>
  <c r="R30" i="9"/>
  <c r="R29" i="9"/>
  <c r="R27" i="9"/>
  <c r="R28" i="9"/>
  <c r="R43" i="9"/>
  <c r="O14" i="9"/>
  <c r="Q14" i="9" s="1"/>
  <c r="R14" i="9" s="1"/>
  <c r="Y14" i="9"/>
  <c r="AA14" i="9" s="1"/>
  <c r="AB14" i="9" s="1"/>
  <c r="Y10" i="9"/>
  <c r="AA10" i="9" s="1"/>
  <c r="AB10" i="9" s="1"/>
  <c r="O10" i="9"/>
  <c r="Q10" i="9" s="1"/>
  <c r="R10" i="9" s="1"/>
  <c r="AC13" i="9"/>
  <c r="O9" i="9"/>
  <c r="Q9" i="9" s="1"/>
  <c r="R9" i="9" s="1"/>
  <c r="Y9" i="9"/>
  <c r="AA9" i="9" s="1"/>
  <c r="AB9" i="9" s="1"/>
  <c r="R41" i="9"/>
  <c r="AI3" i="9"/>
  <c r="Y5" i="9"/>
  <c r="AA5" i="9" s="1"/>
  <c r="AB5" i="9" s="1"/>
  <c r="O5" i="9"/>
  <c r="Q5" i="9" s="1"/>
  <c r="R5" i="9" s="1"/>
  <c r="Y8" i="9"/>
  <c r="AA8" i="9" s="1"/>
  <c r="AB8" i="9" s="1"/>
  <c r="O8" i="9"/>
  <c r="Q8" i="9" s="1"/>
  <c r="R8" i="9" s="1"/>
  <c r="O6" i="9"/>
  <c r="Q6" i="9" s="1"/>
  <c r="R6" i="9" s="1"/>
  <c r="Y6" i="9"/>
  <c r="AA6" i="9" s="1"/>
  <c r="AB6" i="9" s="1"/>
  <c r="Y7" i="9"/>
  <c r="AA7" i="9" s="1"/>
  <c r="AB7" i="9" s="1"/>
  <c r="O7" i="9"/>
  <c r="Q7" i="9" s="1"/>
  <c r="R7" i="9" s="1"/>
  <c r="S13" i="9"/>
  <c r="L26" i="7"/>
  <c r="S14" i="4"/>
  <c r="U13" i="4" s="1"/>
  <c r="N36" i="8"/>
  <c r="P38" i="8"/>
  <c r="AE12" i="6"/>
  <c r="R40" i="8"/>
  <c r="AE8" i="7"/>
  <c r="L24" i="8"/>
  <c r="V20" i="8"/>
  <c r="L27" i="8" s="1"/>
  <c r="S15" i="4"/>
  <c r="R27" i="6"/>
  <c r="R25" i="6"/>
  <c r="R28" i="6"/>
  <c r="R30" i="6"/>
  <c r="P23" i="6"/>
  <c r="R29" i="6"/>
  <c r="U10" i="6"/>
  <c r="AD17" i="6"/>
  <c r="AE14" i="7"/>
  <c r="AD19" i="6"/>
  <c r="AD15" i="6"/>
  <c r="U16" i="7"/>
  <c r="R40" i="4"/>
  <c r="AE9" i="7"/>
  <c r="AE13" i="8"/>
  <c r="R42" i="5"/>
  <c r="V20" i="7"/>
  <c r="V21" i="7" s="1"/>
  <c r="L28" i="7" s="1"/>
  <c r="U5" i="8"/>
  <c r="U20" i="8" s="1"/>
  <c r="L26" i="8" s="1"/>
  <c r="R49" i="6"/>
  <c r="R47" i="6"/>
  <c r="R44" i="6"/>
  <c r="R46" i="6"/>
  <c r="R45" i="6"/>
  <c r="R48" i="6"/>
  <c r="R42" i="7"/>
  <c r="AF20" i="7"/>
  <c r="AF21" i="7" s="1"/>
  <c r="L42" i="7" s="1"/>
  <c r="T17" i="7"/>
  <c r="AE9" i="8"/>
  <c r="AC20" i="6"/>
  <c r="AE18" i="7"/>
  <c r="AD7" i="6"/>
  <c r="AC16" i="4"/>
  <c r="T18" i="7"/>
  <c r="T9" i="8"/>
  <c r="AC5" i="4"/>
  <c r="R30" i="5"/>
  <c r="R29" i="5"/>
  <c r="R28" i="5"/>
  <c r="R27" i="5"/>
  <c r="P23" i="5"/>
  <c r="R25" i="5"/>
  <c r="U16" i="8"/>
  <c r="L23" i="5"/>
  <c r="T8" i="8"/>
  <c r="T7" i="8"/>
  <c r="U9" i="8"/>
  <c r="AD13" i="6"/>
  <c r="R24" i="8"/>
  <c r="R26" i="8"/>
  <c r="P22" i="8"/>
  <c r="R27" i="8"/>
  <c r="V27" i="8" s="1"/>
  <c r="R29" i="8"/>
  <c r="R28" i="8"/>
  <c r="AD6" i="8"/>
  <c r="R39" i="8"/>
  <c r="U18" i="6"/>
  <c r="S7" i="4"/>
  <c r="U5" i="4" s="1"/>
  <c r="AD15" i="7"/>
  <c r="S20" i="6"/>
  <c r="AE10" i="7"/>
  <c r="AD14" i="6"/>
  <c r="U12" i="6"/>
  <c r="AC6" i="4"/>
  <c r="AE14" i="4" s="1"/>
  <c r="AD11" i="7"/>
  <c r="L38" i="8"/>
  <c r="AF20" i="8"/>
  <c r="L41" i="8" s="1"/>
  <c r="AE18" i="8"/>
  <c r="AC11" i="4"/>
  <c r="AE7" i="4" s="1"/>
  <c r="T16" i="8"/>
  <c r="U8" i="8"/>
  <c r="AE5" i="6"/>
  <c r="AD19" i="7"/>
  <c r="AD16" i="7"/>
  <c r="AE8" i="8"/>
  <c r="U6" i="8"/>
  <c r="AC8" i="4"/>
  <c r="AE6" i="4" s="1"/>
  <c r="T12" i="6"/>
  <c r="L40" i="7"/>
  <c r="AE11" i="6"/>
  <c r="T6" i="6"/>
  <c r="AD5" i="6"/>
  <c r="AD20" i="6" s="1"/>
  <c r="AD21" i="6" s="1"/>
  <c r="T14" i="8"/>
  <c r="AE18" i="6"/>
  <c r="AE13" i="6"/>
  <c r="T18" i="8"/>
  <c r="AE6" i="8"/>
  <c r="R41" i="8"/>
  <c r="R26" i="6"/>
  <c r="V26" i="6" s="1"/>
  <c r="R43" i="4"/>
  <c r="S10" i="4"/>
  <c r="U7" i="4" s="1"/>
  <c r="P39" i="6"/>
  <c r="R41" i="6" s="1"/>
  <c r="N37" i="6"/>
  <c r="U5" i="6"/>
  <c r="U20" i="6" s="1"/>
  <c r="U21" i="6" s="1"/>
  <c r="L27" i="6" s="1"/>
  <c r="AE14" i="6"/>
  <c r="P39" i="7"/>
  <c r="N37" i="7"/>
  <c r="S18" i="4"/>
  <c r="AD12" i="8"/>
  <c r="T7" i="6"/>
  <c r="S11" i="4"/>
  <c r="U10" i="4" s="1"/>
  <c r="T7" i="7"/>
  <c r="AD10" i="6"/>
  <c r="AD11" i="6"/>
  <c r="AC12" i="4"/>
  <c r="AE11" i="4" s="1"/>
  <c r="T9" i="7"/>
  <c r="S5" i="4"/>
  <c r="T11" i="4" s="1"/>
  <c r="U13" i="6"/>
  <c r="AD15" i="8"/>
  <c r="AC19" i="4"/>
  <c r="AE17" i="4" s="1"/>
  <c r="T12" i="7"/>
  <c r="AE17" i="6"/>
  <c r="AC7" i="4"/>
  <c r="AE5" i="4" s="1"/>
  <c r="S6" i="4"/>
  <c r="T5" i="4" s="1"/>
  <c r="T15" i="6"/>
  <c r="R27" i="4"/>
  <c r="R25" i="4"/>
  <c r="V26" i="4" s="1"/>
  <c r="R28" i="4"/>
  <c r="R30" i="4"/>
  <c r="P23" i="4"/>
  <c r="R29" i="4"/>
  <c r="P23" i="7"/>
  <c r="R30" i="7"/>
  <c r="R29" i="7"/>
  <c r="R28" i="7"/>
  <c r="V28" i="7" s="1"/>
  <c r="R27" i="7"/>
  <c r="R25" i="7"/>
  <c r="R47" i="8"/>
  <c r="R43" i="8"/>
  <c r="R48" i="8"/>
  <c r="R45" i="8"/>
  <c r="R46" i="8"/>
  <c r="R44" i="8"/>
  <c r="U15" i="8"/>
  <c r="AD6" i="6"/>
  <c r="AC10" i="4"/>
  <c r="R42" i="6"/>
  <c r="S8" i="4"/>
  <c r="R40" i="7"/>
  <c r="AC18" i="4"/>
  <c r="AE18" i="4"/>
  <c r="AD6" i="7"/>
  <c r="AE14" i="8"/>
  <c r="S12" i="4"/>
  <c r="U9" i="7"/>
  <c r="T8" i="6"/>
  <c r="R26" i="5"/>
  <c r="T13" i="6"/>
  <c r="T10" i="7"/>
  <c r="T19" i="4"/>
  <c r="S19" i="4"/>
  <c r="U17" i="4" s="1"/>
  <c r="T6" i="8"/>
  <c r="R49" i="7"/>
  <c r="R48" i="7"/>
  <c r="R47" i="7"/>
  <c r="R44" i="7"/>
  <c r="R45" i="7"/>
  <c r="R46" i="7"/>
  <c r="AC14" i="4"/>
  <c r="AD8" i="6"/>
  <c r="U5" i="7"/>
  <c r="U20" i="7" s="1"/>
  <c r="U21" i="7" s="1"/>
  <c r="L27" i="7" s="1"/>
  <c r="R43" i="6"/>
  <c r="R39" i="4"/>
  <c r="V42" i="4" s="1"/>
  <c r="P37" i="4"/>
  <c r="T9" i="6"/>
  <c r="P37" i="5"/>
  <c r="R39" i="5"/>
  <c r="V40" i="5" s="1"/>
  <c r="R42" i="8"/>
  <c r="AE8" i="6"/>
  <c r="R40" i="6"/>
  <c r="L37" i="5"/>
  <c r="U14" i="6"/>
  <c r="AC15" i="4"/>
  <c r="U11" i="7"/>
  <c r="R26" i="7"/>
  <c r="V26" i="7" s="1"/>
  <c r="T10" i="6"/>
  <c r="T20" i="6" s="1"/>
  <c r="T21" i="6" s="1"/>
  <c r="AD12" i="7"/>
  <c r="U6" i="7"/>
  <c r="T19" i="8"/>
  <c r="U7" i="8"/>
  <c r="AD18" i="7"/>
  <c r="S16" i="4"/>
  <c r="T15" i="7"/>
  <c r="T11" i="8"/>
  <c r="R44" i="9" l="1"/>
  <c r="V28" i="9"/>
  <c r="AE27" i="9" s="1"/>
  <c r="R40" i="9"/>
  <c r="V27" i="9"/>
  <c r="AC26" i="9" s="1"/>
  <c r="S18" i="9"/>
  <c r="AC15" i="9"/>
  <c r="S8" i="9"/>
  <c r="S15" i="9"/>
  <c r="AC19" i="9"/>
  <c r="S6" i="9"/>
  <c r="S9" i="9"/>
  <c r="AC16" i="9"/>
  <c r="AC8" i="9"/>
  <c r="S19" i="9"/>
  <c r="AC12" i="9"/>
  <c r="AC18" i="9"/>
  <c r="S7" i="9"/>
  <c r="AC10" i="9"/>
  <c r="R39" i="9"/>
  <c r="V40" i="9" s="1"/>
  <c r="P37" i="9"/>
  <c r="S17" i="9"/>
  <c r="S5" i="9"/>
  <c r="S12" i="9"/>
  <c r="AC5" i="9"/>
  <c r="S10" i="9"/>
  <c r="AC7" i="9"/>
  <c r="AC14" i="9"/>
  <c r="V25" i="9"/>
  <c r="R23" i="9"/>
  <c r="V34" i="9"/>
  <c r="V33" i="9"/>
  <c r="V31" i="9"/>
  <c r="V29" i="9"/>
  <c r="V32" i="9"/>
  <c r="V30" i="9"/>
  <c r="S11" i="9"/>
  <c r="AC17" i="9"/>
  <c r="AC6" i="9"/>
  <c r="AC9" i="9"/>
  <c r="S14" i="9"/>
  <c r="S16" i="9"/>
  <c r="AC11" i="9"/>
  <c r="V26" i="9"/>
  <c r="AE42" i="4"/>
  <c r="AE41" i="4"/>
  <c r="AE39" i="4"/>
  <c r="AE40" i="4"/>
  <c r="AA40" i="5"/>
  <c r="AA39" i="5"/>
  <c r="AA37" i="5" s="1"/>
  <c r="L26" i="6"/>
  <c r="AA26" i="4"/>
  <c r="AA25" i="4"/>
  <c r="AA23" i="4" s="1"/>
  <c r="U14" i="4"/>
  <c r="AE13" i="4"/>
  <c r="T12" i="4"/>
  <c r="AD19" i="4"/>
  <c r="R22" i="8"/>
  <c r="V24" i="8"/>
  <c r="V31" i="8"/>
  <c r="V29" i="8"/>
  <c r="V30" i="8"/>
  <c r="V32" i="8"/>
  <c r="V28" i="8"/>
  <c r="V33" i="8"/>
  <c r="U16" i="4"/>
  <c r="V41" i="4"/>
  <c r="T8" i="4"/>
  <c r="R39" i="7"/>
  <c r="P37" i="7"/>
  <c r="V20" i="6"/>
  <c r="V21" i="6" s="1"/>
  <c r="L28" i="6" s="1"/>
  <c r="R41" i="7"/>
  <c r="V41" i="7" s="1"/>
  <c r="AC20" i="4"/>
  <c r="AD17" i="4"/>
  <c r="AD13" i="4"/>
  <c r="AD9" i="4"/>
  <c r="AE9" i="4"/>
  <c r="AE16" i="4"/>
  <c r="V25" i="6"/>
  <c r="R23" i="6"/>
  <c r="V34" i="6"/>
  <c r="V31" i="6"/>
  <c r="V29" i="6"/>
  <c r="V33" i="6"/>
  <c r="V32" i="6"/>
  <c r="V30" i="6"/>
  <c r="U11" i="4"/>
  <c r="AA26" i="6"/>
  <c r="AA25" i="6"/>
  <c r="AD18" i="4"/>
  <c r="AD7" i="4"/>
  <c r="S20" i="4"/>
  <c r="T17" i="4"/>
  <c r="T9" i="4"/>
  <c r="T13" i="4"/>
  <c r="AD12" i="4"/>
  <c r="AD6" i="4"/>
  <c r="V25" i="5"/>
  <c r="R23" i="5"/>
  <c r="V34" i="5"/>
  <c r="V30" i="5"/>
  <c r="V33" i="5"/>
  <c r="V29" i="5"/>
  <c r="V32" i="5"/>
  <c r="V31" i="5"/>
  <c r="V42" i="7"/>
  <c r="AA26" i="7"/>
  <c r="AA25" i="7"/>
  <c r="AA23" i="7" s="1"/>
  <c r="AD10" i="4"/>
  <c r="R23" i="7"/>
  <c r="V25" i="7"/>
  <c r="V33" i="7"/>
  <c r="V32" i="7"/>
  <c r="V34" i="7"/>
  <c r="V31" i="7"/>
  <c r="V30" i="7"/>
  <c r="V29" i="7"/>
  <c r="AE12" i="4"/>
  <c r="AD11" i="4"/>
  <c r="T7" i="4"/>
  <c r="V40" i="4"/>
  <c r="T15" i="4"/>
  <c r="T14" i="4"/>
  <c r="L40" i="6"/>
  <c r="AD5" i="4"/>
  <c r="V27" i="6"/>
  <c r="AE10" i="4"/>
  <c r="AE20" i="4" s="1"/>
  <c r="L41" i="4" s="1"/>
  <c r="V41" i="8"/>
  <c r="AE24" i="8"/>
  <c r="AE22" i="8" s="1"/>
  <c r="AE26" i="8"/>
  <c r="AE25" i="8"/>
  <c r="AE27" i="8"/>
  <c r="U15" i="4"/>
  <c r="R37" i="5"/>
  <c r="V39" i="5"/>
  <c r="V47" i="5"/>
  <c r="V46" i="5"/>
  <c r="V45" i="5"/>
  <c r="V43" i="5"/>
  <c r="V44" i="5"/>
  <c r="V48" i="5"/>
  <c r="V40" i="7"/>
  <c r="V27" i="7"/>
  <c r="V28" i="4"/>
  <c r="R39" i="6"/>
  <c r="V42" i="6" s="1"/>
  <c r="P37" i="6"/>
  <c r="V41" i="5"/>
  <c r="AD8" i="4"/>
  <c r="R43" i="7"/>
  <c r="V26" i="8"/>
  <c r="V27" i="5"/>
  <c r="AE28" i="7"/>
  <c r="AE26" i="7"/>
  <c r="AE27" i="7"/>
  <c r="AE25" i="7"/>
  <c r="AE23" i="7" s="1"/>
  <c r="T18" i="4"/>
  <c r="AE8" i="4"/>
  <c r="V28" i="5"/>
  <c r="S21" i="7"/>
  <c r="L25" i="7" s="1"/>
  <c r="AD14" i="4"/>
  <c r="V26" i="5"/>
  <c r="U12" i="4"/>
  <c r="U8" i="4"/>
  <c r="V27" i="4"/>
  <c r="T6" i="4"/>
  <c r="T20" i="4" s="1"/>
  <c r="L26" i="4" s="1"/>
  <c r="U18" i="4"/>
  <c r="T10" i="4"/>
  <c r="V39" i="8"/>
  <c r="V42" i="5"/>
  <c r="L22" i="8"/>
  <c r="V40" i="6"/>
  <c r="AE15" i="4"/>
  <c r="V39" i="4"/>
  <c r="R37" i="4"/>
  <c r="V48" i="4"/>
  <c r="V43" i="4"/>
  <c r="V47" i="4"/>
  <c r="V46" i="4"/>
  <c r="V45" i="4"/>
  <c r="V44" i="4"/>
  <c r="U9" i="4"/>
  <c r="V25" i="4"/>
  <c r="R23" i="4"/>
  <c r="V34" i="4"/>
  <c r="V31" i="4"/>
  <c r="V33" i="4"/>
  <c r="V29" i="4"/>
  <c r="V30" i="4"/>
  <c r="V32" i="4"/>
  <c r="AC21" i="7"/>
  <c r="L39" i="7" s="1"/>
  <c r="T16" i="4"/>
  <c r="AD15" i="4"/>
  <c r="U6" i="4"/>
  <c r="U20" i="4" s="1"/>
  <c r="L27" i="4" s="1"/>
  <c r="AE20" i="6"/>
  <c r="AE21" i="6" s="1"/>
  <c r="L41" i="6" s="1"/>
  <c r="L36" i="8"/>
  <c r="V25" i="8"/>
  <c r="AD16" i="4"/>
  <c r="V28" i="6"/>
  <c r="P36" i="8"/>
  <c r="R38" i="8"/>
  <c r="V40" i="8" s="1"/>
  <c r="AC27" i="9" l="1"/>
  <c r="AC25" i="9"/>
  <c r="AD10" i="9"/>
  <c r="V42" i="9"/>
  <c r="AE40" i="9" s="1"/>
  <c r="U15" i="9"/>
  <c r="AD17" i="9"/>
  <c r="U18" i="9"/>
  <c r="AE28" i="9"/>
  <c r="AE26" i="9"/>
  <c r="AE25" i="9"/>
  <c r="AE10" i="9"/>
  <c r="U10" i="9"/>
  <c r="AE8" i="9"/>
  <c r="AE14" i="9"/>
  <c r="AD9" i="9"/>
  <c r="T14" i="9"/>
  <c r="V41" i="9"/>
  <c r="AC39" i="9" s="1"/>
  <c r="U16" i="9"/>
  <c r="AE5" i="9"/>
  <c r="U14" i="9"/>
  <c r="AE16" i="9"/>
  <c r="AD5" i="9"/>
  <c r="AE11" i="9"/>
  <c r="T5" i="9"/>
  <c r="AA40" i="9"/>
  <c r="AA39" i="9"/>
  <c r="AK30" i="9"/>
  <c r="AK29" i="9"/>
  <c r="AK28" i="9"/>
  <c r="AK31" i="9"/>
  <c r="AK27" i="9"/>
  <c r="AK25" i="9"/>
  <c r="AK26" i="9"/>
  <c r="U5" i="9"/>
  <c r="T9" i="9"/>
  <c r="AD11" i="9"/>
  <c r="AE9" i="9"/>
  <c r="AE17" i="9"/>
  <c r="AO31" i="9"/>
  <c r="AO26" i="9"/>
  <c r="AO30" i="9"/>
  <c r="AO25" i="9"/>
  <c r="AO32" i="9"/>
  <c r="AO28" i="9"/>
  <c r="AO27" i="9"/>
  <c r="AO33" i="9"/>
  <c r="AO29" i="9"/>
  <c r="AC20" i="9"/>
  <c r="AD13" i="9"/>
  <c r="U17" i="9"/>
  <c r="AD12" i="9"/>
  <c r="U8" i="9"/>
  <c r="T11" i="9"/>
  <c r="AD7" i="9"/>
  <c r="T7" i="9"/>
  <c r="AE12" i="9"/>
  <c r="AD8" i="9"/>
  <c r="T16" i="9"/>
  <c r="U11" i="9"/>
  <c r="AE7" i="9"/>
  <c r="AE39" i="9"/>
  <c r="AE41" i="9"/>
  <c r="T19" i="9"/>
  <c r="T6" i="9"/>
  <c r="AD15" i="9"/>
  <c r="T8" i="9"/>
  <c r="U6" i="9"/>
  <c r="AD6" i="9"/>
  <c r="AI26" i="9"/>
  <c r="AI27" i="9"/>
  <c r="AI25" i="9"/>
  <c r="AI30" i="9"/>
  <c r="AI28" i="9"/>
  <c r="AI29" i="9"/>
  <c r="V23" i="9"/>
  <c r="V35" i="9" s="1"/>
  <c r="V22" i="9" s="1"/>
  <c r="Y25" i="9"/>
  <c r="T10" i="9"/>
  <c r="U12" i="9"/>
  <c r="R37" i="9"/>
  <c r="V39" i="9"/>
  <c r="V43" i="9"/>
  <c r="V48" i="9"/>
  <c r="V46" i="9"/>
  <c r="V45" i="9"/>
  <c r="V44" i="9"/>
  <c r="V47" i="9"/>
  <c r="AD19" i="9"/>
  <c r="AE13" i="9"/>
  <c r="AQ26" i="9"/>
  <c r="AQ25" i="9"/>
  <c r="AQ34" i="9"/>
  <c r="AQ29" i="9"/>
  <c r="AQ32" i="9"/>
  <c r="AQ33" i="9"/>
  <c r="AQ31" i="9"/>
  <c r="AQ28" i="9"/>
  <c r="AQ30" i="9"/>
  <c r="AQ27" i="9"/>
  <c r="T12" i="9"/>
  <c r="T17" i="9"/>
  <c r="U7" i="9"/>
  <c r="AE15" i="9"/>
  <c r="U13" i="9"/>
  <c r="AE6" i="9"/>
  <c r="AM32" i="9"/>
  <c r="AM30" i="9"/>
  <c r="AM31" i="9"/>
  <c r="AM28" i="9"/>
  <c r="AM29" i="9"/>
  <c r="AM27" i="9"/>
  <c r="AM25" i="9"/>
  <c r="AM26" i="9"/>
  <c r="S20" i="9"/>
  <c r="T13" i="9"/>
  <c r="AD18" i="9"/>
  <c r="AD16" i="9"/>
  <c r="AA26" i="9"/>
  <c r="AA25" i="9"/>
  <c r="AG25" i="9"/>
  <c r="AG29" i="9"/>
  <c r="AG27" i="9"/>
  <c r="AG28" i="9"/>
  <c r="AG26" i="9"/>
  <c r="AD14" i="9"/>
  <c r="AE18" i="9"/>
  <c r="U9" i="9"/>
  <c r="T15" i="9"/>
  <c r="T18" i="9"/>
  <c r="AC39" i="8"/>
  <c r="AC40" i="8"/>
  <c r="AC38" i="8"/>
  <c r="AC36" i="8" s="1"/>
  <c r="AE42" i="6"/>
  <c r="AE41" i="6"/>
  <c r="AE39" i="6"/>
  <c r="AE40" i="6"/>
  <c r="AE27" i="4"/>
  <c r="AE26" i="4"/>
  <c r="AE28" i="4"/>
  <c r="AE25" i="4"/>
  <c r="AE23" i="4" s="1"/>
  <c r="AD20" i="4"/>
  <c r="L40" i="4" s="1"/>
  <c r="AE39" i="7"/>
  <c r="AE37" i="7" s="1"/>
  <c r="AE40" i="7"/>
  <c r="AE42" i="7"/>
  <c r="AE41" i="7"/>
  <c r="AK30" i="6"/>
  <c r="AK26" i="6"/>
  <c r="AK29" i="6"/>
  <c r="AK28" i="6"/>
  <c r="AK27" i="6"/>
  <c r="AK25" i="6"/>
  <c r="AK31" i="6"/>
  <c r="L23" i="7"/>
  <c r="AF20" i="6"/>
  <c r="AF21" i="6" s="1"/>
  <c r="L42" i="6" s="1"/>
  <c r="AO42" i="5"/>
  <c r="AO41" i="5"/>
  <c r="AO40" i="5"/>
  <c r="AO46" i="5"/>
  <c r="AO39" i="5"/>
  <c r="AO37" i="5" s="1"/>
  <c r="AO44" i="5"/>
  <c r="AO47" i="5"/>
  <c r="AO43" i="5"/>
  <c r="AO45" i="5"/>
  <c r="AC25" i="6"/>
  <c r="AC23" i="6" s="1"/>
  <c r="AC26" i="6"/>
  <c r="AC27" i="6"/>
  <c r="AM32" i="5"/>
  <c r="AM29" i="5"/>
  <c r="AM25" i="5"/>
  <c r="AM23" i="5" s="1"/>
  <c r="AM31" i="5"/>
  <c r="AM28" i="5"/>
  <c r="AM26" i="5"/>
  <c r="AM27" i="5"/>
  <c r="AM30" i="5"/>
  <c r="AE28" i="6"/>
  <c r="AE25" i="6"/>
  <c r="AE23" i="6" s="1"/>
  <c r="AE26" i="6"/>
  <c r="AE27" i="6"/>
  <c r="AA25" i="8"/>
  <c r="AA24" i="8"/>
  <c r="AA22" i="8" s="1"/>
  <c r="AK31" i="4"/>
  <c r="AK28" i="4"/>
  <c r="AK26" i="4"/>
  <c r="AK29" i="4"/>
  <c r="AK27" i="4"/>
  <c r="AK25" i="4"/>
  <c r="AK30" i="4"/>
  <c r="AM43" i="4"/>
  <c r="AM40" i="4"/>
  <c r="AM39" i="4"/>
  <c r="AM46" i="4"/>
  <c r="AM41" i="4"/>
  <c r="AM42" i="4"/>
  <c r="AM45" i="4"/>
  <c r="AM44" i="4"/>
  <c r="AE28" i="5"/>
  <c r="AE26" i="5"/>
  <c r="AE27" i="5"/>
  <c r="AE25" i="5"/>
  <c r="AE23" i="5" s="1"/>
  <c r="AQ44" i="5"/>
  <c r="AQ45" i="5"/>
  <c r="AQ42" i="5"/>
  <c r="AQ41" i="5"/>
  <c r="AQ48" i="5"/>
  <c r="AQ40" i="5"/>
  <c r="AQ39" i="5"/>
  <c r="AQ37" i="5" s="1"/>
  <c r="AQ46" i="5"/>
  <c r="AQ47" i="5"/>
  <c r="AQ43" i="5"/>
  <c r="AA39" i="4"/>
  <c r="AA40" i="4"/>
  <c r="AO25" i="5"/>
  <c r="AO23" i="5" s="1"/>
  <c r="AO30" i="5"/>
  <c r="AO31" i="5"/>
  <c r="AO29" i="5"/>
  <c r="AO28" i="5"/>
  <c r="AO33" i="5"/>
  <c r="AO26" i="5"/>
  <c r="AO32" i="5"/>
  <c r="AO27" i="5"/>
  <c r="AA23" i="6"/>
  <c r="AG29" i="6"/>
  <c r="AG28" i="6"/>
  <c r="AG26" i="6"/>
  <c r="AG27" i="6"/>
  <c r="AG25" i="6"/>
  <c r="L39" i="4"/>
  <c r="AF20" i="4"/>
  <c r="L42" i="4" s="1"/>
  <c r="AK25" i="8"/>
  <c r="AK26" i="8"/>
  <c r="AK28" i="8"/>
  <c r="AK30" i="8"/>
  <c r="AK27" i="8"/>
  <c r="AK29" i="8"/>
  <c r="AK24" i="8"/>
  <c r="AK22" i="8" s="1"/>
  <c r="V41" i="6"/>
  <c r="AI41" i="5"/>
  <c r="AI42" i="5"/>
  <c r="AI40" i="5"/>
  <c r="AI39" i="5"/>
  <c r="AI37" i="5" s="1"/>
  <c r="AI43" i="5"/>
  <c r="AI44" i="5"/>
  <c r="AO29" i="7"/>
  <c r="AO26" i="7"/>
  <c r="AO28" i="7"/>
  <c r="AO27" i="7"/>
  <c r="AO33" i="7"/>
  <c r="AO25" i="7"/>
  <c r="AO23" i="7" s="1"/>
  <c r="AO32" i="7"/>
  <c r="AO31" i="7"/>
  <c r="AO30" i="7"/>
  <c r="AG43" i="4"/>
  <c r="AG40" i="4"/>
  <c r="AG41" i="4"/>
  <c r="AG42" i="4"/>
  <c r="AG39" i="4"/>
  <c r="Y25" i="7"/>
  <c r="V23" i="7"/>
  <c r="V35" i="7" s="1"/>
  <c r="V22" i="7"/>
  <c r="AM25" i="8"/>
  <c r="AM24" i="8"/>
  <c r="AM22" i="8" s="1"/>
  <c r="AM30" i="8"/>
  <c r="AM29" i="8"/>
  <c r="AM28" i="8"/>
  <c r="AM31" i="8"/>
  <c r="AM27" i="8"/>
  <c r="AM26" i="8"/>
  <c r="V23" i="4"/>
  <c r="V35" i="4" s="1"/>
  <c r="V22" i="4"/>
  <c r="Y25" i="4"/>
  <c r="AQ39" i="4"/>
  <c r="AQ41" i="4"/>
  <c r="AQ42" i="4"/>
  <c r="AQ43" i="4"/>
  <c r="AQ44" i="4"/>
  <c r="AQ48" i="4"/>
  <c r="AQ45" i="4"/>
  <c r="AQ40" i="4"/>
  <c r="AQ47" i="4"/>
  <c r="AQ46" i="4"/>
  <c r="AC41" i="5"/>
  <c r="AC40" i="5"/>
  <c r="AC39" i="5"/>
  <c r="AC37" i="5" s="1"/>
  <c r="AK40" i="5"/>
  <c r="AK41" i="5"/>
  <c r="AK39" i="5"/>
  <c r="AK37" i="5" s="1"/>
  <c r="AK45" i="5"/>
  <c r="AK43" i="5"/>
  <c r="AK42" i="5"/>
  <c r="AK44" i="5"/>
  <c r="AC21" i="6"/>
  <c r="L39" i="6" s="1"/>
  <c r="AG25" i="7"/>
  <c r="AG23" i="7" s="1"/>
  <c r="AG26" i="7"/>
  <c r="AG29" i="7"/>
  <c r="AG28" i="7"/>
  <c r="AG27" i="7"/>
  <c r="Y24" i="8"/>
  <c r="V21" i="8"/>
  <c r="V22" i="8"/>
  <c r="V34" i="8" s="1"/>
  <c r="S21" i="6"/>
  <c r="L25" i="6" s="1"/>
  <c r="AO43" i="4"/>
  <c r="AO40" i="4"/>
  <c r="AO47" i="4"/>
  <c r="AO46" i="4"/>
  <c r="AO41" i="4"/>
  <c r="AO42" i="4"/>
  <c r="AO44" i="4"/>
  <c r="AO45" i="4"/>
  <c r="AO39" i="4"/>
  <c r="AE41" i="8"/>
  <c r="AE40" i="8"/>
  <c r="AE39" i="8"/>
  <c r="AE38" i="8"/>
  <c r="AE36" i="8" s="1"/>
  <c r="AI29" i="5"/>
  <c r="AI28" i="5"/>
  <c r="AI27" i="5"/>
  <c r="AI25" i="5"/>
  <c r="AI23" i="5" s="1"/>
  <c r="AI30" i="5"/>
  <c r="AI26" i="5"/>
  <c r="AC39" i="4"/>
  <c r="AC37" i="4" s="1"/>
  <c r="AC40" i="4"/>
  <c r="AC41" i="4"/>
  <c r="AC27" i="7"/>
  <c r="AC26" i="7"/>
  <c r="AC25" i="7"/>
  <c r="AC23" i="7" s="1"/>
  <c r="AG41" i="5"/>
  <c r="AG39" i="5"/>
  <c r="AG37" i="5" s="1"/>
  <c r="AG42" i="5"/>
  <c r="AG40" i="5"/>
  <c r="AG43" i="5"/>
  <c r="AQ28" i="5"/>
  <c r="AQ25" i="5"/>
  <c r="AQ23" i="5" s="1"/>
  <c r="AQ31" i="5"/>
  <c r="AQ26" i="5"/>
  <c r="AQ34" i="5"/>
  <c r="AQ30" i="5"/>
  <c r="AQ33" i="5"/>
  <c r="AQ29" i="5"/>
  <c r="AQ27" i="5"/>
  <c r="AQ32" i="5"/>
  <c r="V20" i="4"/>
  <c r="L28" i="4" s="1"/>
  <c r="L25" i="4"/>
  <c r="AQ30" i="6"/>
  <c r="AQ25" i="6"/>
  <c r="AQ28" i="6"/>
  <c r="AQ31" i="6"/>
  <c r="AQ27" i="6"/>
  <c r="AQ26" i="6"/>
  <c r="AQ34" i="6"/>
  <c r="AQ33" i="6"/>
  <c r="AQ32" i="6"/>
  <c r="AQ29" i="6"/>
  <c r="AM30" i="4"/>
  <c r="AM26" i="4"/>
  <c r="AM29" i="4"/>
  <c r="AM32" i="4"/>
  <c r="AM27" i="4"/>
  <c r="AM28" i="4"/>
  <c r="AM31" i="4"/>
  <c r="AM25" i="4"/>
  <c r="AC25" i="4"/>
  <c r="AC26" i="4"/>
  <c r="AC27" i="4"/>
  <c r="AA40" i="7"/>
  <c r="AA39" i="7"/>
  <c r="AA37" i="7" s="1"/>
  <c r="AM43" i="5"/>
  <c r="AM42" i="5"/>
  <c r="AM41" i="5"/>
  <c r="AM40" i="5"/>
  <c r="AM39" i="5"/>
  <c r="AM37" i="5" s="1"/>
  <c r="AM46" i="5"/>
  <c r="AM45" i="5"/>
  <c r="AM44" i="5"/>
  <c r="AI25" i="7"/>
  <c r="AI23" i="7" s="1"/>
  <c r="AI28" i="7"/>
  <c r="AI26" i="7"/>
  <c r="AI30" i="7"/>
  <c r="AI27" i="7"/>
  <c r="AI29" i="7"/>
  <c r="AK26" i="5"/>
  <c r="AK29" i="5"/>
  <c r="AK28" i="5"/>
  <c r="AK25" i="5"/>
  <c r="AK23" i="5" s="1"/>
  <c r="AK30" i="5"/>
  <c r="AK31" i="5"/>
  <c r="AK27" i="5"/>
  <c r="Y25" i="5"/>
  <c r="V23" i="5"/>
  <c r="V35" i="5" s="1"/>
  <c r="V22" i="5"/>
  <c r="AI28" i="6"/>
  <c r="AI25" i="6"/>
  <c r="AI29" i="6"/>
  <c r="AI30" i="6"/>
  <c r="AI27" i="6"/>
  <c r="AI26" i="6"/>
  <c r="V23" i="6"/>
  <c r="V35" i="6" s="1"/>
  <c r="V22" i="6"/>
  <c r="Y25" i="6"/>
  <c r="AE37" i="4"/>
  <c r="AC41" i="7"/>
  <c r="AC40" i="7"/>
  <c r="AC39" i="7"/>
  <c r="AC37" i="7" s="1"/>
  <c r="AA38" i="8"/>
  <c r="AA36" i="8" s="1"/>
  <c r="AA39" i="8"/>
  <c r="AI29" i="4"/>
  <c r="AI28" i="4"/>
  <c r="AI30" i="4"/>
  <c r="AI25" i="4"/>
  <c r="AI26" i="4"/>
  <c r="AI27" i="4"/>
  <c r="AA40" i="6"/>
  <c r="AA39" i="6"/>
  <c r="AQ31" i="8"/>
  <c r="AQ25" i="8"/>
  <c r="AQ24" i="8"/>
  <c r="AQ22" i="8" s="1"/>
  <c r="AQ29" i="8"/>
  <c r="AQ28" i="8"/>
  <c r="AQ33" i="8"/>
  <c r="AQ30" i="8"/>
  <c r="AQ26" i="8"/>
  <c r="AQ27" i="8"/>
  <c r="AQ32" i="8"/>
  <c r="AI44" i="4"/>
  <c r="AI39" i="4"/>
  <c r="AI41" i="4"/>
  <c r="AI40" i="4"/>
  <c r="AI42" i="4"/>
  <c r="AI43" i="4"/>
  <c r="V37" i="4"/>
  <c r="V49" i="4" s="1"/>
  <c r="V36" i="4"/>
  <c r="Y39" i="4"/>
  <c r="AC25" i="5"/>
  <c r="AC23" i="5" s="1"/>
  <c r="AC27" i="5"/>
  <c r="AC26" i="5"/>
  <c r="V37" i="5"/>
  <c r="V49" i="5" s="1"/>
  <c r="Y39" i="5"/>
  <c r="V36" i="5"/>
  <c r="AQ30" i="7"/>
  <c r="AQ29" i="7"/>
  <c r="AQ28" i="7"/>
  <c r="AQ26" i="7"/>
  <c r="AQ27" i="7"/>
  <c r="AQ33" i="7"/>
  <c r="AQ25" i="7"/>
  <c r="AQ23" i="7" s="1"/>
  <c r="AQ32" i="7"/>
  <c r="AQ34" i="7"/>
  <c r="AQ31" i="7"/>
  <c r="AM30" i="6"/>
  <c r="AM29" i="6"/>
  <c r="AM31" i="6"/>
  <c r="AM28" i="6"/>
  <c r="AM25" i="6"/>
  <c r="AM27" i="6"/>
  <c r="AM32" i="6"/>
  <c r="AM26" i="6"/>
  <c r="AG27" i="8"/>
  <c r="AG25" i="8"/>
  <c r="AG24" i="8"/>
  <c r="AG22" i="8" s="1"/>
  <c r="AG28" i="8"/>
  <c r="AG26" i="8"/>
  <c r="AQ34" i="4"/>
  <c r="AQ33" i="4"/>
  <c r="AQ30" i="4"/>
  <c r="AQ28" i="4"/>
  <c r="AQ31" i="4"/>
  <c r="AQ29" i="4"/>
  <c r="AQ26" i="4"/>
  <c r="AQ32" i="4"/>
  <c r="AQ25" i="4"/>
  <c r="AQ27" i="4"/>
  <c r="AI27" i="8"/>
  <c r="AI28" i="8"/>
  <c r="AI29" i="8"/>
  <c r="AI26" i="8"/>
  <c r="AI25" i="8"/>
  <c r="AI24" i="8"/>
  <c r="AI22" i="8" s="1"/>
  <c r="L37" i="7"/>
  <c r="R36" i="8"/>
  <c r="V38" i="8"/>
  <c r="V43" i="8"/>
  <c r="V42" i="8"/>
  <c r="V46" i="8"/>
  <c r="V47" i="8"/>
  <c r="V45" i="8"/>
  <c r="V44" i="8"/>
  <c r="AE41" i="5"/>
  <c r="AE39" i="5"/>
  <c r="AE37" i="5" s="1"/>
  <c r="AE40" i="5"/>
  <c r="AE42" i="5"/>
  <c r="R37" i="6"/>
  <c r="V39" i="6"/>
  <c r="V46" i="6"/>
  <c r="V45" i="6"/>
  <c r="V43" i="6"/>
  <c r="V44" i="6"/>
  <c r="V48" i="6"/>
  <c r="V47" i="6"/>
  <c r="AK28" i="7"/>
  <c r="AK27" i="7"/>
  <c r="AK30" i="7"/>
  <c r="AK26" i="7"/>
  <c r="AK29" i="7"/>
  <c r="AK31" i="7"/>
  <c r="AK25" i="7"/>
  <c r="AK23" i="7" s="1"/>
  <c r="AG29" i="4"/>
  <c r="AG28" i="4"/>
  <c r="AG27" i="4"/>
  <c r="AG25" i="4"/>
  <c r="AG23" i="4" s="1"/>
  <c r="AG26" i="4"/>
  <c r="AO33" i="4"/>
  <c r="AO32" i="4"/>
  <c r="AO28" i="4"/>
  <c r="AO27" i="4"/>
  <c r="AO31" i="4"/>
  <c r="AO30" i="4"/>
  <c r="AO29" i="4"/>
  <c r="AO26" i="4"/>
  <c r="AO25" i="4"/>
  <c r="AO23" i="4" s="1"/>
  <c r="AK44" i="4"/>
  <c r="AK43" i="4"/>
  <c r="AK41" i="4"/>
  <c r="AK40" i="4"/>
  <c r="AK42" i="4"/>
  <c r="AK39" i="4"/>
  <c r="AK45" i="4"/>
  <c r="AA26" i="5"/>
  <c r="AA25" i="5"/>
  <c r="AA23" i="5" s="1"/>
  <c r="AC24" i="8"/>
  <c r="AC22" i="8" s="1"/>
  <c r="AC26" i="8"/>
  <c r="AC25" i="8"/>
  <c r="AM28" i="7"/>
  <c r="AM27" i="7"/>
  <c r="AM25" i="7"/>
  <c r="AM23" i="7" s="1"/>
  <c r="AM26" i="7"/>
  <c r="AM32" i="7"/>
  <c r="AM31" i="7"/>
  <c r="AM29" i="7"/>
  <c r="AM30" i="7"/>
  <c r="AG29" i="5"/>
  <c r="AG27" i="5"/>
  <c r="AG25" i="5"/>
  <c r="AG23" i="5" s="1"/>
  <c r="AG26" i="5"/>
  <c r="AG28" i="5"/>
  <c r="AO33" i="6"/>
  <c r="AO28" i="6"/>
  <c r="AO30" i="6"/>
  <c r="AO32" i="6"/>
  <c r="AO29" i="6"/>
  <c r="AO27" i="6"/>
  <c r="AO31" i="6"/>
  <c r="AO26" i="6"/>
  <c r="AO25" i="6"/>
  <c r="R37" i="7"/>
  <c r="V39" i="7"/>
  <c r="V46" i="7"/>
  <c r="V47" i="7"/>
  <c r="V48" i="7"/>
  <c r="V44" i="7"/>
  <c r="V43" i="7"/>
  <c r="V45" i="7"/>
  <c r="AO26" i="8"/>
  <c r="AO32" i="8"/>
  <c r="AO24" i="8"/>
  <c r="AO22" i="8" s="1"/>
  <c r="AO31" i="8"/>
  <c r="AO25" i="8"/>
  <c r="AO28" i="8"/>
  <c r="AO29" i="8"/>
  <c r="AO30" i="8"/>
  <c r="AO27" i="8"/>
  <c r="AC23" i="9" l="1"/>
  <c r="AE42" i="9"/>
  <c r="AE37" i="9" s="1"/>
  <c r="AE23" i="9"/>
  <c r="AE20" i="9"/>
  <c r="L41" i="9" s="1"/>
  <c r="AA37" i="9"/>
  <c r="AC41" i="9"/>
  <c r="AC40" i="9"/>
  <c r="AD20" i="9"/>
  <c r="L40" i="9" s="1"/>
  <c r="AA23" i="9"/>
  <c r="T20" i="9"/>
  <c r="L26" i="9" s="1"/>
  <c r="L25" i="9"/>
  <c r="AK41" i="9"/>
  <c r="AK42" i="9"/>
  <c r="AK45" i="9"/>
  <c r="AK39" i="9"/>
  <c r="AK43" i="9"/>
  <c r="AK40" i="9"/>
  <c r="AK44" i="9"/>
  <c r="AO41" i="9"/>
  <c r="AO40" i="9"/>
  <c r="AO46" i="9"/>
  <c r="AO39" i="9"/>
  <c r="AO45" i="9"/>
  <c r="AO44" i="9"/>
  <c r="AO47" i="9"/>
  <c r="AO43" i="9"/>
  <c r="AO42" i="9"/>
  <c r="AI39" i="9"/>
  <c r="AI43" i="9"/>
  <c r="AI41" i="9"/>
  <c r="AI42" i="9"/>
  <c r="AI44" i="9"/>
  <c r="AI40" i="9"/>
  <c r="AG23" i="9"/>
  <c r="AM23" i="9"/>
  <c r="AM39" i="9"/>
  <c r="AM45" i="9"/>
  <c r="AM46" i="9"/>
  <c r="AM43" i="9"/>
  <c r="AM44" i="9"/>
  <c r="AM40" i="9"/>
  <c r="AM42" i="9"/>
  <c r="AM41" i="9"/>
  <c r="AO23" i="9"/>
  <c r="U20" i="9"/>
  <c r="L27" i="9" s="1"/>
  <c r="L39" i="9"/>
  <c r="AQ39" i="9"/>
  <c r="AQ47" i="9"/>
  <c r="AQ41" i="9"/>
  <c r="AQ46" i="9"/>
  <c r="AQ40" i="9"/>
  <c r="AQ44" i="9"/>
  <c r="AQ45" i="9"/>
  <c r="AQ48" i="9"/>
  <c r="AQ42" i="9"/>
  <c r="AQ43" i="9"/>
  <c r="AS33" i="9"/>
  <c r="J33" i="9" s="1"/>
  <c r="AS26" i="9"/>
  <c r="J26" i="9" s="1"/>
  <c r="AS29" i="9"/>
  <c r="J29" i="9" s="1"/>
  <c r="AS27" i="9"/>
  <c r="J27" i="9" s="1"/>
  <c r="AS31" i="9"/>
  <c r="J31" i="9" s="1"/>
  <c r="AS28" i="9"/>
  <c r="J28" i="9" s="1"/>
  <c r="AS30" i="9"/>
  <c r="J30" i="9" s="1"/>
  <c r="AS35" i="9"/>
  <c r="J35" i="9" s="1"/>
  <c r="AS25" i="9"/>
  <c r="J25" i="9" s="1"/>
  <c r="AS34" i="9"/>
  <c r="J34" i="9" s="1"/>
  <c r="AS32" i="9"/>
  <c r="J32" i="9" s="1"/>
  <c r="AQ23" i="9"/>
  <c r="AI23" i="9"/>
  <c r="AG39" i="9"/>
  <c r="AG42" i="9"/>
  <c r="AG43" i="9"/>
  <c r="AG41" i="9"/>
  <c r="AG40" i="9"/>
  <c r="AK23" i="9"/>
  <c r="Y23" i="9"/>
  <c r="V37" i="9"/>
  <c r="V49" i="9" s="1"/>
  <c r="V36" i="9" s="1"/>
  <c r="Y39" i="9"/>
  <c r="J27" i="8"/>
  <c r="AI40" i="7"/>
  <c r="AI42" i="7"/>
  <c r="AI41" i="7"/>
  <c r="AI43" i="7"/>
  <c r="AI39" i="7"/>
  <c r="AI37" i="7" s="1"/>
  <c r="AI44" i="7"/>
  <c r="AM39" i="7"/>
  <c r="AM37" i="7" s="1"/>
  <c r="AM43" i="7"/>
  <c r="AM46" i="7"/>
  <c r="AM42" i="7"/>
  <c r="AM45" i="7"/>
  <c r="AM44" i="7"/>
  <c r="AM40" i="7"/>
  <c r="AM41" i="7"/>
  <c r="AM39" i="8"/>
  <c r="AM42" i="8"/>
  <c r="AM45" i="8"/>
  <c r="AM44" i="8"/>
  <c r="AM38" i="8"/>
  <c r="AM36" i="8" s="1"/>
  <c r="AM41" i="8"/>
  <c r="AM43" i="8"/>
  <c r="AM40" i="8"/>
  <c r="L23" i="6"/>
  <c r="Y23" i="4"/>
  <c r="J25" i="4"/>
  <c r="AO42" i="6"/>
  <c r="AO40" i="6"/>
  <c r="AO41" i="6"/>
  <c r="AO43" i="6"/>
  <c r="AO39" i="6"/>
  <c r="AO46" i="6"/>
  <c r="AO47" i="6"/>
  <c r="AO45" i="6"/>
  <c r="AO44" i="6"/>
  <c r="AG40" i="7"/>
  <c r="AG39" i="7"/>
  <c r="AG37" i="7" s="1"/>
  <c r="AG42" i="7"/>
  <c r="AG43" i="7"/>
  <c r="AG41" i="7"/>
  <c r="J29" i="5"/>
  <c r="AI43" i="6"/>
  <c r="AI42" i="6"/>
  <c r="AI40" i="6"/>
  <c r="AI41" i="6"/>
  <c r="AI39" i="6"/>
  <c r="AI44" i="6"/>
  <c r="AO44" i="8"/>
  <c r="AO39" i="8"/>
  <c r="AO42" i="8"/>
  <c r="AO38" i="8"/>
  <c r="AO36" i="8" s="1"/>
  <c r="AO41" i="8"/>
  <c r="AO43" i="8"/>
  <c r="AO40" i="8"/>
  <c r="AO45" i="8"/>
  <c r="AO46" i="8"/>
  <c r="Y37" i="4"/>
  <c r="AI23" i="4"/>
  <c r="AC23" i="4"/>
  <c r="AM23" i="4"/>
  <c r="Y22" i="8"/>
  <c r="J30" i="7"/>
  <c r="AS28" i="7"/>
  <c r="J28" i="7" s="1"/>
  <c r="H28" i="7" s="1"/>
  <c r="AS30" i="7"/>
  <c r="AS35" i="7"/>
  <c r="J35" i="7" s="1"/>
  <c r="AS27" i="7"/>
  <c r="AS32" i="7"/>
  <c r="J32" i="7" s="1"/>
  <c r="H32" i="7" s="1"/>
  <c r="AS34" i="7"/>
  <c r="J34" i="7" s="1"/>
  <c r="H34" i="7" s="1"/>
  <c r="AS25" i="7"/>
  <c r="AS23" i="7" s="1"/>
  <c r="AS33" i="7"/>
  <c r="J33" i="7" s="1"/>
  <c r="AS31" i="7"/>
  <c r="J31" i="7" s="1"/>
  <c r="H31" i="7" s="1"/>
  <c r="AS26" i="7"/>
  <c r="J26" i="7" s="1"/>
  <c r="AS29" i="7"/>
  <c r="AA37" i="4"/>
  <c r="AO23" i="6"/>
  <c r="J33" i="6"/>
  <c r="AK37" i="4"/>
  <c r="AK43" i="6"/>
  <c r="AK39" i="6"/>
  <c r="AK42" i="6"/>
  <c r="AK45" i="6"/>
  <c r="AK40" i="6"/>
  <c r="AK41" i="6"/>
  <c r="AK44" i="6"/>
  <c r="V36" i="8"/>
  <c r="V48" i="8" s="1"/>
  <c r="Y38" i="8"/>
  <c r="V35" i="8"/>
  <c r="AI23" i="6"/>
  <c r="J34" i="5"/>
  <c r="L37" i="6"/>
  <c r="J31" i="8"/>
  <c r="J25" i="7"/>
  <c r="Y23" i="7"/>
  <c r="AS22" i="7" s="1"/>
  <c r="L37" i="4"/>
  <c r="J29" i="6"/>
  <c r="AM37" i="4"/>
  <c r="AG42" i="6"/>
  <c r="AG41" i="6"/>
  <c r="AG40" i="6"/>
  <c r="AG43" i="6"/>
  <c r="AG39" i="6"/>
  <c r="AG37" i="6" s="1"/>
  <c r="AI38" i="8"/>
  <c r="AI36" i="8" s="1"/>
  <c r="AI41" i="8"/>
  <c r="AI43" i="8"/>
  <c r="AI40" i="8"/>
  <c r="AI39" i="8"/>
  <c r="AI42" i="8"/>
  <c r="AS42" i="4"/>
  <c r="J42" i="4" s="1"/>
  <c r="AS46" i="4"/>
  <c r="AS41" i="4"/>
  <c r="J41" i="4" s="1"/>
  <c r="H41" i="4" s="1"/>
  <c r="AS44" i="4"/>
  <c r="J44" i="4" s="1"/>
  <c r="AS48" i="4"/>
  <c r="J48" i="4" s="1"/>
  <c r="H48" i="4" s="1"/>
  <c r="AS47" i="4"/>
  <c r="AS43" i="4"/>
  <c r="AS39" i="4"/>
  <c r="J39" i="4" s="1"/>
  <c r="AS45" i="4"/>
  <c r="J45" i="4" s="1"/>
  <c r="AS40" i="4"/>
  <c r="AS49" i="4"/>
  <c r="J49" i="4" s="1"/>
  <c r="J47" i="4"/>
  <c r="AG37" i="4"/>
  <c r="J46" i="4"/>
  <c r="AQ41" i="7"/>
  <c r="AQ43" i="7"/>
  <c r="AQ46" i="7"/>
  <c r="AQ40" i="7"/>
  <c r="AQ39" i="7"/>
  <c r="AQ37" i="7" s="1"/>
  <c r="AQ44" i="7"/>
  <c r="AQ47" i="7"/>
  <c r="AQ48" i="7"/>
  <c r="AQ42" i="7"/>
  <c r="AQ45" i="7"/>
  <c r="AO42" i="7"/>
  <c r="AO41" i="7"/>
  <c r="AO46" i="7"/>
  <c r="AO43" i="7"/>
  <c r="AO45" i="7"/>
  <c r="AO44" i="7"/>
  <c r="AO39" i="7"/>
  <c r="AO37" i="7" s="1"/>
  <c r="AO47" i="7"/>
  <c r="AO40" i="7"/>
  <c r="AM43" i="6"/>
  <c r="AM40" i="6"/>
  <c r="AM41" i="6"/>
  <c r="AM45" i="6"/>
  <c r="AM39" i="6"/>
  <c r="AM44" i="6"/>
  <c r="AM42" i="6"/>
  <c r="AM46" i="6"/>
  <c r="AK38" i="8"/>
  <c r="AK36" i="8" s="1"/>
  <c r="AK41" i="8"/>
  <c r="AK40" i="8"/>
  <c r="AK42" i="8"/>
  <c r="AK44" i="8"/>
  <c r="AK43" i="8"/>
  <c r="AK39" i="8"/>
  <c r="AQ23" i="4"/>
  <c r="AA37" i="6"/>
  <c r="Y23" i="6"/>
  <c r="J32" i="4"/>
  <c r="AQ23" i="6"/>
  <c r="L23" i="4"/>
  <c r="AO37" i="4"/>
  <c r="AQ37" i="4"/>
  <c r="J30" i="8"/>
  <c r="J47" i="5"/>
  <c r="J40" i="4"/>
  <c r="H40" i="4" s="1"/>
  <c r="Y39" i="6"/>
  <c r="V37" i="6"/>
  <c r="V49" i="6" s="1"/>
  <c r="V36" i="6" s="1"/>
  <c r="J29" i="7"/>
  <c r="AC41" i="6"/>
  <c r="AC40" i="6"/>
  <c r="AC39" i="6"/>
  <c r="V36" i="7"/>
  <c r="V37" i="7"/>
  <c r="V49" i="7" s="1"/>
  <c r="Y39" i="7"/>
  <c r="AS44" i="5"/>
  <c r="J44" i="5" s="1"/>
  <c r="AS42" i="5"/>
  <c r="J42" i="5" s="1"/>
  <c r="H42" i="5" s="1"/>
  <c r="AS43" i="5"/>
  <c r="AS46" i="5"/>
  <c r="J46" i="5" s="1"/>
  <c r="AS41" i="5"/>
  <c r="J41" i="5" s="1"/>
  <c r="AS40" i="5"/>
  <c r="J40" i="5" s="1"/>
  <c r="H40" i="5" s="1"/>
  <c r="AS47" i="5"/>
  <c r="AS48" i="5"/>
  <c r="J48" i="5" s="1"/>
  <c r="AS39" i="5"/>
  <c r="AS37" i="5" s="1"/>
  <c r="AS45" i="5"/>
  <c r="J45" i="5" s="1"/>
  <c r="AS49" i="5"/>
  <c r="J49" i="5" s="1"/>
  <c r="J33" i="8"/>
  <c r="AS31" i="6"/>
  <c r="J31" i="6" s="1"/>
  <c r="H31" i="6" s="1"/>
  <c r="AS33" i="6"/>
  <c r="AS30" i="6"/>
  <c r="J30" i="6" s="1"/>
  <c r="AS29" i="6"/>
  <c r="AS28" i="6"/>
  <c r="J28" i="6" s="1"/>
  <c r="AS26" i="6"/>
  <c r="J26" i="6" s="1"/>
  <c r="AS25" i="6"/>
  <c r="AS34" i="6"/>
  <c r="AS35" i="6"/>
  <c r="J35" i="6" s="1"/>
  <c r="AS32" i="6"/>
  <c r="J32" i="6" s="1"/>
  <c r="H32" i="6" s="1"/>
  <c r="AS27" i="6"/>
  <c r="AS29" i="5"/>
  <c r="AS33" i="5"/>
  <c r="J33" i="5" s="1"/>
  <c r="AS26" i="5"/>
  <c r="AS28" i="5"/>
  <c r="J28" i="5" s="1"/>
  <c r="AS35" i="5"/>
  <c r="J35" i="5" s="1"/>
  <c r="AS30" i="5"/>
  <c r="J30" i="5" s="1"/>
  <c r="AS27" i="5"/>
  <c r="J27" i="5" s="1"/>
  <c r="AS31" i="5"/>
  <c r="AS34" i="5"/>
  <c r="AS25" i="5"/>
  <c r="AS23" i="5" s="1"/>
  <c r="AS32" i="5"/>
  <c r="J32" i="5" s="1"/>
  <c r="H32" i="5" s="1"/>
  <c r="J43" i="5"/>
  <c r="AS33" i="8"/>
  <c r="AS27" i="8"/>
  <c r="AS32" i="8"/>
  <c r="J32" i="8" s="1"/>
  <c r="AS31" i="8"/>
  <c r="AS30" i="8"/>
  <c r="AS24" i="8"/>
  <c r="AS22" i="8" s="1"/>
  <c r="AS29" i="8"/>
  <c r="J29" i="8" s="1"/>
  <c r="AS34" i="8"/>
  <c r="J34" i="8" s="1"/>
  <c r="AS26" i="8"/>
  <c r="J26" i="8" s="1"/>
  <c r="AS25" i="8"/>
  <c r="J25" i="8" s="1"/>
  <c r="AS28" i="8"/>
  <c r="J28" i="8" s="1"/>
  <c r="J43" i="4"/>
  <c r="AK23" i="6"/>
  <c r="J33" i="4"/>
  <c r="AG39" i="8"/>
  <c r="AG41" i="8"/>
  <c r="AG42" i="8"/>
  <c r="AG40" i="8"/>
  <c r="AG38" i="8"/>
  <c r="AG36" i="8" s="1"/>
  <c r="J31" i="5"/>
  <c r="J26" i="5"/>
  <c r="J39" i="5"/>
  <c r="Y37" i="5"/>
  <c r="AS36" i="5" s="1"/>
  <c r="J27" i="7"/>
  <c r="H27" i="7" s="1"/>
  <c r="AK41" i="7"/>
  <c r="AK42" i="7"/>
  <c r="AK45" i="7"/>
  <c r="AK40" i="7"/>
  <c r="AK43" i="7"/>
  <c r="AK44" i="7"/>
  <c r="AK39" i="7"/>
  <c r="AK37" i="7" s="1"/>
  <c r="AQ41" i="6"/>
  <c r="AQ40" i="6"/>
  <c r="AQ39" i="6"/>
  <c r="AQ37" i="6" s="1"/>
  <c r="AQ43" i="6"/>
  <c r="AQ46" i="6"/>
  <c r="AQ47" i="6"/>
  <c r="AQ48" i="6"/>
  <c r="AQ44" i="6"/>
  <c r="AQ42" i="6"/>
  <c r="AQ45" i="6"/>
  <c r="AQ45" i="8"/>
  <c r="AQ46" i="8"/>
  <c r="AQ44" i="8"/>
  <c r="AQ38" i="8"/>
  <c r="AQ36" i="8" s="1"/>
  <c r="AQ39" i="8"/>
  <c r="AQ47" i="8"/>
  <c r="AQ42" i="8"/>
  <c r="AQ43" i="8"/>
  <c r="AQ41" i="8"/>
  <c r="AQ40" i="8"/>
  <c r="AM23" i="6"/>
  <c r="AI37" i="4"/>
  <c r="Y23" i="5"/>
  <c r="J34" i="6"/>
  <c r="AS31" i="4"/>
  <c r="J31" i="4" s="1"/>
  <c r="AS35" i="4"/>
  <c r="J35" i="4" s="1"/>
  <c r="AS30" i="4"/>
  <c r="J30" i="4" s="1"/>
  <c r="H30" i="4" s="1"/>
  <c r="AS32" i="4"/>
  <c r="AS29" i="4"/>
  <c r="J29" i="4" s="1"/>
  <c r="AS28" i="4"/>
  <c r="J28" i="4" s="1"/>
  <c r="AS27" i="4"/>
  <c r="J27" i="4" s="1"/>
  <c r="AS26" i="4"/>
  <c r="J26" i="4" s="1"/>
  <c r="H26" i="4" s="1"/>
  <c r="AS25" i="4"/>
  <c r="AS34" i="4"/>
  <c r="J34" i="4" s="1"/>
  <c r="H34" i="4" s="1"/>
  <c r="AS33" i="4"/>
  <c r="AG23" i="6"/>
  <c r="AK23" i="4"/>
  <c r="J27" i="6"/>
  <c r="AE37" i="6"/>
  <c r="AC37" i="9" l="1"/>
  <c r="AF20" i="9"/>
  <c r="L42" i="9" s="1"/>
  <c r="L37" i="9" s="1"/>
  <c r="AO37" i="9"/>
  <c r="AM37" i="9"/>
  <c r="AQ37" i="9"/>
  <c r="Y37" i="9"/>
  <c r="AS48" i="9"/>
  <c r="J48" i="9" s="1"/>
  <c r="AS45" i="9"/>
  <c r="J45" i="9" s="1"/>
  <c r="AS46" i="9"/>
  <c r="J46" i="9" s="1"/>
  <c r="AS47" i="9"/>
  <c r="J47" i="9" s="1"/>
  <c r="AS39" i="9"/>
  <c r="AS44" i="9"/>
  <c r="J44" i="9" s="1"/>
  <c r="AS49" i="9"/>
  <c r="J49" i="9" s="1"/>
  <c r="AS40" i="9"/>
  <c r="J40" i="9" s="1"/>
  <c r="AS43" i="9"/>
  <c r="J43" i="9" s="1"/>
  <c r="AS42" i="9"/>
  <c r="J42" i="9" s="1"/>
  <c r="AS41" i="9"/>
  <c r="J41" i="9" s="1"/>
  <c r="V20" i="9"/>
  <c r="L28" i="9" s="1"/>
  <c r="H28" i="9" s="1"/>
  <c r="J23" i="9"/>
  <c r="AG37" i="9"/>
  <c r="H26" i="9"/>
  <c r="H27" i="9"/>
  <c r="H25" i="9"/>
  <c r="AI37" i="9"/>
  <c r="AS23" i="9"/>
  <c r="AS22" i="9" s="1"/>
  <c r="AK37" i="9"/>
  <c r="BJ14" i="4"/>
  <c r="BJ15" i="4"/>
  <c r="BR4" i="4"/>
  <c r="BN5" i="4"/>
  <c r="BJ21" i="4"/>
  <c r="BJ17" i="4"/>
  <c r="BJ16" i="4"/>
  <c r="H28" i="5"/>
  <c r="J37" i="4"/>
  <c r="H39" i="4"/>
  <c r="BR25" i="5"/>
  <c r="BJ56" i="5"/>
  <c r="BR26" i="5"/>
  <c r="BR27" i="5"/>
  <c r="BJ55" i="5"/>
  <c r="H41" i="5"/>
  <c r="H29" i="8"/>
  <c r="H46" i="5"/>
  <c r="BN11" i="5" s="1"/>
  <c r="BJ48" i="4"/>
  <c r="BJ46" i="4"/>
  <c r="BR15" i="4"/>
  <c r="BJ47" i="4"/>
  <c r="BR16" i="4"/>
  <c r="BR14" i="4"/>
  <c r="H27" i="5"/>
  <c r="H45" i="5"/>
  <c r="BR30" i="5" s="1"/>
  <c r="H27" i="4"/>
  <c r="H28" i="4"/>
  <c r="H33" i="5"/>
  <c r="H29" i="4"/>
  <c r="H27" i="6"/>
  <c r="H30" i="6"/>
  <c r="H44" i="4"/>
  <c r="BN9" i="4" s="1"/>
  <c r="J41" i="7"/>
  <c r="BR46" i="4"/>
  <c r="BR42" i="4"/>
  <c r="BR41" i="4"/>
  <c r="BN13" i="4"/>
  <c r="BR40" i="4"/>
  <c r="BR39" i="4"/>
  <c r="BR43" i="4"/>
  <c r="H30" i="5"/>
  <c r="H44" i="5"/>
  <c r="BR29" i="5" s="1"/>
  <c r="H31" i="4"/>
  <c r="H28" i="8"/>
  <c r="H32" i="8"/>
  <c r="H48" i="5"/>
  <c r="H45" i="4"/>
  <c r="BJ18" i="4" s="1"/>
  <c r="J42" i="6"/>
  <c r="H33" i="7"/>
  <c r="H33" i="8"/>
  <c r="H32" i="4"/>
  <c r="H42" i="4"/>
  <c r="BR17" i="4" s="1"/>
  <c r="H31" i="8"/>
  <c r="J45" i="6"/>
  <c r="J25" i="5"/>
  <c r="H34" i="8"/>
  <c r="AS23" i="6"/>
  <c r="AC37" i="6"/>
  <c r="AM37" i="6"/>
  <c r="Y36" i="8"/>
  <c r="H26" i="7"/>
  <c r="J24" i="8"/>
  <c r="H25" i="8" s="1"/>
  <c r="AI37" i="6"/>
  <c r="H33" i="6"/>
  <c r="H29" i="5"/>
  <c r="H43" i="4"/>
  <c r="BR18" i="4" s="1"/>
  <c r="Y37" i="6"/>
  <c r="J39" i="6"/>
  <c r="H47" i="5"/>
  <c r="BJ54" i="5" s="1"/>
  <c r="AS37" i="4"/>
  <c r="Y37" i="7"/>
  <c r="J23" i="7"/>
  <c r="H25" i="7"/>
  <c r="H26" i="5"/>
  <c r="H47" i="4"/>
  <c r="BJ20" i="4" s="1"/>
  <c r="AS48" i="8"/>
  <c r="J48" i="8" s="1"/>
  <c r="AS39" i="8"/>
  <c r="J39" i="8" s="1"/>
  <c r="AS40" i="8"/>
  <c r="J40" i="8" s="1"/>
  <c r="AS43" i="8"/>
  <c r="J43" i="8" s="1"/>
  <c r="AS45" i="8"/>
  <c r="J45" i="8" s="1"/>
  <c r="AS44" i="8"/>
  <c r="J44" i="8" s="1"/>
  <c r="H44" i="8" s="1"/>
  <c r="AS47" i="8"/>
  <c r="AS46" i="8"/>
  <c r="J46" i="8" s="1"/>
  <c r="AS38" i="8"/>
  <c r="AS36" i="8" s="1"/>
  <c r="AS41" i="8"/>
  <c r="J41" i="8" s="1"/>
  <c r="AS42" i="8"/>
  <c r="J23" i="4"/>
  <c r="H31" i="5"/>
  <c r="H35" i="4"/>
  <c r="H34" i="6"/>
  <c r="J47" i="8"/>
  <c r="J45" i="7"/>
  <c r="H49" i="5"/>
  <c r="AS41" i="7"/>
  <c r="AS44" i="7"/>
  <c r="J44" i="7" s="1"/>
  <c r="AS40" i="7"/>
  <c r="J40" i="7" s="1"/>
  <c r="AS48" i="7"/>
  <c r="AS47" i="7"/>
  <c r="J47" i="7" s="1"/>
  <c r="H47" i="7" s="1"/>
  <c r="AS39" i="7"/>
  <c r="AS37" i="7" s="1"/>
  <c r="AS45" i="7"/>
  <c r="AS46" i="7"/>
  <c r="AS42" i="7"/>
  <c r="J42" i="7" s="1"/>
  <c r="AS43" i="7"/>
  <c r="J43" i="7" s="1"/>
  <c r="AS49" i="7"/>
  <c r="J49" i="7" s="1"/>
  <c r="H29" i="7"/>
  <c r="J25" i="6"/>
  <c r="H28" i="6" s="1"/>
  <c r="AO37" i="6"/>
  <c r="J46" i="7"/>
  <c r="AS44" i="6"/>
  <c r="J44" i="6" s="1"/>
  <c r="AS41" i="6"/>
  <c r="J41" i="6" s="1"/>
  <c r="H41" i="6" s="1"/>
  <c r="AS42" i="6"/>
  <c r="AS40" i="6"/>
  <c r="J40" i="6" s="1"/>
  <c r="H40" i="6" s="1"/>
  <c r="AS47" i="6"/>
  <c r="J47" i="6" s="1"/>
  <c r="AS48" i="6"/>
  <c r="J48" i="6" s="1"/>
  <c r="H48" i="6" s="1"/>
  <c r="AS45" i="6"/>
  <c r="AS39" i="6"/>
  <c r="AS46" i="6"/>
  <c r="J46" i="6" s="1"/>
  <c r="H46" i="6" s="1"/>
  <c r="AS49" i="6"/>
  <c r="J49" i="6" s="1"/>
  <c r="AS43" i="6"/>
  <c r="J43" i="6" s="1"/>
  <c r="H29" i="6"/>
  <c r="J42" i="8"/>
  <c r="H43" i="5"/>
  <c r="BR28" i="5" s="1"/>
  <c r="H35" i="6"/>
  <c r="H30" i="8"/>
  <c r="H33" i="4"/>
  <c r="H34" i="5"/>
  <c r="AS36" i="4"/>
  <c r="AS23" i="4"/>
  <c r="AS22" i="4" s="1"/>
  <c r="AS22" i="6"/>
  <c r="J48" i="7"/>
  <c r="AS22" i="5"/>
  <c r="J37" i="5"/>
  <c r="H39" i="5"/>
  <c r="H37" i="5" s="1"/>
  <c r="H35" i="5"/>
  <c r="BN14" i="5" s="1"/>
  <c r="H25" i="4"/>
  <c r="H46" i="4"/>
  <c r="BJ19" i="4" s="1"/>
  <c r="H49" i="4"/>
  <c r="BJ22" i="4" s="1"/>
  <c r="AK37" i="6"/>
  <c r="H35" i="7"/>
  <c r="H30" i="7"/>
  <c r="AS21" i="8"/>
  <c r="H45" i="9" l="1"/>
  <c r="BJ9" i="9" s="1"/>
  <c r="H32" i="9"/>
  <c r="H44" i="9"/>
  <c r="BJ32" i="9" s="1"/>
  <c r="H47" i="9"/>
  <c r="H48" i="9"/>
  <c r="BJ12" i="9" s="1"/>
  <c r="H29" i="9"/>
  <c r="H33" i="9"/>
  <c r="AS37" i="9"/>
  <c r="AS36" i="9" s="1"/>
  <c r="H34" i="9"/>
  <c r="H43" i="9"/>
  <c r="BJ31" i="9" s="1"/>
  <c r="H31" i="9"/>
  <c r="H35" i="9"/>
  <c r="J39" i="9"/>
  <c r="H40" i="9" s="1"/>
  <c r="BR6" i="9" s="1"/>
  <c r="H30" i="9"/>
  <c r="H49" i="9"/>
  <c r="L23" i="9"/>
  <c r="H46" i="9"/>
  <c r="BJ34" i="9" s="1"/>
  <c r="BJ52" i="6"/>
  <c r="BJ55" i="6"/>
  <c r="H41" i="8"/>
  <c r="BR21" i="8" s="1"/>
  <c r="BJ22" i="8"/>
  <c r="BJ18" i="8"/>
  <c r="BJ19" i="8"/>
  <c r="BJ17" i="8"/>
  <c r="H43" i="6"/>
  <c r="BJ31" i="6" s="1"/>
  <c r="H44" i="6"/>
  <c r="H45" i="8"/>
  <c r="BJ33" i="6"/>
  <c r="BJ36" i="6"/>
  <c r="BJ34" i="6"/>
  <c r="BJ32" i="6"/>
  <c r="BR8" i="6"/>
  <c r="BR9" i="6"/>
  <c r="H43" i="8"/>
  <c r="BR20" i="6"/>
  <c r="BR26" i="6"/>
  <c r="BN11" i="6"/>
  <c r="BJ50" i="6"/>
  <c r="BJ51" i="7"/>
  <c r="BR47" i="7"/>
  <c r="BJ54" i="7"/>
  <c r="BJ28" i="7"/>
  <c r="BJ35" i="7"/>
  <c r="H47" i="6"/>
  <c r="BR19" i="6"/>
  <c r="BR25" i="6"/>
  <c r="H43" i="7"/>
  <c r="H44" i="7"/>
  <c r="H46" i="8"/>
  <c r="BJ20" i="8" s="1"/>
  <c r="H49" i="6"/>
  <c r="BJ37" i="6" s="1"/>
  <c r="BR36" i="8"/>
  <c r="BR35" i="8"/>
  <c r="BJ57" i="8"/>
  <c r="BR38" i="8"/>
  <c r="BR37" i="8"/>
  <c r="BR34" i="8"/>
  <c r="BJ29" i="5"/>
  <c r="BJ28" i="5"/>
  <c r="BJ27" i="5"/>
  <c r="BJ24" i="5"/>
  <c r="BJ30" i="5"/>
  <c r="BJ25" i="5"/>
  <c r="BJ23" i="5"/>
  <c r="BJ26" i="5"/>
  <c r="BR6" i="5"/>
  <c r="BR5" i="5"/>
  <c r="BN6" i="5"/>
  <c r="BJ38" i="6"/>
  <c r="BJ42" i="6"/>
  <c r="BJ41" i="6"/>
  <c r="BJ39" i="6"/>
  <c r="BJ43" i="6"/>
  <c r="BJ40" i="6"/>
  <c r="BR12" i="6"/>
  <c r="BR11" i="6"/>
  <c r="BJ55" i="8"/>
  <c r="BR30" i="8"/>
  <c r="BR27" i="8"/>
  <c r="BR29" i="8"/>
  <c r="BN11" i="8"/>
  <c r="BJ43" i="4"/>
  <c r="BJ38" i="4"/>
  <c r="BJ42" i="4"/>
  <c r="BR10" i="4"/>
  <c r="BJ41" i="4"/>
  <c r="BJ40" i="4"/>
  <c r="BR11" i="4"/>
  <c r="BN8" i="4"/>
  <c r="BJ39" i="4"/>
  <c r="BR12" i="4"/>
  <c r="BR13" i="4"/>
  <c r="H48" i="7"/>
  <c r="BR23" i="8"/>
  <c r="BJ50" i="8"/>
  <c r="BN10" i="8"/>
  <c r="BJ52" i="8"/>
  <c r="H46" i="7"/>
  <c r="BN14" i="4"/>
  <c r="AS35" i="8"/>
  <c r="BJ59" i="4"/>
  <c r="H26" i="8"/>
  <c r="BJ45" i="4"/>
  <c r="BJ45" i="7"/>
  <c r="BJ46" i="7"/>
  <c r="BJ47" i="7"/>
  <c r="BN9" i="7"/>
  <c r="BR18" i="7"/>
  <c r="H48" i="8"/>
  <c r="BJ58" i="8" s="1"/>
  <c r="BJ56" i="4"/>
  <c r="BJ54" i="4"/>
  <c r="BR25" i="4"/>
  <c r="BN11" i="4"/>
  <c r="BR26" i="4"/>
  <c r="BR30" i="4"/>
  <c r="BJ55" i="4"/>
  <c r="BR28" i="4"/>
  <c r="BR27" i="4"/>
  <c r="BR24" i="4"/>
  <c r="BR29" i="4"/>
  <c r="BJ21" i="7"/>
  <c r="BJ19" i="7"/>
  <c r="BJ17" i="7"/>
  <c r="BJ16" i="7"/>
  <c r="BJ20" i="7"/>
  <c r="BJ18" i="7"/>
  <c r="BN14" i="6"/>
  <c r="J23" i="6"/>
  <c r="H25" i="6"/>
  <c r="H27" i="8"/>
  <c r="J38" i="8"/>
  <c r="H39" i="8" s="1"/>
  <c r="BN14" i="8"/>
  <c r="BR35" i="7"/>
  <c r="BJ57" i="7"/>
  <c r="BR37" i="7"/>
  <c r="BR36" i="7"/>
  <c r="BR38" i="7"/>
  <c r="BN12" i="7"/>
  <c r="BR35" i="4"/>
  <c r="BJ57" i="4"/>
  <c r="BJ58" i="4"/>
  <c r="BR38" i="4"/>
  <c r="BR34" i="4"/>
  <c r="BR37" i="4"/>
  <c r="BR36" i="4"/>
  <c r="BN12" i="4"/>
  <c r="BR33" i="4"/>
  <c r="BR31" i="4"/>
  <c r="BR32" i="4"/>
  <c r="BJ42" i="5"/>
  <c r="BJ41" i="5"/>
  <c r="BJ40" i="5"/>
  <c r="BJ43" i="5"/>
  <c r="BJ38" i="5"/>
  <c r="BR13" i="5"/>
  <c r="BR12" i="5"/>
  <c r="BJ39" i="5"/>
  <c r="BR10" i="5"/>
  <c r="BN8" i="5"/>
  <c r="BR11" i="5"/>
  <c r="H42" i="6"/>
  <c r="BN7" i="6" s="1"/>
  <c r="BJ45" i="5"/>
  <c r="BJ44" i="5"/>
  <c r="BJ48" i="5"/>
  <c r="BJ46" i="5"/>
  <c r="BR16" i="5"/>
  <c r="BR17" i="5"/>
  <c r="BR15" i="5"/>
  <c r="BR14" i="5"/>
  <c r="BJ47" i="5"/>
  <c r="BR18" i="5"/>
  <c r="BN9" i="5"/>
  <c r="BJ48" i="6"/>
  <c r="BJ46" i="6"/>
  <c r="BJ47" i="6"/>
  <c r="BR14" i="6"/>
  <c r="BJ45" i="6"/>
  <c r="BR15" i="6"/>
  <c r="BR18" i="6"/>
  <c r="BR16" i="6"/>
  <c r="BN9" i="6"/>
  <c r="BJ30" i="4"/>
  <c r="BN6" i="4"/>
  <c r="BR5" i="4"/>
  <c r="BJ25" i="4"/>
  <c r="BJ26" i="4"/>
  <c r="BJ29" i="4"/>
  <c r="BJ28" i="4"/>
  <c r="BJ27" i="4"/>
  <c r="BJ24" i="4"/>
  <c r="BR6" i="4"/>
  <c r="BJ23" i="4"/>
  <c r="H42" i="8"/>
  <c r="BJ16" i="8" s="1"/>
  <c r="AS36" i="7"/>
  <c r="BJ58" i="6"/>
  <c r="BJ57" i="6"/>
  <c r="BR38" i="6"/>
  <c r="BR33" i="6"/>
  <c r="BN12" i="6"/>
  <c r="BR36" i="6"/>
  <c r="BR32" i="6"/>
  <c r="BR31" i="6"/>
  <c r="J23" i="5"/>
  <c r="H25" i="5"/>
  <c r="BR47" i="4"/>
  <c r="BJ33" i="4"/>
  <c r="BN7" i="4"/>
  <c r="BJ35" i="4"/>
  <c r="BJ34" i="4"/>
  <c r="BJ37" i="4"/>
  <c r="BR9" i="4"/>
  <c r="BR8" i="4"/>
  <c r="BJ32" i="4"/>
  <c r="BJ31" i="4"/>
  <c r="BJ36" i="4"/>
  <c r="BR7" i="4"/>
  <c r="B39" i="4" s="1"/>
  <c r="H45" i="7"/>
  <c r="J22" i="8"/>
  <c r="H24" i="8"/>
  <c r="BJ30" i="6"/>
  <c r="BJ25" i="6"/>
  <c r="BJ26" i="6"/>
  <c r="BJ29" i="6"/>
  <c r="BJ28" i="6"/>
  <c r="BJ27" i="6"/>
  <c r="BN6" i="6"/>
  <c r="BJ23" i="6"/>
  <c r="BR6" i="6"/>
  <c r="BR5" i="6"/>
  <c r="J39" i="7"/>
  <c r="H40" i="7" s="1"/>
  <c r="J37" i="6"/>
  <c r="H39" i="6"/>
  <c r="BR7" i="6" s="1"/>
  <c r="BR35" i="5"/>
  <c r="BR33" i="5"/>
  <c r="BJ57" i="5"/>
  <c r="BR37" i="5"/>
  <c r="BR36" i="5"/>
  <c r="BR34" i="5"/>
  <c r="BJ58" i="5"/>
  <c r="BR32" i="5"/>
  <c r="BR31" i="5"/>
  <c r="BR38" i="5"/>
  <c r="BN12" i="5"/>
  <c r="BJ44" i="8"/>
  <c r="BR18" i="8"/>
  <c r="BJ45" i="8"/>
  <c r="BJ48" i="8"/>
  <c r="BN9" i="8"/>
  <c r="BJ32" i="5"/>
  <c r="BJ31" i="5"/>
  <c r="BJ35" i="5"/>
  <c r="BJ33" i="5"/>
  <c r="BJ37" i="5"/>
  <c r="BJ36" i="5"/>
  <c r="BJ34" i="5"/>
  <c r="BR8" i="5"/>
  <c r="BR9" i="5"/>
  <c r="BN7" i="5"/>
  <c r="BR7" i="5"/>
  <c r="BJ8" i="4"/>
  <c r="H23" i="4"/>
  <c r="BJ12" i="4"/>
  <c r="BJ13" i="4"/>
  <c r="BJ7" i="4"/>
  <c r="BJ11" i="4"/>
  <c r="BJ6" i="4"/>
  <c r="BN4" i="4"/>
  <c r="B37" i="4" s="1"/>
  <c r="BJ9" i="4"/>
  <c r="BJ10" i="4"/>
  <c r="BJ5" i="4"/>
  <c r="BJ4" i="4"/>
  <c r="BJ38" i="7"/>
  <c r="BJ42" i="7"/>
  <c r="BJ41" i="7"/>
  <c r="BJ39" i="7"/>
  <c r="BN8" i="7"/>
  <c r="BJ40" i="7"/>
  <c r="BR45" i="4"/>
  <c r="BR24" i="5"/>
  <c r="H49" i="7"/>
  <c r="H45" i="6"/>
  <c r="BR37" i="6" s="1"/>
  <c r="H47" i="8"/>
  <c r="BJ47" i="8" s="1"/>
  <c r="BJ40" i="8"/>
  <c r="BJ39" i="8"/>
  <c r="BJ38" i="8"/>
  <c r="BJ42" i="8"/>
  <c r="BN8" i="8"/>
  <c r="BR46" i="5"/>
  <c r="BR42" i="5"/>
  <c r="BR41" i="5"/>
  <c r="BR40" i="5"/>
  <c r="BR43" i="5"/>
  <c r="BR47" i="5"/>
  <c r="BR39" i="5"/>
  <c r="BN13" i="5"/>
  <c r="BR44" i="5"/>
  <c r="BR45" i="5"/>
  <c r="BJ59" i="5"/>
  <c r="AS37" i="6"/>
  <c r="AS36" i="6" s="1"/>
  <c r="BR45" i="6"/>
  <c r="BR44" i="6"/>
  <c r="BR40" i="6"/>
  <c r="BJ59" i="6"/>
  <c r="BR42" i="6"/>
  <c r="BR46" i="6"/>
  <c r="BR41" i="6"/>
  <c r="BN13" i="6"/>
  <c r="BR39" i="6"/>
  <c r="BR47" i="6"/>
  <c r="BJ53" i="5"/>
  <c r="BJ49" i="5"/>
  <c r="BJ52" i="5"/>
  <c r="BR20" i="5"/>
  <c r="BJ50" i="5"/>
  <c r="BR21" i="5"/>
  <c r="BR19" i="5"/>
  <c r="BR22" i="5"/>
  <c r="BJ51" i="5"/>
  <c r="BN10" i="5"/>
  <c r="BR23" i="5"/>
  <c r="BJ21" i="5"/>
  <c r="BJ19" i="5"/>
  <c r="BJ17" i="5"/>
  <c r="BJ22" i="5"/>
  <c r="BJ18" i="5"/>
  <c r="BJ14" i="5"/>
  <c r="BR4" i="5"/>
  <c r="B39" i="5" s="1"/>
  <c r="BJ15" i="5"/>
  <c r="BN5" i="5"/>
  <c r="BJ16" i="5"/>
  <c r="BJ20" i="5"/>
  <c r="BJ9" i="7"/>
  <c r="BJ8" i="7"/>
  <c r="BJ11" i="7"/>
  <c r="BJ12" i="7"/>
  <c r="BJ10" i="7"/>
  <c r="H23" i="7"/>
  <c r="BJ7" i="7"/>
  <c r="BJ59" i="8"/>
  <c r="BR45" i="8"/>
  <c r="BR43" i="8"/>
  <c r="BR46" i="8"/>
  <c r="BR42" i="8"/>
  <c r="BR47" i="8"/>
  <c r="BR44" i="8"/>
  <c r="BJ53" i="4"/>
  <c r="BJ49" i="4"/>
  <c r="BJ52" i="4"/>
  <c r="BJ50" i="4"/>
  <c r="BJ51" i="4"/>
  <c r="BR20" i="4"/>
  <c r="BR23" i="4"/>
  <c r="BN10" i="4"/>
  <c r="BR21" i="4"/>
  <c r="BR22" i="4"/>
  <c r="BR19" i="4"/>
  <c r="BR44" i="4"/>
  <c r="H26" i="6"/>
  <c r="BJ44" i="4"/>
  <c r="H37" i="4"/>
  <c r="BJ25" i="9" l="1"/>
  <c r="BJ17" i="9"/>
  <c r="BJ8" i="9"/>
  <c r="BR29" i="9"/>
  <c r="BJ56" i="9"/>
  <c r="BJ27" i="9"/>
  <c r="BJ19" i="9"/>
  <c r="BR25" i="9"/>
  <c r="BJ54" i="9"/>
  <c r="BJ21" i="9"/>
  <c r="BJ26" i="9"/>
  <c r="BJ55" i="9"/>
  <c r="BJ29" i="9"/>
  <c r="BJ36" i="9"/>
  <c r="BJ18" i="9"/>
  <c r="BR30" i="9"/>
  <c r="BJ33" i="9"/>
  <c r="H23" i="9"/>
  <c r="J37" i="9"/>
  <c r="H39" i="9"/>
  <c r="BR14" i="9" s="1"/>
  <c r="BJ16" i="9"/>
  <c r="BJ28" i="9"/>
  <c r="BJ30" i="9"/>
  <c r="BJ10" i="9"/>
  <c r="BJ37" i="9"/>
  <c r="BR28" i="9"/>
  <c r="BJ11" i="9"/>
  <c r="BJ24" i="9"/>
  <c r="BJ4" i="9"/>
  <c r="BR8" i="9"/>
  <c r="BJ35" i="9"/>
  <c r="BJ13" i="9"/>
  <c r="BN5" i="9"/>
  <c r="BJ20" i="9"/>
  <c r="BN11" i="9"/>
  <c r="H41" i="9"/>
  <c r="BR12" i="9" s="1"/>
  <c r="BR38" i="9"/>
  <c r="BJ58" i="9"/>
  <c r="BR32" i="9"/>
  <c r="BR35" i="9"/>
  <c r="BJ57" i="9"/>
  <c r="BN12" i="9"/>
  <c r="BR37" i="9"/>
  <c r="BR36" i="9"/>
  <c r="BN14" i="9"/>
  <c r="BJ7" i="9"/>
  <c r="BJ39" i="9"/>
  <c r="BJ38" i="9"/>
  <c r="BJ42" i="9"/>
  <c r="BJ41" i="9"/>
  <c r="BJ40" i="9"/>
  <c r="BR11" i="9"/>
  <c r="BJ43" i="9"/>
  <c r="BN8" i="9"/>
  <c r="BJ47" i="9"/>
  <c r="BR18" i="9"/>
  <c r="BJ45" i="9"/>
  <c r="BJ44" i="9"/>
  <c r="BJ46" i="9"/>
  <c r="BR15" i="9"/>
  <c r="BJ48" i="9"/>
  <c r="BN9" i="9"/>
  <c r="BJ22" i="9"/>
  <c r="BJ51" i="9"/>
  <c r="BR23" i="9"/>
  <c r="BJ50" i="9"/>
  <c r="BR19" i="9"/>
  <c r="BR22" i="9"/>
  <c r="BJ52" i="9"/>
  <c r="BJ53" i="9"/>
  <c r="BN10" i="9"/>
  <c r="BJ59" i="9"/>
  <c r="BR45" i="9"/>
  <c r="BR44" i="9"/>
  <c r="BR46" i="9"/>
  <c r="BR43" i="9"/>
  <c r="BN13" i="9"/>
  <c r="BR47" i="9"/>
  <c r="BR40" i="9"/>
  <c r="H42" i="9"/>
  <c r="BR42" i="9" s="1"/>
  <c r="BR15" i="8"/>
  <c r="BR32" i="8"/>
  <c r="BR40" i="8"/>
  <c r="BR25" i="8"/>
  <c r="BR11" i="8"/>
  <c r="BN5" i="8"/>
  <c r="BR19" i="8"/>
  <c r="BR6" i="7"/>
  <c r="BR25" i="7"/>
  <c r="BR19" i="7"/>
  <c r="BR40" i="7"/>
  <c r="BR8" i="7"/>
  <c r="BN5" i="7"/>
  <c r="BR15" i="7"/>
  <c r="BJ4" i="7"/>
  <c r="B38" i="7" s="1"/>
  <c r="BR11" i="7"/>
  <c r="BR32" i="7"/>
  <c r="BR43" i="6"/>
  <c r="BJ22" i="6"/>
  <c r="BJ20" i="6"/>
  <c r="BJ21" i="6"/>
  <c r="BJ19" i="6"/>
  <c r="BN5" i="6"/>
  <c r="BR4" i="6"/>
  <c r="BJ15" i="6"/>
  <c r="BJ18" i="6"/>
  <c r="BJ16" i="6"/>
  <c r="BJ14" i="6"/>
  <c r="BJ17" i="6"/>
  <c r="BR17" i="8"/>
  <c r="BR35" i="6"/>
  <c r="BR22" i="8"/>
  <c r="BR28" i="8"/>
  <c r="BN12" i="8"/>
  <c r="BR23" i="6"/>
  <c r="BR29" i="6"/>
  <c r="BJ21" i="8"/>
  <c r="BJ59" i="7"/>
  <c r="BJ56" i="7"/>
  <c r="BJ37" i="7"/>
  <c r="BJ30" i="7"/>
  <c r="BJ53" i="7"/>
  <c r="H42" i="7"/>
  <c r="BJ26" i="8"/>
  <c r="BJ24" i="8"/>
  <c r="BN6" i="8"/>
  <c r="BJ23" i="8"/>
  <c r="BJ30" i="8"/>
  <c r="BJ27" i="8"/>
  <c r="BJ25" i="8"/>
  <c r="BJ28" i="8"/>
  <c r="BJ29" i="8"/>
  <c r="BR6" i="8"/>
  <c r="BR5" i="8"/>
  <c r="BJ51" i="8"/>
  <c r="BJ41" i="8"/>
  <c r="BJ43" i="7"/>
  <c r="BJ46" i="8"/>
  <c r="BJ58" i="7"/>
  <c r="BJ5" i="6"/>
  <c r="BN4" i="6"/>
  <c r="B37" i="6" s="1"/>
  <c r="H23" i="6"/>
  <c r="BJ13" i="6"/>
  <c r="BJ9" i="6"/>
  <c r="BJ10" i="6"/>
  <c r="BJ12" i="6"/>
  <c r="BJ6" i="6"/>
  <c r="BJ8" i="6"/>
  <c r="BJ7" i="6"/>
  <c r="BJ11" i="6"/>
  <c r="BJ4" i="6"/>
  <c r="BJ22" i="7"/>
  <c r="BJ53" i="8"/>
  <c r="BJ36" i="7"/>
  <c r="BJ52" i="7"/>
  <c r="BJ55" i="7"/>
  <c r="BJ29" i="7"/>
  <c r="BN13" i="7"/>
  <c r="BR13" i="6"/>
  <c r="BJ54" i="6"/>
  <c r="BJ51" i="6"/>
  <c r="H41" i="7"/>
  <c r="BR22" i="6"/>
  <c r="BR28" i="6"/>
  <c r="BJ43" i="8"/>
  <c r="BR17" i="6"/>
  <c r="BJ54" i="8"/>
  <c r="BJ56" i="6"/>
  <c r="BJ53" i="6"/>
  <c r="BJ15" i="8"/>
  <c r="B38" i="4"/>
  <c r="B36" i="4" s="1"/>
  <c r="BJ24" i="6"/>
  <c r="BJ13" i="5"/>
  <c r="H23" i="5"/>
  <c r="BJ9" i="5"/>
  <c r="BJ10" i="5"/>
  <c r="BN4" i="5"/>
  <c r="B37" i="5" s="1"/>
  <c r="B36" i="5" s="1"/>
  <c r="BJ11" i="5"/>
  <c r="BJ12" i="5"/>
  <c r="BJ8" i="5"/>
  <c r="BJ6" i="5"/>
  <c r="BJ5" i="5"/>
  <c r="BJ7" i="5"/>
  <c r="BJ4" i="5"/>
  <c r="B38" i="5" s="1"/>
  <c r="BR21" i="6"/>
  <c r="BR27" i="6"/>
  <c r="J36" i="8"/>
  <c r="H38" i="8"/>
  <c r="BN4" i="8" s="1"/>
  <c r="B37" i="8" s="1"/>
  <c r="B36" i="8" s="1"/>
  <c r="BJ48" i="7"/>
  <c r="BJ56" i="8"/>
  <c r="BN8" i="6"/>
  <c r="BR23" i="7"/>
  <c r="BR44" i="7"/>
  <c r="BJ32" i="7"/>
  <c r="BJ25" i="7"/>
  <c r="BR29" i="7"/>
  <c r="BJ35" i="6"/>
  <c r="J37" i="7"/>
  <c r="H39" i="7"/>
  <c r="BJ8" i="8"/>
  <c r="BJ12" i="8"/>
  <c r="H22" i="8"/>
  <c r="BJ4" i="8"/>
  <c r="B38" i="8" s="1"/>
  <c r="BJ7" i="8"/>
  <c r="BJ13" i="8"/>
  <c r="BJ10" i="8"/>
  <c r="BJ6" i="8"/>
  <c r="BJ11" i="8"/>
  <c r="BJ9" i="8"/>
  <c r="BJ13" i="7"/>
  <c r="BN13" i="8"/>
  <c r="BR13" i="8"/>
  <c r="BN10" i="6"/>
  <c r="BR30" i="6"/>
  <c r="H37" i="6"/>
  <c r="BJ49" i="6"/>
  <c r="BR24" i="6"/>
  <c r="BJ33" i="7"/>
  <c r="BR45" i="7"/>
  <c r="BR30" i="7"/>
  <c r="BN10" i="7"/>
  <c r="BJ26" i="7"/>
  <c r="BR34" i="6"/>
  <c r="BJ44" i="6"/>
  <c r="BJ34" i="8"/>
  <c r="BJ36" i="8"/>
  <c r="BJ35" i="8"/>
  <c r="BJ31" i="8"/>
  <c r="BJ32" i="8"/>
  <c r="BJ33" i="8"/>
  <c r="BJ37" i="8"/>
  <c r="BR8" i="8"/>
  <c r="BN7" i="8"/>
  <c r="BR7" i="8"/>
  <c r="BN14" i="7"/>
  <c r="BJ44" i="7"/>
  <c r="BR46" i="7"/>
  <c r="BJ34" i="7"/>
  <c r="BN11" i="7"/>
  <c r="BJ27" i="7"/>
  <c r="BJ50" i="7"/>
  <c r="BR10" i="6"/>
  <c r="BR28" i="7"/>
  <c r="BJ24" i="7"/>
  <c r="BR22" i="7"/>
  <c r="BJ31" i="7"/>
  <c r="BR43" i="7"/>
  <c r="H40" i="8"/>
  <c r="BR16" i="9" l="1"/>
  <c r="BJ49" i="9"/>
  <c r="BR41" i="9"/>
  <c r="BR20" i="9"/>
  <c r="BR33" i="9"/>
  <c r="BR39" i="9"/>
  <c r="BR31" i="9"/>
  <c r="BR10" i="9"/>
  <c r="BJ23" i="9"/>
  <c r="BJ15" i="9"/>
  <c r="BN7" i="9"/>
  <c r="BR27" i="9"/>
  <c r="BJ6" i="9"/>
  <c r="BR17" i="9"/>
  <c r="BR21" i="9"/>
  <c r="BR13" i="9"/>
  <c r="BJ14" i="9"/>
  <c r="BR9" i="9"/>
  <c r="BJ5" i="9"/>
  <c r="BR26" i="9"/>
  <c r="BN6" i="9"/>
  <c r="H37" i="9"/>
  <c r="BN4" i="9"/>
  <c r="BR4" i="9"/>
  <c r="BR24" i="9"/>
  <c r="BR7" i="9"/>
  <c r="BR5" i="9"/>
  <c r="BR34" i="9"/>
  <c r="B38" i="6"/>
  <c r="B36" i="6" s="1"/>
  <c r="BR26" i="8"/>
  <c r="BR16" i="8"/>
  <c r="BJ14" i="8"/>
  <c r="BR33" i="8"/>
  <c r="BR12" i="8"/>
  <c r="BR20" i="8"/>
  <c r="BR41" i="8"/>
  <c r="B39" i="6"/>
  <c r="BR9" i="8"/>
  <c r="H37" i="7"/>
  <c r="BR39" i="7"/>
  <c r="BR7" i="7"/>
  <c r="BR5" i="7"/>
  <c r="BR24" i="7"/>
  <c r="BJ49" i="7"/>
  <c r="BN4" i="7"/>
  <c r="B37" i="7" s="1"/>
  <c r="B36" i="7" s="1"/>
  <c r="BR14" i="7"/>
  <c r="BR31" i="7"/>
  <c r="BR10" i="7"/>
  <c r="BR4" i="7"/>
  <c r="B39" i="7" s="1"/>
  <c r="BN6" i="7"/>
  <c r="BR41" i="7"/>
  <c r="BR9" i="7"/>
  <c r="BR20" i="7"/>
  <c r="BR26" i="7"/>
  <c r="BR33" i="7"/>
  <c r="BR12" i="7"/>
  <c r="BR16" i="7"/>
  <c r="BJ14" i="7"/>
  <c r="BJ5" i="7"/>
  <c r="BJ5" i="8"/>
  <c r="H36" i="8"/>
  <c r="BR24" i="8"/>
  <c r="BJ49" i="8"/>
  <c r="BR14" i="8"/>
  <c r="BR4" i="8"/>
  <c r="B39" i="8" s="1"/>
  <c r="BR39" i="8"/>
  <c r="BR10" i="8"/>
  <c r="BR31" i="8"/>
  <c r="BR27" i="7"/>
  <c r="BR21" i="7"/>
  <c r="BR42" i="7"/>
  <c r="BN7" i="7"/>
  <c r="BJ23" i="7"/>
  <c r="BJ15" i="7"/>
  <c r="BR13" i="7"/>
  <c r="BR17" i="7"/>
  <c r="BR34" i="7"/>
  <c r="BJ6" i="7"/>
  <c r="B37" i="9" l="1"/>
  <c r="B38" i="9"/>
  <c r="B39" i="9"/>
  <c r="B36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F2203296-D87F-4683-B8AE-2B69AC2D5BB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7ABA53A0-2925-42BF-8CCA-1847B7D8B3A8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 xr:uid="{FFF986A7-8904-434E-9345-F7B4BE855361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W8" authorId="0" shapeId="0" xr:uid="{E30FDA7A-F1CC-4369-893F-17F0AC52A5FA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DBDED03D-E879-4EEC-A793-2F24E5B70E04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93744BAF-5CC4-4F54-8DCB-8256EEF70ADB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5808981B-5A39-43B6-A4B4-35F197F9A9A8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388F8959-7E8E-4A47-8B08-4D9F03D2F80B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FAB5CDAD-E4A8-402C-8171-F100994D431D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48A935CF-349F-4B4F-A468-3F99081A7828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98600B2B-44B7-4EC6-A932-1C3E10FE440B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DC1654E6-E6B5-4FD2-97A1-7B6A6926C324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A1BC8420-A6FA-4B62-B7DB-D765CF94DD72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79AA6B7A-E817-4B6B-A722-85065B3C0F7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EB7411E7-EE2A-45C0-B82A-227A821A2F14}">
      <text>
        <r>
          <rPr>
            <b/>
            <sz val="8"/>
            <rFont val="Tahoma"/>
            <family val="2"/>
          </rPr>
          <t>Incluyo en el 37!!!!!</t>
        </r>
      </text>
    </comment>
    <comment ref="W19" authorId="0" shapeId="0" xr:uid="{4900C91F-6675-4DF4-A1CC-FF1FB17D1FA5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B4AA5A04-3F54-4680-8959-FF90CEE02D58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D4DC7FB2-BC4A-4123-ABA8-74699BC921AB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C5228716-542D-48A3-9FB1-8313007B931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4B9C42C8-1ED9-4462-BBFA-F53590EDD99A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3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3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 xr:uid="{00000000-0006-0000-0300-000003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W8" authorId="0" shapeId="0" xr:uid="{00000000-0006-0000-0300-000004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300-000005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300-000006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300-000007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300-000008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300-000009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300-00000A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300-00000B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300-00000C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300-00000D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300-00000E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300-00000F000000}">
      <text>
        <r>
          <rPr>
            <b/>
            <sz val="8"/>
            <rFont val="Tahoma"/>
            <family val="2"/>
          </rPr>
          <t>Incluyo en el 37!!!!!</t>
        </r>
      </text>
    </comment>
    <comment ref="W19" authorId="0" shapeId="0" xr:uid="{00000000-0006-0000-0300-000010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300-000011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300-000012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300-000013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00000000-0006-0000-0300-000014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4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4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400-000003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400-000004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4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400-000006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400-000007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400-000008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400-000009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400-00000A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400-00000B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400-00000C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400-00000D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400-00000E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400-00000F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400-000010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400-000011000000}">
      <text>
        <r>
          <rPr>
            <b/>
            <sz val="8"/>
            <rFont val="Tahoma"/>
            <family val="2"/>
          </rPr>
          <t>Incluyo en el 37!!!!!</t>
        </r>
      </text>
    </comment>
    <comment ref="W19" authorId="0" shapeId="0" xr:uid="{00000000-0006-0000-0400-000012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400-000013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400-000014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400-000015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00000000-0006-0000-0400-00001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5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5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500-000003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500-000004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5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500-000006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500-000007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500-000008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500-000009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500-00000A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500-00000B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500-00000C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500-00000D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500-00000E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500-00000F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500-000010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500-000011000000}">
      <text>
        <r>
          <rPr>
            <b/>
            <sz val="8"/>
            <rFont val="Tahoma"/>
            <family val="2"/>
          </rPr>
          <t>Incluyo en el 19</t>
        </r>
      </text>
    </comment>
    <comment ref="W19" authorId="0" shapeId="0" xr:uid="{00000000-0006-0000-0500-000012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500-000013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500-000014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500-000015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00000000-0006-0000-0500-00001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6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6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600-00001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600-000003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600-000016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600-000004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600-000005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600-000006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600-000007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600-000008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600-000009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600-00000A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600-00000B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600-00000C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600-00000D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600-00000E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600-00000F000000}">
      <text>
        <r>
          <rPr>
            <b/>
            <sz val="8"/>
            <rFont val="Tahoma"/>
            <family val="2"/>
          </rPr>
          <t>Incluyo en el 19</t>
        </r>
      </text>
    </comment>
    <comment ref="W19" authorId="0" shapeId="0" xr:uid="{00000000-0006-0000-0600-000010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600-000011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600-000012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600-000013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00000000-0006-0000-0600-000014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7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7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700-000003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700-000004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7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700-000006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700-000007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700-000008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700-000009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700-00000A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700-00000B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700-00000C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700-00000D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700-00000E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700-00000F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700-000010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700-000011000000}">
      <text>
        <r>
          <rPr>
            <b/>
            <sz val="8"/>
            <rFont val="Tahoma"/>
            <family val="2"/>
          </rPr>
          <t>Incluyo en el 19</t>
        </r>
      </text>
    </comment>
    <comment ref="W19" authorId="0" shapeId="0" xr:uid="{00000000-0006-0000-0700-000012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700-000013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700-000014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 xr:uid="{00000000-0006-0000-0700-000015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8" authorId="0" shapeId="0" xr:uid="{00000000-0006-0000-0700-00001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<sst xmlns="http://schemas.openxmlformats.org/spreadsheetml/2006/main" count="1322" uniqueCount="165">
  <si>
    <t>NEU</t>
  </si>
  <si>
    <t>RAP</t>
  </si>
  <si>
    <t>TEC</t>
  </si>
  <si>
    <t>All</t>
  </si>
  <si>
    <t>Clima</t>
  </si>
  <si>
    <t>Sol</t>
  </si>
  <si>
    <t>POT</t>
  </si>
  <si>
    <t>Ext+Del</t>
  </si>
  <si>
    <t>Del</t>
  </si>
  <si>
    <t>LOC</t>
  </si>
  <si>
    <t>VIS</t>
  </si>
  <si>
    <t>Loc</t>
  </si>
  <si>
    <t>HPrin</t>
  </si>
  <si>
    <t>Exp</t>
  </si>
  <si>
    <t>An</t>
  </si>
  <si>
    <t>Vis</t>
  </si>
  <si>
    <t>Pcrear</t>
  </si>
  <si>
    <t>Pconv</t>
  </si>
  <si>
    <t>p</t>
  </si>
  <si>
    <t>pLoc</t>
  </si>
  <si>
    <t>p(0)</t>
  </si>
  <si>
    <t>p(1)</t>
  </si>
  <si>
    <t>p(2)</t>
  </si>
  <si>
    <t>Ev</t>
  </si>
  <si>
    <t>pVis</t>
  </si>
  <si>
    <t>pEq</t>
  </si>
  <si>
    <t>N</t>
  </si>
  <si>
    <t>pbase_P</t>
  </si>
  <si>
    <t>pbase</t>
  </si>
  <si>
    <t>Pslot</t>
  </si>
  <si>
    <t>FORMACION</t>
  </si>
  <si>
    <t>POR</t>
  </si>
  <si>
    <t>no</t>
  </si>
  <si>
    <t>Pase largo de imprevisible</t>
  </si>
  <si>
    <t>05</t>
  </si>
  <si>
    <t>Mediocampo</t>
  </si>
  <si>
    <t>LAT</t>
  </si>
  <si>
    <t>IMP</t>
  </si>
  <si>
    <t>Imprevisible recupera balón</t>
  </si>
  <si>
    <t>06</t>
  </si>
  <si>
    <t>Defensa derecha</t>
  </si>
  <si>
    <t>DC</t>
  </si>
  <si>
    <t>IMP Propia</t>
  </si>
  <si>
    <t>25</t>
  </si>
  <si>
    <t>Defensa central</t>
  </si>
  <si>
    <t>Imprevisible crea ocasión</t>
  </si>
  <si>
    <t>08</t>
  </si>
  <si>
    <t>Defensa izquierda</t>
  </si>
  <si>
    <t>Pérdida de balón Imprev.</t>
  </si>
  <si>
    <t>09</t>
  </si>
  <si>
    <t>Ataque derecho</t>
  </si>
  <si>
    <t>Rápido dispara a gol</t>
  </si>
  <si>
    <t>15</t>
  </si>
  <si>
    <t>Ataque central</t>
  </si>
  <si>
    <t>MD</t>
  </si>
  <si>
    <t>Pase de un jugador rápido</t>
  </si>
  <si>
    <t>16</t>
  </si>
  <si>
    <t>Ataque izquierdo</t>
  </si>
  <si>
    <t>Cansancio</t>
  </si>
  <si>
    <t>17</t>
  </si>
  <si>
    <t>Faltas indirectas Def</t>
  </si>
  <si>
    <t>Córner</t>
  </si>
  <si>
    <t>18</t>
  </si>
  <si>
    <t>Faltas indirectas At</t>
  </si>
  <si>
    <t>EXT</t>
  </si>
  <si>
    <t>Córner + cabeceador</t>
  </si>
  <si>
    <t>19</t>
  </si>
  <si>
    <t>Experiencia Equipo</t>
  </si>
  <si>
    <t>Experiencia</t>
  </si>
  <si>
    <t>35</t>
  </si>
  <si>
    <t xml:space="preserve">Nivel medio HabPri </t>
  </si>
  <si>
    <t>DV</t>
  </si>
  <si>
    <t>Inexperiencia</t>
  </si>
  <si>
    <t>36</t>
  </si>
  <si>
    <t>Tactica</t>
  </si>
  <si>
    <t>Normal</t>
  </si>
  <si>
    <t>Extremo + anotación</t>
  </si>
  <si>
    <t>37</t>
  </si>
  <si>
    <t>Nivel Tactica</t>
  </si>
  <si>
    <t>Extremo + cabeceador</t>
  </si>
  <si>
    <t>38</t>
  </si>
  <si>
    <t>&lt;3</t>
  </si>
  <si>
    <t>3 o más</t>
  </si>
  <si>
    <t>Técnivo vs. Cabeceador</t>
  </si>
  <si>
    <t>39</t>
  </si>
  <si>
    <t>Oca Destruidas Pression</t>
  </si>
  <si>
    <t>Ocasiones Compartidas</t>
  </si>
  <si>
    <t>Posesión HT</t>
  </si>
  <si>
    <t>Ocasiones Gol</t>
  </si>
  <si>
    <t>Posesión Real</t>
  </si>
  <si>
    <t>Local</t>
  </si>
  <si>
    <t>Visitante</t>
  </si>
  <si>
    <t>G</t>
  </si>
  <si>
    <t>GT</t>
  </si>
  <si>
    <t>p(x)</t>
  </si>
  <si>
    <t>EE(x)</t>
  </si>
  <si>
    <t>OcaS</t>
  </si>
  <si>
    <t>P</t>
  </si>
  <si>
    <t>O_CA</t>
  </si>
  <si>
    <t>TotalN</t>
  </si>
  <si>
    <t>OcaCA</t>
  </si>
  <si>
    <t>Total</t>
  </si>
  <si>
    <t>E(x)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</si>
  <si>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</si>
  <si>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</si>
  <si>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</si>
  <si>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</si>
  <si>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</si>
  <si>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</si>
  <si>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</si>
  <si>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</si>
  <si>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</si>
  <si>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</si>
  <si>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</si>
  <si>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at-central</t>
  </si>
  <si>
    <t>at-derecha</t>
  </si>
  <si>
    <t>at-izquierda</t>
  </si>
  <si>
    <t>at-bp-d</t>
  </si>
  <si>
    <t>at-bp-i</t>
  </si>
  <si>
    <t>Tiro Lejano</t>
  </si>
  <si>
    <t>Efectividad</t>
  </si>
  <si>
    <t>Probabilidad de TL</t>
  </si>
  <si>
    <t>Probabilidad de CA</t>
  </si>
  <si>
    <t>Ocasiones Total Gol</t>
  </si>
  <si>
    <t>EMPATE</t>
  </si>
  <si>
    <t>VISITANT</t>
  </si>
  <si>
    <t>LOCAL</t>
  </si>
  <si>
    <t>Esp</t>
  </si>
  <si>
    <t>+/-</t>
  </si>
  <si>
    <t>Hab</t>
  </si>
  <si>
    <t>Tiempo</t>
  </si>
  <si>
    <t>Lluvia</t>
  </si>
  <si>
    <t>-</t>
  </si>
  <si>
    <t>-JUG-ANO</t>
  </si>
  <si>
    <t>1º+2º</t>
  </si>
  <si>
    <t>+</t>
  </si>
  <si>
    <t>+JUG+ANO</t>
  </si>
  <si>
    <t xml:space="preserve">POT </t>
  </si>
  <si>
    <t>+DF+JG+AN</t>
  </si>
  <si>
    <t>-ANO-RES</t>
  </si>
  <si>
    <t>2º</t>
  </si>
  <si>
    <t>-DEF-ANO</t>
  </si>
  <si>
    <t>-DEF</t>
  </si>
  <si>
    <t>Vader</t>
  </si>
  <si>
    <t>CAB</t>
  </si>
  <si>
    <t>CA</t>
  </si>
  <si>
    <t>Obiwan</t>
  </si>
  <si>
    <t>Eventos</t>
  </si>
  <si>
    <t>0,4</t>
  </si>
  <si>
    <t>0,6</t>
  </si>
  <si>
    <t>0,72</t>
  </si>
  <si>
    <t>pA</t>
  </si>
  <si>
    <t>Tiro lejano</t>
  </si>
  <si>
    <t>07</t>
  </si>
  <si>
    <t>JC</t>
  </si>
  <si>
    <t>Ev.Clima</t>
  </si>
  <si>
    <t>&lt;debil</t>
  </si>
  <si>
    <t>Constantes Clima</t>
  </si>
  <si>
    <t>pLocal50</t>
  </si>
  <si>
    <t>pVis50</t>
  </si>
  <si>
    <t>FORM</t>
  </si>
  <si>
    <t>rap</t>
  </si>
  <si>
    <t>Nublado</t>
  </si>
  <si>
    <t>Aventura</t>
  </si>
  <si>
    <t>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</si>
</sst>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_-* #,##0.00\ _€_-;\-* #,##0.00\ _€_-;_-* &quot;-&quot;??\ _€_-;_-@_-"/>
    <numFmt numFmtId="166" formatCode="0.0%"/>
    <numFmt numFmtId="167" formatCode="0.0000"/>
    <numFmt numFmtId="168" formatCode="_-* #,##0.000\ _€_-;\-* #,##0.000\ _€_-;_-* &quot;-&quot;??\ _€_-;_-@_-"/>
    <numFmt numFmtId="169" formatCode="0.000"/>
    <numFmt numFmtId="170" formatCode="#,##0.000_ ;\-#,##0.000\ "/>
  </numFmts>
  <fonts count="18" x14ac:knownFonts="1"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00B050"/>
      <name val="Calibri"/>
      <family val="2"/>
    </font>
    <font>
      <sz val="8"/>
      <color rgb="FF000000"/>
      <name val="Calibri"/>
      <family val="2"/>
    </font>
    <font>
      <sz val="8"/>
      <color rgb="FFFF0000"/>
      <name val="Calibri"/>
      <family val="2"/>
    </font>
    <font>
      <sz val="11"/>
      <color rgb="FFFFFFFF"/>
      <name val="Calibri"/>
      <family val="2"/>
    </font>
    <font>
      <sz val="8"/>
      <color rgb="FF000000"/>
      <name val="Verdana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b/>
      <sz val="9"/>
      <name val="Tahoma"/>
      <family val="2"/>
    </font>
    <font>
      <sz val="9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rgb="FFCCC0DA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FFFF00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224">
    <xf numFmtId="0" fontId="0" fillId="0" borderId="0" xfId="0"/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right"/>
    </xf>
    <xf numFmtId="2" fontId="3" fillId="0" borderId="2" xfId="0" applyNumberFormat="1" applyFont="1" applyBorder="1"/>
    <xf numFmtId="2" fontId="4" fillId="0" borderId="2" xfId="0" applyNumberFormat="1" applyFont="1" applyBorder="1"/>
    <xf numFmtId="0" fontId="5" fillId="3" borderId="3" xfId="0" applyFont="1" applyFill="1" applyBorder="1" applyAlignment="1">
      <alignment horizontal="right"/>
    </xf>
    <xf numFmtId="0" fontId="5" fillId="4" borderId="4" xfId="0" applyFont="1" applyFill="1" applyBorder="1" applyAlignment="1">
      <alignment horizontal="right"/>
    </xf>
    <xf numFmtId="0" fontId="5" fillId="5" borderId="5" xfId="0" applyFont="1" applyFill="1" applyBorder="1" applyAlignment="1">
      <alignment horizontal="right"/>
    </xf>
    <xf numFmtId="0" fontId="3" fillId="5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49" fontId="0" fillId="0" borderId="2" xfId="0" applyNumberForma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7" borderId="8" xfId="0" applyNumberFormat="1" applyFont="1" applyFill="1" applyBorder="1" applyAlignment="1">
      <alignment horizontal="center"/>
    </xf>
    <xf numFmtId="0" fontId="0" fillId="0" borderId="0" xfId="0"/>
    <xf numFmtId="49" fontId="4" fillId="0" borderId="2" xfId="0" applyNumberFormat="1" applyFont="1" applyBorder="1" applyAlignment="1">
      <alignment horizontal="center"/>
    </xf>
    <xf numFmtId="49" fontId="4" fillId="7" borderId="8" xfId="0" applyNumberFormat="1" applyFont="1" applyFill="1" applyBorder="1" applyAlignment="1">
      <alignment horizontal="center"/>
    </xf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2" fillId="7" borderId="8" xfId="0" applyFont="1" applyFill="1" applyBorder="1" applyAlignment="1">
      <alignment horizontal="right"/>
    </xf>
    <xf numFmtId="0" fontId="2" fillId="0" borderId="2" xfId="0" applyFont="1" applyBorder="1" applyAlignment="1">
      <alignment horizontal="right" wrapText="1"/>
    </xf>
    <xf numFmtId="0" fontId="2" fillId="5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0" xfId="0" applyNumberFormat="1" applyFont="1"/>
    <xf numFmtId="0" fontId="2" fillId="4" borderId="4" xfId="0" applyFont="1" applyFill="1" applyBorder="1" applyAlignment="1">
      <alignment horizontal="center"/>
    </xf>
    <xf numFmtId="0" fontId="0" fillId="0" borderId="0" xfId="0"/>
    <xf numFmtId="166" fontId="0" fillId="0" borderId="0" xfId="2" applyNumberFormat="1"/>
    <xf numFmtId="0" fontId="2" fillId="0" borderId="0" xfId="0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165" fontId="0" fillId="0" borderId="0" xfId="1"/>
    <xf numFmtId="166" fontId="0" fillId="0" borderId="2" xfId="2" applyNumberFormat="1" applyBorder="1" applyAlignment="1">
      <alignment horizontal="center"/>
    </xf>
    <xf numFmtId="0" fontId="2" fillId="8" borderId="9" xfId="0" applyFont="1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167" fontId="0" fillId="7" borderId="8" xfId="0" applyNumberFormat="1" applyFill="1" applyBorder="1"/>
    <xf numFmtId="167" fontId="0" fillId="7" borderId="8" xfId="0" applyNumberFormat="1" applyFill="1" applyBorder="1"/>
    <xf numFmtId="167" fontId="0" fillId="8" borderId="9" xfId="0" applyNumberFormat="1" applyFill="1" applyBorder="1"/>
    <xf numFmtId="167" fontId="0" fillId="8" borderId="9" xfId="0" applyNumberFormat="1" applyFill="1" applyBorder="1"/>
    <xf numFmtId="166" fontId="3" fillId="7" borderId="8" xfId="2" applyNumberFormat="1" applyFont="1" applyFill="1" applyBorder="1"/>
    <xf numFmtId="166" fontId="2" fillId="7" borderId="8" xfId="2" applyNumberFormat="1" applyFont="1" applyFill="1" applyBorder="1"/>
    <xf numFmtId="166" fontId="4" fillId="7" borderId="8" xfId="2" applyNumberFormat="1" applyFont="1" applyFill="1" applyBorder="1"/>
    <xf numFmtId="0" fontId="8" fillId="7" borderId="8" xfId="0" applyFont="1" applyFill="1" applyBorder="1"/>
    <xf numFmtId="0" fontId="9" fillId="7" borderId="8" xfId="0" applyFont="1" applyFill="1" applyBorder="1"/>
    <xf numFmtId="0" fontId="2" fillId="7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right" wrapText="1"/>
    </xf>
    <xf numFmtId="2" fontId="3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horizontal="right"/>
    </xf>
    <xf numFmtId="2" fontId="4" fillId="0" borderId="2" xfId="0" applyNumberFormat="1" applyFont="1" applyBorder="1" applyAlignment="1">
      <alignment wrapText="1"/>
    </xf>
    <xf numFmtId="0" fontId="7" fillId="0" borderId="2" xfId="0" applyFont="1" applyBorder="1" applyAlignment="1">
      <alignment horizontal="right"/>
    </xf>
    <xf numFmtId="169" fontId="2" fillId="5" borderId="5" xfId="0" applyNumberFormat="1" applyFont="1" applyFill="1" applyBorder="1"/>
    <xf numFmtId="169" fontId="2" fillId="6" borderId="6" xfId="0" applyNumberFormat="1" applyFont="1" applyFill="1" applyBorder="1"/>
    <xf numFmtId="168" fontId="0" fillId="6" borderId="6" xfId="1" applyNumberFormat="1" applyFill="1" applyBorder="1"/>
    <xf numFmtId="168" fontId="0" fillId="0" borderId="0" xfId="1" applyNumberFormat="1"/>
    <xf numFmtId="166" fontId="2" fillId="5" borderId="5" xfId="2" applyNumberFormat="1" applyFont="1" applyFill="1" applyBorder="1"/>
    <xf numFmtId="166" fontId="2" fillId="6" borderId="6" xfId="2" applyNumberFormat="1" applyFont="1" applyFill="1" applyBorder="1"/>
    <xf numFmtId="9" fontId="0" fillId="5" borderId="5" xfId="2" applyFill="1" applyBorder="1"/>
    <xf numFmtId="9" fontId="0" fillId="6" borderId="6" xfId="2" applyFill="1" applyBorder="1"/>
    <xf numFmtId="9" fontId="2" fillId="5" borderId="5" xfId="2" applyFont="1" applyFill="1" applyBorder="1"/>
    <xf numFmtId="9" fontId="2" fillId="9" borderId="10" xfId="2" applyFont="1" applyFill="1" applyBorder="1"/>
    <xf numFmtId="169" fontId="3" fillId="7" borderId="8" xfId="0" applyNumberFormat="1" applyFont="1" applyFill="1" applyBorder="1" applyAlignment="1">
      <alignment horizontal="center"/>
    </xf>
    <xf numFmtId="169" fontId="3" fillId="0" borderId="2" xfId="0" applyNumberFormat="1" applyFont="1" applyBorder="1" applyAlignment="1">
      <alignment horizontal="center"/>
    </xf>
    <xf numFmtId="169" fontId="4" fillId="7" borderId="8" xfId="0" applyNumberFormat="1" applyFont="1" applyFill="1" applyBorder="1" applyAlignment="1">
      <alignment horizontal="center"/>
    </xf>
    <xf numFmtId="169" fontId="4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8" fontId="0" fillId="0" borderId="2" xfId="1" applyNumberFormat="1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2" applyNumberFormat="1" applyBorder="1" applyAlignment="1">
      <alignment horizontal="center"/>
    </xf>
    <xf numFmtId="168" fontId="0" fillId="0" borderId="0" xfId="1" applyNumberFormat="1" applyAlignment="1">
      <alignment horizontal="center"/>
    </xf>
    <xf numFmtId="168" fontId="0" fillId="5" borderId="5" xfId="1" applyNumberFormat="1" applyFill="1" applyBorder="1"/>
    <xf numFmtId="166" fontId="0" fillId="0" borderId="0" xfId="2" applyNumberFormat="1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2" xfId="1" applyBorder="1" applyAlignment="1">
      <alignment horizontal="center"/>
    </xf>
    <xf numFmtId="165" fontId="0" fillId="0" borderId="2" xfId="1" applyBorder="1" applyAlignment="1">
      <alignment horizontal="center"/>
    </xf>
    <xf numFmtId="165" fontId="0" fillId="0" borderId="0" xfId="1"/>
    <xf numFmtId="165" fontId="0" fillId="0" borderId="0" xfId="0" applyNumberFormat="1"/>
    <xf numFmtId="168" fontId="0" fillId="0" borderId="0" xfId="0" applyNumberFormat="1"/>
    <xf numFmtId="0" fontId="2" fillId="1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/>
    </xf>
    <xf numFmtId="166" fontId="2" fillId="0" borderId="13" xfId="2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6" fontId="2" fillId="0" borderId="16" xfId="2" applyNumberFormat="1" applyFont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6" fontId="2" fillId="0" borderId="20" xfId="2" applyNumberFormat="1" applyFont="1" applyBorder="1" applyAlignment="1">
      <alignment horizontal="center"/>
    </xf>
    <xf numFmtId="0" fontId="2" fillId="12" borderId="21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2" fillId="14" borderId="23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2" fillId="16" borderId="26" xfId="0" applyFont="1" applyFill="1" applyBorder="1" applyAlignment="1">
      <alignment horizontal="center"/>
    </xf>
    <xf numFmtId="0" fontId="2" fillId="17" borderId="27" xfId="0" applyFont="1" applyFill="1" applyBorder="1" applyAlignment="1">
      <alignment horizontal="center"/>
    </xf>
    <xf numFmtId="0" fontId="2" fillId="18" borderId="28" xfId="0" applyFont="1" applyFill="1" applyBorder="1" applyAlignment="1">
      <alignment horizontal="center"/>
    </xf>
    <xf numFmtId="166" fontId="0" fillId="0" borderId="0" xfId="0" applyNumberFormat="1"/>
    <xf numFmtId="166" fontId="10" fillId="19" borderId="29" xfId="0" applyNumberFormat="1" applyFont="1" applyFill="1" applyBorder="1"/>
    <xf numFmtId="0" fontId="0" fillId="20" borderId="30" xfId="0" applyFill="1" applyBorder="1" applyAlignment="1">
      <alignment horizontal="right"/>
    </xf>
    <xf numFmtId="0" fontId="0" fillId="21" borderId="31" xfId="0" applyFill="1" applyBorder="1" applyAlignment="1">
      <alignment horizontal="right"/>
    </xf>
    <xf numFmtId="0" fontId="0" fillId="22" borderId="32" xfId="0" applyFill="1" applyBorder="1" applyAlignment="1">
      <alignment horizontal="right"/>
    </xf>
    <xf numFmtId="0" fontId="11" fillId="23" borderId="33" xfId="0" applyFont="1" applyFill="1" applyBorder="1" applyAlignment="1">
      <alignment horizontal="left" vertical="top" wrapText="1"/>
    </xf>
    <xf numFmtId="0" fontId="11" fillId="24" borderId="34" xfId="0" applyFont="1" applyFill="1" applyBorder="1" applyAlignment="1">
      <alignment horizontal="left" vertical="top" wrapText="1"/>
    </xf>
    <xf numFmtId="0" fontId="11" fillId="25" borderId="35" xfId="0" applyFont="1" applyFill="1" applyBorder="1" applyAlignment="1">
      <alignment horizontal="left" vertical="top" wrapText="1"/>
    </xf>
    <xf numFmtId="49" fontId="11" fillId="25" borderId="35" xfId="0" applyNumberFormat="1" applyFont="1" applyFill="1" applyBorder="1" applyAlignment="1">
      <alignment horizontal="left" vertical="top" wrapText="1"/>
    </xf>
    <xf numFmtId="0" fontId="11" fillId="26" borderId="36" xfId="0" applyFont="1" applyFill="1" applyBorder="1" applyAlignment="1">
      <alignment horizontal="left" vertical="top" wrapText="1"/>
    </xf>
    <xf numFmtId="9" fontId="0" fillId="27" borderId="37" xfId="2" applyFill="1" applyBorder="1"/>
    <xf numFmtId="9" fontId="0" fillId="6" borderId="6" xfId="2" applyFill="1" applyBorder="1"/>
    <xf numFmtId="9" fontId="0" fillId="5" borderId="5" xfId="2" applyFill="1" applyBorder="1"/>
    <xf numFmtId="9" fontId="3" fillId="0" borderId="2" xfId="2" applyFont="1" applyBorder="1"/>
    <xf numFmtId="9" fontId="4" fillId="0" borderId="2" xfId="2" applyFont="1" applyBorder="1"/>
    <xf numFmtId="0" fontId="12" fillId="0" borderId="7" xfId="0" applyFont="1" applyBorder="1" applyAlignment="1">
      <alignment horizontal="right"/>
    </xf>
    <xf numFmtId="0" fontId="0" fillId="0" borderId="0" xfId="0" applyAlignment="1">
      <alignment horizontal="center"/>
    </xf>
    <xf numFmtId="0" fontId="3" fillId="0" borderId="38" xfId="0" applyFont="1" applyBorder="1" applyAlignment="1">
      <alignment horizontal="center"/>
    </xf>
    <xf numFmtId="166" fontId="3" fillId="0" borderId="39" xfId="2" applyNumberFormat="1" applyFont="1" applyBorder="1" applyAlignment="1">
      <alignment horizontal="center"/>
    </xf>
    <xf numFmtId="166" fontId="3" fillId="0" borderId="13" xfId="2" applyNumberFormat="1" applyFont="1" applyBorder="1" applyAlignment="1">
      <alignment horizontal="center"/>
    </xf>
    <xf numFmtId="166" fontId="3" fillId="0" borderId="16" xfId="2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166" fontId="4" fillId="0" borderId="39" xfId="2" applyNumberFormat="1" applyFont="1" applyBorder="1" applyAlignment="1">
      <alignment horizontal="center"/>
    </xf>
    <xf numFmtId="166" fontId="4" fillId="0" borderId="13" xfId="2" applyNumberFormat="1" applyFont="1" applyBorder="1" applyAlignment="1">
      <alignment horizontal="center"/>
    </xf>
    <xf numFmtId="166" fontId="4" fillId="0" borderId="16" xfId="2" applyNumberFormat="1" applyFont="1" applyBorder="1" applyAlignment="1">
      <alignment horizontal="center"/>
    </xf>
    <xf numFmtId="0" fontId="2" fillId="28" borderId="40" xfId="0" applyFont="1" applyFill="1" applyBorder="1" applyAlignment="1">
      <alignment horizontal="center"/>
    </xf>
    <xf numFmtId="168" fontId="0" fillId="0" borderId="41" xfId="1" applyNumberFormat="1" applyBorder="1" applyAlignment="1">
      <alignment horizontal="center"/>
    </xf>
    <xf numFmtId="166" fontId="2" fillId="29" borderId="42" xfId="2" applyNumberFormat="1" applyFont="1" applyFill="1" applyBorder="1" applyAlignment="1">
      <alignment horizontal="center"/>
    </xf>
    <xf numFmtId="166" fontId="0" fillId="0" borderId="12" xfId="2" applyNumberFormat="1" applyBorder="1" applyAlignment="1">
      <alignment horizontal="center"/>
    </xf>
    <xf numFmtId="0" fontId="2" fillId="30" borderId="43" xfId="0" applyFont="1" applyFill="1" applyBorder="1" applyAlignment="1">
      <alignment horizontal="center"/>
    </xf>
    <xf numFmtId="0" fontId="2" fillId="31" borderId="44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32" borderId="45" xfId="0" applyFont="1" applyFill="1" applyBorder="1" applyAlignment="1">
      <alignment horizontal="center"/>
    </xf>
    <xf numFmtId="0" fontId="2" fillId="33" borderId="46" xfId="0" applyFont="1" applyFill="1" applyBorder="1" applyAlignment="1">
      <alignment horizontal="center"/>
    </xf>
    <xf numFmtId="0" fontId="2" fillId="34" borderId="47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2" fillId="20" borderId="30" xfId="0" applyFont="1" applyFill="1" applyBorder="1" applyAlignment="1">
      <alignment horizontal="right"/>
    </xf>
    <xf numFmtId="0" fontId="0" fillId="20" borderId="30" xfId="0" applyFill="1" applyBorder="1" applyAlignment="1">
      <alignment horizontal="center"/>
    </xf>
    <xf numFmtId="0" fontId="0" fillId="0" borderId="2" xfId="0" applyBorder="1"/>
    <xf numFmtId="168" fontId="0" fillId="0" borderId="0" xfId="0" applyNumberFormat="1" applyAlignment="1">
      <alignment horizontal="right"/>
    </xf>
    <xf numFmtId="10" fontId="0" fillId="35" borderId="48" xfId="2" applyNumberFormat="1" applyFill="1" applyBorder="1"/>
    <xf numFmtId="166" fontId="0" fillId="0" borderId="0" xfId="2" applyNumberFormat="1"/>
    <xf numFmtId="0" fontId="3" fillId="36" borderId="4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166" fontId="0" fillId="37" borderId="50" xfId="2" applyNumberForma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49" fontId="4" fillId="38" borderId="51" xfId="0" applyNumberFormat="1" applyFont="1" applyFill="1" applyBorder="1" applyAlignment="1">
      <alignment horizontal="center"/>
    </xf>
    <xf numFmtId="49" fontId="3" fillId="38" borderId="51" xfId="0" applyNumberFormat="1" applyFont="1" applyFill="1" applyBorder="1" applyAlignment="1">
      <alignment horizontal="center"/>
    </xf>
    <xf numFmtId="0" fontId="4" fillId="39" borderId="52" xfId="0" applyFont="1" applyFill="1" applyBorder="1" applyAlignment="1">
      <alignment horizontal="center"/>
    </xf>
    <xf numFmtId="0" fontId="3" fillId="39" borderId="52" xfId="0" applyFont="1" applyFill="1" applyBorder="1" applyAlignment="1">
      <alignment horizontal="center"/>
    </xf>
    <xf numFmtId="2" fontId="3" fillId="38" borderId="51" xfId="0" applyNumberFormat="1" applyFont="1" applyFill="1" applyBorder="1"/>
    <xf numFmtId="2" fontId="4" fillId="38" borderId="51" xfId="0" applyNumberFormat="1" applyFont="1" applyFill="1" applyBorder="1"/>
    <xf numFmtId="2" fontId="3" fillId="38" borderId="51" xfId="0" applyNumberFormat="1" applyFont="1" applyFill="1" applyBorder="1" applyAlignment="1">
      <alignment wrapText="1"/>
    </xf>
    <xf numFmtId="2" fontId="4" fillId="38" borderId="51" xfId="0" applyNumberFormat="1" applyFont="1" applyFill="1" applyBorder="1" applyAlignment="1">
      <alignment wrapText="1"/>
    </xf>
    <xf numFmtId="0" fontId="1" fillId="38" borderId="51" xfId="0" applyFont="1" applyFill="1" applyBorder="1" applyAlignment="1">
      <alignment horizontal="right"/>
    </xf>
    <xf numFmtId="0" fontId="7" fillId="38" borderId="51" xfId="0" applyFont="1" applyFill="1" applyBorder="1" applyAlignment="1">
      <alignment horizontal="right"/>
    </xf>
    <xf numFmtId="9" fontId="3" fillId="38" borderId="51" xfId="2" applyFont="1" applyFill="1" applyBorder="1"/>
    <xf numFmtId="9" fontId="4" fillId="38" borderId="51" xfId="2" applyFont="1" applyFill="1" applyBorder="1"/>
    <xf numFmtId="167" fontId="0" fillId="0" borderId="2" xfId="0" applyNumberFormat="1" applyBorder="1"/>
    <xf numFmtId="167" fontId="0" fillId="0" borderId="2" xfId="0" applyNumberFormat="1" applyBorder="1"/>
    <xf numFmtId="167" fontId="0" fillId="0" borderId="53" xfId="0" applyNumberFormat="1" applyBorder="1"/>
    <xf numFmtId="167" fontId="0" fillId="0" borderId="53" xfId="0" applyNumberFormat="1" applyBorder="1"/>
    <xf numFmtId="166" fontId="3" fillId="0" borderId="2" xfId="2" applyNumberFormat="1" applyFont="1" applyBorder="1"/>
    <xf numFmtId="166" fontId="2" fillId="0" borderId="2" xfId="2" applyNumberFormat="1" applyFont="1" applyBorder="1"/>
    <xf numFmtId="166" fontId="3" fillId="0" borderId="0" xfId="2" applyNumberFormat="1" applyFont="1"/>
    <xf numFmtId="166" fontId="2" fillId="0" borderId="0" xfId="2" applyNumberFormat="1" applyFont="1"/>
    <xf numFmtId="166" fontId="4" fillId="0" borderId="2" xfId="2" applyNumberFormat="1" applyFont="1" applyBorder="1"/>
    <xf numFmtId="166" fontId="4" fillId="0" borderId="0" xfId="2" applyNumberFormat="1" applyFont="1"/>
    <xf numFmtId="0" fontId="8" fillId="37" borderId="50" xfId="0" applyFont="1" applyFill="1" applyBorder="1"/>
    <xf numFmtId="0" fontId="9" fillId="37" borderId="50" xfId="0" applyFont="1" applyFill="1" applyBorder="1"/>
    <xf numFmtId="0" fontId="2" fillId="37" borderId="50" xfId="0" applyFont="1" applyFill="1" applyBorder="1" applyAlignment="1">
      <alignment horizontal="right"/>
    </xf>
    <xf numFmtId="0" fontId="2" fillId="37" borderId="50" xfId="0" applyFont="1" applyFill="1" applyBorder="1" applyAlignment="1">
      <alignment horizontal="right" wrapText="1"/>
    </xf>
    <xf numFmtId="0" fontId="2" fillId="40" borderId="54" xfId="0" applyFont="1" applyFill="1" applyBorder="1" applyAlignment="1">
      <alignment horizontal="right"/>
    </xf>
    <xf numFmtId="0" fontId="0" fillId="40" borderId="54" xfId="0" applyFill="1" applyBorder="1" applyAlignment="1">
      <alignment horizontal="right"/>
    </xf>
    <xf numFmtId="0" fontId="2" fillId="37" borderId="50" xfId="0" applyFont="1" applyFill="1" applyBorder="1" applyAlignment="1">
      <alignment horizontal="center"/>
    </xf>
    <xf numFmtId="168" fontId="3" fillId="0" borderId="2" xfId="1" applyNumberFormat="1" applyFont="1" applyBorder="1" applyAlignment="1">
      <alignment horizontal="center"/>
    </xf>
    <xf numFmtId="168" fontId="4" fillId="0" borderId="2" xfId="1" applyNumberFormat="1" applyFont="1" applyBorder="1" applyAlignment="1">
      <alignment horizontal="center"/>
    </xf>
    <xf numFmtId="168" fontId="3" fillId="38" borderId="51" xfId="1" applyNumberFormat="1" applyFont="1" applyFill="1" applyBorder="1" applyAlignment="1">
      <alignment horizontal="center"/>
    </xf>
    <xf numFmtId="168" fontId="4" fillId="38" borderId="51" xfId="1" applyNumberFormat="1" applyFont="1" applyFill="1" applyBorder="1" applyAlignment="1">
      <alignment horizontal="center"/>
    </xf>
    <xf numFmtId="0" fontId="0" fillId="41" borderId="55" xfId="0" applyFill="1" applyBorder="1" applyAlignment="1">
      <alignment horizontal="center"/>
    </xf>
    <xf numFmtId="169" fontId="0" fillId="0" borderId="0" xfId="0" applyNumberFormat="1" applyAlignment="1">
      <alignment horizontal="center"/>
    </xf>
    <xf numFmtId="0" fontId="1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9" fontId="0" fillId="0" borderId="0" xfId="0" applyNumberFormat="1"/>
    <xf numFmtId="169" fontId="3" fillId="0" borderId="2" xfId="1" applyNumberFormat="1" applyFont="1" applyBorder="1" applyAlignment="1">
      <alignment horizontal="center"/>
    </xf>
    <xf numFmtId="169" fontId="4" fillId="0" borderId="2" xfId="1" applyNumberFormat="1" applyFont="1" applyBorder="1" applyAlignment="1">
      <alignment horizontal="center"/>
    </xf>
    <xf numFmtId="170" fontId="3" fillId="38" borderId="51" xfId="1" applyNumberFormat="1" applyFont="1" applyFill="1" applyBorder="1" applyAlignment="1">
      <alignment horizontal="center"/>
    </xf>
    <xf numFmtId="170" fontId="4" fillId="38" borderId="51" xfId="1" applyNumberFormat="1" applyFont="1" applyFill="1" applyBorder="1" applyAlignment="1">
      <alignment horizontal="center"/>
    </xf>
    <xf numFmtId="167" fontId="3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42" borderId="56" xfId="0" applyFill="1" applyBorder="1" applyAlignment="1">
      <alignment horizontal="center"/>
    </xf>
    <xf numFmtId="0" fontId="0" fillId="43" borderId="57" xfId="0" applyFill="1" applyBorder="1" applyAlignment="1">
      <alignment horizontal="center"/>
    </xf>
    <xf numFmtId="0" fontId="0" fillId="0" borderId="58" xfId="0" applyBorder="1" applyAlignment="1">
      <alignment horizontal="center"/>
    </xf>
    <xf numFmtId="166" fontId="0" fillId="0" borderId="0" xfId="2" applyNumberFormat="1" applyFont="1"/>
    <xf numFmtId="166" fontId="0" fillId="37" borderId="50" xfId="2" applyNumberFormat="1" applyFont="1" applyFill="1" applyBorder="1" applyAlignment="1">
      <alignment horizontal="center"/>
    </xf>
    <xf numFmtId="165" fontId="0" fillId="0" borderId="0" xfId="1" applyFont="1"/>
    <xf numFmtId="9" fontId="0" fillId="5" borderId="5" xfId="2" applyFont="1" applyFill="1" applyBorder="1"/>
    <xf numFmtId="9" fontId="0" fillId="6" borderId="6" xfId="2" applyFont="1" applyFill="1" applyBorder="1"/>
    <xf numFmtId="168" fontId="0" fillId="0" borderId="0" xfId="1" applyNumberFormat="1" applyFont="1"/>
    <xf numFmtId="9" fontId="0" fillId="27" borderId="37" xfId="2" applyFont="1" applyFill="1" applyBorder="1"/>
    <xf numFmtId="168" fontId="0" fillId="0" borderId="2" xfId="1" applyNumberFormat="1" applyFont="1" applyBorder="1" applyAlignment="1">
      <alignment horizontal="center"/>
    </xf>
    <xf numFmtId="166" fontId="0" fillId="0" borderId="2" xfId="2" applyNumberFormat="1" applyFont="1" applyBorder="1" applyAlignment="1">
      <alignment horizontal="center"/>
    </xf>
    <xf numFmtId="168" fontId="0" fillId="0" borderId="41" xfId="1" applyNumberFormat="1" applyFont="1" applyBorder="1" applyAlignment="1">
      <alignment horizontal="center"/>
    </xf>
    <xf numFmtId="165" fontId="0" fillId="0" borderId="2" xfId="1" applyFont="1" applyBorder="1" applyAlignment="1">
      <alignment horizontal="center"/>
    </xf>
    <xf numFmtId="166" fontId="0" fillId="0" borderId="12" xfId="2" applyNumberFormat="1" applyFont="1" applyBorder="1" applyAlignment="1">
      <alignment horizontal="center"/>
    </xf>
    <xf numFmtId="168" fontId="0" fillId="5" borderId="5" xfId="1" applyNumberFormat="1" applyFont="1" applyFill="1" applyBorder="1"/>
    <xf numFmtId="168" fontId="0" fillId="6" borderId="6" xfId="1" applyNumberFormat="1" applyFont="1" applyFill="1" applyBorder="1"/>
    <xf numFmtId="168" fontId="0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</cellXfs>
  <cellStyles count="3">
    <cellStyle name="Millares" xfId="1" builtinId="3" customBuiltin="1"/>
    <cellStyle name="Normal" xfId="0" builtinId="0" customBuiltin="1"/>
    <cellStyle name="Porcentaje" xfId="2" builtinId="5" customBuiltin="1"/>
  </cellStyles>
  <dxfs count="84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253380" count="1">
        <pm:charStyle name="Normal" fontId="0" Id="1"/>
      </pm:charStyles>
      <pm:colors xmlns:pm="smNativeData" id="1595253380" count="16">
        <pm:color name="Color 24" rgb="00B050"/>
        <pm:color name="Color 25" rgb="E6B8B7"/>
        <pm:color name="Color 26" rgb="D7E3BB"/>
        <pm:color name="Color 27" rgb="CCC0DA"/>
        <pm:color name="Color 28" rgb="FCD5B4"/>
        <pm:color name="Color 29" rgb="C2D69A"/>
        <pm:color name="Color 30" rgb="D8D8D8"/>
        <pm:color name="Color 31" rgb="FDE9D9"/>
        <pm:color name="Color 32" rgb="DAEEF3"/>
        <pm:color name="Color 33" rgb="C4BD97"/>
        <pm:color name="Color 34" rgb="DCE6F1"/>
        <pm:color name="Color 35" rgb="B7DEE8"/>
        <pm:color name="Color 36" rgb="006100"/>
        <pm:color name="Color 37" rgb="C6EFCE"/>
        <pm:color name="Color 38" rgb="E26B0A"/>
        <pm:color name="Color 39" rgb="585858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'Obiwan-AVENTURA'!$G$25:$G$35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'Obiwan-AVENTURA'!$H$25:$H$35</c:f>
              <c:numCache>
                <c:formatCode>0.0%</c:formatCode>
                <c:ptCount val="11"/>
                <c:pt idx="0">
                  <c:v>9.3965563646966982E-2</c:v>
                </c:pt>
                <c:pt idx="1">
                  <c:v>0.23929854572461176</c:v>
                </c:pt>
                <c:pt idx="2">
                  <c:v>0.28572352355791686</c:v>
                </c:pt>
                <c:pt idx="3">
                  <c:v>0.21290799064996338</c:v>
                </c:pt>
                <c:pt idx="4">
                  <c:v>0.11061284049288098</c:v>
                </c:pt>
                <c:pt idx="5">
                  <c:v>4.2223796031421887E-2</c:v>
                </c:pt>
                <c:pt idx="6">
                  <c:v>1.2132068547229266E-2</c:v>
                </c:pt>
                <c:pt idx="7">
                  <c:v>2.6431737489935507E-3</c:v>
                </c:pt>
                <c:pt idx="8">
                  <c:v>4.3453185812258454E-4</c:v>
                </c:pt>
                <c:pt idx="9">
                  <c:v>5.3023955902328359E-5</c:v>
                </c:pt>
                <c:pt idx="10">
                  <c:v>4.6539092944203254E-6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4691-482C-B717-4CEEEE5B81B8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'Obiwan-AVENTURA'!$H$39:$H$49</c:f>
              <c:numCache>
                <c:formatCode>0.0%</c:formatCode>
                <c:ptCount val="11"/>
                <c:pt idx="0">
                  <c:v>0.45847898638796841</c:v>
                </c:pt>
                <c:pt idx="1">
                  <c:v>0.36619400638294619</c:v>
                </c:pt>
                <c:pt idx="2">
                  <c:v>0.13725321179469585</c:v>
                </c:pt>
                <c:pt idx="3">
                  <c:v>3.2108635687773987E-2</c:v>
                </c:pt>
                <c:pt idx="4">
                  <c:v>5.2591918285662996E-3</c:v>
                </c:pt>
                <c:pt idx="5">
                  <c:v>6.4100347016164065E-4</c:v>
                </c:pt>
                <c:pt idx="6">
                  <c:v>6.0240406578928883E-5</c:v>
                </c:pt>
                <c:pt idx="7">
                  <c:v>4.4515465378859806E-6</c:v>
                </c:pt>
                <c:pt idx="8">
                  <c:v>2.6015974963760459E-7</c:v>
                </c:pt>
                <c:pt idx="9">
                  <c:v>1.1909484188031742E-8</c:v>
                </c:pt>
                <c:pt idx="10">
                  <c:v>4.1494162354658087E-10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4691-482C-B717-4CEEEE5B8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08A2-4F67-9096-6C7CF8CCB3F5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08A2-4F67-9096-6C7CF8CCB3F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8A2-4F67-9096-6C7CF8CCB3F5}"/>
              </c:ext>
            </c:extLst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08A2-4F67-9096-6C7CF8CCB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E4D6-47EE-BF97-A9D6F6D96B40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E4D6-47EE-BF97-A9D6F6D9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2AAF-4476-90AE-74C5EE96A591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2AAF-4476-90AE-74C5EE96A59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AAF-4476-90AE-74C5EE96A591}"/>
              </c:ext>
            </c:extLst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2AAF-4476-90AE-74C5EE96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rPr lang="es-ES"/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1F0A-4DEB-9616-A36C612834DB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1F0A-4DEB-9616-A36C612834D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1F0A-4DEB-9616-A36C612834DB}"/>
              </c:ext>
            </c:extLst>
          </c:dPt>
          <c:val>
            <c:numRef>
              <c:f>'Obiwan-AVENTURA'!$B$37:$B$39</c:f>
              <c:numCache>
                <c:formatCode>0.0%</c:formatCode>
                <c:ptCount val="3"/>
                <c:pt idx="0">
                  <c:v>0.17737312842442921</c:v>
                </c:pt>
                <c:pt idx="1">
                  <c:v>0.11063162296925856</c:v>
                </c:pt>
                <c:pt idx="2">
                  <c:v>0.71199030680972875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1F0A-4DEB-9616-A36C61283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SIMULADOR_v3!$G$25:$G$35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SIMULADOR_v3!$H$25:$H$35</c:f>
              <c:numCache>
                <c:formatCode>0.0%</c:formatCode>
                <c:ptCount val="11"/>
                <c:pt idx="0">
                  <c:v>9.3225451797071437E-2</c:v>
                </c:pt>
                <c:pt idx="1">
                  <c:v>0.24481020691450373</c:v>
                </c:pt>
                <c:pt idx="2">
                  <c:v>0.29416318220185661</c:v>
                </c:pt>
                <c:pt idx="3">
                  <c:v>0.2140607182398547</c:v>
                </c:pt>
                <c:pt idx="4">
                  <c:v>0.10522371719928361</c:v>
                </c:pt>
                <c:pt idx="5">
                  <c:v>3.6899161971718525E-2</c:v>
                </c:pt>
                <c:pt idx="6">
                  <c:v>9.5031878895729255E-3</c:v>
                </c:pt>
                <c:pt idx="7">
                  <c:v>1.8229945738542175E-3</c:v>
                </c:pt>
                <c:pt idx="8">
                  <c:v>2.6131240187717518E-4</c:v>
                </c:pt>
                <c:pt idx="9">
                  <c:v>2.7796070751196754E-5</c:v>
                </c:pt>
                <c:pt idx="10">
                  <c:v>2.1507442922897612E-6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C95F-4E52-BDAD-89AD417D7EA4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SIMULADOR_v3!$H$39:$H$49</c:f>
              <c:numCache>
                <c:formatCode>0.0%</c:formatCode>
                <c:ptCount val="11"/>
                <c:pt idx="0">
                  <c:v>1.0768418663279985E-2</c:v>
                </c:pt>
                <c:pt idx="1">
                  <c:v>5.9336437774699977E-2</c:v>
                </c:pt>
                <c:pt idx="2">
                  <c:v>0.14959176237989219</c:v>
                </c:pt>
                <c:pt idx="3">
                  <c:v>0.22831915969096711</c:v>
                </c:pt>
                <c:pt idx="4">
                  <c:v>0.23524510145670899</c:v>
                </c:pt>
                <c:pt idx="5">
                  <c:v>0.17271405769900178</c:v>
                </c:pt>
                <c:pt idx="6">
                  <c:v>9.29562669732171E-2</c:v>
                </c:pt>
                <c:pt idx="7">
                  <c:v>3.7158437809169047E-2</c:v>
                </c:pt>
                <c:pt idx="8">
                  <c:v>1.1053619182141049E-2</c:v>
                </c:pt>
                <c:pt idx="9">
                  <c:v>2.4265414645050455E-3</c:v>
                </c:pt>
                <c:pt idx="10">
                  <c:v>3.8489776611453692E-4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C95F-4E52-BDAD-89AD417D7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rPr lang="es-ES"/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7160-4B36-A526-E94A2FF69A2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7160-4B36-A526-E94A2FF69A2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7160-4B36-A526-E94A2FF69A28}"/>
              </c:ext>
            </c:extLst>
          </c:dPt>
          <c:val>
            <c:numRef>
              <c:f>SIMULADOR_v3!$B$37:$B$39</c:f>
              <c:numCache>
                <c:formatCode>0.0%</c:formatCode>
                <c:ptCount val="3"/>
                <c:pt idx="0">
                  <c:v>0.14048905371143711</c:v>
                </c:pt>
                <c:pt idx="1">
                  <c:v>0.7067753884939828</c:v>
                </c:pt>
                <c:pt idx="2">
                  <c:v>0.15268798884529994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7160-4B36-A526-E94A2FF69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'SIMULADOR&gt;22-12-17_v2'!$G$25:$G$35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'SIMULADOR&gt;22-12-17_v2'!$H$25:$H$35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688D-4546-90DD-5E30B5FEF743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'SIMULADOR&gt;22-12-17_v2'!$H$39:$H$49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688D-4546-90DD-5E30B5FEF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3246-44AA-8374-8382191FF020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3246-44AA-8374-8382191FF02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3246-44AA-8374-8382191FF020}"/>
              </c:ext>
            </c:extLst>
          </c:dPt>
          <c:val>
            <c:numRef>
              <c:f>'SIMULADOR&gt;22-12-17_v2'!$B$37:$B$39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3246-44AA-8374-8382191F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0.11729554082099101</c:v>
                </c:pt>
                <c:pt idx="1">
                  <c:v>0.27152796609913654</c:v>
                </c:pt>
                <c:pt idx="2">
                  <c:v>0.2917401663391731</c:v>
                </c:pt>
                <c:pt idx="3">
                  <c:v>0.19309454238427987</c:v>
                </c:pt>
                <c:pt idx="4">
                  <c:v>8.8066690842485224E-2</c:v>
                </c:pt>
                <c:pt idx="5">
                  <c:v>2.9304768260192272E-2</c:v>
                </c:pt>
                <c:pt idx="6">
                  <c:v>7.3378102626105316E-3</c:v>
                </c:pt>
                <c:pt idx="7">
                  <c:v>1.402822717321473E-3</c:v>
                </c:pt>
                <c:pt idx="8">
                  <c:v>2.0507712971897473E-4</c:v>
                </c:pt>
                <c:pt idx="9">
                  <c:v>2.266480783309812E-5</c:v>
                </c:pt>
                <c:pt idx="10">
                  <c:v>1.8421385796623046E-6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0F78-4C93-87C7-25014BC73144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'SIMULADOR&gt;22-12-17'!$H$39:$H$49</c:f>
              <c:numCache>
                <c:formatCode>0.0%</c:formatCode>
                <c:ptCount val="11"/>
                <c:pt idx="0">
                  <c:v>3.5891216279918037E-2</c:v>
                </c:pt>
                <c:pt idx="1">
                  <c:v>0.13394167206785365</c:v>
                </c:pt>
                <c:pt idx="2">
                  <c:v>0.23283735761668781</c:v>
                </c:pt>
                <c:pt idx="3">
                  <c:v>0.25045819541552683</c:v>
                </c:pt>
                <c:pt idx="4">
                  <c:v>0.18649765693945197</c:v>
                </c:pt>
                <c:pt idx="5">
                  <c:v>0.10169269462425716</c:v>
                </c:pt>
                <c:pt idx="6">
                  <c:v>4.1800753514072017E-2</c:v>
                </c:pt>
                <c:pt idx="7">
                  <c:v>1.3107590682356623E-2</c:v>
                </c:pt>
                <c:pt idx="8">
                  <c:v>3.1309638772704018E-3</c:v>
                </c:pt>
                <c:pt idx="9">
                  <c:v>5.6156131532783256E-4</c:v>
                </c:pt>
                <c:pt idx="10">
                  <c:v>7.336160298841875E-5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0F78-4C93-87C7-25014BC73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0954-49FB-9354-589796E11576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0954-49FB-9354-589796E1157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954-49FB-9354-589796E11576}"/>
              </c:ext>
            </c:extLst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0.17659899041025631</c:v>
                </c:pt>
                <c:pt idx="1">
                  <c:v>0.59597225178515745</c:v>
                </c:pt>
                <c:pt idx="2">
                  <c:v>0.227419831552787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0954-49FB-9354-589796E11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0741-41C2-AFA1-EDBD243D68FA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0741-41C2-AFA1-EDBD243D6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22</xdr:row>
      <xdr:rowOff>24130</xdr:rowOff>
    </xdr:from>
    <xdr:to>
      <xdr:col>31</xdr:col>
      <xdr:colOff>535940</xdr:colOff>
      <xdr:row>48</xdr:row>
      <xdr:rowOff>78105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661E8C8-7EAA-4DDB-87F8-70D5F1F0A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4B28E90-5459-475B-8B22-69B6641E8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22</xdr:row>
      <xdr:rowOff>24130</xdr:rowOff>
    </xdr:from>
    <xdr:to>
      <xdr:col>31</xdr:col>
      <xdr:colOff>535940</xdr:colOff>
      <xdr:row>48</xdr:row>
      <xdr:rowOff>78105</xdr:rowOff>
    </xdr:to>
    <xdr:graphicFrame macro="">
      <xdr:nvGraphicFramePr>
        <xdr:cNvPr id="23" name="Graphique 1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2" name="Graphiqu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22</xdr:row>
      <xdr:rowOff>24130</xdr:rowOff>
    </xdr:from>
    <xdr:to>
      <xdr:col>31</xdr:col>
      <xdr:colOff>535940</xdr:colOff>
      <xdr:row>48</xdr:row>
      <xdr:rowOff>78105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4" name="Graphique 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22</xdr:row>
      <xdr:rowOff>24130</xdr:rowOff>
    </xdr:from>
    <xdr:to>
      <xdr:col>31</xdr:col>
      <xdr:colOff>535940</xdr:colOff>
      <xdr:row>48</xdr:row>
      <xdr:rowOff>78105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4" name="Graphique 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22</xdr:row>
      <xdr:rowOff>24130</xdr:rowOff>
    </xdr:from>
    <xdr:to>
      <xdr:col>31</xdr:col>
      <xdr:colOff>535940</xdr:colOff>
      <xdr:row>48</xdr:row>
      <xdr:rowOff>78105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4" name="Graphique 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21</xdr:row>
      <xdr:rowOff>24130</xdr:rowOff>
    </xdr:from>
    <xdr:to>
      <xdr:col>31</xdr:col>
      <xdr:colOff>535940</xdr:colOff>
      <xdr:row>47</xdr:row>
      <xdr:rowOff>78105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4" name="Graphique 2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9582E-3A3E-4445-A937-FDA853869CD4}">
  <sheetPr>
    <tabColor rgb="FF00B0F0"/>
  </sheetPr>
  <dimension ref="A1:BR59"/>
  <sheetViews>
    <sheetView tabSelected="1" zoomScale="80" workbookViewId="0">
      <selection activeCell="G12" sqref="G12"/>
    </sheetView>
  </sheetViews>
  <sheetFormatPr baseColWidth="10" defaultColWidth="9.140625" defaultRowHeight="15" x14ac:dyDescent="0.25"/>
  <cols>
    <col min="1" max="1" width="22.7109375" style="31" customWidth="1"/>
    <col min="2" max="3" width="9.140625" style="31"/>
    <col min="4" max="4" width="11.28515625" style="31" customWidth="1"/>
    <col min="5" max="5" width="10.140625" style="31" customWidth="1"/>
    <col min="6" max="6" width="4.85546875" style="31" customWidth="1"/>
    <col min="7" max="7" width="6" style="31" customWidth="1"/>
    <col min="8" max="8" width="9.140625" style="31"/>
    <col min="9" max="9" width="4.42578125" style="31" customWidth="1"/>
    <col min="10" max="10" width="9.140625" style="31"/>
    <col min="11" max="11" width="6" style="31" customWidth="1"/>
    <col min="12" max="12" width="9.140625" style="31"/>
    <col min="13" max="13" width="5.7109375" style="31" customWidth="1"/>
    <col min="14" max="14" width="9.140625" style="31"/>
    <col min="15" max="15" width="8.42578125" style="31" customWidth="1"/>
    <col min="16" max="16" width="10.140625" style="31" customWidth="1"/>
    <col min="17" max="17" width="8.85546875" style="31" customWidth="1"/>
    <col min="18" max="18" width="9.140625" style="31"/>
    <col min="19" max="19" width="8.85546875" style="31" customWidth="1"/>
    <col min="20" max="20" width="9.140625" style="31"/>
    <col min="21" max="21" width="8.85546875" style="31" customWidth="1"/>
    <col min="22" max="22" width="9.140625" style="31"/>
    <col min="23" max="23" width="17.42578125" style="31" customWidth="1"/>
    <col min="24" max="24" width="7.140625" style="31" customWidth="1"/>
    <col min="25" max="25" width="8.42578125" style="31" customWidth="1"/>
    <col min="26" max="26" width="8.7109375" style="31" customWidth="1"/>
    <col min="27" max="27" width="8" style="31" customWidth="1"/>
    <col min="28" max="28" width="10" style="31" customWidth="1"/>
    <col min="29" max="29" width="8.42578125" style="31" customWidth="1"/>
    <col min="30" max="30" width="8.85546875" style="31" customWidth="1"/>
    <col min="31" max="31" width="8.42578125" style="31" customWidth="1"/>
    <col min="32" max="32" width="8.7109375" style="31" customWidth="1"/>
    <col min="33" max="33" width="8.42578125" style="31" customWidth="1"/>
    <col min="34" max="34" width="3.7109375" style="31" customWidth="1"/>
    <col min="35" max="35" width="9.140625" style="31"/>
    <col min="36" max="36" width="3.7109375" style="31" customWidth="1"/>
    <col min="37" max="37" width="8.42578125" style="31" customWidth="1"/>
    <col min="38" max="38" width="4.85546875" style="31" customWidth="1"/>
    <col min="39" max="41" width="9.140625" style="31"/>
    <col min="42" max="42" width="4.5703125" style="31" customWidth="1"/>
    <col min="43" max="43" width="8.42578125" style="3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4.7109375" style="31" customWidth="1"/>
    <col min="64" max="65" width="3.42578125" style="31" customWidth="1"/>
    <col min="66" max="66" width="6.140625" style="31" customWidth="1"/>
    <col min="67" max="67" width="4.42578125" style="3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0" x14ac:dyDescent="0.25">
      <c r="A1" s="153" t="s">
        <v>146</v>
      </c>
      <c r="B1" s="31" t="s">
        <v>0</v>
      </c>
      <c r="F1" s="194" t="s">
        <v>1</v>
      </c>
      <c r="G1" s="192">
        <f>IF(D3="SI",COUNTIF($F$6:$F$18,"RAP"),0)</f>
        <v>3</v>
      </c>
      <c r="H1" s="158"/>
      <c r="J1" s="195" t="s">
        <v>1</v>
      </c>
      <c r="K1" s="192">
        <f>IF(D3="SI",COUNTIF($J$6:$J$18,"RAP"),0)</f>
        <v>0</v>
      </c>
      <c r="L1" s="158"/>
      <c r="P1" s="204"/>
      <c r="Q1" s="204"/>
      <c r="R1" s="208"/>
      <c r="S1" s="208"/>
      <c r="U1" s="31">
        <v>1.5</v>
      </c>
      <c r="V1" s="31">
        <v>2.5</v>
      </c>
      <c r="W1" s="31">
        <v>3.5</v>
      </c>
      <c r="AI1" s="157"/>
    </row>
    <row r="2" spans="1:70" x14ac:dyDescent="0.25">
      <c r="A2" s="153" t="s">
        <v>163</v>
      </c>
      <c r="B2" s="31" t="s">
        <v>0</v>
      </c>
      <c r="F2" s="194" t="s">
        <v>2</v>
      </c>
      <c r="G2" s="192">
        <f>IF(D3="SI",COUNTIF($F$6:$F$18,"TEC"),0)</f>
        <v>0</v>
      </c>
      <c r="H2" s="158"/>
      <c r="J2" s="195" t="s">
        <v>2</v>
      </c>
      <c r="K2" s="192">
        <f>IF(D3="SI",COUNTIF($J$6:$J$18,"TEC"),0)</f>
        <v>1</v>
      </c>
      <c r="L2" s="158"/>
      <c r="M2" s="158"/>
      <c r="O2" s="31" t="s">
        <v>3</v>
      </c>
      <c r="P2" s="201">
        <v>0.45</v>
      </c>
      <c r="R2" s="208"/>
      <c r="S2" s="208"/>
      <c r="Y2" s="31" t="s">
        <v>3</v>
      </c>
      <c r="Z2" s="202">
        <v>0.45</v>
      </c>
      <c r="AI2" s="158"/>
    </row>
    <row r="3" spans="1:70" x14ac:dyDescent="0.25">
      <c r="A3" s="157" t="s">
        <v>4</v>
      </c>
      <c r="B3" s="205" t="s">
        <v>5</v>
      </c>
      <c r="C3" s="205"/>
      <c r="D3" s="31" t="str">
        <f>IF(B3="Sol","SI",IF(B3="Lluvia","SI","NO"))</f>
        <v>SI</v>
      </c>
      <c r="F3" s="194" t="s">
        <v>6</v>
      </c>
      <c r="G3" s="192">
        <f>IF(D3="SI",COUNTIF($F$6:$F$18,"POT"),0)</f>
        <v>1</v>
      </c>
      <c r="H3" s="158"/>
      <c r="J3" s="195" t="s">
        <v>6</v>
      </c>
      <c r="K3" s="192">
        <f>IF(D3="SI",COUNTIF($J$6:$J$18,"POT"),0)</f>
        <v>1</v>
      </c>
      <c r="L3" s="158"/>
      <c r="O3" s="31" t="s">
        <v>7</v>
      </c>
      <c r="P3" s="201">
        <v>0.56999999999999995</v>
      </c>
      <c r="Q3" s="31" t="s">
        <v>8</v>
      </c>
      <c r="R3" s="201">
        <v>0.7</v>
      </c>
      <c r="Y3" s="31" t="s">
        <v>7</v>
      </c>
      <c r="Z3" s="202">
        <v>0.56999999999999995</v>
      </c>
      <c r="AA3" s="31" t="s">
        <v>8</v>
      </c>
      <c r="AB3" s="202">
        <v>0.7</v>
      </c>
      <c r="AI3" s="197">
        <f>SUM(AI5:AI19)</f>
        <v>3.6837000000000013</v>
      </c>
      <c r="AM3" s="197">
        <f>SUM(AM5:AM19)</f>
        <v>3.6837000000000009</v>
      </c>
      <c r="AN3" s="197">
        <f>SUM(AN5:AN19)</f>
        <v>2.6557999999999997</v>
      </c>
    </row>
    <row r="4" spans="1:70" ht="15.75" x14ac:dyDescent="0.25">
      <c r="A4" s="122"/>
      <c r="B4" s="8" t="s">
        <v>9</v>
      </c>
      <c r="C4" s="9" t="s">
        <v>10</v>
      </c>
      <c r="D4" s="158"/>
      <c r="E4" s="158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58"/>
      <c r="O4" s="8" t="s">
        <v>16</v>
      </c>
      <c r="P4" s="8" t="s">
        <v>17</v>
      </c>
      <c r="Q4" s="8" t="s">
        <v>18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58"/>
      <c r="X4" s="28" t="s">
        <v>23</v>
      </c>
      <c r="Y4" s="9" t="s">
        <v>16</v>
      </c>
      <c r="Z4" s="9" t="s">
        <v>17</v>
      </c>
      <c r="AA4" s="9" t="s">
        <v>18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AG4" s="8" t="s">
        <v>25</v>
      </c>
      <c r="AH4" s="8" t="s">
        <v>26</v>
      </c>
      <c r="AI4" s="153" t="s">
        <v>27</v>
      </c>
      <c r="AK4" s="9" t="s">
        <v>25</v>
      </c>
      <c r="AL4" s="9" t="s">
        <v>26</v>
      </c>
      <c r="AM4" s="158" t="s">
        <v>28</v>
      </c>
      <c r="AO4" s="31" t="s">
        <v>29</v>
      </c>
      <c r="BH4" s="31">
        <v>0</v>
      </c>
      <c r="BI4" s="31">
        <v>1</v>
      </c>
      <c r="BJ4" s="107">
        <f t="shared" ref="BJ4:BJ13" si="0">$H$25*H40</f>
        <v>3.4409626213914565E-2</v>
      </c>
      <c r="BL4" s="31">
        <v>0</v>
      </c>
      <c r="BM4" s="31">
        <v>0</v>
      </c>
      <c r="BN4" s="107">
        <f>H25*H39</f>
        <v>4.3081236376235552E-2</v>
      </c>
      <c r="BP4" s="31">
        <v>1</v>
      </c>
      <c r="BQ4" s="31">
        <v>0</v>
      </c>
      <c r="BR4" s="107">
        <f>$H$26*H39</f>
        <v>0.10971335468793492</v>
      </c>
    </row>
    <row r="5" spans="1:70" x14ac:dyDescent="0.25">
      <c r="A5" s="40" t="s">
        <v>30</v>
      </c>
      <c r="B5" s="154">
        <v>451</v>
      </c>
      <c r="C5" s="154">
        <v>541</v>
      </c>
      <c r="E5" s="187" t="s">
        <v>31</v>
      </c>
      <c r="F5" s="162" t="s">
        <v>37</v>
      </c>
      <c r="G5" s="162">
        <v>12</v>
      </c>
      <c r="H5" s="10"/>
      <c r="I5" s="10"/>
      <c r="J5" s="161" t="s">
        <v>32</v>
      </c>
      <c r="K5" s="161">
        <v>12</v>
      </c>
      <c r="L5" s="10"/>
      <c r="M5" s="10"/>
      <c r="O5" s="67">
        <f t="shared" ref="O5:O19" si="1">AG5*AI5*AO5*AH5</f>
        <v>0.21873615859627987</v>
      </c>
      <c r="P5" s="199">
        <f>P3</f>
        <v>0.56999999999999995</v>
      </c>
      <c r="Q5" s="203">
        <f t="shared" ref="Q5:Q19" si="2">P5*O5</f>
        <v>0.12467961039987951</v>
      </c>
      <c r="R5" s="209">
        <f t="shared" ref="R5:R19" si="3">IF($B$17="JC",IF($C$17="JC",$W$1,$V$1*1.1),IF($C$17="JC",$V$1/0.9,$U$1))*Q5/1.5</f>
        <v>0.12467961039987951</v>
      </c>
      <c r="S5" s="172">
        <f t="shared" ref="S5:S19" si="4">(1-R5)</f>
        <v>0.87532038960012049</v>
      </c>
      <c r="T5" s="172">
        <f>R5*PRODUCT(S6:S19)</f>
        <v>7.107616321707487E-2</v>
      </c>
      <c r="U5" s="172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4.1733719656125524E-2</v>
      </c>
      <c r="W5" s="181" t="s">
        <v>33</v>
      </c>
      <c r="X5" s="15" t="s">
        <v>34</v>
      </c>
      <c r="Y5" s="69">
        <f t="shared" ref="Y5:Y19" si="5">AK5*AI5*AL5*AO5</f>
        <v>0</v>
      </c>
      <c r="Z5" s="69">
        <f>Z3</f>
        <v>0.56999999999999995</v>
      </c>
      <c r="AA5" s="69">
        <f t="shared" ref="AA5:AA19" si="6">Z5*Y5</f>
        <v>0</v>
      </c>
      <c r="AB5" s="209">
        <f t="shared" ref="AB5:AB19" si="7">IF($B$17="JC",IF($C$17="JC",$W$1,$V$1/0.9),IF($C$17="JC",$V$1*1.1,$U$1))*AA5/1.5</f>
        <v>0</v>
      </c>
      <c r="AC5" s="172">
        <f t="shared" ref="AC5:AC19" si="8">(1-AB5)</f>
        <v>1</v>
      </c>
      <c r="AD5" s="172">
        <f>AB5*PRODUCT(AC6:AC19)</f>
        <v>0</v>
      </c>
      <c r="AE5" s="172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G5" s="193">
        <f>IF(COUNTIF(F5:F10,"IMP")+COUNTIF(J5:J10,"IMP")=0,0,COUNTIF(F5:F10,"IMP")/(COUNTIF(F5:F10,"IMP")+COUNTIF(J5:J10,"IMP")))</f>
        <v>1</v>
      </c>
      <c r="AH5" s="31">
        <f>COUNTIF(F5:F10,"IMP")</f>
        <v>2</v>
      </c>
      <c r="AI5" s="196">
        <f t="shared" ref="AI5:AI19" si="9">AN5*$AM$3/$AN$3</f>
        <v>0.65620847578883967</v>
      </c>
      <c r="AK5" s="193">
        <f>IF(COUNTIF(F5:F10,"IMP")+COUNTIF(J5:J10,"IMP")=0,0,COUNTIF(J5:J10,"IMP")/(COUNTIF(F5:F10,"IMP")+COUNTIF(J5:J10,"IMP")))</f>
        <v>0</v>
      </c>
      <c r="AL5" s="31">
        <f>COUNTIF(J5:J10,"IMP")</f>
        <v>0</v>
      </c>
      <c r="AM5" s="197">
        <v>0.47309999999999997</v>
      </c>
      <c r="AN5" s="198">
        <f t="shared" ref="AN5:AN19" si="10">IF(AG5=0,IF(AK5=0,0,AM5),AM5)</f>
        <v>0.47309999999999997</v>
      </c>
      <c r="AO5" s="31">
        <f>1/6</f>
        <v>0.16666666666666666</v>
      </c>
      <c r="BH5" s="31">
        <v>0</v>
      </c>
      <c r="BI5" s="31">
        <v>2</v>
      </c>
      <c r="BJ5" s="107">
        <f t="shared" si="0"/>
        <v>1.2897075408645133E-2</v>
      </c>
      <c r="BL5" s="31">
        <v>1</v>
      </c>
      <c r="BM5" s="31">
        <v>1</v>
      </c>
      <c r="BN5" s="107">
        <f>$H$26*H40</f>
        <v>8.7629693180508214E-2</v>
      </c>
      <c r="BP5" s="31">
        <f>BP4+1</f>
        <v>2</v>
      </c>
      <c r="BQ5" s="31">
        <v>0</v>
      </c>
      <c r="BR5" s="107">
        <f>$H$27*H39</f>
        <v>0.13099823146803252</v>
      </c>
    </row>
    <row r="6" spans="1:70" x14ac:dyDescent="0.25">
      <c r="A6" s="2" t="s">
        <v>35</v>
      </c>
      <c r="B6" s="163">
        <v>11</v>
      </c>
      <c r="C6" s="164">
        <v>6</v>
      </c>
      <c r="E6" s="187" t="s">
        <v>36</v>
      </c>
      <c r="F6" s="162" t="s">
        <v>1</v>
      </c>
      <c r="G6" s="162"/>
      <c r="H6" s="10"/>
      <c r="I6" s="10"/>
      <c r="J6" s="161" t="s">
        <v>144</v>
      </c>
      <c r="K6" s="161"/>
      <c r="L6" s="10"/>
      <c r="M6" s="10"/>
      <c r="O6" s="67">
        <f t="shared" si="1"/>
        <v>0</v>
      </c>
      <c r="P6" s="199">
        <f>P3</f>
        <v>0.56999999999999995</v>
      </c>
      <c r="Q6" s="203">
        <f t="shared" si="2"/>
        <v>0</v>
      </c>
      <c r="R6" s="209">
        <f t="shared" si="3"/>
        <v>0</v>
      </c>
      <c r="S6" s="172">
        <f t="shared" si="4"/>
        <v>1</v>
      </c>
      <c r="T6" s="172">
        <f>R6*S5*PRODUCT(S7:S19)</f>
        <v>0</v>
      </c>
      <c r="U6" s="172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W6" s="181" t="s">
        <v>38</v>
      </c>
      <c r="X6" s="15" t="s">
        <v>39</v>
      </c>
      <c r="Y6" s="69">
        <f t="shared" si="5"/>
        <v>0</v>
      </c>
      <c r="Z6" s="69">
        <f>Z3</f>
        <v>0.56999999999999995</v>
      </c>
      <c r="AA6" s="69">
        <f t="shared" si="6"/>
        <v>0</v>
      </c>
      <c r="AB6" s="209">
        <f t="shared" si="7"/>
        <v>0</v>
      </c>
      <c r="AC6" s="172">
        <f t="shared" si="8"/>
        <v>1</v>
      </c>
      <c r="AD6" s="172">
        <f>AB6*AC5*PRODUCT(AC7:AC19)</f>
        <v>0</v>
      </c>
      <c r="AE6" s="172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G6" s="193">
        <f>IF(COUNTIF(F11:F18,"IMP")+COUNTIF(J11:J18,"IMP")=0,0,COUNTIF(F11:F18,"IMP")/(COUNTIF(F11:F18,"IMP")+COUNTIF(J11:J18,"IMP")))</f>
        <v>0</v>
      </c>
      <c r="AH6" s="31">
        <f>COUNTIF(F11:F18,"IMP")</f>
        <v>0</v>
      </c>
      <c r="AI6" s="196">
        <f t="shared" si="9"/>
        <v>0</v>
      </c>
      <c r="AK6" s="193">
        <f>IF(COUNTIF(F11:F18,"IMP")+COUNTIF(J11:J18,"IMP")=0,0,COUNTIF(J11:J18,"IMP")/(COUNTIF(F11:F18,"IMP")+COUNTIF(J11:J18,"IMP")))</f>
        <v>0</v>
      </c>
      <c r="AL6" s="31">
        <f>COUNTIF(J11:J18,"IMP")</f>
        <v>0</v>
      </c>
      <c r="AM6" s="197">
        <v>0.41530000000000006</v>
      </c>
      <c r="AN6" s="198">
        <f t="shared" si="10"/>
        <v>0</v>
      </c>
      <c r="AO6" s="31">
        <f>1/8</f>
        <v>0.125</v>
      </c>
      <c r="BH6" s="31">
        <v>0</v>
      </c>
      <c r="BI6" s="31">
        <v>3</v>
      </c>
      <c r="BJ6" s="107">
        <f t="shared" si="0"/>
        <v>3.0171060503368019E-3</v>
      </c>
      <c r="BL6" s="31">
        <f>BH14+1</f>
        <v>2</v>
      </c>
      <c r="BM6" s="31">
        <v>2</v>
      </c>
      <c r="BN6" s="107">
        <f>$H$27*H41</f>
        <v>3.9216471293621533E-2</v>
      </c>
      <c r="BP6" s="31">
        <f>BL5+1</f>
        <v>2</v>
      </c>
      <c r="BQ6" s="31">
        <v>1</v>
      </c>
      <c r="BR6" s="107">
        <f>$H$27*H40</f>
        <v>0.10463024180952568</v>
      </c>
    </row>
    <row r="7" spans="1:70" x14ac:dyDescent="0.25">
      <c r="A7" s="5" t="s">
        <v>40</v>
      </c>
      <c r="B7" s="163">
        <v>16.75</v>
      </c>
      <c r="C7" s="164">
        <v>18.5</v>
      </c>
      <c r="E7" s="187" t="s">
        <v>41</v>
      </c>
      <c r="F7" s="162" t="s">
        <v>37</v>
      </c>
      <c r="G7" s="162"/>
      <c r="H7" s="10"/>
      <c r="I7" s="10"/>
      <c r="J7" s="161" t="s">
        <v>32</v>
      </c>
      <c r="K7" s="161"/>
      <c r="L7" s="10"/>
      <c r="M7" s="10"/>
      <c r="O7" s="67">
        <f t="shared" si="1"/>
        <v>0</v>
      </c>
      <c r="P7" s="199">
        <f>P2</f>
        <v>0.45</v>
      </c>
      <c r="Q7" s="203">
        <f t="shared" si="2"/>
        <v>0</v>
      </c>
      <c r="R7" s="209">
        <f t="shared" si="3"/>
        <v>0</v>
      </c>
      <c r="S7" s="172">
        <f t="shared" si="4"/>
        <v>1</v>
      </c>
      <c r="T7" s="172">
        <f>R7*PRODUCT(S5:S6)*PRODUCT(S8:S19)</f>
        <v>0</v>
      </c>
      <c r="U7" s="172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2" t="s">
        <v>42</v>
      </c>
      <c r="X7" s="15" t="s">
        <v>43</v>
      </c>
      <c r="Y7" s="69">
        <f t="shared" si="5"/>
        <v>0</v>
      </c>
      <c r="Z7" s="69">
        <f>Z2</f>
        <v>0.45</v>
      </c>
      <c r="AA7" s="69">
        <f t="shared" si="6"/>
        <v>0</v>
      </c>
      <c r="AB7" s="209">
        <f t="shared" si="7"/>
        <v>0</v>
      </c>
      <c r="AC7" s="172">
        <f t="shared" si="8"/>
        <v>1</v>
      </c>
      <c r="AD7" s="172">
        <f>AB7*PRODUCT(AC5:AC6)*PRODUCT(AC8:AC19)</f>
        <v>0</v>
      </c>
      <c r="AE7" s="172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193">
        <f>IF(COUNTIF(F14:F18,"IMP")+COUNTIF(J14:J18,"IMP")=0,0,COUNTIF(J14:J18,"IMP")/(COUNTIF(F14:F18,"IMP")+COUNTIF(J14:J18,"IMP")))</f>
        <v>0</v>
      </c>
      <c r="AH7" s="31">
        <f>COUNTIF(J14:J18,"IMP")</f>
        <v>0</v>
      </c>
      <c r="AI7" s="196">
        <f t="shared" si="9"/>
        <v>0</v>
      </c>
      <c r="AK7" s="193">
        <f>IF(COUNTIF(F14:F18,"IMP")+COUNTIF(J14:J18,"IMP")=0,0,COUNTIF(F14:F18,"IMP")/(COUNTIF(F14:F18,"IMP")+COUNTIF(J14:J18,"IMP")))</f>
        <v>0</v>
      </c>
      <c r="AL7" s="31">
        <f>COUNTIF(F14:F18,"IMP")</f>
        <v>0</v>
      </c>
      <c r="AM7" s="197">
        <v>3.9000000000000003E-3</v>
      </c>
      <c r="AN7" s="198">
        <f t="shared" si="10"/>
        <v>0</v>
      </c>
      <c r="AO7" s="31">
        <v>1</v>
      </c>
      <c r="BH7" s="31">
        <v>0</v>
      </c>
      <c r="BI7" s="31">
        <v>4</v>
      </c>
      <c r="BJ7" s="107">
        <f t="shared" si="0"/>
        <v>4.9418292449875524E-4</v>
      </c>
      <c r="BL7" s="31">
        <f>BH23+1</f>
        <v>3</v>
      </c>
      <c r="BM7" s="31">
        <v>3</v>
      </c>
      <c r="BN7" s="107">
        <f>$H$28*H42</f>
        <v>6.8361851067956642E-3</v>
      </c>
      <c r="BP7" s="31">
        <f>BP5+1</f>
        <v>3</v>
      </c>
      <c r="BQ7" s="31">
        <v>0</v>
      </c>
      <c r="BR7" s="107">
        <f>$H$28*H39</f>
        <v>9.7613839747094269E-2</v>
      </c>
    </row>
    <row r="8" spans="1:70" x14ac:dyDescent="0.25">
      <c r="A8" s="5" t="s">
        <v>44</v>
      </c>
      <c r="B8" s="163">
        <v>13.75</v>
      </c>
      <c r="C8" s="164">
        <v>19.75</v>
      </c>
      <c r="E8" s="187" t="s">
        <v>41</v>
      </c>
      <c r="F8" s="162"/>
      <c r="G8" s="162"/>
      <c r="H8" s="10"/>
      <c r="I8" s="10"/>
      <c r="J8" s="161" t="s">
        <v>32</v>
      </c>
      <c r="K8" s="161"/>
      <c r="L8" s="10"/>
      <c r="M8" s="10"/>
      <c r="O8" s="67">
        <f t="shared" si="1"/>
        <v>4.9079865837904871E-2</v>
      </c>
      <c r="P8" s="199">
        <f>P2</f>
        <v>0.45</v>
      </c>
      <c r="Q8" s="203">
        <f t="shared" si="2"/>
        <v>2.2085939627057193E-2</v>
      </c>
      <c r="R8" s="209">
        <f t="shared" si="3"/>
        <v>2.2085939627057193E-2</v>
      </c>
      <c r="S8" s="172">
        <f t="shared" si="4"/>
        <v>0.97791406037294282</v>
      </c>
      <c r="T8" s="172">
        <f>R8*PRODUCT(S5:S7)*PRODUCT(S9:S19)</f>
        <v>1.1269658985405911E-2</v>
      </c>
      <c r="U8" s="172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6.3626720192657086E-3</v>
      </c>
      <c r="W8" s="181" t="s">
        <v>45</v>
      </c>
      <c r="X8" s="15" t="s">
        <v>46</v>
      </c>
      <c r="Y8" s="69">
        <f t="shared" si="5"/>
        <v>0</v>
      </c>
      <c r="Z8" s="69">
        <f>Z2</f>
        <v>0.45</v>
      </c>
      <c r="AA8" s="69">
        <f t="shared" si="6"/>
        <v>0</v>
      </c>
      <c r="AB8" s="209">
        <f t="shared" si="7"/>
        <v>0</v>
      </c>
      <c r="AC8" s="172">
        <f t="shared" si="8"/>
        <v>1</v>
      </c>
      <c r="AD8" s="172">
        <f>AB8*PRODUCT(AC5:AC7)*PRODUCT(AC9:AC19)</f>
        <v>0</v>
      </c>
      <c r="AE8" s="172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AG8" s="193">
        <f>IF(COUNTIF(F6:F18,"IMP")+COUNTIF(J6:J18,"IMP")=0,0,COUNTIF(F6:F18,"IMP")/(COUNTIF(F6:F18,"IMP")+COUNTIF(J6:J18,"IMP")))</f>
        <v>1</v>
      </c>
      <c r="AH8" s="31">
        <f>COUNTIF(F6:F18,"IMP")</f>
        <v>1</v>
      </c>
      <c r="AI8" s="196">
        <f t="shared" si="9"/>
        <v>0.63803825589276331</v>
      </c>
      <c r="AK8" s="193">
        <f>IF(COUNTIF(F6:F18,"IMP")+COUNTIF(J6:J18,"IMP")=0,0,COUNTIF(J6:J18,"IMP")/(COUNTIF(F6:F18,"IMP")+COUNTIF(J6:J18,"IMP")))</f>
        <v>0</v>
      </c>
      <c r="AL8" s="31">
        <f>COUNTIF(J6:J18,"IMP")</f>
        <v>0</v>
      </c>
      <c r="AM8" s="197">
        <v>0.46000000000000008</v>
      </c>
      <c r="AN8" s="198">
        <f t="shared" si="10"/>
        <v>0.46000000000000008</v>
      </c>
      <c r="AO8" s="31">
        <f>1/13</f>
        <v>7.6923076923076927E-2</v>
      </c>
      <c r="BH8" s="31">
        <v>0</v>
      </c>
      <c r="BI8" s="31">
        <v>5</v>
      </c>
      <c r="BJ8" s="107">
        <f t="shared" si="0"/>
        <v>6.0232252373400344E-5</v>
      </c>
      <c r="BL8" s="31">
        <f>BH31+1</f>
        <v>4</v>
      </c>
      <c r="BM8" s="31">
        <v>4</v>
      </c>
      <c r="BN8" s="107">
        <f>$H$29*H43</f>
        <v>5.8173414685466708E-4</v>
      </c>
      <c r="BP8" s="31">
        <f>BP6+1</f>
        <v>3</v>
      </c>
      <c r="BQ8" s="31">
        <v>1</v>
      </c>
      <c r="BR8" s="107">
        <f>$H$28*H40</f>
        <v>7.7965630087052942E-2</v>
      </c>
    </row>
    <row r="9" spans="1:70" x14ac:dyDescent="0.25">
      <c r="A9" s="5" t="s">
        <v>47</v>
      </c>
      <c r="B9" s="163">
        <v>16.25</v>
      </c>
      <c r="C9" s="164">
        <v>19</v>
      </c>
      <c r="E9" s="187" t="s">
        <v>41</v>
      </c>
      <c r="F9" s="162" t="s">
        <v>144</v>
      </c>
      <c r="G9" s="162"/>
      <c r="H9" s="10"/>
      <c r="I9" s="10"/>
      <c r="J9" s="161" t="s">
        <v>2</v>
      </c>
      <c r="K9" s="161"/>
      <c r="L9" s="10"/>
      <c r="M9" s="10"/>
      <c r="O9" s="67">
        <f t="shared" si="1"/>
        <v>0</v>
      </c>
      <c r="P9" s="199">
        <f>P2</f>
        <v>0.45</v>
      </c>
      <c r="Q9" s="203">
        <f t="shared" si="2"/>
        <v>0</v>
      </c>
      <c r="R9" s="209">
        <f t="shared" si="3"/>
        <v>0</v>
      </c>
      <c r="S9" s="172">
        <f t="shared" si="4"/>
        <v>1</v>
      </c>
      <c r="T9" s="172">
        <f>R9*PRODUCT(S5:S8)*PRODUCT(S10:S19)</f>
        <v>0</v>
      </c>
      <c r="U9" s="172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2" t="s">
        <v>48</v>
      </c>
      <c r="X9" s="15" t="s">
        <v>49</v>
      </c>
      <c r="Y9" s="69">
        <f t="shared" si="5"/>
        <v>1.5950956397319079E-2</v>
      </c>
      <c r="Z9" s="69">
        <f>Z2</f>
        <v>0.45</v>
      </c>
      <c r="AA9" s="69">
        <f t="shared" si="6"/>
        <v>7.1779303787935858E-3</v>
      </c>
      <c r="AB9" s="209">
        <f t="shared" si="7"/>
        <v>7.1779303787935858E-3</v>
      </c>
      <c r="AC9" s="172">
        <f t="shared" si="8"/>
        <v>0.99282206962120645</v>
      </c>
      <c r="AD9" s="172">
        <f>AB9*PRODUCT(AC5:AC8)*PRODUCT(AC10:AC19)</f>
        <v>6.5136364493076524E-3</v>
      </c>
      <c r="AE9" s="172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6.4059793053218952E-4</v>
      </c>
      <c r="AG9" s="193">
        <f>IF(COUNTIF(J6:J13,"IMP")+COUNTIF(F6:F13,"IMP")=0,0,COUNTIF(J6:J13,"IMP")/(COUNTIF(J6:J13,"IMP")+COUNTIF(F6:F13,"IMP")))</f>
        <v>0</v>
      </c>
      <c r="AH9" s="31">
        <f>COUNTIF(J6:J13,"IMP")</f>
        <v>0</v>
      </c>
      <c r="AI9" s="196">
        <f t="shared" si="9"/>
        <v>1.5950956397319079E-2</v>
      </c>
      <c r="AK9" s="193">
        <f>IF(COUNTIF(J6:J13,"IMP")+COUNTIF(F6:F13,"IMP")=0,0,COUNTIF(F6:F13,"IMP")/(COUNTIF(J6:J13,"IMP")+COUNTIF(F6:F13,"IMP")))</f>
        <v>1</v>
      </c>
      <c r="AL9" s="31">
        <f>COUNTIF(F6:F13,"IMP")</f>
        <v>1</v>
      </c>
      <c r="AM9" s="197">
        <v>1.15E-2</v>
      </c>
      <c r="AN9" s="198">
        <f t="shared" si="10"/>
        <v>1.15E-2</v>
      </c>
      <c r="AO9" s="31">
        <v>1</v>
      </c>
      <c r="BH9" s="31">
        <v>0</v>
      </c>
      <c r="BI9" s="31">
        <v>6</v>
      </c>
      <c r="BJ9" s="107">
        <f t="shared" si="0"/>
        <v>5.6605237585115108E-6</v>
      </c>
      <c r="BL9" s="31">
        <f>BH38+1</f>
        <v>5</v>
      </c>
      <c r="BM9" s="31">
        <v>5</v>
      </c>
      <c r="BN9" s="107">
        <f>$H$30*H44</f>
        <v>2.7065599779538741E-5</v>
      </c>
      <c r="BP9" s="31">
        <f>BL6+1</f>
        <v>3</v>
      </c>
      <c r="BQ9" s="31">
        <v>2</v>
      </c>
      <c r="BR9" s="107">
        <f>$H$28*H41</f>
        <v>2.9222305533462549E-2</v>
      </c>
    </row>
    <row r="10" spans="1:70" x14ac:dyDescent="0.25">
      <c r="A10" s="6" t="s">
        <v>50</v>
      </c>
      <c r="B10" s="163">
        <v>2.75</v>
      </c>
      <c r="C10" s="164">
        <v>2.25</v>
      </c>
      <c r="E10" s="187" t="s">
        <v>36</v>
      </c>
      <c r="F10" s="162" t="s">
        <v>32</v>
      </c>
      <c r="G10" s="162"/>
      <c r="H10" s="10"/>
      <c r="I10" s="10"/>
      <c r="J10" s="161" t="s">
        <v>6</v>
      </c>
      <c r="K10" s="161"/>
      <c r="L10" s="10"/>
      <c r="M10" s="10"/>
      <c r="O10" s="67">
        <f t="shared" si="1"/>
        <v>0.17337996084042478</v>
      </c>
      <c r="P10" s="199">
        <f>P3</f>
        <v>0.56999999999999995</v>
      </c>
      <c r="Q10" s="203">
        <f t="shared" si="2"/>
        <v>9.8826577679042113E-2</v>
      </c>
      <c r="R10" s="209">
        <f t="shared" si="3"/>
        <v>9.8826577679042113E-2</v>
      </c>
      <c r="S10" s="172">
        <f t="shared" si="4"/>
        <v>0.90117342232095787</v>
      </c>
      <c r="T10" s="172">
        <f>R10*PRODUCT(S5:S9)*PRODUCT(S11:S19)</f>
        <v>5.4721874501990335E-2</v>
      </c>
      <c r="U10" s="172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2.4894071144169964E-2</v>
      </c>
      <c r="W10" s="181" t="s">
        <v>51</v>
      </c>
      <c r="X10" s="15" t="s">
        <v>52</v>
      </c>
      <c r="Y10" s="69">
        <f t="shared" si="5"/>
        <v>0</v>
      </c>
      <c r="Z10" s="69">
        <f>Z3</f>
        <v>0.56999999999999995</v>
      </c>
      <c r="AA10" s="69">
        <f t="shared" si="6"/>
        <v>0</v>
      </c>
      <c r="AB10" s="209">
        <f t="shared" si="7"/>
        <v>0</v>
      </c>
      <c r="AC10" s="172">
        <f t="shared" si="8"/>
        <v>1</v>
      </c>
      <c r="AD10" s="172">
        <f>AB10*PRODUCT(AC5:AC9)*PRODUCT(AC11:AC19)</f>
        <v>0</v>
      </c>
      <c r="AE10" s="172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0</v>
      </c>
      <c r="AG10" s="193">
        <f>IF(COUNTIF(F11:F18,"RAP")+COUNTIF(J11:J18,"RAP")=0,0,COUNTIF(F11:F18,"RAP")/(COUNTIF(F11:F18,"RAP")+COUNTIF(J11:J18,"RAP")))</f>
        <v>1</v>
      </c>
      <c r="AH10" s="31">
        <f>COUNTIF(F11:F18,"RAP")</f>
        <v>2</v>
      </c>
      <c r="AI10" s="196">
        <f t="shared" si="9"/>
        <v>0.69351984336169914</v>
      </c>
      <c r="AK10" s="193">
        <f>IF(COUNTIF(F11:F18,"RAP")+COUNTIF(J11:J18,"RAP")=0,0,COUNTIF(J11:J18,"RAP")/(COUNTIF(F11:F18,"RAP")+COUNTIF(J11:J18,"RAP")))</f>
        <v>0</v>
      </c>
      <c r="AL10" s="31">
        <f>COUNTIF(J11:J18,"RAP")</f>
        <v>0</v>
      </c>
      <c r="AM10" s="197">
        <v>0.5</v>
      </c>
      <c r="AN10" s="198">
        <f t="shared" si="10"/>
        <v>0.5</v>
      </c>
      <c r="AO10" s="31">
        <f>1/8</f>
        <v>0.125</v>
      </c>
      <c r="BH10" s="31">
        <v>0</v>
      </c>
      <c r="BI10" s="31">
        <v>7</v>
      </c>
      <c r="BJ10" s="107">
        <f t="shared" si="0"/>
        <v>4.1829207953316065E-7</v>
      </c>
      <c r="BL10" s="31">
        <f>BH44+1</f>
        <v>6</v>
      </c>
      <c r="BM10" s="31">
        <v>6</v>
      </c>
      <c r="BN10" s="107">
        <f>$H$31*H45</f>
        <v>7.3084074192852603E-7</v>
      </c>
      <c r="BP10" s="31">
        <f>BP7+1</f>
        <v>4</v>
      </c>
      <c r="BQ10" s="31">
        <v>0</v>
      </c>
      <c r="BR10" s="107">
        <f>$H$29*H39</f>
        <v>5.0713662990670101E-2</v>
      </c>
    </row>
    <row r="11" spans="1:70" x14ac:dyDescent="0.25">
      <c r="A11" s="6" t="s">
        <v>53</v>
      </c>
      <c r="B11" s="163">
        <v>3.5</v>
      </c>
      <c r="C11" s="164">
        <v>3.5</v>
      </c>
      <c r="E11" s="187" t="s">
        <v>54</v>
      </c>
      <c r="F11" s="162" t="s">
        <v>144</v>
      </c>
      <c r="G11" s="162"/>
      <c r="H11" s="10"/>
      <c r="I11" s="10"/>
      <c r="J11" s="161" t="s">
        <v>32</v>
      </c>
      <c r="K11" s="161"/>
      <c r="L11" s="10"/>
      <c r="M11" s="10"/>
      <c r="O11" s="67">
        <f t="shared" si="1"/>
        <v>0.17337996084042478</v>
      </c>
      <c r="P11" s="199">
        <f>P3</f>
        <v>0.56999999999999995</v>
      </c>
      <c r="Q11" s="203">
        <f t="shared" si="2"/>
        <v>9.8826577679042113E-2</v>
      </c>
      <c r="R11" s="209">
        <f t="shared" si="3"/>
        <v>9.8826577679042113E-2</v>
      </c>
      <c r="S11" s="172">
        <f t="shared" si="4"/>
        <v>0.90117342232095787</v>
      </c>
      <c r="T11" s="172">
        <f>R11*PRODUCT(S5:S10)*PRODUCT(S12:S19)</f>
        <v>5.4721874501990335E-2</v>
      </c>
      <c r="U11" s="172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1.8893033555549589E-2</v>
      </c>
      <c r="W11" s="181" t="s">
        <v>55</v>
      </c>
      <c r="X11" s="15" t="s">
        <v>56</v>
      </c>
      <c r="Y11" s="69">
        <f t="shared" si="5"/>
        <v>0</v>
      </c>
      <c r="Z11" s="69">
        <f>Z3</f>
        <v>0.56999999999999995</v>
      </c>
      <c r="AA11" s="69">
        <f t="shared" si="6"/>
        <v>0</v>
      </c>
      <c r="AB11" s="209">
        <f t="shared" si="7"/>
        <v>0</v>
      </c>
      <c r="AC11" s="172">
        <f t="shared" si="8"/>
        <v>1</v>
      </c>
      <c r="AD11" s="172">
        <f>AB11*PRODUCT(AC5:AC10)*PRODUCT(AC12:AC19)</f>
        <v>0</v>
      </c>
      <c r="AE11" s="172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0</v>
      </c>
      <c r="AG11" s="193">
        <f>IF(COUNTIF(F11:F18,"RAP")+COUNTIF(J11:J18,"RAP")=0,0,COUNTIF(F11:F18,"RAP")/(COUNTIF(F11:F18,"RAP")+COUNTIF(J11:J18,"RAP")))</f>
        <v>1</v>
      </c>
      <c r="AH11" s="31">
        <f>COUNTIF(F11:F18,"RAP")</f>
        <v>2</v>
      </c>
      <c r="AI11" s="196">
        <f t="shared" si="9"/>
        <v>0.69351984336169914</v>
      </c>
      <c r="AK11" s="193">
        <f>IF(COUNTIF(F11:F18,"RAP")+COUNTIF(J11:J18,"RAP")=0,0,COUNTIF(J11:J18,"RAP")/(COUNTIF(F11:F18,"RAP")+COUNTIF(J11:J18,"RAP")))</f>
        <v>0</v>
      </c>
      <c r="AL11" s="31">
        <f>COUNTIF(J11:J18,"RAP")</f>
        <v>0</v>
      </c>
      <c r="AM11" s="197">
        <v>0.5</v>
      </c>
      <c r="AN11" s="198">
        <f t="shared" si="10"/>
        <v>0.5</v>
      </c>
      <c r="AO11" s="31">
        <f>1/8</f>
        <v>0.125</v>
      </c>
      <c r="BH11" s="31">
        <v>0</v>
      </c>
      <c r="BI11" s="31">
        <v>8</v>
      </c>
      <c r="BJ11" s="107">
        <f t="shared" si="0"/>
        <v>2.4446057512951328E-8</v>
      </c>
      <c r="BL11" s="31">
        <f>BH50+1</f>
        <v>7</v>
      </c>
      <c r="BM11" s="31">
        <v>7</v>
      </c>
      <c r="BN11" s="107">
        <f>$H$32*H46</f>
        <v>1.1766210951363349E-8</v>
      </c>
      <c r="BP11" s="31">
        <f>BP8+1</f>
        <v>4</v>
      </c>
      <c r="BQ11" s="31">
        <v>1</v>
      </c>
      <c r="BR11" s="107">
        <f>$H$29*H40</f>
        <v>4.0505759217485865E-2</v>
      </c>
    </row>
    <row r="12" spans="1:70" x14ac:dyDescent="0.25">
      <c r="A12" s="6" t="s">
        <v>57</v>
      </c>
      <c r="B12" s="163">
        <v>2.5</v>
      </c>
      <c r="C12" s="164">
        <v>14</v>
      </c>
      <c r="E12" s="187" t="s">
        <v>54</v>
      </c>
      <c r="F12" s="162" t="s">
        <v>144</v>
      </c>
      <c r="G12" s="162"/>
      <c r="H12" s="10"/>
      <c r="I12" s="10"/>
      <c r="J12" s="161" t="s">
        <v>144</v>
      </c>
      <c r="K12" s="161"/>
      <c r="L12" s="10"/>
      <c r="M12" s="10"/>
      <c r="O12" s="67">
        <f t="shared" si="1"/>
        <v>5.9077616286366949E-3</v>
      </c>
      <c r="P12" s="199">
        <f>P2</f>
        <v>0.45</v>
      </c>
      <c r="Q12" s="203">
        <f t="shared" si="2"/>
        <v>2.6584927328865129E-3</v>
      </c>
      <c r="R12" s="209">
        <f t="shared" si="3"/>
        <v>2.6584927328865125E-3</v>
      </c>
      <c r="S12" s="172">
        <f t="shared" si="4"/>
        <v>0.99734150726711346</v>
      </c>
      <c r="T12" s="172">
        <f>R12*PRODUCT(S5:S11)*PRODUCT(S13:S19)</f>
        <v>1.3301088040959081E-3</v>
      </c>
      <c r="U12" s="172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4.5568200149214571E-4</v>
      </c>
      <c r="W12" s="182" t="s">
        <v>58</v>
      </c>
      <c r="X12" s="15" t="s">
        <v>59</v>
      </c>
      <c r="Y12" s="69">
        <f t="shared" si="5"/>
        <v>5.9077616286366957E-3</v>
      </c>
      <c r="Z12" s="69">
        <f>Z2</f>
        <v>0.45</v>
      </c>
      <c r="AA12" s="69">
        <f t="shared" si="6"/>
        <v>2.6584927328865133E-3</v>
      </c>
      <c r="AB12" s="209">
        <f t="shared" si="7"/>
        <v>2.6584927328865133E-3</v>
      </c>
      <c r="AC12" s="172">
        <f t="shared" si="8"/>
        <v>0.99734150726711346</v>
      </c>
      <c r="AD12" s="172">
        <f>AB12*PRODUCT(AC5:AC11)*PRODUCT(AC13:AC19)</f>
        <v>2.4015259282509642E-3</v>
      </c>
      <c r="AE12" s="172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2.2978190213556043E-4</v>
      </c>
      <c r="AG12" s="193">
        <f>IF(COUNTA(F6:F10)+COUNTA(J6:J10)=0,0,COUNTA(F6:F10)/(COUNTA(F6:F10)+COUNTA(J6:J10)))</f>
        <v>0.44444444444444442</v>
      </c>
      <c r="AH12" s="31">
        <f>COUNTA(J6:J10)</f>
        <v>5</v>
      </c>
      <c r="AI12" s="196">
        <f t="shared" si="9"/>
        <v>1.5950956397319079E-2</v>
      </c>
      <c r="AK12" s="193">
        <f>IF(COUNTA(J6:J10)+COUNTA(F6:F10)=0,0,COUNTA(J6:J10)/(COUNTA(J6:J10)+COUNTA(F6:F10)))</f>
        <v>0.55555555555555558</v>
      </c>
      <c r="AL12" s="31">
        <f>COUNTA(F6:F10)</f>
        <v>4</v>
      </c>
      <c r="AM12" s="197">
        <v>1.15E-2</v>
      </c>
      <c r="AN12" s="198">
        <f t="shared" si="10"/>
        <v>1.15E-2</v>
      </c>
      <c r="AO12" s="31">
        <f>1/6</f>
        <v>0.16666666666666666</v>
      </c>
      <c r="BH12" s="31">
        <v>0</v>
      </c>
      <c r="BI12" s="31">
        <v>9</v>
      </c>
      <c r="BJ12" s="107">
        <f t="shared" si="0"/>
        <v>1.1190813944730435E-9</v>
      </c>
      <c r="BL12" s="31">
        <f>BH54+1</f>
        <v>8</v>
      </c>
      <c r="BM12" s="31">
        <v>8</v>
      </c>
      <c r="BN12" s="107">
        <f>$H$33*H47</f>
        <v>1.1304769941873471E-10</v>
      </c>
      <c r="BP12" s="31">
        <f>BP9+1</f>
        <v>4</v>
      </c>
      <c r="BQ12" s="31">
        <v>2</v>
      </c>
      <c r="BR12" s="107">
        <f>$H$29*H41</f>
        <v>1.5181967623382302E-2</v>
      </c>
    </row>
    <row r="13" spans="1:70" x14ac:dyDescent="0.25">
      <c r="A13" s="7" t="s">
        <v>60</v>
      </c>
      <c r="B13" s="163">
        <v>11.75</v>
      </c>
      <c r="C13" s="164">
        <v>12.75</v>
      </c>
      <c r="E13" s="187" t="s">
        <v>54</v>
      </c>
      <c r="F13" s="162" t="s">
        <v>1</v>
      </c>
      <c r="G13" s="162"/>
      <c r="H13" s="10"/>
      <c r="I13" s="10"/>
      <c r="J13" s="161" t="s">
        <v>32</v>
      </c>
      <c r="K13" s="161"/>
      <c r="L13" s="10"/>
      <c r="M13" s="10"/>
      <c r="O13" s="67">
        <f t="shared" si="1"/>
        <v>0.1322012002587013</v>
      </c>
      <c r="P13" s="199">
        <f>P3</f>
        <v>0.56999999999999995</v>
      </c>
      <c r="Q13" s="203">
        <f t="shared" si="2"/>
        <v>7.535468414745973E-2</v>
      </c>
      <c r="R13" s="209">
        <f t="shared" si="3"/>
        <v>7.535468414745973E-2</v>
      </c>
      <c r="S13" s="172">
        <f t="shared" si="4"/>
        <v>0.92464531585254028</v>
      </c>
      <c r="T13" s="172">
        <f>R13*PRODUCT(S5:S12)*PRODUCT(S14:S19)</f>
        <v>4.0665925842780538E-2</v>
      </c>
      <c r="U13" s="172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1.0617639304359794E-2</v>
      </c>
      <c r="W13" s="181" t="s">
        <v>61</v>
      </c>
      <c r="X13" s="15" t="s">
        <v>62</v>
      </c>
      <c r="Y13" s="69">
        <f t="shared" si="5"/>
        <v>7.210974559565525E-2</v>
      </c>
      <c r="Z13" s="69">
        <f>Z3</f>
        <v>0.56999999999999995</v>
      </c>
      <c r="AA13" s="69">
        <f t="shared" si="6"/>
        <v>4.110255498952349E-2</v>
      </c>
      <c r="AB13" s="209">
        <f t="shared" si="7"/>
        <v>4.110255498952349E-2</v>
      </c>
      <c r="AC13" s="172">
        <f t="shared" si="8"/>
        <v>0.95889744501047647</v>
      </c>
      <c r="AD13" s="172">
        <f>AB13*PRODUCT(AC5:AC12)*PRODUCT(AC14:AC19)</f>
        <v>3.8618229028826036E-2</v>
      </c>
      <c r="AE13" s="172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2.0397080215399117E-3</v>
      </c>
      <c r="AG13" s="193">
        <f>B22</f>
        <v>0.6470588235294118</v>
      </c>
      <c r="AH13" s="31">
        <v>1</v>
      </c>
      <c r="AI13" s="196">
        <f t="shared" si="9"/>
        <v>0.20431094585435655</v>
      </c>
      <c r="AK13" s="193">
        <f>C22</f>
        <v>0.3529411764705882</v>
      </c>
      <c r="AL13" s="31">
        <v>1</v>
      </c>
      <c r="AM13" s="197">
        <v>0.14729999999999999</v>
      </c>
      <c r="AN13" s="198">
        <f t="shared" si="10"/>
        <v>0.14729999999999999</v>
      </c>
      <c r="AO13" s="31">
        <v>1</v>
      </c>
      <c r="BH13" s="31">
        <v>0</v>
      </c>
      <c r="BI13" s="31">
        <v>10</v>
      </c>
      <c r="BJ13" s="107">
        <f t="shared" si="0"/>
        <v>3.899022353714206E-11</v>
      </c>
      <c r="BL13" s="31">
        <f>BH57+1</f>
        <v>9</v>
      </c>
      <c r="BM13" s="31">
        <v>9</v>
      </c>
      <c r="BN13" s="107">
        <f>$H$34*H48</f>
        <v>6.3148796440567197E-13</v>
      </c>
      <c r="BP13" s="31">
        <f>BL7+1</f>
        <v>4</v>
      </c>
      <c r="BQ13" s="31">
        <v>3</v>
      </c>
      <c r="BR13" s="107">
        <f>$H$29*H42</f>
        <v>3.5516273977757697E-3</v>
      </c>
    </row>
    <row r="14" spans="1:70" x14ac:dyDescent="0.25">
      <c r="A14" s="7" t="s">
        <v>63</v>
      </c>
      <c r="B14" s="163">
        <v>10.5</v>
      </c>
      <c r="C14" s="164">
        <v>10</v>
      </c>
      <c r="E14" s="187" t="s">
        <v>64</v>
      </c>
      <c r="F14" s="162" t="s">
        <v>1</v>
      </c>
      <c r="G14" s="162"/>
      <c r="H14" s="10"/>
      <c r="I14" s="10"/>
      <c r="J14" s="161"/>
      <c r="K14" s="161"/>
      <c r="L14" s="10"/>
      <c r="M14" s="10"/>
      <c r="O14" s="67">
        <f t="shared" si="1"/>
        <v>0.18784596886725174</v>
      </c>
      <c r="P14" s="199">
        <f>IF(COUNTIF(F6:F18,"CAB")-COUNTIF(J6:J18,"CAB")&gt;2,0.8,IF(COUNTIF(F6:F18,"CAB")-COUNTIF(J6:J18,"CAB")&gt;0,0.6,IF(COUNTIF(F6:F18,"CAB")-COUNTIF(J6:J18,"CAB")=0,0.5,0.15)))</f>
        <v>0.6</v>
      </c>
      <c r="Q14" s="203">
        <f t="shared" si="2"/>
        <v>0.11270758132035104</v>
      </c>
      <c r="R14" s="209">
        <f t="shared" si="3"/>
        <v>0.11270758132035104</v>
      </c>
      <c r="S14" s="172">
        <f t="shared" si="4"/>
        <v>0.88729241867964892</v>
      </c>
      <c r="T14" s="172">
        <f>R14*PRODUCT(S5:S13)*PRODUCT(S15:S19)</f>
        <v>6.3384335792708399E-2</v>
      </c>
      <c r="U14" s="172">
        <f>R14*R15*PRODUCT(S5:S13)*PRODUCT(S16:S19)+R14*R16*PRODUCT(S5:S13)*S15*PRODUCT(S17:S19)+R14*R17*PRODUCT(S5:S13)*PRODUCT(S15:S16)*PRODUCT(S18:S19)+R14*R18*PRODUCT(S5:S13)*PRODUCT(S15:S17)*PRODUCT(S19)+R14*R19*PRODUCT(S5:S13)*PRODUCT(S15:S18)</f>
        <v>8.4979429303282082E-3</v>
      </c>
      <c r="W14" s="181" t="s">
        <v>65</v>
      </c>
      <c r="X14" s="15" t="s">
        <v>66</v>
      </c>
      <c r="Y14" s="69">
        <f t="shared" si="5"/>
        <v>0.10246143756395548</v>
      </c>
      <c r="Z14" s="200">
        <f>IF(COUNTIF(J6:J18,"CAB")-COUNTIF(F6:F18,"CAB")&gt;2,0.8,IF(COUNTIF(J6:J18,"CAB")-COUNTIF(F6:F18,"CAB")&gt;0,0.6,IF(COUNTIF(J6:J18,"CAB")-COUNTIF(F6:F18,"CAB")=0,0.5,0.15)))</f>
        <v>0.15</v>
      </c>
      <c r="AA14" s="69">
        <f t="shared" si="6"/>
        <v>1.5369215634593321E-2</v>
      </c>
      <c r="AB14" s="209">
        <f t="shared" si="7"/>
        <v>1.5369215634593321E-2</v>
      </c>
      <c r="AC14" s="172">
        <f t="shared" si="8"/>
        <v>0.98463078436540663</v>
      </c>
      <c r="AD14" s="172">
        <f>AB14*PRODUCT(AC5:AC13)*PRODUCT(AC15:AC19)</f>
        <v>1.4062870915612181E-2</v>
      </c>
      <c r="AE14" s="172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5.2325296106670212E-4</v>
      </c>
      <c r="AG14" s="193">
        <f>IF(AL14=0,1,B22)</f>
        <v>0.6470588235294118</v>
      </c>
      <c r="AH14" s="31">
        <f>IF(COUNTIF(F6:F18,"CAB")&gt;0,1,0)</f>
        <v>1</v>
      </c>
      <c r="AI14" s="196">
        <f t="shared" si="9"/>
        <v>0.29030740643120723</v>
      </c>
      <c r="AK14" s="193">
        <f>IF(AH14=0,1,C22)</f>
        <v>0.3529411764705882</v>
      </c>
      <c r="AL14" s="31">
        <f>IF(COUNTIF(J6:J18,"CAB")&gt;0,1,0)</f>
        <v>1</v>
      </c>
      <c r="AM14" s="197">
        <v>0.20929999999999999</v>
      </c>
      <c r="AN14" s="198">
        <f t="shared" si="10"/>
        <v>0.20929999999999999</v>
      </c>
      <c r="AO14" s="31">
        <v>1</v>
      </c>
      <c r="BH14" s="31">
        <v>1</v>
      </c>
      <c r="BI14" s="31">
        <v>2</v>
      </c>
      <c r="BJ14" s="107">
        <f t="shared" ref="BJ14:BJ22" si="11">$H$26*H41</f>
        <v>3.2844493978502851E-2</v>
      </c>
      <c r="BL14" s="31">
        <f>BP39+1</f>
        <v>10</v>
      </c>
      <c r="BM14" s="31">
        <v>10</v>
      </c>
      <c r="BN14" s="107">
        <f>$H$35*H49</f>
        <v>1.9311006784652924E-15</v>
      </c>
      <c r="BP14" s="31">
        <f>BP10+1</f>
        <v>5</v>
      </c>
      <c r="BQ14" s="31">
        <v>0</v>
      </c>
      <c r="BR14" s="107">
        <f>$H$30*H39</f>
        <v>1.9358723205938629E-2</v>
      </c>
    </row>
    <row r="15" spans="1:70" x14ac:dyDescent="0.25">
      <c r="A15" s="184" t="s">
        <v>67</v>
      </c>
      <c r="B15" s="165">
        <v>3</v>
      </c>
      <c r="C15" s="166">
        <v>5.25</v>
      </c>
      <c r="E15" s="187" t="s">
        <v>64</v>
      </c>
      <c r="F15" s="162" t="s">
        <v>6</v>
      </c>
      <c r="G15" s="162"/>
      <c r="H15" s="10"/>
      <c r="I15" s="10"/>
      <c r="J15" s="161" t="s">
        <v>32</v>
      </c>
      <c r="K15" s="161"/>
      <c r="L15" s="10"/>
      <c r="M15" s="10"/>
      <c r="O15" s="67">
        <f t="shared" si="1"/>
        <v>3.5002354447313998E-2</v>
      </c>
      <c r="P15" s="199">
        <f>R3</f>
        <v>0.7</v>
      </c>
      <c r="Q15" s="203">
        <f t="shared" si="2"/>
        <v>2.4501648113119796E-2</v>
      </c>
      <c r="R15" s="209">
        <f t="shared" si="3"/>
        <v>2.4501648113119796E-2</v>
      </c>
      <c r="S15" s="172">
        <f t="shared" si="4"/>
        <v>0.97549835188688017</v>
      </c>
      <c r="T15" s="172">
        <f>R15*PRODUCT(S5:S14)*PRODUCT(S16:S19)</f>
        <v>1.2533268475617554E-2</v>
      </c>
      <c r="U15" s="172">
        <f>R15*R16*PRODUCT(S5:S14)*PRODUCT(S17:S19)+R15*R17*PRODUCT(S5:S14)*S16*PRODUCT(S18:S19)+R15*R18*PRODUCT(S5:S14)*S16*S17*S19+R15*R19*PRODUCT(S5:S14)*S16*S17*S18</f>
        <v>1.3655374753424408E-3</v>
      </c>
      <c r="W15" s="181" t="s">
        <v>68</v>
      </c>
      <c r="X15" s="15" t="s">
        <v>69</v>
      </c>
      <c r="Y15" s="69">
        <f t="shared" si="5"/>
        <v>1.909219333489854E-2</v>
      </c>
      <c r="Z15" s="69">
        <f>AB3</f>
        <v>0.7</v>
      </c>
      <c r="AA15" s="69">
        <f t="shared" si="6"/>
        <v>1.3364535334428978E-2</v>
      </c>
      <c r="AB15" s="209">
        <f t="shared" si="7"/>
        <v>1.3364535334428976E-2</v>
      </c>
      <c r="AC15" s="172">
        <f t="shared" si="8"/>
        <v>0.98663546466557106</v>
      </c>
      <c r="AD15" s="172">
        <f>AB15*PRODUCT(AC5:AC14)*PRODUCT(AC16:AC19)</f>
        <v>1.2203736943214614E-2</v>
      </c>
      <c r="AE15" s="172">
        <f>AB15*AB16*PRODUCT(AC5:AC14)*PRODUCT(AC17:AC19)+AB15*AB17*PRODUCT(AC5:AC14)*AC16*PRODUCT(AC18:AC19)+AB15*AB18*PRODUCT(AC5:AC14)*AC16*AC17*AC19+AB15*AB19*PRODUCT(AC5:AC14)*AC16*AC17*AC18</f>
        <v>2.887715663662015E-4</v>
      </c>
      <c r="AG15" s="193">
        <f>IF(AL15=0,1,B22)</f>
        <v>0.6470588235294118</v>
      </c>
      <c r="AH15" s="31">
        <v>1</v>
      </c>
      <c r="AI15" s="196">
        <f t="shared" si="9"/>
        <v>5.4094547782212538E-2</v>
      </c>
      <c r="AK15" s="193">
        <f>IF(AH15=0,1,C22)</f>
        <v>0.3529411764705882</v>
      </c>
      <c r="AL15" s="31">
        <v>1</v>
      </c>
      <c r="AM15" s="197">
        <v>3.9000000000000007E-2</v>
      </c>
      <c r="AN15" s="198">
        <f t="shared" si="10"/>
        <v>3.9000000000000007E-2</v>
      </c>
      <c r="AO15" s="31">
        <v>1</v>
      </c>
      <c r="BH15" s="31">
        <v>1</v>
      </c>
      <c r="BI15" s="31">
        <v>3</v>
      </c>
      <c r="BJ15" s="107">
        <f t="shared" si="11"/>
        <v>7.683549825285684E-3</v>
      </c>
      <c r="BP15" s="31">
        <f>BP11+1</f>
        <v>5</v>
      </c>
      <c r="BQ15" s="31">
        <v>1</v>
      </c>
      <c r="BR15" s="107">
        <f>$H$30*H40</f>
        <v>1.5462101033442725E-2</v>
      </c>
    </row>
    <row r="16" spans="1:70" x14ac:dyDescent="0.25">
      <c r="A16" s="184" t="s">
        <v>70</v>
      </c>
      <c r="B16" s="52">
        <f>AVERAGE(G5:G18)</f>
        <v>12</v>
      </c>
      <c r="C16" s="54">
        <f>AVERAGE(K5:K18)</f>
        <v>12</v>
      </c>
      <c r="E16" s="187" t="s">
        <v>71</v>
      </c>
      <c r="F16" s="162"/>
      <c r="G16" s="162"/>
      <c r="H16" s="10"/>
      <c r="I16" s="10"/>
      <c r="J16" s="161"/>
      <c r="K16" s="161"/>
      <c r="L16" s="10"/>
      <c r="M16" s="10"/>
      <c r="O16" s="67">
        <f t="shared" si="1"/>
        <v>1.5273754667918834E-2</v>
      </c>
      <c r="P16" s="199">
        <v>0.15</v>
      </c>
      <c r="Q16" s="203">
        <f t="shared" si="2"/>
        <v>2.291063200187825E-3</v>
      </c>
      <c r="R16" s="209">
        <f t="shared" si="3"/>
        <v>2.291063200187825E-3</v>
      </c>
      <c r="S16" s="172">
        <f t="shared" si="4"/>
        <v>0.99770893679981221</v>
      </c>
      <c r="T16" s="172">
        <f>R16*PRODUCT(S5:S15)*PRODUCT(S17:S19)</f>
        <v>1.1458526980973576E-3</v>
      </c>
      <c r="U16" s="172">
        <f>R16*R17*PRODUCT(S5:S15)*PRODUCT(S18:S19)+R16*R18*PRODUCT(S5:S15)*S17*S19+R16*R19*PRODUCT(S5:S15)*S17*S18</f>
        <v>1.2221286486057179E-4</v>
      </c>
      <c r="W16" s="182" t="s">
        <v>72</v>
      </c>
      <c r="X16" s="15" t="s">
        <v>73</v>
      </c>
      <c r="Y16" s="69">
        <f t="shared" si="5"/>
        <v>2.8001883557851198E-2</v>
      </c>
      <c r="Z16" s="69">
        <v>0.15</v>
      </c>
      <c r="AA16" s="69">
        <f t="shared" si="6"/>
        <v>4.2002825336776798E-3</v>
      </c>
      <c r="AB16" s="209">
        <f t="shared" si="7"/>
        <v>4.2002825336776798E-3</v>
      </c>
      <c r="AC16" s="172">
        <f t="shared" si="8"/>
        <v>0.99579971746632234</v>
      </c>
      <c r="AD16" s="172">
        <f>AB16*PRODUCT(AC5:AC15)*PRODUCT(AC17:AC19)</f>
        <v>3.8001627964440194E-3</v>
      </c>
      <c r="AE16" s="172">
        <f>AB16*AB17*PRODUCT(AC5:AC15)*PRODUCT(AC18:AC19)+AB16*AB18*PRODUCT(AC5:AC15)*AC17*AC19+AB16*AB19*PRODUCT(AC5:AC15)*AC17*AC18</f>
        <v>7.3892467656608374E-5</v>
      </c>
      <c r="AG16" s="193">
        <f>C22</f>
        <v>0.3529411764705882</v>
      </c>
      <c r="AH16" s="31">
        <v>1</v>
      </c>
      <c r="AI16" s="196">
        <f t="shared" si="9"/>
        <v>4.3275638225770033E-2</v>
      </c>
      <c r="AK16" s="193">
        <f>B22</f>
        <v>0.6470588235294118</v>
      </c>
      <c r="AL16" s="31">
        <v>1</v>
      </c>
      <c r="AM16" s="197">
        <v>3.1200000000000002E-2</v>
      </c>
      <c r="AN16" s="198">
        <f t="shared" si="10"/>
        <v>3.1200000000000002E-2</v>
      </c>
      <c r="AO16" s="31">
        <v>1</v>
      </c>
      <c r="BH16" s="31">
        <v>1</v>
      </c>
      <c r="BI16" s="31">
        <v>4</v>
      </c>
      <c r="BJ16" s="107">
        <f t="shared" si="11"/>
        <v>1.2585169562626772E-3</v>
      </c>
      <c r="BP16" s="31">
        <f>BP12+1</f>
        <v>5</v>
      </c>
      <c r="BQ16" s="31">
        <v>2</v>
      </c>
      <c r="BR16" s="107">
        <f>$H$30*H41</f>
        <v>5.7953516194767865E-3</v>
      </c>
    </row>
    <row r="17" spans="1:70" x14ac:dyDescent="0.25">
      <c r="A17" s="183" t="s">
        <v>74</v>
      </c>
      <c r="B17" s="167" t="s">
        <v>164</v>
      </c>
      <c r="C17" s="168" t="s">
        <v>145</v>
      </c>
      <c r="E17" s="187" t="s">
        <v>71</v>
      </c>
      <c r="F17" s="162" t="s">
        <v>144</v>
      </c>
      <c r="G17" s="162"/>
      <c r="H17" s="10"/>
      <c r="I17" s="10"/>
      <c r="J17" s="161"/>
      <c r="K17" s="161"/>
      <c r="L17" s="10"/>
      <c r="M17" s="10"/>
      <c r="O17" s="67">
        <f t="shared" si="1"/>
        <v>0.10069908125611871</v>
      </c>
      <c r="P17" s="199">
        <f>P3</f>
        <v>0.56999999999999995</v>
      </c>
      <c r="Q17" s="203">
        <f t="shared" si="2"/>
        <v>5.7398476315987657E-2</v>
      </c>
      <c r="R17" s="209">
        <f t="shared" si="3"/>
        <v>5.7398476315987657E-2</v>
      </c>
      <c r="S17" s="172">
        <f t="shared" si="4"/>
        <v>0.9426015236840124</v>
      </c>
      <c r="T17" s="172">
        <f>R17*PRODUCT(S5:S16)*PRODUCT(S18:S19)</f>
        <v>3.0385599612916089E-2</v>
      </c>
      <c r="U17" s="172">
        <f>R17*R18*PRODUCT(S5:S16)*S19+R17*R19*PRODUCT(S5:S16)*S18</f>
        <v>1.3905367090607983E-3</v>
      </c>
      <c r="W17" s="181" t="s">
        <v>76</v>
      </c>
      <c r="X17" s="15" t="s">
        <v>77</v>
      </c>
      <c r="Y17" s="69">
        <f t="shared" si="5"/>
        <v>2.5174770314029676E-2</v>
      </c>
      <c r="Z17" s="69">
        <f>Z3</f>
        <v>0.56999999999999995</v>
      </c>
      <c r="AA17" s="69">
        <f t="shared" si="6"/>
        <v>1.4349619078996914E-2</v>
      </c>
      <c r="AB17" s="209">
        <f t="shared" si="7"/>
        <v>1.4349619078996914E-2</v>
      </c>
      <c r="AC17" s="172">
        <f t="shared" si="8"/>
        <v>0.9856503809210031</v>
      </c>
      <c r="AD17" s="172">
        <f>AB17*PRODUCT(AC5:AC16)*PRODUCT(AC18:AC19)</f>
        <v>1.3116355368293385E-2</v>
      </c>
      <c r="AE17" s="172">
        <f>AB17*AB18*PRODUCT(AC5:AC16)*AC19+AB17*AB19*PRODUCT(AC5:AC16)*AC18</f>
        <v>6.4086837377757923E-5</v>
      </c>
      <c r="AG17" s="193">
        <f>COUNTA(F14:F15)/(COUNTA(F14:F15)+COUNTA(J14:J15))</f>
        <v>0.66666666666666663</v>
      </c>
      <c r="AH17" s="31">
        <f>COUNTA(F14:F15)</f>
        <v>2</v>
      </c>
      <c r="AI17" s="196">
        <f t="shared" si="9"/>
        <v>0.15104862188417806</v>
      </c>
      <c r="AK17" s="193">
        <f>COUNTA(J14:J15)/(COUNTA(F14:F15)+COUNTA(J14:J15))</f>
        <v>0.33333333333333331</v>
      </c>
      <c r="AL17" s="31">
        <f>COUNTA(J14:J15)</f>
        <v>1</v>
      </c>
      <c r="AM17" s="197">
        <v>0.1089</v>
      </c>
      <c r="AN17" s="198">
        <f t="shared" si="10"/>
        <v>0.1089</v>
      </c>
      <c r="AO17" s="31">
        <f>1/2</f>
        <v>0.5</v>
      </c>
      <c r="BH17" s="31">
        <v>1</v>
      </c>
      <c r="BI17" s="31">
        <v>5</v>
      </c>
      <c r="BJ17" s="107">
        <f t="shared" si="11"/>
        <v>1.5339119821411017E-4</v>
      </c>
      <c r="BP17" s="31">
        <f>BP13+1</f>
        <v>5</v>
      </c>
      <c r="BQ17" s="31">
        <v>3</v>
      </c>
      <c r="BR17" s="107">
        <f>$H$30*H42</f>
        <v>1.3557484841278025E-3</v>
      </c>
    </row>
    <row r="18" spans="1:70" x14ac:dyDescent="0.25">
      <c r="A18" s="183" t="s">
        <v>78</v>
      </c>
      <c r="B18" s="167">
        <v>20</v>
      </c>
      <c r="C18" s="168">
        <v>17</v>
      </c>
      <c r="E18" s="187" t="s">
        <v>71</v>
      </c>
      <c r="F18" s="162"/>
      <c r="G18" s="162"/>
      <c r="H18" s="10"/>
      <c r="I18" s="10"/>
      <c r="J18" s="161" t="s">
        <v>32</v>
      </c>
      <c r="K18" s="161"/>
      <c r="L18" s="10"/>
      <c r="M18" s="10"/>
      <c r="O18" s="67">
        <f t="shared" si="1"/>
        <v>6.3977205550116767E-2</v>
      </c>
      <c r="P18" s="199">
        <f>P17*1.2</f>
        <v>0.68399999999999994</v>
      </c>
      <c r="Q18" s="203">
        <f t="shared" si="2"/>
        <v>4.3760408596279866E-2</v>
      </c>
      <c r="R18" s="209">
        <f t="shared" si="3"/>
        <v>4.3760408596279866E-2</v>
      </c>
      <c r="S18" s="172">
        <f t="shared" si="4"/>
        <v>0.95623959140372017</v>
      </c>
      <c r="T18" s="172">
        <f>R18*PRODUCT(S5:S17)*PRODUCT(S19)</f>
        <v>2.2835484577735644E-2</v>
      </c>
      <c r="U18" s="172">
        <f>R18*R19*PRODUCT(S5:S17)</f>
        <v>0</v>
      </c>
      <c r="W18" s="181" t="s">
        <v>79</v>
      </c>
      <c r="X18" s="15" t="s">
        <v>80</v>
      </c>
      <c r="Y18" s="69">
        <f t="shared" si="5"/>
        <v>7.1085783944574172E-3</v>
      </c>
      <c r="Z18" s="69">
        <f>Z17*1.2</f>
        <v>0.68399999999999994</v>
      </c>
      <c r="AA18" s="69">
        <f t="shared" si="6"/>
        <v>4.8622676218088726E-3</v>
      </c>
      <c r="AB18" s="209">
        <f t="shared" si="7"/>
        <v>4.8622676218088726E-3</v>
      </c>
      <c r="AC18" s="172">
        <f t="shared" si="8"/>
        <v>0.99513773237819114</v>
      </c>
      <c r="AD18" s="172">
        <f>AB18*PRODUCT(AC5:AC17)*PRODUCT(AC19)</f>
        <v>4.4020134141306462E-3</v>
      </c>
      <c r="AE18" s="172">
        <f>AB18*AB19*PRODUCT(AC5:AC17)</f>
        <v>0</v>
      </c>
      <c r="AG18" s="193">
        <f>IF(COUNTA(F14:F15)&gt;0,IF(COUNTIF(F11:F18,"CAB")+COUNTIF(J11:J18,"CAB")=0,0,COUNTIF(F11:F18,"CAB")/(COUNTIF(F11:F18,"CAB")+COUNTIF(J11:J18,"CAB"))),0)</f>
        <v>0.75</v>
      </c>
      <c r="AH18" s="31">
        <f>COUNTIF(F11:F18,"CAB")</f>
        <v>3</v>
      </c>
      <c r="AI18" s="196">
        <f t="shared" si="9"/>
        <v>0.22747450862263735</v>
      </c>
      <c r="AK18" s="193">
        <f>IF(COUNTA(J14:J15)&gt;0,IF(COUNTIF(J11:J18,"CAB")+COUNTIF(F11:F18,"CAB")=0,0,COUNTIF(J11:J18,"CAB")/(COUNTIF(J11:J18,"CAB")+COUNTIF(F11:F18,"CAB"))),0)</f>
        <v>0.25</v>
      </c>
      <c r="AL18" s="31">
        <f>COUNTIF(J11:J18,"CAB")</f>
        <v>1</v>
      </c>
      <c r="AM18" s="197">
        <v>0.16400000000000001</v>
      </c>
      <c r="AN18" s="198">
        <f t="shared" si="10"/>
        <v>0.16400000000000001</v>
      </c>
      <c r="AO18" s="31">
        <f>1/8</f>
        <v>0.125</v>
      </c>
      <c r="BH18" s="31">
        <v>1</v>
      </c>
      <c r="BI18" s="31">
        <v>6</v>
      </c>
      <c r="BJ18" s="107">
        <f t="shared" si="11"/>
        <v>1.4415441688197017E-5</v>
      </c>
      <c r="BP18" s="31">
        <f>BL8+1</f>
        <v>5</v>
      </c>
      <c r="BQ18" s="31">
        <v>4</v>
      </c>
      <c r="BR18" s="107">
        <f>$H$30*H43</f>
        <v>2.2206304305950414E-4</v>
      </c>
    </row>
    <row r="19" spans="1:70" x14ac:dyDescent="0.25">
      <c r="H19" s="158" t="s">
        <v>81</v>
      </c>
      <c r="L19" s="158" t="s">
        <v>81</v>
      </c>
      <c r="O19" s="67">
        <f t="shared" si="1"/>
        <v>0</v>
      </c>
      <c r="P19" s="199">
        <f>P3</f>
        <v>0.56999999999999995</v>
      </c>
      <c r="Q19" s="203">
        <f t="shared" si="2"/>
        <v>0</v>
      </c>
      <c r="R19" s="209">
        <f t="shared" si="3"/>
        <v>0</v>
      </c>
      <c r="S19" s="174">
        <f t="shared" si="4"/>
        <v>1</v>
      </c>
      <c r="T19" s="174">
        <f>R19*PRODUCT(S5:S18)</f>
        <v>0</v>
      </c>
      <c r="U19" s="174">
        <v>0</v>
      </c>
      <c r="V19" s="1" t="s">
        <v>82</v>
      </c>
      <c r="W19" s="181" t="s">
        <v>83</v>
      </c>
      <c r="X19" s="15" t="s">
        <v>84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209">
        <f t="shared" si="7"/>
        <v>0</v>
      </c>
      <c r="AC19" s="174">
        <f t="shared" si="8"/>
        <v>1</v>
      </c>
      <c r="AD19" s="174">
        <f>AB19*PRODUCT(AC5:AC18)</f>
        <v>0</v>
      </c>
      <c r="AE19" s="174">
        <v>0</v>
      </c>
      <c r="AF19" s="1" t="s">
        <v>82</v>
      </c>
      <c r="AG19" s="193">
        <f>IF(COUNTIF(F11:F18,"TEC")&gt;0,IF(COUNTIF(J6:J13,"CAB")&gt;0,IF(COUNTIF(F11:F18,"TEC")+COUNTIF(J11:J18,"TEC")&gt;0,COUNTIF(F11:F18,"TEC")/(COUNTIF(F11:F18,"TEC")+COUNTIF(J11:J18,"TEC")),0),0),0)</f>
        <v>0</v>
      </c>
      <c r="AH19" s="31">
        <f>COUNTIF(F11:F18,"TEC")</f>
        <v>0</v>
      </c>
      <c r="AI19" s="196">
        <f t="shared" si="9"/>
        <v>0</v>
      </c>
      <c r="AK19" s="193">
        <f>IF(COUNTIF(J11:J18,"TEC")&gt;0,IF(COUNTIF(F6:F13,"CAB")&gt;0,IF(COUNTIF(F11:F18,"TEC")+COUNTIF(J11:J18,"TEC")&gt;0,COUNTIF(J11:J18,"TEC")/(COUNTIF(F11:F18,"TEC")+COUNTIF(J11:J18,"TEC")),0),0),0)</f>
        <v>0</v>
      </c>
      <c r="AL19" s="31">
        <f>COUNTIF(J11:J18,"TEC")</f>
        <v>0</v>
      </c>
      <c r="AM19" s="197">
        <v>0.60870000000000002</v>
      </c>
      <c r="AN19" s="198">
        <f t="shared" si="10"/>
        <v>0</v>
      </c>
      <c r="AO19" s="31">
        <f>1/8</f>
        <v>0.125</v>
      </c>
      <c r="BH19" s="31">
        <v>1</v>
      </c>
      <c r="BI19" s="31">
        <v>7</v>
      </c>
      <c r="BJ19" s="107">
        <f t="shared" si="11"/>
        <v>1.0652486127415455E-6</v>
      </c>
      <c r="BP19" s="31">
        <f>BP15+1</f>
        <v>6</v>
      </c>
      <c r="BQ19" s="31">
        <v>1</v>
      </c>
      <c r="BR19" s="107">
        <f>$H$31*H40</f>
        <v>4.4426907870224151E-3</v>
      </c>
    </row>
    <row r="20" spans="1:70" x14ac:dyDescent="0.25">
      <c r="A20" s="185" t="s">
        <v>85</v>
      </c>
      <c r="B20" s="31">
        <f>IF(B17="Pres",IF(C17="Pres",2,1),IF(C17="Pres",1,0))</f>
        <v>0</v>
      </c>
      <c r="D20" s="210"/>
      <c r="O20" s="22"/>
      <c r="P20" s="22"/>
      <c r="Q20" s="22"/>
      <c r="S20" s="175">
        <f>PRODUCT(S5:S19)</f>
        <v>0.4989942997007622</v>
      </c>
      <c r="T20" s="176">
        <f>SUM(T5:T19)</f>
        <v>0.3640701470104129</v>
      </c>
      <c r="U20" s="176">
        <f>SUM(U5:U19)</f>
        <v>0.11433304766055476</v>
      </c>
      <c r="V20" s="176">
        <f>1-S20-T20-U20</f>
        <v>2.2602505628270195E-2</v>
      </c>
      <c r="X20" s="22"/>
      <c r="Y20" s="22"/>
      <c r="Z20" s="22"/>
      <c r="AA20" s="22"/>
      <c r="AB20" s="158"/>
      <c r="AC20" s="179">
        <f>PRODUCT(AC5:AC19)</f>
        <v>0.90093964124637504</v>
      </c>
      <c r="AD20" s="176">
        <f>SUM(AD5:AD19)</f>
        <v>9.5118530844079494E-2</v>
      </c>
      <c r="AE20" s="176">
        <f>SUM(AE5:AE19)</f>
        <v>3.8600916866749313E-3</v>
      </c>
      <c r="AF20" s="176">
        <f>1-AC20-AD20-AE20</f>
        <v>8.1736222870530412E-5</v>
      </c>
      <c r="BH20" s="31">
        <v>1</v>
      </c>
      <c r="BI20" s="31">
        <v>8</v>
      </c>
      <c r="BJ20" s="107">
        <f t="shared" si="11"/>
        <v>6.225584974435787E-8</v>
      </c>
      <c r="BP20" s="31">
        <f>BP16+1</f>
        <v>6</v>
      </c>
      <c r="BQ20" s="31">
        <v>2</v>
      </c>
      <c r="BR20" s="107">
        <f>$H$31*H41</f>
        <v>1.6651653738206265E-3</v>
      </c>
    </row>
    <row r="21" spans="1:70" x14ac:dyDescent="0.25">
      <c r="A21" s="185" t="s">
        <v>86</v>
      </c>
      <c r="B21" s="186">
        <f>5-B20</f>
        <v>5</v>
      </c>
      <c r="C21" s="35"/>
      <c r="O21" s="22"/>
      <c r="P21" s="22"/>
      <c r="Q21" s="22"/>
      <c r="BH21" s="31">
        <v>1</v>
      </c>
      <c r="BI21" s="31">
        <v>9</v>
      </c>
      <c r="BJ21" s="107">
        <f t="shared" si="11"/>
        <v>2.8499222465262545E-9</v>
      </c>
      <c r="BP21" s="31">
        <f>BP17+1</f>
        <v>6</v>
      </c>
      <c r="BQ21" s="31">
        <v>3</v>
      </c>
      <c r="BR21" s="107">
        <f>$H$31*H42</f>
        <v>3.8954416912208593E-4</v>
      </c>
    </row>
    <row r="22" spans="1:70" x14ac:dyDescent="0.25">
      <c r="A22" s="26" t="s">
        <v>87</v>
      </c>
      <c r="B22" s="211">
        <f>(B6)/((B6)+(C6))</f>
        <v>0.6470588235294118</v>
      </c>
      <c r="C22" s="212">
        <f>1-B22</f>
        <v>0.3529411764705882</v>
      </c>
      <c r="V22" s="213">
        <f>SUM(V25:V35)</f>
        <v>1</v>
      </c>
      <c r="AS22" s="82">
        <f>Y23+AA23+AC23+AE23+AG23+AI23+AK23+AM23+AO23+AQ23+AS23</f>
        <v>1</v>
      </c>
      <c r="BH22" s="31">
        <v>1</v>
      </c>
      <c r="BI22" s="31">
        <v>10</v>
      </c>
      <c r="BJ22" s="107">
        <f t="shared" si="11"/>
        <v>9.9294927075306117E-11</v>
      </c>
      <c r="BP22" s="31">
        <f>BP18+1</f>
        <v>6</v>
      </c>
      <c r="BQ22" s="31">
        <v>4</v>
      </c>
      <c r="BR22" s="107">
        <f>$H$31*H43</f>
        <v>6.3804875767194374E-5</v>
      </c>
    </row>
    <row r="23" spans="1:70" ht="15.75" thickBot="1" x14ac:dyDescent="0.3">
      <c r="A23" s="40" t="s">
        <v>88</v>
      </c>
      <c r="B23" s="56">
        <f>((B22^2.8)/((B22^2.8)+(C22^2.8)))*B21</f>
        <v>4.2258305021838805</v>
      </c>
      <c r="C23" s="57">
        <f>B21-B23</f>
        <v>0.77416949781611955</v>
      </c>
      <c r="D23" s="149">
        <f>SUM(D25:D30)</f>
        <v>1.0003500000000001</v>
      </c>
      <c r="E23" s="149">
        <f>SUM(E25:E30)</f>
        <v>1</v>
      </c>
      <c r="H23" s="213">
        <f>SUM(H25:H35)</f>
        <v>0.99999971212330407</v>
      </c>
      <c r="J23" s="213">
        <f>SUM(J25:J35)</f>
        <v>1.0000000000000002</v>
      </c>
      <c r="K23" s="213"/>
      <c r="L23" s="213">
        <f>SUM(L25:L35)</f>
        <v>1</v>
      </c>
      <c r="N23" s="213">
        <f>SUM(N25:N35)</f>
        <v>1</v>
      </c>
      <c r="O23" s="34"/>
      <c r="P23" s="213">
        <f>SUM(P25:P35)</f>
        <v>1</v>
      </c>
      <c r="R23" s="213">
        <f>SUM(R25:R35)</f>
        <v>1</v>
      </c>
      <c r="T23" s="213">
        <f>SUM(T25:T35)</f>
        <v>1</v>
      </c>
      <c r="V23" s="213">
        <f>SUM(V25:V34)</f>
        <v>0.81233611334955147</v>
      </c>
      <c r="Y23" s="210">
        <f>SUM(Y25:Y35)</f>
        <v>7.8792267538900957E-9</v>
      </c>
      <c r="Z23" s="81"/>
      <c r="AA23" s="210">
        <f>SUM(AA25:AA35)</f>
        <v>4.3012986302005968E-7</v>
      </c>
      <c r="AB23" s="81"/>
      <c r="AC23" s="210">
        <f>SUM(AC25:AC35)</f>
        <v>1.0566641800868837E-5</v>
      </c>
      <c r="AD23" s="81"/>
      <c r="AE23" s="210">
        <f>SUM(AE25:AE35)</f>
        <v>1.5383062362367948E-4</v>
      </c>
      <c r="AF23" s="81"/>
      <c r="AG23" s="210">
        <f>SUM(AG25:AG35)</f>
        <v>1.4697225814256773E-3</v>
      </c>
      <c r="AH23" s="81"/>
      <c r="AI23" s="210">
        <f>SUM(AI25:AI35)</f>
        <v>9.6293567136885583E-3</v>
      </c>
      <c r="AJ23" s="81"/>
      <c r="AK23" s="210">
        <f>SUM(AK25:AK35)</f>
        <v>4.3816583050751423E-2</v>
      </c>
      <c r="AL23" s="81"/>
      <c r="AM23" s="210">
        <f>SUM(AM25:AM35)</f>
        <v>0.13674015685442725</v>
      </c>
      <c r="AN23" s="81"/>
      <c r="AO23" s="210">
        <f>SUM(AO25:AO35)</f>
        <v>0.28013611994516979</v>
      </c>
      <c r="AP23" s="81"/>
      <c r="AQ23" s="210">
        <f>SUM(AQ25:AQ35)</f>
        <v>0.34037933892957445</v>
      </c>
      <c r="AR23" s="81"/>
      <c r="AS23" s="210">
        <f>SUM(AS25:AS35)</f>
        <v>0.18766388665044859</v>
      </c>
      <c r="BH23" s="31">
        <f t="shared" ref="BH23:BH30" si="12">BH15+1</f>
        <v>2</v>
      </c>
      <c r="BI23" s="31">
        <v>3</v>
      </c>
      <c r="BJ23" s="107">
        <f t="shared" ref="BJ23:BJ30" si="13">$H$27*H42</f>
        <v>9.1741925253482608E-3</v>
      </c>
      <c r="BP23" s="31">
        <f>BL9+1</f>
        <v>6</v>
      </c>
      <c r="BQ23" s="31">
        <v>5</v>
      </c>
      <c r="BR23" s="107">
        <f>$H$31*H44</f>
        <v>7.7766980390128544E-6</v>
      </c>
    </row>
    <row r="24" spans="1:70" ht="15.75" thickBot="1" x14ac:dyDescent="0.3">
      <c r="A24" s="26" t="s">
        <v>89</v>
      </c>
      <c r="B24" s="64">
        <f>B23/B21</f>
        <v>0.84516610043677609</v>
      </c>
      <c r="C24" s="65">
        <f>C23/B21</f>
        <v>0.15483389956322391</v>
      </c>
      <c r="D24" s="158" t="s">
        <v>90</v>
      </c>
      <c r="E24" s="158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 s="31">
        <f t="shared" si="12"/>
        <v>2</v>
      </c>
      <c r="BI24" s="31">
        <v>4</v>
      </c>
      <c r="BJ24" s="107">
        <f t="shared" si="13"/>
        <v>1.5026748203249669E-3</v>
      </c>
      <c r="BP24" s="31">
        <f>BH49+1</f>
        <v>7</v>
      </c>
      <c r="BQ24" s="31">
        <v>0</v>
      </c>
      <c r="BR24" s="107">
        <f t="shared" ref="BR24:BR30" si="14">$H$32*H39</f>
        <v>1.2118396212858495E-3</v>
      </c>
    </row>
    <row r="25" spans="1:70" x14ac:dyDescent="0.25">
      <c r="A25" s="26" t="s">
        <v>114</v>
      </c>
      <c r="B25" s="214">
        <f>1/(1+EXP(-3.1416*4*((B11/(B11+C8))-(3.1416/6))))</f>
        <v>9.1206572007185623E-3</v>
      </c>
      <c r="C25" s="212">
        <f>1/(1+EXP(-3.1416*4*((C11/(C11+B8))-(3.1416/6))))</f>
        <v>1.7462844770755239E-2</v>
      </c>
      <c r="D25" s="208">
        <f>IF(B17="AOW",0.36-0.08,IF(B17="AIM",0.36+0.08,IF(B17="TL",(0.361)-(0.36*B32),0.36)))</f>
        <v>0.23499999999999999</v>
      </c>
      <c r="E25" s="208">
        <f>IF(C17="AOW",0.36-0.08,IF(C17="AIM",0.36+0.08,IF(C17="TL",(0.361)-(0.36*C32),0.36)))</f>
        <v>0.36</v>
      </c>
      <c r="G25" s="124">
        <v>0</v>
      </c>
      <c r="H25" s="125">
        <f>L25*J25</f>
        <v>9.3965563646966982E-2</v>
      </c>
      <c r="I25" s="97">
        <v>0</v>
      </c>
      <c r="J25" s="98">
        <f t="shared" ref="J25:J35" si="15">Y25+AA25+AC25+AE25+AG25+AI25+AK25+AM25+AO25+AQ25+AS25</f>
        <v>0.18830989392727818</v>
      </c>
      <c r="K25" s="97">
        <v>0</v>
      </c>
      <c r="L25" s="98">
        <f>S20</f>
        <v>0.4989942997007622</v>
      </c>
      <c r="M25" s="85">
        <v>0</v>
      </c>
      <c r="N25" s="215">
        <f>(1-$B$24)^$B$21</f>
        <v>8.8987756788116651E-5</v>
      </c>
      <c r="O25" s="72">
        <v>0</v>
      </c>
      <c r="P25" s="215">
        <f t="shared" ref="P25:P30" si="16">N25</f>
        <v>8.8987756788116651E-5</v>
      </c>
      <c r="Q25" s="28">
        <v>0</v>
      </c>
      <c r="R25" s="216">
        <f>P25*N25</f>
        <v>7.9188208581810012E-9</v>
      </c>
      <c r="S25" s="72">
        <v>0</v>
      </c>
      <c r="T25" s="217">
        <f>(1-$B$33)^(INT(C23*2*(1-C31)))</f>
        <v>0.995</v>
      </c>
      <c r="U25" s="138">
        <v>0</v>
      </c>
      <c r="V25" s="86">
        <f>R25*T25</f>
        <v>7.8792267538900957E-9</v>
      </c>
      <c r="W25" s="134">
        <f>B31</f>
        <v>0.18186410200700248</v>
      </c>
      <c r="X25" s="28">
        <v>0</v>
      </c>
      <c r="Y25" s="218">
        <f>V25</f>
        <v>7.8792267538900957E-9</v>
      </c>
      <c r="Z25" s="28">
        <v>0</v>
      </c>
      <c r="AA25" s="218">
        <f>((1-W25)^Z26)*V26</f>
        <v>3.5190468173552154E-7</v>
      </c>
      <c r="AB25" s="28">
        <v>0</v>
      </c>
      <c r="AC25" s="218">
        <f>(((1-$W$25)^AB27))*V27</f>
        <v>7.0727430956485191E-6</v>
      </c>
      <c r="AD25" s="28">
        <v>0</v>
      </c>
      <c r="AE25" s="218">
        <f>(((1-$W$25)^AB28))*V28</f>
        <v>8.4240153112744102E-5</v>
      </c>
      <c r="AF25" s="28">
        <v>0</v>
      </c>
      <c r="AG25" s="218">
        <f>(((1-$W$25)^AB29))*V29</f>
        <v>6.5847177321971774E-4</v>
      </c>
      <c r="AH25" s="28">
        <v>0</v>
      </c>
      <c r="AI25" s="218">
        <f>(((1-$W$25)^AB30))*V30</f>
        <v>3.5295921102925362E-3</v>
      </c>
      <c r="AJ25" s="28">
        <v>0</v>
      </c>
      <c r="AK25" s="218">
        <f>(((1-$W$25)^AB31))*V31</f>
        <v>1.3139873999329898E-2</v>
      </c>
      <c r="AL25" s="28">
        <v>0</v>
      </c>
      <c r="AM25" s="218">
        <f>(((1-$W$25)^AB32))*V32</f>
        <v>3.3548585702053983E-2</v>
      </c>
      <c r="AN25" s="28">
        <v>0</v>
      </c>
      <c r="AO25" s="218">
        <f>(((1-$W$25)^AB33))*V33</f>
        <v>5.6230597823556522E-2</v>
      </c>
      <c r="AP25" s="28">
        <v>0</v>
      </c>
      <c r="AQ25" s="218">
        <f>(((1-$W$25)^AB34))*V34</f>
        <v>5.5897480243415613E-2</v>
      </c>
      <c r="AR25" s="28">
        <v>0</v>
      </c>
      <c r="AS25" s="218">
        <f>(((1-$W$25)^AB35))*V35</f>
        <v>2.5213619595293019E-2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H25" s="31">
        <f t="shared" si="12"/>
        <v>2</v>
      </c>
      <c r="BI25" s="31">
        <v>5</v>
      </c>
      <c r="BJ25" s="107">
        <f t="shared" si="13"/>
        <v>1.8314977010743598E-4</v>
      </c>
      <c r="BP25" s="31">
        <f>BP19+1</f>
        <v>7</v>
      </c>
      <c r="BQ25" s="31">
        <v>1</v>
      </c>
      <c r="BR25" s="107">
        <f t="shared" si="14"/>
        <v>9.6791438471018011E-4</v>
      </c>
    </row>
    <row r="26" spans="1:70" x14ac:dyDescent="0.25">
      <c r="A26" s="40" t="s">
        <v>115</v>
      </c>
      <c r="B26" s="211">
        <f>1/(1+EXP(-3.1416*4*((B10/(B10+C9))-(3.1416/6))))</f>
        <v>6.7535410141639557E-3</v>
      </c>
      <c r="C26" s="212">
        <f>1/(1+EXP(-3.1416*4*((C10/(C10+B9))-(3.1416/6))))</f>
        <v>6.3595291893987025E-3</v>
      </c>
      <c r="D26" s="208">
        <f>IF(B17="AOW",0.257+0.04,IF(B17="AIM",0.257-0.04,IF(B17="TL",(0.257)-(0.257*B32),0.257)))</f>
        <v>0.16705</v>
      </c>
      <c r="E26" s="208">
        <f>IF(C17="AOW",0.257+0.04,IF(C17="AIM",0.257-0.04,IF(C17="TL",(0.257)-(0.257*C32),0.257)))</f>
        <v>0.25700000000000001</v>
      </c>
      <c r="G26" s="87">
        <v>1</v>
      </c>
      <c r="H26" s="126">
        <f>L25*J26+L26*J25</f>
        <v>0.23929854572461176</v>
      </c>
      <c r="I26" s="138">
        <v>1</v>
      </c>
      <c r="J26" s="86">
        <f t="shared" si="15"/>
        <v>0.34216930947183627</v>
      </c>
      <c r="K26" s="138">
        <v>1</v>
      </c>
      <c r="L26" s="86">
        <f>T20</f>
        <v>0.3640701470104129</v>
      </c>
      <c r="M26" s="85">
        <v>1</v>
      </c>
      <c r="N26" s="215">
        <f>(($B$24)^M26)*((1-($B$24))^($B$21-M26))*HLOOKUP($B$21,$AV$24:$BF$34,M26+1)</f>
        <v>2.4287134666048454E-3</v>
      </c>
      <c r="O26" s="72">
        <v>1</v>
      </c>
      <c r="P26" s="215">
        <f t="shared" si="16"/>
        <v>2.4287134666048454E-3</v>
      </c>
      <c r="Q26" s="28">
        <v>1</v>
      </c>
      <c r="R26" s="216">
        <f>N26*P25+P26*N25</f>
        <v>4.3225152654851133E-7</v>
      </c>
      <c r="S26" s="72">
        <v>1</v>
      </c>
      <c r="T26" s="217">
        <f t="shared" ref="T26:T35" si="17">(($B$33)^S26)*((1-($B$33))^(INT($C$23*2*(1-$C$31))-S26))*HLOOKUP(INT($C$23*2*(1-$C$31)),$AV$24:$BF$34,S26+1)</f>
        <v>5.0000000000000001E-3</v>
      </c>
      <c r="U26" s="138">
        <v>1</v>
      </c>
      <c r="V26" s="86">
        <f>R26*T25+T26*R25</f>
        <v>4.3012986302005963E-7</v>
      </c>
      <c r="W26" s="219"/>
      <c r="X26" s="28">
        <v>1</v>
      </c>
      <c r="Y26" s="216"/>
      <c r="Z26" s="28">
        <v>1</v>
      </c>
      <c r="AA26" s="218">
        <f>(1-((1-W25)^Z26))*V26</f>
        <v>7.8225181284538109E-8</v>
      </c>
      <c r="AB26" s="28">
        <v>1</v>
      </c>
      <c r="AC26" s="218">
        <f>((($W$25)^M26)*((1-($W$25))^($U$27-M26))*HLOOKUP($U$27,$AV$24:$BF$34,M26+1))*V27</f>
        <v>3.1444117657513035E-6</v>
      </c>
      <c r="AD26" s="28">
        <v>1</v>
      </c>
      <c r="AE26" s="218">
        <f>((($W$25)^M26)*((1-($W$25))^($U$28-M26))*HLOOKUP($U$28,$AV$24:$BF$34,M26+1))*V28</f>
        <v>5.6177438869377391E-5</v>
      </c>
      <c r="AF26" s="28">
        <v>1</v>
      </c>
      <c r="AG26" s="218">
        <f>((($W$25)^M26)*((1-($W$25))^($U$29-M26))*HLOOKUP($U$29,$AV$24:$BF$34,M26+1))*V29</f>
        <v>5.8548892929564391E-4</v>
      </c>
      <c r="AH26" s="28">
        <v>1</v>
      </c>
      <c r="AI26" s="218">
        <f>((($W$25)^M26)*((1-($W$25))^($U$30-M26))*HLOOKUP($U$30,$AV$24:$BF$34,M26+1))*V30</f>
        <v>3.9229796734505775E-3</v>
      </c>
      <c r="AJ26" s="28">
        <v>1</v>
      </c>
      <c r="AK26" s="218">
        <f>((($W$25)^M26)*((1-($W$25))^($U$31-M26))*HLOOKUP($U$31,$AV$24:$BF$34,M26+1))*V31</f>
        <v>1.7525240424497882E-2</v>
      </c>
      <c r="AL26" s="28">
        <v>1</v>
      </c>
      <c r="AM26" s="218">
        <f>((($W$25)^Q26)*((1-($W$25))^($U$32-Q26))*HLOOKUP($U$32,$AV$24:$BF$34,Q26+1))*V32</f>
        <v>5.2202799059342365E-2</v>
      </c>
      <c r="AN26" s="28">
        <v>1</v>
      </c>
      <c r="AO26" s="218">
        <f>((($W$25)^Q26)*((1-($W$25))^($U$33-Q26))*HLOOKUP($U$33,$AV$24:$BF$34,Q26+1))*V33</f>
        <v>9.9996366897818656E-2</v>
      </c>
      <c r="AP26" s="28">
        <v>1</v>
      </c>
      <c r="AQ26" s="218">
        <f>((($W$25)^Q26)*((1-($W$25))^($U$34-Q26))*HLOOKUP($U$34,$AV$24:$BF$34,Q26+1))*V34</f>
        <v>0.1118294719309451</v>
      </c>
      <c r="AR26" s="28">
        <v>1</v>
      </c>
      <c r="AS26" s="218">
        <f>((($W$25)^Q26)*((1-($W$25))^($U$35-Q26))*HLOOKUP($U$35,$AV$24:$BF$34,Q26+1))*V35</f>
        <v>5.6047562480669604E-2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H26" s="31">
        <f t="shared" si="12"/>
        <v>2</v>
      </c>
      <c r="BI26" s="31">
        <v>6</v>
      </c>
      <c r="BJ26" s="107">
        <f t="shared" si="13"/>
        <v>1.7212101228293076E-5</v>
      </c>
      <c r="BP26" s="31">
        <f>BP20+1</f>
        <v>7</v>
      </c>
      <c r="BQ26" s="31">
        <v>2</v>
      </c>
      <c r="BR26" s="107">
        <f t="shared" si="14"/>
        <v>3.6278408638079206E-4</v>
      </c>
    </row>
    <row r="27" spans="1:70" x14ac:dyDescent="0.25">
      <c r="A27" s="26" t="s">
        <v>116</v>
      </c>
      <c r="B27" s="211">
        <f>1/(1+EXP(-3.1416*4*((B12/(B12+C7))-(3.1416/6))))</f>
        <v>6.1583620181303008E-3</v>
      </c>
      <c r="C27" s="212">
        <f>1/(1+EXP(-3.1416*4*((C12/(C12+B7))-(3.1416/6))))</f>
        <v>0.29765717491563931</v>
      </c>
      <c r="D27" s="208">
        <f>D26</f>
        <v>0.16705</v>
      </c>
      <c r="E27" s="208">
        <f>E26</f>
        <v>0.25700000000000001</v>
      </c>
      <c r="G27" s="87">
        <v>2</v>
      </c>
      <c r="H27" s="126">
        <f>L25*J27+J26*L26+J25*L27</f>
        <v>0.28572352355791686</v>
      </c>
      <c r="I27" s="138">
        <v>2</v>
      </c>
      <c r="J27" s="86">
        <f t="shared" si="15"/>
        <v>0.27980249225780729</v>
      </c>
      <c r="K27" s="138">
        <v>2</v>
      </c>
      <c r="L27" s="86">
        <f>U20</f>
        <v>0.11433304766055476</v>
      </c>
      <c r="M27" s="85">
        <v>2</v>
      </c>
      <c r="N27" s="215">
        <f>(($B$24)^M27)*((1-($B$24))^($B$21-M27))*HLOOKUP($B$21,$AV$24:$BF$34,M27+1)</f>
        <v>2.6514429920568246E-2</v>
      </c>
      <c r="O27" s="72">
        <v>2</v>
      </c>
      <c r="P27" s="215">
        <f t="shared" si="16"/>
        <v>2.6514429920568246E-2</v>
      </c>
      <c r="Q27" s="28">
        <v>2</v>
      </c>
      <c r="R27" s="216">
        <f>P25*N27+P26*N26+P27*N25</f>
        <v>1.0617568385161904E-5</v>
      </c>
      <c r="S27" s="72">
        <v>2</v>
      </c>
      <c r="T27" s="217">
        <f t="shared" si="17"/>
        <v>0</v>
      </c>
      <c r="U27" s="138">
        <v>2</v>
      </c>
      <c r="V27" s="86">
        <f>R27*T25+T26*R26+R25*T27</f>
        <v>1.0566641800868837E-5</v>
      </c>
      <c r="W27" s="219"/>
      <c r="X27" s="28">
        <v>2</v>
      </c>
      <c r="Y27" s="216"/>
      <c r="Z27" s="28">
        <v>2</v>
      </c>
      <c r="AA27" s="218"/>
      <c r="AB27" s="28">
        <v>2</v>
      </c>
      <c r="AC27" s="218">
        <f>((($W$25)^M27)*((1-($W$25))^($U$27-M27))*HLOOKUP($U$27,$AV$24:$BF$34,M27+1))*V27</f>
        <v>3.494869394690149E-7</v>
      </c>
      <c r="AD27" s="28">
        <v>2</v>
      </c>
      <c r="AE27" s="218">
        <f>((($W$25)^M27)*((1-($W$25))^($U$28-M27))*HLOOKUP($U$28,$AV$24:$BF$34,M27+1))*V28</f>
        <v>1.2487729114558474E-5</v>
      </c>
      <c r="AF27" s="28">
        <v>2</v>
      </c>
      <c r="AG27" s="218">
        <f>((($W$25)^M27)*((1-($W$25))^($U$29-M27))*HLOOKUP($U$29,$AV$24:$BF$34,M27+1))*V29</f>
        <v>1.9522322383592252E-4</v>
      </c>
      <c r="AH27" s="28">
        <v>2</v>
      </c>
      <c r="AI27" s="218">
        <f>((($W$25)^M27)*((1-($W$25))^($U$30-M27))*HLOOKUP($U$30,$AV$24:$BF$34,M27+1))*V30</f>
        <v>1.7440847596444659E-3</v>
      </c>
      <c r="AJ27" s="28">
        <v>2</v>
      </c>
      <c r="AK27" s="218">
        <f>((($W$25)^M27)*((1-($W$25))^($U$31-M27))*HLOOKUP($U$31,$AV$24:$BF$34,M27+1))*V31</f>
        <v>9.739250288603658E-3</v>
      </c>
      <c r="AL27" s="28">
        <v>2</v>
      </c>
      <c r="AM27" s="218">
        <f>((($W$25)^Q27)*((1-($W$25))^($U$32-Q27))*HLOOKUP($U$32,$AV$24:$BF$34,Q27+1))*V32</f>
        <v>3.4812609481391622E-2</v>
      </c>
      <c r="AN27" s="28">
        <v>2</v>
      </c>
      <c r="AO27" s="218">
        <f>((($W$25)^Q27)*((1-($W$25))^($U$33-Q27))*HLOOKUP($U$33,$AV$24:$BF$34,Q27+1))*V33</f>
        <v>7.7798961395733376E-2</v>
      </c>
      <c r="AP27" s="28">
        <v>2</v>
      </c>
      <c r="AQ27" s="218">
        <f>((($W$25)^Q27)*((1-($W$25))^($U$34-Q27))*HLOOKUP($U$34,$AV$24:$BF$34,Q27+1))*V34</f>
        <v>9.943466135897483E-2</v>
      </c>
      <c r="AR27" s="28">
        <v>2</v>
      </c>
      <c r="AS27" s="218">
        <f>((($W$25)^Q27)*((1-($W$25))^($U$35-Q27))*HLOOKUP($U$35,$AV$24:$BF$34,Q27+1))*V35</f>
        <v>5.6064864533569375E-2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H27" s="31">
        <f t="shared" si="12"/>
        <v>2</v>
      </c>
      <c r="BI27" s="31">
        <v>7</v>
      </c>
      <c r="BJ27" s="107">
        <f t="shared" si="13"/>
        <v>1.2719115620868281E-6</v>
      </c>
      <c r="BP27" s="31">
        <f>BP21+1</f>
        <v>7</v>
      </c>
      <c r="BQ27" s="31">
        <v>3</v>
      </c>
      <c r="BR27" s="107">
        <f t="shared" si="14"/>
        <v>8.486870296592168E-5</v>
      </c>
    </row>
    <row r="28" spans="1:70" x14ac:dyDescent="0.25">
      <c r="A28" s="26" t="s">
        <v>117</v>
      </c>
      <c r="B28" s="169">
        <v>0.9</v>
      </c>
      <c r="C28" s="170">
        <v>0.9</v>
      </c>
      <c r="D28" s="208">
        <v>8.5000000000000006E-2</v>
      </c>
      <c r="E28" s="208">
        <v>8.5000000000000006E-2</v>
      </c>
      <c r="G28" s="87">
        <v>3</v>
      </c>
      <c r="H28" s="126">
        <f>J28*L25+J27*L26+L28*J25+L27*J26</f>
        <v>0.21290799064996338</v>
      </c>
      <c r="I28" s="138">
        <v>3</v>
      </c>
      <c r="J28" s="86">
        <f t="shared" si="15"/>
        <v>0.13559818377722316</v>
      </c>
      <c r="K28" s="138">
        <v>3</v>
      </c>
      <c r="L28" s="86">
        <f>V20</f>
        <v>2.2602505628270195E-2</v>
      </c>
      <c r="M28" s="85">
        <v>3</v>
      </c>
      <c r="N28" s="215">
        <f>(($B$24)^M28)*((1-($B$24))^($B$21-M28))*HLOOKUP($B$21,$AV$24:$BF$34,M28+1)</f>
        <v>0.14472991641033012</v>
      </c>
      <c r="O28" s="72">
        <v>3</v>
      </c>
      <c r="P28" s="215">
        <f t="shared" si="16"/>
        <v>0.14472991641033012</v>
      </c>
      <c r="Q28" s="28">
        <v>3</v>
      </c>
      <c r="R28" s="216">
        <f>P25*N28+P26*N27+P27*N26+P28*N25</f>
        <v>1.545502872178429E-4</v>
      </c>
      <c r="S28" s="72">
        <v>3</v>
      </c>
      <c r="T28" s="217">
        <f t="shared" si="17"/>
        <v>0</v>
      </c>
      <c r="U28" s="138">
        <v>3</v>
      </c>
      <c r="V28" s="86">
        <f>R28*T25+R27*T26+R26*T27+R25*T28</f>
        <v>1.5383062362367948E-4</v>
      </c>
      <c r="W28" s="219"/>
      <c r="X28" s="28">
        <v>3</v>
      </c>
      <c r="Y28" s="216"/>
      <c r="Z28" s="28">
        <v>3</v>
      </c>
      <c r="AA28" s="218"/>
      <c r="AB28" s="28">
        <v>3</v>
      </c>
      <c r="AC28" s="218"/>
      <c r="AD28" s="28">
        <v>3</v>
      </c>
      <c r="AE28" s="218">
        <f>((($W$25)^M28)*((1-($W$25))^($U$28-M28))*HLOOKUP($U$28,$AV$24:$BF$34,M28+1))*V28</f>
        <v>9.2530252699954039E-7</v>
      </c>
      <c r="AF28" s="28">
        <v>3</v>
      </c>
      <c r="AG28" s="218">
        <f>((($W$25)^M28)*((1-($W$25))^($U$29-M28))*HLOOKUP($U$29,$AV$24:$BF$34,M28+1))*V29</f>
        <v>2.8930887383484523E-5</v>
      </c>
      <c r="AH28" s="28">
        <v>3</v>
      </c>
      <c r="AI28" s="218">
        <f>((($W$25)^M28)*((1-($W$25))^($U$30-M28))*HLOOKUP($U$30,$AV$24:$BF$34,M28+1))*V30</f>
        <v>3.8769403642468494E-4</v>
      </c>
      <c r="AJ28" s="28">
        <v>3</v>
      </c>
      <c r="AK28" s="218">
        <f>((($W$25)^M28)*((1-($W$25))^($U$31-M28))*HLOOKUP($U$31,$AV$24:$BF$34,M28+1))*V31</f>
        <v>2.8865946147470056E-3</v>
      </c>
      <c r="AL28" s="28">
        <v>3</v>
      </c>
      <c r="AM28" s="218">
        <f>((($W$25)^Q28)*((1-($W$25))^($U$32-Q28))*HLOOKUP($U$32,$AV$24:$BF$34,Q28+1))*V32</f>
        <v>1.2897539348057341E-2</v>
      </c>
      <c r="AN28" s="28">
        <v>3</v>
      </c>
      <c r="AO28" s="218">
        <f>((($W$25)^Q28)*((1-($W$25))^($U$33-Q28))*HLOOKUP($U$33,$AV$24:$BF$34,Q28+1))*V33</f>
        <v>3.4587990298486089E-2</v>
      </c>
      <c r="AP28" s="28">
        <v>3</v>
      </c>
      <c r="AQ28" s="218">
        <f>((($W$25)^Q28)*((1-($W$25))^($U$34-Q28))*HLOOKUP($U$34,$AV$24:$BF$34,Q28+1))*V34</f>
        <v>5.1574629628758757E-2</v>
      </c>
      <c r="AR28" s="28">
        <v>3</v>
      </c>
      <c r="AS28" s="218">
        <f>((($W$25)^Q28)*((1-($W$25))^($U$35-Q28))*HLOOKUP($U$35,$AV$24:$BF$34,Q28+1))*V35</f>
        <v>3.3233879660838794E-2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18">BE27+BE28</f>
        <v>210</v>
      </c>
      <c r="BH28" s="31">
        <f t="shared" si="12"/>
        <v>2</v>
      </c>
      <c r="BI28" s="31">
        <v>8</v>
      </c>
      <c r="BJ28" s="107">
        <f t="shared" si="13"/>
        <v>7.4333760354401866E-8</v>
      </c>
      <c r="BP28" s="31">
        <f>BP22+1</f>
        <v>7</v>
      </c>
      <c r="BQ28" s="31">
        <v>4</v>
      </c>
      <c r="BR28" s="107">
        <f t="shared" si="14"/>
        <v>1.3900957782187834E-5</v>
      </c>
    </row>
    <row r="29" spans="1:70" x14ac:dyDescent="0.25">
      <c r="A29" s="26" t="s">
        <v>118</v>
      </c>
      <c r="B29" s="211">
        <f>1/(1+EXP(-3.1416*4*((B14/(B14+C13))-(3.1416/6))))</f>
        <v>0.28810228831196311</v>
      </c>
      <c r="C29" s="212">
        <f>1/(1+EXP(-3.1416*4*((C14/(C14+B13))-(3.1416/6))))</f>
        <v>0.30957395125511972</v>
      </c>
      <c r="D29" s="208">
        <v>0.04</v>
      </c>
      <c r="E29" s="208">
        <v>0.04</v>
      </c>
      <c r="G29" s="87">
        <v>4</v>
      </c>
      <c r="H29" s="126">
        <f>J29*L25+J28*L26+J27*L27+J26*L28</f>
        <v>0.11061284049288098</v>
      </c>
      <c r="I29" s="138">
        <v>4</v>
      </c>
      <c r="J29" s="86">
        <f t="shared" si="15"/>
        <v>4.3128818059957295E-2</v>
      </c>
      <c r="K29" s="138">
        <v>4</v>
      </c>
      <c r="L29" s="86"/>
      <c r="M29" s="85">
        <v>4</v>
      </c>
      <c r="N29" s="215">
        <f>(($B$24)^M29)*((1-($B$24))^($B$21-M29))*HLOOKUP($B$21,$AV$24:$BF$34,M29+1)</f>
        <v>0.39500658258339461</v>
      </c>
      <c r="O29" s="72">
        <v>4</v>
      </c>
      <c r="P29" s="215">
        <f t="shared" si="16"/>
        <v>0.39500658258339461</v>
      </c>
      <c r="Q29" s="28">
        <v>4</v>
      </c>
      <c r="R29" s="216">
        <f>P25*N29+P26*N28+P27*N27+P28*N26+P29*N25</f>
        <v>1.4763314874267218E-3</v>
      </c>
      <c r="S29" s="72">
        <v>4</v>
      </c>
      <c r="T29" s="217">
        <f t="shared" si="17"/>
        <v>0</v>
      </c>
      <c r="U29" s="138">
        <v>4</v>
      </c>
      <c r="V29" s="86">
        <f>T29*R25+T28*R26+T27*R27+T26*R28+T25*R29</f>
        <v>1.4697225814256773E-3</v>
      </c>
      <c r="W29" s="219"/>
      <c r="X29" s="28">
        <v>4</v>
      </c>
      <c r="Y29" s="216"/>
      <c r="Z29" s="28">
        <v>4</v>
      </c>
      <c r="AA29" s="218"/>
      <c r="AB29" s="28">
        <v>4</v>
      </c>
      <c r="AC29" s="218"/>
      <c r="AD29" s="28">
        <v>4</v>
      </c>
      <c r="AE29" s="218"/>
      <c r="AF29" s="28">
        <v>4</v>
      </c>
      <c r="AG29" s="218">
        <f>((($W$25)^M29)*((1-($W$25))^($U$29-M29))*HLOOKUP($U$29,$AV$24:$BF$34,M29+1))*V29</f>
        <v>1.6077676909087799E-6</v>
      </c>
      <c r="AH29" s="28">
        <v>4</v>
      </c>
      <c r="AI29" s="218">
        <f>((($W$25)^M29)*((1-($W$25))^($U$30-M29))*HLOOKUP($U$30,$AV$24:$BF$34,M29+1))*V30</f>
        <v>4.3090413194684755E-5</v>
      </c>
      <c r="AJ29" s="28">
        <v>4</v>
      </c>
      <c r="AK29" s="218">
        <f>((($W$25)^M29)*((1-($W$25))^($U$31-M29))*HLOOKUP($U$31,$AV$24:$BF$34,M29+1))*V31</f>
        <v>4.8124761921311023E-4</v>
      </c>
      <c r="AL29" s="28">
        <v>4</v>
      </c>
      <c r="AM29" s="218">
        <f>((($W$25)^Q29)*((1-($W$25))^($U$32-Q29))*HLOOKUP($U$32,$AV$24:$BF$34,Q29+1))*V32</f>
        <v>2.8670046350349797E-3</v>
      </c>
      <c r="AN29" s="28">
        <v>4</v>
      </c>
      <c r="AO29" s="218">
        <f>((($W$25)^Q29)*((1-($W$25))^($U$33-Q29))*HLOOKUP($U$33,$AV$24:$BF$34,Q29+1))*V33</f>
        <v>9.6107410322846584E-3</v>
      </c>
      <c r="AP29" s="28">
        <v>4</v>
      </c>
      <c r="AQ29" s="218">
        <f>((($W$25)^Q29)*((1-($W$25))^($U$34-Q29))*HLOOKUP($U$34,$AV$24:$BF$34,Q29+1))*V34</f>
        <v>1.7196850291230411E-2</v>
      </c>
      <c r="AR29" s="28">
        <v>4</v>
      </c>
      <c r="AS29" s="218">
        <f>((($W$25)^Q29)*((1-($W$25))^($U$35-Q29))*HLOOKUP($U$35,$AV$24:$BF$34,Q29+1))*V35</f>
        <v>1.2928276301308543E-2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18"/>
        <v>252</v>
      </c>
      <c r="BH29" s="31">
        <f t="shared" si="12"/>
        <v>2</v>
      </c>
      <c r="BI29" s="31">
        <v>9</v>
      </c>
      <c r="BJ29" s="107">
        <f t="shared" si="13"/>
        <v>3.4028197859617259E-9</v>
      </c>
      <c r="BP29" s="31">
        <f>BP23+1</f>
        <v>7</v>
      </c>
      <c r="BQ29" s="31">
        <v>5</v>
      </c>
      <c r="BR29" s="107">
        <f t="shared" si="14"/>
        <v>1.6942835453450193E-6</v>
      </c>
    </row>
    <row r="30" spans="1:70" x14ac:dyDescent="0.25">
      <c r="A30" s="26" t="s">
        <v>119</v>
      </c>
      <c r="B30" s="169">
        <v>0.5</v>
      </c>
      <c r="C30" s="170">
        <v>0.15</v>
      </c>
      <c r="D30" s="208">
        <f>IF(B17="TL",0.875*B32,0.001)</f>
        <v>0.30624999999999997</v>
      </c>
      <c r="E30" s="208">
        <f>IF(C17="TL",0.875*C32,0.001)</f>
        <v>1E-3</v>
      </c>
      <c r="G30" s="87">
        <v>5</v>
      </c>
      <c r="H30" s="126">
        <f>J30*L25+J29*L26+J28*L27+J27*L28</f>
        <v>4.2223796031421887E-2</v>
      </c>
      <c r="I30" s="138">
        <v>5</v>
      </c>
      <c r="J30" s="86">
        <f t="shared" si="15"/>
        <v>9.4075020260069621E-3</v>
      </c>
      <c r="K30" s="138">
        <v>5</v>
      </c>
      <c r="L30" s="86"/>
      <c r="M30" s="85">
        <v>5</v>
      </c>
      <c r="N30" s="215">
        <f>(($B$24)^M30)*((1-($B$24))^($B$21-M30))*HLOOKUP($B$21,$AV$24:$BF$34,M30+1)</f>
        <v>0.43123136986231408</v>
      </c>
      <c r="O30" s="72">
        <v>5</v>
      </c>
      <c r="P30" s="215">
        <f t="shared" si="16"/>
        <v>0.43123136986231408</v>
      </c>
      <c r="Q30" s="28">
        <v>5</v>
      </c>
      <c r="R30" s="216">
        <f>P25*N30+P26*N29+P27*N28+P28*N27+P29*N26+P30*N25</f>
        <v>9.6703266896999238E-3</v>
      </c>
      <c r="S30" s="72">
        <v>5</v>
      </c>
      <c r="T30" s="217">
        <f t="shared" si="17"/>
        <v>0</v>
      </c>
      <c r="U30" s="138">
        <v>5</v>
      </c>
      <c r="V30" s="86">
        <f>T30*R25+T29*R26+T28*R27+T27*R28+T26*R29+T25*R30</f>
        <v>9.6293567136885583E-3</v>
      </c>
      <c r="W30" s="219"/>
      <c r="X30" s="28">
        <v>5</v>
      </c>
      <c r="Y30" s="216"/>
      <c r="Z30" s="28">
        <v>5</v>
      </c>
      <c r="AA30" s="218"/>
      <c r="AB30" s="28">
        <v>5</v>
      </c>
      <c r="AC30" s="218"/>
      <c r="AD30" s="28">
        <v>5</v>
      </c>
      <c r="AE30" s="218"/>
      <c r="AF30" s="28">
        <v>5</v>
      </c>
      <c r="AG30" s="218"/>
      <c r="AH30" s="28">
        <v>5</v>
      </c>
      <c r="AI30" s="218">
        <f>((($W$25)^M30)*((1-($W$25))^($U$30-M30))*HLOOKUP($U$30,$AV$24:$BF$34,M30+1))*V30</f>
        <v>1.915720681609575E-6</v>
      </c>
      <c r="AJ30" s="28">
        <v>5</v>
      </c>
      <c r="AK30" s="218">
        <f>((($W$25)^M30)*((1-($W$25))^($U$31-M30))*HLOOKUP($U$31,$AV$24:$BF$34,M30+1))*V31</f>
        <v>4.2790771716974214E-5</v>
      </c>
      <c r="AL30" s="28">
        <v>5</v>
      </c>
      <c r="AM30" s="218">
        <f>((($W$25)^Q30)*((1-($W$25))^($U$32-Q30))*HLOOKUP($U$32,$AV$24:$BF$34,Q30+1))*V32</f>
        <v>3.8238529174404695E-4</v>
      </c>
      <c r="AN30" s="28">
        <v>5</v>
      </c>
      <c r="AO30" s="218">
        <f>((($W$25)^Q30)*((1-($W$25))^($U$33-Q30))*HLOOKUP($U$33,$AV$24:$BF$34,Q30+1))*V33</f>
        <v>1.7091036261785077E-3</v>
      </c>
      <c r="AP30" s="28">
        <v>5</v>
      </c>
      <c r="AQ30" s="218">
        <f>((($W$25)^Q30)*((1-($W$25))^($U$34-Q30))*HLOOKUP($U$34,$AV$24:$BF$34,Q30+1))*V34</f>
        <v>3.8227020024859558E-3</v>
      </c>
      <c r="AR30" s="28">
        <v>5</v>
      </c>
      <c r="AS30" s="218">
        <f>((($W$25)^Q30)*((1-($W$25))^($U$35-Q30))*HLOOKUP($U$35,$AV$24:$BF$34,Q30+1))*V35</f>
        <v>3.4486046131998681E-3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18"/>
        <v>210</v>
      </c>
      <c r="BH30" s="31">
        <f t="shared" si="12"/>
        <v>2</v>
      </c>
      <c r="BI30" s="31">
        <v>10</v>
      </c>
      <c r="BJ30" s="107">
        <f t="shared" si="13"/>
        <v>1.1855858275057177E-10</v>
      </c>
      <c r="BP30" s="31">
        <f>BL10+1</f>
        <v>7</v>
      </c>
      <c r="BQ30" s="31">
        <v>6</v>
      </c>
      <c r="BR30" s="107">
        <f t="shared" si="14"/>
        <v>1.5922586129812322E-7</v>
      </c>
    </row>
    <row r="31" spans="1:70" x14ac:dyDescent="0.25">
      <c r="A31" s="184" t="s">
        <v>120</v>
      </c>
      <c r="B31" s="60">
        <f>(B25*D25)+(B26*D26)+(B27*D27)+(B28*D28)+(B29*D29)+(B30*D30)/(B25+B26+B27+B28+B29+B30)</f>
        <v>0.18186410200700248</v>
      </c>
      <c r="C31" s="61">
        <f>(C25*E25)+(C26*E26)+(C27*E27)+(C28*E28)+(C29*E29)+(C30*E30)/(C25+C26+C27+C28+C29+C30)</f>
        <v>0.17339110488245504</v>
      </c>
      <c r="G31" s="87">
        <v>6</v>
      </c>
      <c r="H31" s="126">
        <f>J31*L25+J30*L26+J29*L27+J28*L28</f>
        <v>1.2132068547229266E-2</v>
      </c>
      <c r="I31" s="138">
        <v>6</v>
      </c>
      <c r="J31" s="86">
        <f t="shared" si="15"/>
        <v>1.4252066190861038E-3</v>
      </c>
      <c r="K31" s="138">
        <v>6</v>
      </c>
      <c r="L31" s="86"/>
      <c r="M31" s="85"/>
      <c r="N31" s="216"/>
      <c r="O31" s="216"/>
      <c r="P31" s="216"/>
      <c r="Q31" s="28">
        <v>6</v>
      </c>
      <c r="R31" s="216">
        <f>P26*N30+P27*N29+P28*N28+P29*N27+P30*N26</f>
        <v>4.3988172278696398E-2</v>
      </c>
      <c r="S31" s="72">
        <v>6</v>
      </c>
      <c r="T31" s="217">
        <f t="shared" si="17"/>
        <v>0</v>
      </c>
      <c r="U31" s="138">
        <v>6</v>
      </c>
      <c r="V31" s="86">
        <f>T31*R25+T30*R26+T29*R27+T28*R28+T27*R29+T26*R30+T25*R31</f>
        <v>4.3816583050751416E-2</v>
      </c>
      <c r="W31" s="219"/>
      <c r="X31" s="28">
        <v>6</v>
      </c>
      <c r="Y31" s="216"/>
      <c r="Z31" s="28">
        <v>6</v>
      </c>
      <c r="AA31" s="218"/>
      <c r="AB31" s="28">
        <v>6</v>
      </c>
      <c r="AC31" s="218"/>
      <c r="AD31" s="28">
        <v>6</v>
      </c>
      <c r="AE31" s="218"/>
      <c r="AF31" s="28">
        <v>6</v>
      </c>
      <c r="AG31" s="218"/>
      <c r="AH31" s="28">
        <v>6</v>
      </c>
      <c r="AI31" s="218"/>
      <c r="AJ31" s="28">
        <v>6</v>
      </c>
      <c r="AK31" s="218">
        <f>((($W$25)^Q31)*((1-($W$25))^($U$31-Q31))*HLOOKUP($U$31,$AV$24:$BF$34,Q31+1))*V31</f>
        <v>1.5853326428988865E-6</v>
      </c>
      <c r="AL31" s="28">
        <v>6</v>
      </c>
      <c r="AM31" s="218">
        <f>((($W$25)^Q31)*((1-($W$25))^($U$32-Q31))*HLOOKUP($U$32,$AV$24:$BF$34,Q31+1))*V32</f>
        <v>2.8333580388585588E-5</v>
      </c>
      <c r="AN31" s="28">
        <v>6</v>
      </c>
      <c r="AO31" s="218">
        <f>((($W$25)^Q31)*((1-($W$25))^($U$33-Q31))*HLOOKUP($U$33,$AV$24:$BF$34,Q31+1))*V33</f>
        <v>1.8995902574032162E-4</v>
      </c>
      <c r="AP31" s="28">
        <v>6</v>
      </c>
      <c r="AQ31" s="218">
        <f>((($W$25)^Q31)*((1-($W$25))^($U$34-Q31))*HLOOKUP($U$34,$AV$24:$BF$34,Q31+1))*V34</f>
        <v>5.6650104921682914E-4</v>
      </c>
      <c r="AR31" s="28">
        <v>6</v>
      </c>
      <c r="AS31" s="218">
        <f>((($W$25)^Q31)*((1-($W$25))^($U$35-Q31))*HLOOKUP($U$35,$AV$24:$BF$34,Q31+1))*V35</f>
        <v>6.3882763109746857E-4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18"/>
        <v>120</v>
      </c>
      <c r="BH31" s="31">
        <f t="shared" ref="BH31:BH37" si="19">BH24+1</f>
        <v>3</v>
      </c>
      <c r="BI31" s="31">
        <v>4</v>
      </c>
      <c r="BJ31" s="107">
        <f t="shared" ref="BJ31:BJ37" si="20">$H$28*H43</f>
        <v>1.1197239646627574E-3</v>
      </c>
      <c r="BP31" s="31">
        <f t="shared" ref="BP31:BP37" si="21">BP24+1</f>
        <v>8</v>
      </c>
      <c r="BQ31" s="31">
        <v>0</v>
      </c>
      <c r="BR31" s="107">
        <f t="shared" ref="BR31:BR38" si="22">$H$33*H39</f>
        <v>1.9922372586532306E-4</v>
      </c>
    </row>
    <row r="32" spans="1:70" x14ac:dyDescent="0.25">
      <c r="A32" s="26" t="s">
        <v>121</v>
      </c>
      <c r="B32" s="220">
        <f>IF(B17&lt;&gt;"TL",0.001,IF(B18&lt;5,0.1,IF(B18&lt;10,0.2,IF(B18&lt;14,0.3,0.35))))</f>
        <v>0.35</v>
      </c>
      <c r="C32" s="221">
        <f>IF(C17&lt;&gt;"TL",0.001,IF(C18&lt;5,0.1,IF(C18&lt;10,0.2,IF(C18&lt;14,0.3,0.35))))</f>
        <v>1E-3</v>
      </c>
      <c r="G32" s="87">
        <v>7</v>
      </c>
      <c r="H32" s="126">
        <f>J32*L25+J31*L26+J30*L27+J29*L28</f>
        <v>2.6431737489935507E-3</v>
      </c>
      <c r="I32" s="138">
        <v>7</v>
      </c>
      <c r="J32" s="86">
        <f t="shared" si="15"/>
        <v>1.4807951766167445E-4</v>
      </c>
      <c r="K32" s="138">
        <v>7</v>
      </c>
      <c r="L32" s="86"/>
      <c r="M32" s="85"/>
      <c r="N32" s="216"/>
      <c r="O32" s="216"/>
      <c r="P32" s="216"/>
      <c r="Q32" s="28">
        <v>7</v>
      </c>
      <c r="R32" s="216">
        <f>P27*N30+P28*N29+P29*N28+P30*N27</f>
        <v>0.13720624722917965</v>
      </c>
      <c r="S32" s="72">
        <v>7</v>
      </c>
      <c r="T32" s="217">
        <f t="shared" si="17"/>
        <v>0</v>
      </c>
      <c r="U32" s="138">
        <v>7</v>
      </c>
      <c r="V32" s="86">
        <f>T32*R25+T31*R26+T30*R27+T29*R28+T28*R29+T27*R30+T26*R31+T25*R32</f>
        <v>0.13674015685442723</v>
      </c>
      <c r="W32" s="219"/>
      <c r="X32" s="28">
        <v>7</v>
      </c>
      <c r="Y32" s="216"/>
      <c r="Z32" s="28">
        <v>7</v>
      </c>
      <c r="AA32" s="218"/>
      <c r="AB32" s="28">
        <v>7</v>
      </c>
      <c r="AC32" s="218"/>
      <c r="AD32" s="28">
        <v>7</v>
      </c>
      <c r="AE32" s="218"/>
      <c r="AF32" s="28">
        <v>7</v>
      </c>
      <c r="AG32" s="218"/>
      <c r="AH32" s="28">
        <v>7</v>
      </c>
      <c r="AI32" s="218"/>
      <c r="AJ32" s="28">
        <v>7</v>
      </c>
      <c r="AK32" s="218"/>
      <c r="AL32" s="28">
        <v>7</v>
      </c>
      <c r="AM32" s="218">
        <f>((($W$25)^Q32)*((1-($W$25))^($U$32-Q32))*HLOOKUP($U$32,$AV$24:$BF$34,Q32+1))*V32</f>
        <v>8.9975641431664126E-7</v>
      </c>
      <c r="AN32" s="28">
        <v>7</v>
      </c>
      <c r="AO32" s="218">
        <f>((($W$25)^Q32)*((1-($W$25))^($U$33-Q32))*HLOOKUP($U$33,$AV$24:$BF$34,Q32+1))*V33</f>
        <v>1.2064613756759776E-5</v>
      </c>
      <c r="AP32" s="28">
        <v>7</v>
      </c>
      <c r="AQ32" s="218">
        <f>((($W$25)^Q32)*((1-($W$25))^($U$34-Q32))*HLOOKUP($U$34,$AV$24:$BF$34,Q32+1))*V34</f>
        <v>5.3969136172633998E-5</v>
      </c>
      <c r="AR32" s="28">
        <v>7</v>
      </c>
      <c r="AS32" s="218">
        <f>((($W$25)^Q32)*((1-($W$25))^($U$35-Q32))*HLOOKUP($U$35,$AV$24:$BF$34,Q32+1))*V35</f>
        <v>8.1146011317964034E-5</v>
      </c>
      <c r="AV32" s="14">
        <v>8</v>
      </c>
      <c r="BD32" s="31">
        <v>1</v>
      </c>
      <c r="BE32" s="31">
        <v>9</v>
      </c>
      <c r="BF32" s="31">
        <f t="shared" si="18"/>
        <v>45</v>
      </c>
      <c r="BH32" s="31">
        <f t="shared" si="19"/>
        <v>3</v>
      </c>
      <c r="BI32" s="31">
        <v>5</v>
      </c>
      <c r="BJ32" s="107">
        <f t="shared" si="20"/>
        <v>1.3647476083176866E-4</v>
      </c>
      <c r="BP32" s="31">
        <f t="shared" si="21"/>
        <v>8</v>
      </c>
      <c r="BQ32" s="31">
        <v>1</v>
      </c>
      <c r="BR32" s="107">
        <f t="shared" si="22"/>
        <v>1.591229620269352E-4</v>
      </c>
    </row>
    <row r="33" spans="1:70" x14ac:dyDescent="0.25">
      <c r="A33" s="26" t="s">
        <v>122</v>
      </c>
      <c r="B33" s="220">
        <f>IF(B17&lt;&gt;"CA",0.005,IF((B18-B16)&lt;0,0.1,0.1+0.055*(B18-B16)))</f>
        <v>5.0000000000000001E-3</v>
      </c>
      <c r="C33" s="221">
        <f>IF(C17&lt;&gt;"CA",0.005,IF((C18-C16)&lt;0,0.1,0.1+0.055*(C18-C16)))</f>
        <v>0.375</v>
      </c>
      <c r="G33" s="87">
        <v>8</v>
      </c>
      <c r="H33" s="126">
        <f>J33*L25+J32*L26+J31*L27+J30*L28</f>
        <v>4.3453185812258454E-4</v>
      </c>
      <c r="I33" s="138">
        <v>8</v>
      </c>
      <c r="J33" s="86">
        <f t="shared" si="15"/>
        <v>1.0098697649240414E-5</v>
      </c>
      <c r="K33" s="138">
        <v>8</v>
      </c>
      <c r="L33" s="86"/>
      <c r="M33" s="85"/>
      <c r="N33" s="216"/>
      <c r="O33" s="216"/>
      <c r="P33" s="216"/>
      <c r="Q33" s="28">
        <v>8</v>
      </c>
      <c r="R33" s="216">
        <f>P28*N30+P29*N29+P30*N28</f>
        <v>0.28085436051158186</v>
      </c>
      <c r="S33" s="72">
        <v>8</v>
      </c>
      <c r="T33" s="217">
        <f t="shared" si="17"/>
        <v>0</v>
      </c>
      <c r="U33" s="138">
        <v>8</v>
      </c>
      <c r="V33" s="86">
        <f>T33*R25+T32*R26+T31*R27+T30*R28+T29*R29+T28*R30+T27*R31+T26*R32+T25*R33</f>
        <v>0.28013611994516985</v>
      </c>
      <c r="W33" s="219"/>
      <c r="X33" s="28">
        <v>8</v>
      </c>
      <c r="Y33" s="216"/>
      <c r="Z33" s="28">
        <v>8</v>
      </c>
      <c r="AA33" s="218"/>
      <c r="AB33" s="28">
        <v>8</v>
      </c>
      <c r="AC33" s="218"/>
      <c r="AD33" s="28">
        <v>8</v>
      </c>
      <c r="AE33" s="218"/>
      <c r="AF33" s="28">
        <v>8</v>
      </c>
      <c r="AG33" s="218"/>
      <c r="AH33" s="28">
        <v>8</v>
      </c>
      <c r="AI33" s="218"/>
      <c r="AJ33" s="28">
        <v>8</v>
      </c>
      <c r="AK33" s="218"/>
      <c r="AL33" s="28">
        <v>8</v>
      </c>
      <c r="AM33" s="218"/>
      <c r="AN33" s="28">
        <v>8</v>
      </c>
      <c r="AO33" s="218">
        <f>((($W$25)^Q33)*((1-($W$25))^($U$33-Q33))*HLOOKUP($U$33,$AV$24:$BF$34,Q33+1))*V33</f>
        <v>3.3523161499161247E-7</v>
      </c>
      <c r="AP33" s="28">
        <v>8</v>
      </c>
      <c r="AQ33" s="218">
        <f>((($W$25)^Q33)*((1-($W$25))^($U$34-Q33))*HLOOKUP($U$34,$AV$24:$BF$34,Q33+1))*V34</f>
        <v>2.9992109227230502E-6</v>
      </c>
      <c r="AR33" s="28">
        <v>8</v>
      </c>
      <c r="AS33" s="218">
        <f>((($W$25)^Q33)*((1-($W$25))^($U$35-Q33))*HLOOKUP($U$35,$AV$24:$BF$34,Q33+1))*V35</f>
        <v>6.7642551115257517E-6</v>
      </c>
      <c r="AV33" s="29">
        <v>9</v>
      </c>
      <c r="BE33" s="31">
        <v>1</v>
      </c>
      <c r="BF33" s="31">
        <f t="shared" si="18"/>
        <v>10</v>
      </c>
      <c r="BH33" s="31">
        <f t="shared" si="19"/>
        <v>3</v>
      </c>
      <c r="BI33" s="31">
        <v>6</v>
      </c>
      <c r="BJ33" s="107">
        <f t="shared" si="20"/>
        <v>1.2825663920656584E-5</v>
      </c>
      <c r="BP33" s="31">
        <f t="shared" si="21"/>
        <v>8</v>
      </c>
      <c r="BQ33" s="31">
        <v>2</v>
      </c>
      <c r="BR33" s="107">
        <f t="shared" si="22"/>
        <v>5.9640893154441822E-5</v>
      </c>
    </row>
    <row r="34" spans="1:70" x14ac:dyDescent="0.25">
      <c r="A34" s="40" t="s">
        <v>123</v>
      </c>
      <c r="B34" s="56">
        <f>B23*2</f>
        <v>8.4516610043677609</v>
      </c>
      <c r="C34" s="57">
        <f>C23*2</f>
        <v>1.5483389956322391</v>
      </c>
      <c r="G34" s="87">
        <v>9</v>
      </c>
      <c r="H34" s="126">
        <f>J34*L25+J33*L26+J32*L27+J31*L28</f>
        <v>5.3023955902328359E-5</v>
      </c>
      <c r="I34" s="138">
        <v>9</v>
      </c>
      <c r="J34" s="86">
        <f t="shared" si="15"/>
        <v>4.0821785934641636E-7</v>
      </c>
      <c r="K34" s="138">
        <v>9</v>
      </c>
      <c r="L34" s="86"/>
      <c r="M34" s="85"/>
      <c r="N34" s="216"/>
      <c r="O34" s="216"/>
      <c r="P34" s="216"/>
      <c r="Q34" s="28">
        <v>9</v>
      </c>
      <c r="R34" s="216">
        <f>P29*N30+P30*N29</f>
        <v>0.3406784594241371</v>
      </c>
      <c r="S34" s="72">
        <v>9</v>
      </c>
      <c r="T34" s="217">
        <f t="shared" si="17"/>
        <v>0</v>
      </c>
      <c r="U34" s="138">
        <v>9</v>
      </c>
      <c r="V34" s="86">
        <f>T34*R25+T33*R26+T32*R27+T31*R28+T30*R29+T29*R30+T28*R31+T27*R32+T26*R33+T25*R34</f>
        <v>0.34037933892957434</v>
      </c>
      <c r="W34" s="219"/>
      <c r="X34" s="28">
        <v>9</v>
      </c>
      <c r="Y34" s="216"/>
      <c r="Z34" s="28">
        <v>9</v>
      </c>
      <c r="AA34" s="218"/>
      <c r="AB34" s="28">
        <v>9</v>
      </c>
      <c r="AC34" s="218"/>
      <c r="AD34" s="28">
        <v>9</v>
      </c>
      <c r="AE34" s="218"/>
      <c r="AF34" s="28">
        <v>9</v>
      </c>
      <c r="AG34" s="218"/>
      <c r="AH34" s="28">
        <v>9</v>
      </c>
      <c r="AI34" s="218"/>
      <c r="AJ34" s="28">
        <v>9</v>
      </c>
      <c r="AK34" s="218"/>
      <c r="AL34" s="28">
        <v>9</v>
      </c>
      <c r="AM34" s="218"/>
      <c r="AN34" s="28">
        <v>9</v>
      </c>
      <c r="AO34" s="218"/>
      <c r="AP34" s="28">
        <v>9</v>
      </c>
      <c r="AQ34" s="218">
        <f>((($W$25)^Q34)*((1-($W$25))^($U$34-Q34))*HLOOKUP($U$34,$AV$24:$BF$34,Q34+1))*V34</f>
        <v>7.4077451561760156E-8</v>
      </c>
      <c r="AR34" s="28">
        <v>9</v>
      </c>
      <c r="AS34" s="218">
        <f>((($W$25)^Q34)*((1-($W$25))^($U$35-Q34))*HLOOKUP($U$35,$AV$24:$BF$34,Q34+1))*V35</f>
        <v>3.3414040778465622E-7</v>
      </c>
      <c r="AV34" s="14">
        <v>10</v>
      </c>
      <c r="BF34" s="31">
        <f t="shared" si="18"/>
        <v>1</v>
      </c>
      <c r="BH34" s="31">
        <f t="shared" si="19"/>
        <v>3</v>
      </c>
      <c r="BI34" s="31">
        <v>7</v>
      </c>
      <c r="BJ34" s="107">
        <f t="shared" si="20"/>
        <v>9.4776982866610521E-7</v>
      </c>
      <c r="BP34" s="31">
        <f t="shared" si="21"/>
        <v>8</v>
      </c>
      <c r="BQ34" s="31">
        <v>3</v>
      </c>
      <c r="BR34" s="107">
        <f t="shared" si="22"/>
        <v>1.3952225127189561E-5</v>
      </c>
    </row>
    <row r="35" spans="1:70" ht="15.75" thickBot="1" x14ac:dyDescent="0.3">
      <c r="G35" s="88">
        <v>10</v>
      </c>
      <c r="H35" s="127">
        <f>J35*L25+J34*L26+J33*L27+J32*L28</f>
        <v>4.6539092944203254E-6</v>
      </c>
      <c r="I35" s="94">
        <v>10</v>
      </c>
      <c r="J35" s="89">
        <f t="shared" si="15"/>
        <v>7.4276346209820307E-9</v>
      </c>
      <c r="K35" s="94">
        <v>10</v>
      </c>
      <c r="L35" s="89"/>
      <c r="M35" s="85"/>
      <c r="N35" s="216"/>
      <c r="O35" s="216"/>
      <c r="P35" s="216"/>
      <c r="Q35" s="28">
        <v>10</v>
      </c>
      <c r="R35" s="216">
        <f>P30*N30</f>
        <v>0.18596049435332793</v>
      </c>
      <c r="S35" s="72">
        <v>10</v>
      </c>
      <c r="T35" s="217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0.18766388665044853</v>
      </c>
      <c r="W35" s="219"/>
      <c r="X35" s="28">
        <v>10</v>
      </c>
      <c r="Y35" s="216"/>
      <c r="Z35" s="28">
        <v>10</v>
      </c>
      <c r="AA35" s="218"/>
      <c r="AB35" s="28">
        <v>10</v>
      </c>
      <c r="AC35" s="218"/>
      <c r="AD35" s="28">
        <v>10</v>
      </c>
      <c r="AE35" s="218"/>
      <c r="AF35" s="28">
        <v>10</v>
      </c>
      <c r="AG35" s="218"/>
      <c r="AH35" s="28">
        <v>10</v>
      </c>
      <c r="AI35" s="218"/>
      <c r="AJ35" s="28">
        <v>10</v>
      </c>
      <c r="AK35" s="218"/>
      <c r="AL35" s="28">
        <v>10</v>
      </c>
      <c r="AM35" s="218"/>
      <c r="AN35" s="28">
        <v>10</v>
      </c>
      <c r="AO35" s="218"/>
      <c r="AP35" s="28">
        <v>10</v>
      </c>
      <c r="AQ35" s="218"/>
      <c r="AR35" s="28">
        <v>10</v>
      </c>
      <c r="AS35" s="218">
        <f>((($W$25)^Q35)*((1-($W$25))^($U$35-Q35))*HLOOKUP($U$35,$AV$24:$BF$34,Q35+1))*V35</f>
        <v>7.4276346209820307E-9</v>
      </c>
      <c r="BH35" s="31">
        <f t="shared" si="19"/>
        <v>3</v>
      </c>
      <c r="BI35" s="31">
        <v>8</v>
      </c>
      <c r="BJ35" s="107">
        <f t="shared" si="20"/>
        <v>5.5390089543339932E-8</v>
      </c>
      <c r="BP35" s="31">
        <f t="shared" si="21"/>
        <v>8</v>
      </c>
      <c r="BQ35" s="31">
        <v>4</v>
      </c>
      <c r="BR35" s="107">
        <f t="shared" si="22"/>
        <v>2.2852863974900273E-6</v>
      </c>
    </row>
    <row r="36" spans="1:70" x14ac:dyDescent="0.25">
      <c r="A36" s="1"/>
      <c r="B36" s="108">
        <f>SUM(B37:B39)</f>
        <v>0.9999950582034165</v>
      </c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213">
        <f>SUM(V39:V49)</f>
        <v>1</v>
      </c>
      <c r="W36" s="158"/>
      <c r="X36" s="158"/>
      <c r="AS36" s="82">
        <f>Y37+AA37+AC37+AE37+AG37+AI37+AK37+AM37+AO37+AQ37+AS37</f>
        <v>1.0000000000000004</v>
      </c>
      <c r="BH36" s="31">
        <f t="shared" si="19"/>
        <v>3</v>
      </c>
      <c r="BI36" s="31">
        <v>9</v>
      </c>
      <c r="BJ36" s="107">
        <f t="shared" si="20"/>
        <v>2.5356243481513486E-9</v>
      </c>
      <c r="BP36" s="31">
        <f t="shared" si="21"/>
        <v>8</v>
      </c>
      <c r="BQ36" s="31">
        <v>5</v>
      </c>
      <c r="BR36" s="107">
        <f t="shared" si="22"/>
        <v>2.7853642895236236E-7</v>
      </c>
    </row>
    <row r="37" spans="1:70" ht="15.75" thickBot="1" x14ac:dyDescent="0.3">
      <c r="A37" s="109" t="s">
        <v>124</v>
      </c>
      <c r="B37" s="107">
        <f>SUM(BN4:BN14)</f>
        <v>0.17737312842442921</v>
      </c>
      <c r="G37" s="158"/>
      <c r="H37" s="213">
        <f>SUM(H39:H49)</f>
        <v>0.99999999998940459</v>
      </c>
      <c r="I37" s="158"/>
      <c r="J37" s="213">
        <f>SUM(J39:J49)</f>
        <v>1.0000000000000002</v>
      </c>
      <c r="K37" s="213"/>
      <c r="L37" s="213">
        <f>SUM(L39:L49)</f>
        <v>1</v>
      </c>
      <c r="M37" s="158"/>
      <c r="N37" s="222">
        <f>SUM(N39:N49)</f>
        <v>1</v>
      </c>
      <c r="O37" s="158"/>
      <c r="P37" s="222">
        <f>SUM(P39:P49)</f>
        <v>1</v>
      </c>
      <c r="Q37" s="158"/>
      <c r="R37" s="213">
        <f>SUM(R39:R49)</f>
        <v>1.0000000000000002</v>
      </c>
      <c r="S37" s="158"/>
      <c r="T37" s="213">
        <f>SUM(T39:T49)</f>
        <v>1</v>
      </c>
      <c r="U37" s="158"/>
      <c r="V37" s="213">
        <f>SUM(V39:V48)</f>
        <v>0.99929507913679771</v>
      </c>
      <c r="W37" s="158"/>
      <c r="X37" s="158"/>
      <c r="Y37" s="210">
        <f>SUM(Y39:Y49)</f>
        <v>1.1084109208186145E-2</v>
      </c>
      <c r="Z37" s="81"/>
      <c r="AA37" s="210">
        <f>SUM(AA39:AA49)</f>
        <v>6.0208811706073145E-2</v>
      </c>
      <c r="AB37" s="81"/>
      <c r="AC37" s="210">
        <f>SUM(AC39:AC49)</f>
        <v>0.14969608091988842</v>
      </c>
      <c r="AD37" s="81"/>
      <c r="AE37" s="210">
        <f>SUM(AE39:AE49)</f>
        <v>0.22597878942296462</v>
      </c>
      <c r="AF37" s="81"/>
      <c r="AG37" s="210">
        <f>SUM(AG39:AG49)</f>
        <v>0.23172988622197077</v>
      </c>
      <c r="AH37" s="81"/>
      <c r="AI37" s="210">
        <f>SUM(AI39:AI49)</f>
        <v>0.17114120559135815</v>
      </c>
      <c r="AJ37" s="81"/>
      <c r="AK37" s="210">
        <f>SUM(AK39:AK49)</f>
        <v>9.418491229971368E-2</v>
      </c>
      <c r="AL37" s="81"/>
      <c r="AM37" s="210">
        <f>SUM(AM39:AM49)</f>
        <v>3.9421144799411528E-2</v>
      </c>
      <c r="AN37" s="81"/>
      <c r="AO37" s="210">
        <f>SUM(AO39:AO49)</f>
        <v>1.2692600166501861E-2</v>
      </c>
      <c r="AP37" s="81"/>
      <c r="AQ37" s="210">
        <f>SUM(AQ39:AQ49)</f>
        <v>3.1575388007296806E-3</v>
      </c>
      <c r="AR37" s="81"/>
      <c r="AS37" s="210">
        <f>SUM(AS39:AS49)</f>
        <v>7.0492086320228563E-4</v>
      </c>
      <c r="BH37" s="31">
        <f t="shared" si="19"/>
        <v>3</v>
      </c>
      <c r="BI37" s="31">
        <v>10</v>
      </c>
      <c r="BJ37" s="107">
        <f t="shared" si="20"/>
        <v>8.834438730633606E-11</v>
      </c>
      <c r="BP37" s="31">
        <f t="shared" si="21"/>
        <v>8</v>
      </c>
      <c r="BQ37" s="31">
        <v>6</v>
      </c>
      <c r="BR37" s="107">
        <f t="shared" si="22"/>
        <v>2.6176375804801932E-8</v>
      </c>
    </row>
    <row r="38" spans="1:70" ht="15.75" thickBot="1" x14ac:dyDescent="0.3">
      <c r="A38" s="110" t="s">
        <v>125</v>
      </c>
      <c r="B38" s="107">
        <f>SUM(BJ4:BJ59)</f>
        <v>0.11063162296925856</v>
      </c>
      <c r="G38" s="103" t="str">
        <f t="shared" ref="G38:AS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39" t="str">
        <f t="shared" si="23"/>
        <v>p</v>
      </c>
      <c r="U38" s="140" t="str">
        <f t="shared" si="23"/>
        <v>Total</v>
      </c>
      <c r="V38" s="141" t="str">
        <f t="shared" si="23"/>
        <v>P</v>
      </c>
      <c r="W38" s="90" t="str">
        <f t="shared" si="23"/>
        <v>E(x)</v>
      </c>
      <c r="X38" s="30" t="str">
        <f t="shared" si="23"/>
        <v>G0</v>
      </c>
      <c r="Y38" s="30" t="str">
        <f t="shared" si="23"/>
        <v>p</v>
      </c>
      <c r="Z38" s="30" t="str">
        <f t="shared" si="23"/>
        <v>G1</v>
      </c>
      <c r="AA38" s="30" t="str">
        <f t="shared" si="23"/>
        <v>p</v>
      </c>
      <c r="AB38" s="30" t="str">
        <f t="shared" si="23"/>
        <v>G2</v>
      </c>
      <c r="AC38" s="30" t="str">
        <f t="shared" si="23"/>
        <v>p</v>
      </c>
      <c r="AD38" s="30" t="str">
        <f t="shared" si="23"/>
        <v>G3</v>
      </c>
      <c r="AE38" s="30" t="str">
        <f t="shared" si="23"/>
        <v>p</v>
      </c>
      <c r="AF38" s="30" t="str">
        <f t="shared" si="23"/>
        <v>G4</v>
      </c>
      <c r="AG38" s="30" t="str">
        <f t="shared" si="23"/>
        <v>p</v>
      </c>
      <c r="AH38" s="30" t="str">
        <f t="shared" si="23"/>
        <v>G5</v>
      </c>
      <c r="AI38" s="30" t="str">
        <f t="shared" si="23"/>
        <v>p</v>
      </c>
      <c r="AJ38" s="30" t="str">
        <f t="shared" si="23"/>
        <v>G6</v>
      </c>
      <c r="AK38" s="30" t="str">
        <f t="shared" si="23"/>
        <v>p</v>
      </c>
      <c r="AL38" s="30" t="str">
        <f t="shared" si="23"/>
        <v>G7</v>
      </c>
      <c r="AM38" s="30" t="str">
        <f t="shared" si="23"/>
        <v>p</v>
      </c>
      <c r="AN38" s="30" t="str">
        <f t="shared" si="23"/>
        <v>G8</v>
      </c>
      <c r="AO38" s="30" t="str">
        <f t="shared" si="23"/>
        <v>p</v>
      </c>
      <c r="AP38" s="30" t="str">
        <f t="shared" si="23"/>
        <v>G9</v>
      </c>
      <c r="AQ38" s="30" t="str">
        <f t="shared" si="23"/>
        <v>p</v>
      </c>
      <c r="AR38" s="30" t="str">
        <f t="shared" si="23"/>
        <v>G10</v>
      </c>
      <c r="AS38" s="30" t="str">
        <f t="shared" si="23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 s="31">
        <f t="shared" ref="BH38:BH43" si="24">BH32+1</f>
        <v>4</v>
      </c>
      <c r="BI38" s="31">
        <v>5</v>
      </c>
      <c r="BJ38" s="107">
        <f t="shared" ref="BJ38:BJ43" si="25">$H$29*H44</f>
        <v>7.0903214600372746E-5</v>
      </c>
      <c r="BP38" s="31">
        <f>BL11+1</f>
        <v>8</v>
      </c>
      <c r="BQ38" s="31">
        <v>7</v>
      </c>
      <c r="BR38" s="107">
        <f t="shared" si="22"/>
        <v>1.9343387886267532E-9</v>
      </c>
    </row>
    <row r="39" spans="1:70" x14ac:dyDescent="0.25">
      <c r="A39" s="111" t="s">
        <v>126</v>
      </c>
      <c r="B39" s="107">
        <f>SUM(BR4:BR47)</f>
        <v>0.71199030680972875</v>
      </c>
      <c r="G39" s="128">
        <v>0</v>
      </c>
      <c r="H39" s="129">
        <f>L39*J39</f>
        <v>0.45847898638796841</v>
      </c>
      <c r="I39" s="97">
        <v>0</v>
      </c>
      <c r="J39" s="98">
        <f t="shared" ref="J39:J49" si="26">Y39+AA39+AC39+AE39+AG39+AI39+AK39+AM39+AO39+AQ39+AS39</f>
        <v>0.50888979172200799</v>
      </c>
      <c r="K39" s="102">
        <v>0</v>
      </c>
      <c r="L39" s="98">
        <f>AC20</f>
        <v>0.90093964124637504</v>
      </c>
      <c r="M39" s="85">
        <v>0</v>
      </c>
      <c r="N39" s="215">
        <f>(1-$C$24)^$B$21</f>
        <v>0.43123136986231408</v>
      </c>
      <c r="O39" s="72">
        <v>0</v>
      </c>
      <c r="P39" s="215">
        <f t="shared" ref="P39:P44" si="27">N39</f>
        <v>0.43123136986231408</v>
      </c>
      <c r="Q39" s="28">
        <v>0</v>
      </c>
      <c r="R39" s="216">
        <f>P39*N39</f>
        <v>0.18596049435332793</v>
      </c>
      <c r="S39" s="72">
        <v>0</v>
      </c>
      <c r="T39" s="217">
        <f>(1-$C$33)^(INT(B23*2*(1-B31)))</f>
        <v>5.9604644775390625E-2</v>
      </c>
      <c r="U39" s="138">
        <v>0</v>
      </c>
      <c r="V39" s="86">
        <f>R39*T39</f>
        <v>1.1084109208186145E-2</v>
      </c>
      <c r="W39" s="134">
        <f>C31</f>
        <v>0.17339110488245504</v>
      </c>
      <c r="X39" s="28">
        <v>0</v>
      </c>
      <c r="Y39" s="218">
        <f>V39</f>
        <v>1.1084109208186145E-2</v>
      </c>
      <c r="Z39" s="28">
        <v>0</v>
      </c>
      <c r="AA39" s="218">
        <f>((1-W39)^Z40)*V40</f>
        <v>4.9769139320697431E-2</v>
      </c>
      <c r="AB39" s="28">
        <v>0</v>
      </c>
      <c r="AC39" s="218">
        <f>(((1-$W$39)^AB41))*V41</f>
        <v>0.10228467730553376</v>
      </c>
      <c r="AD39" s="28">
        <v>0</v>
      </c>
      <c r="AE39" s="218">
        <f>(((1-$W$39)^AB42))*V42</f>
        <v>0.12763444698073184</v>
      </c>
      <c r="AF39" s="28">
        <v>0</v>
      </c>
      <c r="AG39" s="218">
        <f>(((1-$W$39)^AB43))*V43</f>
        <v>0.10818881052773403</v>
      </c>
      <c r="AH39" s="28">
        <v>0</v>
      </c>
      <c r="AI39" s="218">
        <f>(((1-$W$39)^AB44))*V44</f>
        <v>6.6047283360751441E-2</v>
      </c>
      <c r="AJ39" s="28">
        <v>0</v>
      </c>
      <c r="AK39" s="218">
        <f>(((1-$W$39)^AB45))*V45</f>
        <v>3.0045662471558602E-2</v>
      </c>
      <c r="AL39" s="28">
        <v>0</v>
      </c>
      <c r="AM39" s="218">
        <f>(((1-$W$39)^AB46))*V46</f>
        <v>1.0395125883918102E-2</v>
      </c>
      <c r="AN39" s="28">
        <v>0</v>
      </c>
      <c r="AO39" s="218">
        <f>(((1-$W$39)^AB47))*V47</f>
        <v>2.7666307181796854E-3</v>
      </c>
      <c r="AP39" s="28">
        <v>0</v>
      </c>
      <c r="AQ39" s="218">
        <f>(((1-$W$39)^AB48))*V48</f>
        <v>5.689175952002998E-4</v>
      </c>
      <c r="AR39" s="28">
        <v>0</v>
      </c>
      <c r="AS39" s="218">
        <f>(((1-$W$39)^AB49))*V49</f>
        <v>1.0498834951668531E-4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H39" s="31">
        <f t="shared" si="24"/>
        <v>4</v>
      </c>
      <c r="BI39" s="31">
        <v>6</v>
      </c>
      <c r="BJ39" s="107">
        <f t="shared" si="25"/>
        <v>6.6633624841413582E-6</v>
      </c>
      <c r="BP39" s="31">
        <f t="shared" ref="BP39:BP46" si="28">BP31+1</f>
        <v>9</v>
      </c>
      <c r="BQ39" s="31">
        <v>0</v>
      </c>
      <c r="BR39" s="107">
        <f t="shared" ref="BR39:BR47" si="29">$H$34*H39</f>
        <v>2.4310369556379841E-5</v>
      </c>
    </row>
    <row r="40" spans="1:70" x14ac:dyDescent="0.25">
      <c r="G40" s="91">
        <v>1</v>
      </c>
      <c r="H40" s="130">
        <f>L39*J40+L40*J39</f>
        <v>0.36619400638294619</v>
      </c>
      <c r="I40" s="138">
        <v>1</v>
      </c>
      <c r="J40" s="86">
        <f t="shared" si="26"/>
        <v>0.35273079625308118</v>
      </c>
      <c r="K40" s="95">
        <v>1</v>
      </c>
      <c r="L40" s="86">
        <f>AD20</f>
        <v>9.5118530844079494E-2</v>
      </c>
      <c r="M40" s="85">
        <v>1</v>
      </c>
      <c r="N40" s="215">
        <f>(($C$24)^M26)*((1-($C$24))^($B$21-M26))*HLOOKUP($B$21,$AV$24:$BF$34,M26+1)</f>
        <v>0.39500658258339461</v>
      </c>
      <c r="O40" s="72">
        <v>1</v>
      </c>
      <c r="P40" s="215">
        <f t="shared" si="27"/>
        <v>0.39500658258339461</v>
      </c>
      <c r="Q40" s="28">
        <v>1</v>
      </c>
      <c r="R40" s="216">
        <f>P40*N39+P39*N40</f>
        <v>0.3406784594241371</v>
      </c>
      <c r="S40" s="72">
        <v>1</v>
      </c>
      <c r="T40" s="217">
        <f t="shared" ref="T40:T49" si="30">(($C$33)^S40)*((1-($C$33))^(INT($B$23*2*(1-$B$31))-S40))*HLOOKUP(INT($B$23*2*(1-$B$31)),$AV$24:$BF$34,S40+1)</f>
        <v>0.21457672119140625</v>
      </c>
      <c r="U40" s="138">
        <v>1</v>
      </c>
      <c r="V40" s="86">
        <f>R40*T39+T40*R39</f>
        <v>6.0208811706073145E-2</v>
      </c>
      <c r="W40" s="219"/>
      <c r="X40" s="28">
        <v>1</v>
      </c>
      <c r="Y40" s="216"/>
      <c r="Z40" s="28">
        <v>1</v>
      </c>
      <c r="AA40" s="218">
        <f>(1-((1-W39)^Z40))*V40</f>
        <v>1.0439672385375715E-2</v>
      </c>
      <c r="AB40" s="28">
        <v>1</v>
      </c>
      <c r="AC40" s="218">
        <f>((($W$39)^M40)*((1-($W$39))^($U$27-M40))*HLOOKUP($U$27,$AV$24:$BF$34,M40+1))*V41</f>
        <v>4.2910869494163603E-2</v>
      </c>
      <c r="AD40" s="28">
        <v>1</v>
      </c>
      <c r="AE40" s="218">
        <f>((($W$39)^M40)*((1-($W$39))^($U$28-M40))*HLOOKUP($U$28,$AV$24:$BF$34,M40+1))*V42</f>
        <v>8.0318556624907375E-2</v>
      </c>
      <c r="AF40" s="28">
        <v>1</v>
      </c>
      <c r="AG40" s="218">
        <f>((($W$39)^M40)*((1-($W$39))^($U$29-M40))*HLOOKUP($U$29,$AV$24:$BF$34,M40+1))*V43</f>
        <v>9.0775589298031131E-2</v>
      </c>
      <c r="AH40" s="28">
        <v>1</v>
      </c>
      <c r="AI40" s="218">
        <f>((($W$39)^M40)*((1-($W$39))^($U$30-M40))*HLOOKUP($U$30,$AV$24:$BF$34,M40+1))*V44</f>
        <v>6.927103920637577E-2</v>
      </c>
      <c r="AJ40" s="28">
        <v>1</v>
      </c>
      <c r="AK40" s="218">
        <f>((($W$39)^M40)*((1-($W$39))^($U$31-M40))*HLOOKUP($U$31,$AV$24:$BF$34,M40+1))*V45</f>
        <v>3.7814622927289258E-2</v>
      </c>
      <c r="AL40" s="28">
        <v>1</v>
      </c>
      <c r="AM40" s="218">
        <f>((($W$39)^Q40)*((1-($W$39))^($U$32-Q40))*HLOOKUP($U$32,$AV$24:$BF$34,Q40+1))*V46</f>
        <v>1.5263514113333147E-2</v>
      </c>
      <c r="AN40" s="28">
        <v>1</v>
      </c>
      <c r="AO40" s="218">
        <f>((($W$39)^Q40)*((1-($W$39))^($U$33-Q40))*HLOOKUP($U$33,$AV$24:$BF$34,Q40+1))*V47</f>
        <v>4.6426711336920758E-3</v>
      </c>
      <c r="AP40" s="28">
        <v>1</v>
      </c>
      <c r="AQ40" s="218">
        <f>((($W$39)^Q40)*((1-($W$39))^($U$34-Q40))*HLOOKUP($U$34,$AV$24:$BF$34,Q40+1))*V48</f>
        <v>1.0740354465256464E-3</v>
      </c>
      <c r="AR40" s="28">
        <v>1</v>
      </c>
      <c r="AS40" s="218">
        <f>((($W$39)^Q40)*((1-($W$39))^($U$35-Q40))*HLOOKUP($U$35,$AV$24:$BF$34,Q40+1))*V49</f>
        <v>2.202256233874036E-4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H40" s="31">
        <f t="shared" si="24"/>
        <v>4</v>
      </c>
      <c r="BI40" s="31">
        <v>7</v>
      </c>
      <c r="BJ40" s="107">
        <f t="shared" si="25"/>
        <v>4.9239820714181851E-7</v>
      </c>
      <c r="BP40" s="31">
        <f t="shared" si="28"/>
        <v>9</v>
      </c>
      <c r="BQ40" s="31">
        <v>1</v>
      </c>
      <c r="BR40" s="107">
        <f t="shared" si="29"/>
        <v>1.9417054846146288E-5</v>
      </c>
    </row>
    <row r="41" spans="1:70" x14ac:dyDescent="0.25">
      <c r="G41" s="91">
        <v>2</v>
      </c>
      <c r="H41" s="130">
        <f>L39*J41+J40*L40+J39*L41</f>
        <v>0.13725321179469585</v>
      </c>
      <c r="I41" s="138">
        <v>2</v>
      </c>
      <c r="J41" s="86">
        <f t="shared" si="26"/>
        <v>0.1129238971840944</v>
      </c>
      <c r="K41" s="95">
        <v>2</v>
      </c>
      <c r="L41" s="86">
        <f>AE20</f>
        <v>3.8600916866749313E-3</v>
      </c>
      <c r="M41" s="85">
        <v>2</v>
      </c>
      <c r="N41" s="215">
        <f>(($C$24)^M27)*((1-($C$24))^($B$21-M27))*HLOOKUP($B$21,$AV$24:$BF$34,M27+1)</f>
        <v>0.14472991641033012</v>
      </c>
      <c r="O41" s="72">
        <v>2</v>
      </c>
      <c r="P41" s="215">
        <f t="shared" si="27"/>
        <v>0.14472991641033012</v>
      </c>
      <c r="Q41" s="28">
        <v>2</v>
      </c>
      <c r="R41" s="216">
        <f>P41*N39+P40*N40+P39*N41</f>
        <v>0.28085436051158186</v>
      </c>
      <c r="S41" s="72">
        <v>2</v>
      </c>
      <c r="T41" s="217">
        <f t="shared" si="30"/>
        <v>0.32186508178710938</v>
      </c>
      <c r="U41" s="138">
        <v>2</v>
      </c>
      <c r="V41" s="86">
        <f>R41*T39+T40*R40+R39*T41</f>
        <v>0.1496960809198884</v>
      </c>
      <c r="W41" s="219"/>
      <c r="X41" s="28">
        <v>2</v>
      </c>
      <c r="Y41" s="216"/>
      <c r="Z41" s="28">
        <v>2</v>
      </c>
      <c r="AA41" s="218"/>
      <c r="AB41" s="28">
        <v>2</v>
      </c>
      <c r="AC41" s="218">
        <f>((($W$39)^M41)*((1-($W$39))^($U$27-M41))*HLOOKUP($U$27,$AV$24:$BF$34,M41+1))*V41</f>
        <v>4.5005341201910442E-3</v>
      </c>
      <c r="AD41" s="28">
        <v>2</v>
      </c>
      <c r="AE41" s="218">
        <f>((($W$39)^M41)*((1-($W$39))^($U$28-M41))*HLOOKUP($U$28,$AV$24:$BF$34,M41+1))*V42</f>
        <v>1.684777814274107E-2</v>
      </c>
      <c r="AF41" s="28">
        <v>2</v>
      </c>
      <c r="AG41" s="218">
        <f>((($W$39)^M41)*((1-($W$39))^($U$29-M41))*HLOOKUP($U$29,$AV$24:$BF$34,M41+1))*V43</f>
        <v>2.8561898772883468E-2</v>
      </c>
      <c r="AH41" s="28">
        <v>2</v>
      </c>
      <c r="AI41" s="218">
        <f>((($W$39)^M41)*((1-($W$39))^($U$30-M41))*HLOOKUP($U$30,$AV$24:$BF$34,M41+1))*V44</f>
        <v>2.9060858394564886E-2</v>
      </c>
      <c r="AJ41" s="28">
        <v>2</v>
      </c>
      <c r="AK41" s="218">
        <f>((($W$39)^M41)*((1-($W$39))^($U$31-M41))*HLOOKUP($U$31,$AV$24:$BF$34,M41+1))*V45</f>
        <v>1.9830173885147122E-2</v>
      </c>
      <c r="AL41" s="28">
        <v>2</v>
      </c>
      <c r="AM41" s="218">
        <f>((($W$39)^Q41)*((1-($W$39))^($U$32-Q41))*HLOOKUP($U$32,$AV$24:$BF$34,Q41+1))*V46</f>
        <v>9.6051140707484241E-3</v>
      </c>
      <c r="AN41" s="28">
        <v>2</v>
      </c>
      <c r="AO41" s="218">
        <f>((($W$39)^Q41)*((1-($W$39))^($U$33-Q41))*HLOOKUP($U$33,$AV$24:$BF$34,Q41+1))*V47</f>
        <v>3.4084953450300944E-3</v>
      </c>
      <c r="AP41" s="28">
        <v>2</v>
      </c>
      <c r="AQ41" s="218">
        <f>((($W$39)^Q41)*((1-($W$39))^($U$34-Q41))*HLOOKUP($U$34,$AV$24:$BF$34,Q41+1))*V48</f>
        <v>9.0116713650665919E-4</v>
      </c>
      <c r="AR41" s="28">
        <v>2</v>
      </c>
      <c r="AS41" s="218">
        <f>((($W$39)^Q41)*((1-($W$39))^($U$35-Q41))*HLOOKUP($U$35,$AV$24:$BF$34,Q41+1))*V49</f>
        <v>2.0787731628163416E-4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H41" s="31">
        <f t="shared" si="24"/>
        <v>4</v>
      </c>
      <c r="BI41" s="31">
        <v>8</v>
      </c>
      <c r="BJ41" s="107">
        <f t="shared" si="25"/>
        <v>2.8777008889332207E-8</v>
      </c>
      <c r="BP41" s="31">
        <f t="shared" si="28"/>
        <v>9</v>
      </c>
      <c r="BQ41" s="31">
        <v>2</v>
      </c>
      <c r="BR41" s="107">
        <f t="shared" si="29"/>
        <v>7.2777082496548873E-6</v>
      </c>
    </row>
    <row r="42" spans="1:70" ht="15" customHeight="1" x14ac:dyDescent="0.25">
      <c r="G42" s="91">
        <v>3</v>
      </c>
      <c r="H42" s="130">
        <f>J42*L39+J41*L40+L42*J39+L41*J40</f>
        <v>3.2108635687773987E-2</v>
      </c>
      <c r="I42" s="138">
        <v>3</v>
      </c>
      <c r="J42" s="86">
        <f t="shared" si="26"/>
        <v>2.215943403171005E-2</v>
      </c>
      <c r="K42" s="95">
        <v>3</v>
      </c>
      <c r="L42" s="86">
        <f>AF20</f>
        <v>8.1736222870530412E-5</v>
      </c>
      <c r="M42" s="85">
        <v>3</v>
      </c>
      <c r="N42" s="215">
        <f>(($C$24)^M28)*((1-($C$24))^($B$21-M28))*HLOOKUP($B$21,$AV$24:$BF$34,M28+1)</f>
        <v>2.6514429920568246E-2</v>
      </c>
      <c r="O42" s="72">
        <v>3</v>
      </c>
      <c r="P42" s="215">
        <f t="shared" si="27"/>
        <v>2.6514429920568246E-2</v>
      </c>
      <c r="Q42" s="28">
        <v>3</v>
      </c>
      <c r="R42" s="216">
        <f>P42*N39+P41*N40+P40*N41+P39*N42</f>
        <v>0.13720624722917965</v>
      </c>
      <c r="S42" s="72">
        <v>3</v>
      </c>
      <c r="T42" s="217">
        <f t="shared" si="30"/>
        <v>0.2574920654296875</v>
      </c>
      <c r="U42" s="138">
        <v>3</v>
      </c>
      <c r="V42" s="86">
        <f>R42*T39+R41*T40+R40*T41+R39*T42</f>
        <v>0.22597878942296454</v>
      </c>
      <c r="W42" s="219"/>
      <c r="X42" s="28">
        <v>3</v>
      </c>
      <c r="Y42" s="216"/>
      <c r="Z42" s="28">
        <v>3</v>
      </c>
      <c r="AA42" s="218"/>
      <c r="AB42" s="28">
        <v>3</v>
      </c>
      <c r="AC42" s="218"/>
      <c r="AD42" s="28">
        <v>3</v>
      </c>
      <c r="AE42" s="218">
        <f>((($W$39)^M42)*((1-($W$39))^($U$28-M42))*HLOOKUP($U$28,$AV$24:$BF$34,M42+1))*V42</f>
        <v>1.1780076745843001E-3</v>
      </c>
      <c r="AF42" s="28">
        <v>3</v>
      </c>
      <c r="AG42" s="218">
        <f>((($W$39)^M42)*((1-($W$39))^($U$29-M42))*HLOOKUP($U$29,$AV$24:$BF$34,M42+1))*V43</f>
        <v>3.9941333118341422E-3</v>
      </c>
      <c r="AH42" s="28">
        <v>3</v>
      </c>
      <c r="AI42" s="218">
        <f>((($W$39)^M42)*((1-($W$39))^($U$30-M42))*HLOOKUP($U$30,$AV$24:$BF$34,M42+1))*V44</f>
        <v>6.0958627176999295E-3</v>
      </c>
      <c r="AJ42" s="28">
        <v>3</v>
      </c>
      <c r="AK42" s="218">
        <f>((($W$39)^M42)*((1-($W$39))^($U$31-M42))*HLOOKUP($U$31,$AV$24:$BF$34,M42+1))*V45</f>
        <v>5.5461549474662957E-3</v>
      </c>
      <c r="AL42" s="28">
        <v>3</v>
      </c>
      <c r="AM42" s="218">
        <f>((($W$39)^Q42)*((1-($W$39))^($U$32-Q42))*HLOOKUP($U$32,$AV$24:$BF$34,Q42+1))*V46</f>
        <v>3.3579793117926235E-3</v>
      </c>
      <c r="AN42" s="28">
        <v>3</v>
      </c>
      <c r="AO42" s="218">
        <f>((($W$39)^Q42)*((1-($W$39))^($U$33-Q42))*HLOOKUP($U$33,$AV$24:$BF$34,Q42+1))*V47</f>
        <v>1.4299453522755314E-3</v>
      </c>
      <c r="AP42" s="28">
        <v>3</v>
      </c>
      <c r="AQ42" s="218">
        <f>((($W$39)^Q42)*((1-($W$39))^($U$34-Q42))*HLOOKUP($U$34,$AV$24:$BF$34,Q42+1))*V48</f>
        <v>4.4107137197896452E-4</v>
      </c>
      <c r="AR42" s="28">
        <v>3</v>
      </c>
      <c r="AS42" s="218">
        <f>((($W$39)^Q42)*((1-($W$39))^($U$35-Q42))*HLOOKUP($U$35,$AV$24:$BF$34,Q42+1))*V49</f>
        <v>1.1627934407826278E-4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1">BE41+BE42</f>
        <v>210</v>
      </c>
      <c r="BH42" s="31">
        <f t="shared" si="24"/>
        <v>4</v>
      </c>
      <c r="BI42" s="31">
        <v>9</v>
      </c>
      <c r="BJ42" s="107">
        <f t="shared" si="25"/>
        <v>1.3173418748432432E-9</v>
      </c>
      <c r="BP42" s="31">
        <f t="shared" si="28"/>
        <v>9</v>
      </c>
      <c r="BQ42" s="31">
        <v>3</v>
      </c>
      <c r="BR42" s="107">
        <f t="shared" si="29"/>
        <v>1.7025268827924545E-6</v>
      </c>
    </row>
    <row r="43" spans="1:70" ht="15" customHeight="1" x14ac:dyDescent="0.25">
      <c r="G43" s="91">
        <v>4</v>
      </c>
      <c r="H43" s="130">
        <f>J43*L39+J42*L40+J41*L41+J40*L42</f>
        <v>5.2591918285662996E-3</v>
      </c>
      <c r="I43" s="138">
        <v>4</v>
      </c>
      <c r="J43" s="86">
        <f t="shared" si="26"/>
        <v>2.9820993731542655E-3</v>
      </c>
      <c r="K43" s="95">
        <v>4</v>
      </c>
      <c r="L43" s="86"/>
      <c r="M43" s="85">
        <v>4</v>
      </c>
      <c r="N43" s="215">
        <f>(($C$24)^M29)*((1-($C$24))^($B$21-M29))*HLOOKUP($B$21,$AV$24:$BF$34,M29+1)</f>
        <v>2.4287134666048454E-3</v>
      </c>
      <c r="O43" s="72">
        <v>4</v>
      </c>
      <c r="P43" s="215">
        <f t="shared" si="27"/>
        <v>2.4287134666048454E-3</v>
      </c>
      <c r="Q43" s="28">
        <v>4</v>
      </c>
      <c r="R43" s="216">
        <f>P43*N39+P42*N40+P41*N41+P40*N42+P39*N43</f>
        <v>4.3988172278696398E-2</v>
      </c>
      <c r="S43" s="72">
        <v>4</v>
      </c>
      <c r="T43" s="217">
        <f t="shared" si="30"/>
        <v>0.11587142944335938</v>
      </c>
      <c r="U43" s="138">
        <v>4</v>
      </c>
      <c r="V43" s="86">
        <f>T43*R39+T42*R40+T41*R41+T40*R42+T39*R43</f>
        <v>0.23172988622197072</v>
      </c>
      <c r="W43" s="219"/>
      <c r="X43" s="28">
        <v>4</v>
      </c>
      <c r="Y43" s="216"/>
      <c r="Z43" s="28">
        <v>4</v>
      </c>
      <c r="AA43" s="218"/>
      <c r="AB43" s="28">
        <v>4</v>
      </c>
      <c r="AC43" s="218"/>
      <c r="AD43" s="28">
        <v>4</v>
      </c>
      <c r="AE43" s="218"/>
      <c r="AF43" s="28">
        <v>4</v>
      </c>
      <c r="AG43" s="218">
        <f>((($W$39)^M43)*((1-($W$39))^($U$29-M43))*HLOOKUP($U$29,$AV$24:$BF$34,M43+1))*V43</f>
        <v>2.0945431148798008E-4</v>
      </c>
      <c r="AH43" s="28">
        <v>4</v>
      </c>
      <c r="AI43" s="218">
        <f>((($W$39)^M43)*((1-($W$39))^($U$30-M43))*HLOOKUP($U$30,$AV$24:$BF$34,M43+1))*V44</f>
        <v>6.3934006643096518E-4</v>
      </c>
      <c r="AJ43" s="28">
        <v>4</v>
      </c>
      <c r="AK43" s="218">
        <f>((($W$39)^M43)*((1-($W$39))^($U$31-M43))*HLOOKUP($U$31,$AV$24:$BF$34,M43+1))*V45</f>
        <v>8.7252926372186578E-4</v>
      </c>
      <c r="AL43" s="28">
        <v>4</v>
      </c>
      <c r="AM43" s="218">
        <f>((($W$39)^Q43)*((1-($W$39))^($U$32-Q43))*HLOOKUP($U$32,$AV$24:$BF$34,Q43+1))*V46</f>
        <v>7.0437633381788517E-4</v>
      </c>
      <c r="AN43" s="28">
        <v>4</v>
      </c>
      <c r="AO43" s="218">
        <f>((($W$39)^Q43)*((1-($W$39))^($U$33-Q43))*HLOOKUP($U$33,$AV$24:$BF$34,Q43+1))*V47</f>
        <v>3.7493518098019075E-4</v>
      </c>
      <c r="AP43" s="28">
        <v>4</v>
      </c>
      <c r="AQ43" s="218">
        <f>((($W$39)^Q43)*((1-($W$39))^($U$34-Q43))*HLOOKUP($U$34,$AV$24:$BF$34,Q43+1))*V48</f>
        <v>1.3877999554174475E-4</v>
      </c>
      <c r="AR43" s="28">
        <v>4</v>
      </c>
      <c r="AS43" s="218">
        <f>((($W$39)^Q43)*((1-($W$39))^($U$35-Q43))*HLOOKUP($U$35,$AV$24:$BF$34,Q43+1))*V49</f>
        <v>4.2684221173633356E-5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1"/>
        <v>252</v>
      </c>
      <c r="BH43" s="31">
        <f t="shared" si="24"/>
        <v>4</v>
      </c>
      <c r="BI43" s="31">
        <v>10</v>
      </c>
      <c r="BJ43" s="107">
        <f t="shared" si="25"/>
        <v>4.5897871619215015E-11</v>
      </c>
      <c r="BP43" s="31">
        <f t="shared" si="28"/>
        <v>9</v>
      </c>
      <c r="BQ43" s="31">
        <v>4</v>
      </c>
      <c r="BR43" s="107">
        <f t="shared" si="29"/>
        <v>2.788631555997851E-7</v>
      </c>
    </row>
    <row r="44" spans="1:70" ht="15" customHeight="1" thickBot="1" x14ac:dyDescent="0.3">
      <c r="G44" s="91">
        <v>5</v>
      </c>
      <c r="H44" s="130">
        <f>J44*L39+J43*L40+J42*L41+J41*L42</f>
        <v>6.4100347016164065E-4</v>
      </c>
      <c r="I44" s="138">
        <v>5</v>
      </c>
      <c r="J44" s="86">
        <f t="shared" si="26"/>
        <v>2.9145475126171724E-4</v>
      </c>
      <c r="K44" s="95">
        <v>5</v>
      </c>
      <c r="L44" s="86"/>
      <c r="M44" s="85">
        <v>5</v>
      </c>
      <c r="N44" s="215">
        <f>(($C$24)^M30)*((1-($C$24))^($B$21-M30))*HLOOKUP($B$21,$AV$24:$BF$34,M30+1)</f>
        <v>8.8987756788116651E-5</v>
      </c>
      <c r="O44" s="72">
        <v>5</v>
      </c>
      <c r="P44" s="215">
        <f t="shared" si="27"/>
        <v>8.8987756788116651E-5</v>
      </c>
      <c r="Q44" s="28">
        <v>5</v>
      </c>
      <c r="R44" s="216">
        <f>P44*N39+P43*N40+P42*N41+P41*N42+P40*N43+P39*N44</f>
        <v>9.6703266896999238E-3</v>
      </c>
      <c r="S44" s="72">
        <v>5</v>
      </c>
      <c r="T44" s="217">
        <f t="shared" si="30"/>
        <v>2.780914306640625E-2</v>
      </c>
      <c r="U44" s="138">
        <v>5</v>
      </c>
      <c r="V44" s="86">
        <f>T44*R39+T43*R40+T42*R41+T41*R42+T40*R43+T39*R44</f>
        <v>0.17114120559135809</v>
      </c>
      <c r="W44" s="219"/>
      <c r="X44" s="28">
        <v>5</v>
      </c>
      <c r="Y44" s="216"/>
      <c r="Z44" s="28">
        <v>5</v>
      </c>
      <c r="AA44" s="218"/>
      <c r="AB44" s="28">
        <v>5</v>
      </c>
      <c r="AC44" s="218"/>
      <c r="AD44" s="28">
        <v>5</v>
      </c>
      <c r="AE44" s="218"/>
      <c r="AF44" s="28">
        <v>5</v>
      </c>
      <c r="AG44" s="218"/>
      <c r="AH44" s="28">
        <v>5</v>
      </c>
      <c r="AI44" s="218">
        <f>((($W$39)^M44)*((1-($W$39))^($U$30-M44))*HLOOKUP($U$30,$AV$24:$BF$34,M44+1))*V44</f>
        <v>2.6821845535142322E-5</v>
      </c>
      <c r="AJ44" s="28">
        <v>5</v>
      </c>
      <c r="AK44" s="218">
        <f>((($W$39)^M44)*((1-($W$39))^($U$31-M44))*HLOOKUP($U$31,$AV$24:$BF$34,M44+1))*V45</f>
        <v>7.3209380626128309E-5</v>
      </c>
      <c r="AL44" s="28">
        <v>5</v>
      </c>
      <c r="AM44" s="218">
        <f>((($W$39)^Q44)*((1-($W$39))^($U$32-Q44))*HLOOKUP($U$32,$AV$24:$BF$34,Q44+1))*V46</f>
        <v>8.8650817692714523E-5</v>
      </c>
      <c r="AN44" s="28">
        <v>5</v>
      </c>
      <c r="AO44" s="218">
        <f>((($W$39)^Q44)*((1-($W$39))^($U$33-Q44))*HLOOKUP($U$33,$AV$24:$BF$34,Q44+1))*V47</f>
        <v>6.2917711796666741E-5</v>
      </c>
      <c r="AP44" s="28">
        <v>5</v>
      </c>
      <c r="AQ44" s="218">
        <f>((($W$39)^Q44)*((1-($W$39))^($U$34-Q44))*HLOOKUP($U$34,$AV$24:$BF$34,Q44+1))*V48</f>
        <v>2.9110764358691644E-5</v>
      </c>
      <c r="AR44" s="28">
        <v>5</v>
      </c>
      <c r="AS44" s="218">
        <f>((($W$39)^Q44)*((1-($W$39))^($U$35-Q44))*HLOOKUP($U$35,$AV$24:$BF$34,Q44+1))*V49</f>
        <v>1.0744231252373725E-5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1"/>
        <v>210</v>
      </c>
      <c r="BH44" s="31">
        <f>BH39+1</f>
        <v>5</v>
      </c>
      <c r="BI44" s="31">
        <v>6</v>
      </c>
      <c r="BJ44" s="107">
        <f>$H$30*H45</f>
        <v>2.5435786402386182E-6</v>
      </c>
      <c r="BP44" s="31">
        <f t="shared" si="28"/>
        <v>9</v>
      </c>
      <c r="BQ44" s="31">
        <v>5</v>
      </c>
      <c r="BR44" s="107">
        <f t="shared" si="29"/>
        <v>3.3988539735090287E-8</v>
      </c>
    </row>
    <row r="45" spans="1:70" ht="15" customHeight="1" thickBot="1" x14ac:dyDescent="0.3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6.0240406578928883E-5</v>
      </c>
      <c r="I45" s="138">
        <v>6</v>
      </c>
      <c r="J45" s="86">
        <f t="shared" si="26"/>
        <v>2.1305815078777869E-5</v>
      </c>
      <c r="K45" s="95">
        <v>6</v>
      </c>
      <c r="L45" s="86"/>
      <c r="M45" s="85"/>
      <c r="N45" s="216"/>
      <c r="O45" s="216"/>
      <c r="P45" s="216"/>
      <c r="Q45" s="28">
        <v>6</v>
      </c>
      <c r="R45" s="216">
        <f>P44*N40+P43*N41+P42*N42+P41*N43+P40*N44</f>
        <v>1.4763314874267218E-3</v>
      </c>
      <c r="S45" s="72">
        <v>6</v>
      </c>
      <c r="T45" s="217">
        <f t="shared" si="30"/>
        <v>2.780914306640625E-3</v>
      </c>
      <c r="U45" s="138">
        <v>6</v>
      </c>
      <c r="V45" s="86">
        <f>T45*R39+T44*R40+T43*R41+T42*R42+T41*R43+T40*R44+T39*R45</f>
        <v>9.4184912299713652E-2</v>
      </c>
      <c r="W45" s="219"/>
      <c r="X45" s="28">
        <v>6</v>
      </c>
      <c r="Y45" s="216"/>
      <c r="Z45" s="28">
        <v>6</v>
      </c>
      <c r="AA45" s="218"/>
      <c r="AB45" s="28">
        <v>6</v>
      </c>
      <c r="AC45" s="218"/>
      <c r="AD45" s="28">
        <v>6</v>
      </c>
      <c r="AE45" s="218"/>
      <c r="AF45" s="28">
        <v>6</v>
      </c>
      <c r="AG45" s="218"/>
      <c r="AH45" s="28">
        <v>6</v>
      </c>
      <c r="AI45" s="218"/>
      <c r="AJ45" s="28">
        <v>6</v>
      </c>
      <c r="AK45" s="218">
        <f>((($W$39)^Q45)*((1-($W$39))^($U$31-Q45))*HLOOKUP($U$31,$AV$24:$BF$34,Q45+1))*V45</f>
        <v>2.5594239044007024E-6</v>
      </c>
      <c r="AL45" s="28">
        <v>6</v>
      </c>
      <c r="AM45" s="218">
        <f>((($W$39)^Q45)*((1-($W$39))^($U$32-Q45))*HLOOKUP($U$32,$AV$24:$BF$34,Q45+1))*V46</f>
        <v>6.198523194892971E-6</v>
      </c>
      <c r="AN45" s="28">
        <v>6</v>
      </c>
      <c r="AO45" s="218">
        <f>((($W$39)^Q45)*((1-($W$39))^($U$33-Q45))*HLOOKUP($U$33,$AV$24:$BF$34,Q45+1))*V47</f>
        <v>6.598871382546998E-6</v>
      </c>
      <c r="AP45" s="28">
        <v>6</v>
      </c>
      <c r="AQ45" s="218">
        <f>((($W$39)^Q45)*((1-($W$39))^($U$34-Q45))*HLOOKUP($U$34,$AV$24:$BF$34,Q45+1))*V48</f>
        <v>4.0708873938168529E-6</v>
      </c>
      <c r="AR45" s="28">
        <v>6</v>
      </c>
      <c r="AS45" s="218">
        <f>((($W$39)^Q45)*((1-($W$39))^($U$35-Q45))*HLOOKUP($U$35,$AV$24:$BF$34,Q45+1))*V49</f>
        <v>1.8781092031203476E-6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1"/>
        <v>120</v>
      </c>
      <c r="BH45" s="31">
        <f>BH40+1</f>
        <v>5</v>
      </c>
      <c r="BI45" s="31">
        <v>7</v>
      </c>
      <c r="BJ45" s="107">
        <f>$H$30*H46</f>
        <v>1.8796119304007991E-7</v>
      </c>
      <c r="BP45" s="31">
        <f t="shared" si="28"/>
        <v>9</v>
      </c>
      <c r="BQ45" s="31">
        <v>6</v>
      </c>
      <c r="BR45" s="107">
        <f t="shared" si="29"/>
        <v>3.1941846619794563E-9</v>
      </c>
    </row>
    <row r="46" spans="1:70" ht="15" customHeight="1" thickBot="1" x14ac:dyDescent="0.3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4.4515465378859806E-6</v>
      </c>
      <c r="I46" s="138">
        <v>7</v>
      </c>
      <c r="J46" s="86">
        <f t="shared" si="26"/>
        <v>1.1723106181923404E-6</v>
      </c>
      <c r="K46" s="95">
        <v>7</v>
      </c>
      <c r="L46" s="86"/>
      <c r="M46" s="85"/>
      <c r="N46" s="216"/>
      <c r="O46" s="216"/>
      <c r="P46" s="216"/>
      <c r="Q46" s="28">
        <v>7</v>
      </c>
      <c r="R46" s="216">
        <f>P44*N41+P43*N42+P42*N43+P41*N44</f>
        <v>1.545502872178429E-4</v>
      </c>
      <c r="S46" s="72">
        <v>7</v>
      </c>
      <c r="T46" s="217">
        <f t="shared" si="30"/>
        <v>0</v>
      </c>
      <c r="U46" s="138">
        <v>7</v>
      </c>
      <c r="V46" s="86">
        <f>T46*R39+T45*R40+T44*R41+T43*R42+T42*R43+T41*R44+T40*R45+T39*R46</f>
        <v>3.9421144799411507E-2</v>
      </c>
      <c r="W46" s="219"/>
      <c r="X46" s="28">
        <v>7</v>
      </c>
      <c r="Y46" s="216"/>
      <c r="Z46" s="28">
        <v>7</v>
      </c>
      <c r="AA46" s="218"/>
      <c r="AB46" s="28">
        <v>7</v>
      </c>
      <c r="AC46" s="218"/>
      <c r="AD46" s="28">
        <v>7</v>
      </c>
      <c r="AE46" s="218"/>
      <c r="AF46" s="28">
        <v>7</v>
      </c>
      <c r="AG46" s="218"/>
      <c r="AH46" s="28">
        <v>7</v>
      </c>
      <c r="AI46" s="218"/>
      <c r="AJ46" s="28">
        <v>7</v>
      </c>
      <c r="AK46" s="218"/>
      <c r="AL46" s="28">
        <v>7</v>
      </c>
      <c r="AM46" s="218">
        <f>((($W$39)^Q46)*((1-($W$39))^($U$32-Q46))*HLOOKUP($U$32,$AV$24:$BF$34,Q46+1))*V46</f>
        <v>1.8574491373304248E-7</v>
      </c>
      <c r="AN46" s="28">
        <v>7</v>
      </c>
      <c r="AO46" s="218">
        <f>((($W$39)^Q46)*((1-($W$39))^($U$33-Q46))*HLOOKUP($U$33,$AV$24:$BF$34,Q46+1))*V47</f>
        <v>3.9548349087295745E-7</v>
      </c>
      <c r="AP46" s="28">
        <v>7</v>
      </c>
      <c r="AQ46" s="218">
        <f>((($W$39)^Q46)*((1-($W$39))^($U$34-Q46))*HLOOKUP($U$34,$AV$24:$BF$34,Q46+1))*V48</f>
        <v>3.6596457124066524E-7</v>
      </c>
      <c r="AR46" s="28">
        <v>7</v>
      </c>
      <c r="AS46" s="218">
        <f>((($W$39)^Q46)*((1-($W$39))^($U$35-Q46))*HLOOKUP($U$35,$AV$24:$BF$34,Q46+1))*V49</f>
        <v>2.251176423456753E-7</v>
      </c>
      <c r="AV46" s="14">
        <v>8</v>
      </c>
      <c r="BD46" s="31">
        <v>1</v>
      </c>
      <c r="BE46" s="31">
        <v>9</v>
      </c>
      <c r="BF46" s="31">
        <f t="shared" si="31"/>
        <v>45</v>
      </c>
      <c r="BH46" s="31">
        <f>BH41+1</f>
        <v>5</v>
      </c>
      <c r="BI46" s="31">
        <v>8</v>
      </c>
      <c r="BJ46" s="107">
        <f>$H$30*H47</f>
        <v>1.0984932204284E-8</v>
      </c>
      <c r="BP46" s="31">
        <f t="shared" si="28"/>
        <v>9</v>
      </c>
      <c r="BQ46" s="31">
        <v>7</v>
      </c>
      <c r="BR46" s="107">
        <f t="shared" si="29"/>
        <v>2.3603860732202872E-10</v>
      </c>
    </row>
    <row r="47" spans="1:70" ht="15" customHeight="1" thickBot="1" x14ac:dyDescent="0.3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2.6015974963760459E-7</v>
      </c>
      <c r="I47" s="138">
        <v>8</v>
      </c>
      <c r="J47" s="86">
        <f t="shared" si="26"/>
        <v>4.7268955458651076E-8</v>
      </c>
      <c r="K47" s="95">
        <v>8</v>
      </c>
      <c r="L47" s="86"/>
      <c r="M47" s="85"/>
      <c r="N47" s="216"/>
      <c r="O47" s="216"/>
      <c r="P47" s="216"/>
      <c r="Q47" s="28">
        <v>8</v>
      </c>
      <c r="R47" s="216">
        <f>P44*N42+P43*N43+P42*N44</f>
        <v>1.0617568385161904E-5</v>
      </c>
      <c r="S47" s="72">
        <v>8</v>
      </c>
      <c r="T47" s="217">
        <f t="shared" si="30"/>
        <v>0</v>
      </c>
      <c r="U47" s="138">
        <v>8</v>
      </c>
      <c r="V47" s="86">
        <f>T47*R39+T46*R40+T45*R41+T44*R42+T43*R43+T42*R44+T41*R45+T40*R46+T39*R47</f>
        <v>1.2692600166501856E-2</v>
      </c>
      <c r="W47" s="219"/>
      <c r="X47" s="28">
        <v>8</v>
      </c>
      <c r="Y47" s="216"/>
      <c r="Z47" s="28">
        <v>8</v>
      </c>
      <c r="AA47" s="218"/>
      <c r="AB47" s="28">
        <v>8</v>
      </c>
      <c r="AC47" s="218"/>
      <c r="AD47" s="28">
        <v>8</v>
      </c>
      <c r="AE47" s="218"/>
      <c r="AF47" s="28">
        <v>8</v>
      </c>
      <c r="AG47" s="218"/>
      <c r="AH47" s="28">
        <v>8</v>
      </c>
      <c r="AI47" s="218"/>
      <c r="AJ47" s="28">
        <v>8</v>
      </c>
      <c r="AK47" s="218"/>
      <c r="AL47" s="28">
        <v>8</v>
      </c>
      <c r="AM47" s="218"/>
      <c r="AN47" s="28">
        <v>8</v>
      </c>
      <c r="AO47" s="218">
        <f>((($W$39)^Q47)*((1-($W$39))^($U$33-Q47))*HLOOKUP($U$33,$AV$24:$BF$34,Q47+1))*V47</f>
        <v>1.0369674196931004E-8</v>
      </c>
      <c r="AP47" s="28">
        <v>8</v>
      </c>
      <c r="AQ47" s="218">
        <f>((($W$39)^Q47)*((1-($W$39))^($U$34-Q47))*HLOOKUP($U$34,$AV$24:$BF$34,Q47+1))*V48</f>
        <v>1.9191361758280338E-8</v>
      </c>
      <c r="AR47" s="28">
        <v>8</v>
      </c>
      <c r="AS47" s="218">
        <f>((($W$39)^Q47)*((1-($W$39))^($U$35-Q47))*HLOOKUP($U$35,$AV$24:$BF$34,Q47+1))*V49</f>
        <v>1.7707919503439736E-8</v>
      </c>
      <c r="AV47" s="29">
        <v>9</v>
      </c>
      <c r="BE47" s="31">
        <v>1</v>
      </c>
      <c r="BF47" s="31">
        <f t="shared" si="31"/>
        <v>10</v>
      </c>
      <c r="BH47" s="31">
        <f>BH42+1</f>
        <v>5</v>
      </c>
      <c r="BI47" s="31">
        <v>9</v>
      </c>
      <c r="BJ47" s="107">
        <f>$H$30*H48</f>
        <v>5.0286363119489641E-10</v>
      </c>
      <c r="BP47" s="31">
        <f>BL12+1</f>
        <v>9</v>
      </c>
      <c r="BQ47" s="31">
        <v>8</v>
      </c>
      <c r="BR47" s="107">
        <f t="shared" si="29"/>
        <v>1.3794699092345132E-11</v>
      </c>
    </row>
    <row r="48" spans="1:70" ht="15" customHeight="1" thickBot="1" x14ac:dyDescent="0.3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1.1909484188031742E-8</v>
      </c>
      <c r="I48" s="138">
        <v>9</v>
      </c>
      <c r="J48" s="86">
        <f t="shared" si="26"/>
        <v>1.2727237392751745E-9</v>
      </c>
      <c r="K48" s="95">
        <v>9</v>
      </c>
      <c r="L48" s="86"/>
      <c r="M48" s="85"/>
      <c r="N48" s="216"/>
      <c r="O48" s="216"/>
      <c r="P48" s="216"/>
      <c r="Q48" s="28">
        <v>9</v>
      </c>
      <c r="R48" s="216">
        <f>P44*N43+P43*N44</f>
        <v>4.3225152654851133E-7</v>
      </c>
      <c r="S48" s="72">
        <v>9</v>
      </c>
      <c r="T48" s="217">
        <f t="shared" si="30"/>
        <v>0</v>
      </c>
      <c r="U48" s="138">
        <v>9</v>
      </c>
      <c r="V48" s="86">
        <f>T48*R39+T47*R40+T46*R41+T45*R42+T44*R43+T43*R44+T42*R45+T41*R46+T40*R47+T39*R48</f>
        <v>3.1575388007296788E-3</v>
      </c>
      <c r="W48" s="219"/>
      <c r="X48" s="28">
        <v>9</v>
      </c>
      <c r="Y48" s="216"/>
      <c r="Z48" s="28">
        <v>9</v>
      </c>
      <c r="AA48" s="218"/>
      <c r="AB48" s="28">
        <v>9</v>
      </c>
      <c r="AC48" s="218"/>
      <c r="AD48" s="28">
        <v>9</v>
      </c>
      <c r="AE48" s="218"/>
      <c r="AF48" s="28">
        <v>9</v>
      </c>
      <c r="AG48" s="218"/>
      <c r="AH48" s="28">
        <v>9</v>
      </c>
      <c r="AI48" s="218"/>
      <c r="AJ48" s="28">
        <v>9</v>
      </c>
      <c r="AK48" s="218"/>
      <c r="AL48" s="28">
        <v>9</v>
      </c>
      <c r="AM48" s="218"/>
      <c r="AN48" s="28">
        <v>9</v>
      </c>
      <c r="AO48" s="218"/>
      <c r="AP48" s="28">
        <v>9</v>
      </c>
      <c r="AQ48" s="218">
        <f>((($W$39)^Q48)*((1-($W$39))^($U$34-Q48))*HLOOKUP($U$34,$AV$24:$BF$34,Q48+1))*V48</f>
        <v>4.4729085828484443E-10</v>
      </c>
      <c r="AR48" s="28">
        <v>9</v>
      </c>
      <c r="AS48" s="218">
        <f>((($W$39)^Q48)*((1-($W$39))^($U$35-Q48))*HLOOKUP($U$35,$AV$24:$BF$34,Q48+1))*V49</f>
        <v>8.2543288099033022E-10</v>
      </c>
      <c r="AV48" s="14">
        <v>10</v>
      </c>
      <c r="BF48" s="31">
        <f t="shared" si="31"/>
        <v>1</v>
      </c>
      <c r="BH48" s="31">
        <f>BH43+1</f>
        <v>5</v>
      </c>
      <c r="BI48" s="31">
        <v>10</v>
      </c>
      <c r="BJ48" s="107">
        <f>$H$30*H49</f>
        <v>1.7520410477577876E-11</v>
      </c>
    </row>
    <row r="49" spans="1:62" ht="15" customHeight="1" thickBot="1" x14ac:dyDescent="0.3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4.1494162354658087E-10</v>
      </c>
      <c r="I49" s="94">
        <v>10</v>
      </c>
      <c r="J49" s="89">
        <f t="shared" si="26"/>
        <v>1.731444218500324E-11</v>
      </c>
      <c r="K49" s="96">
        <v>10</v>
      </c>
      <c r="L49" s="89"/>
      <c r="M49" s="85"/>
      <c r="N49" s="216"/>
      <c r="O49" s="216"/>
      <c r="P49" s="216"/>
      <c r="Q49" s="28">
        <v>10</v>
      </c>
      <c r="R49" s="216">
        <f>P44*N44</f>
        <v>7.9188208581810012E-9</v>
      </c>
      <c r="S49" s="72">
        <v>10</v>
      </c>
      <c r="T49" s="217">
        <f t="shared" si="30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7.049208632022852E-4</v>
      </c>
      <c r="W49" s="219"/>
      <c r="X49" s="28">
        <v>10</v>
      </c>
      <c r="Y49" s="216"/>
      <c r="Z49" s="28">
        <v>10</v>
      </c>
      <c r="AA49" s="218"/>
      <c r="AB49" s="28">
        <v>10</v>
      </c>
      <c r="AC49" s="218"/>
      <c r="AD49" s="28">
        <v>10</v>
      </c>
      <c r="AE49" s="218"/>
      <c r="AF49" s="28">
        <v>10</v>
      </c>
      <c r="AG49" s="218"/>
      <c r="AH49" s="28">
        <v>10</v>
      </c>
      <c r="AI49" s="218"/>
      <c r="AJ49" s="28">
        <v>10</v>
      </c>
      <c r="AK49" s="218"/>
      <c r="AL49" s="28">
        <v>10</v>
      </c>
      <c r="AM49" s="218"/>
      <c r="AN49" s="28">
        <v>10</v>
      </c>
      <c r="AO49" s="218"/>
      <c r="AP49" s="28">
        <v>10</v>
      </c>
      <c r="AQ49" s="218"/>
      <c r="AR49" s="28">
        <v>10</v>
      </c>
      <c r="AS49" s="218">
        <f>((($W$39)^Q49)*((1-($W$39))^($U$35-Q49))*HLOOKUP($U$35,$AV$24:$BF$34,Q49+1))*V49</f>
        <v>1.731444218500324E-11</v>
      </c>
      <c r="BH49" s="31">
        <f>BP14+1</f>
        <v>6</v>
      </c>
      <c r="BI49" s="31">
        <v>0</v>
      </c>
      <c r="BJ49" s="107">
        <f>$H$31*H39</f>
        <v>5.5622984903230263E-3</v>
      </c>
    </row>
    <row r="50" spans="1:62" ht="15.75" thickBot="1" x14ac:dyDescent="0.3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223"/>
      <c r="H50" s="77"/>
      <c r="I50" s="153"/>
      <c r="J50" s="153"/>
      <c r="K50" s="77"/>
      <c r="L50" s="77"/>
      <c r="O50" s="208"/>
      <c r="P50" s="208"/>
      <c r="Q50" s="208"/>
      <c r="R50" s="208"/>
      <c r="S50" s="223"/>
      <c r="T50" s="223"/>
      <c r="U50" s="223"/>
      <c r="V50" s="77"/>
      <c r="W50" s="153"/>
      <c r="X50" s="158"/>
      <c r="Y50" s="158"/>
      <c r="BH50" s="31">
        <f>BH45+1</f>
        <v>6</v>
      </c>
      <c r="BI50" s="31">
        <v>7</v>
      </c>
      <c r="BJ50" s="107">
        <f>$H$31*H46</f>
        <v>5.4006467738813841E-8</v>
      </c>
    </row>
    <row r="51" spans="1:62" ht="15.75" thickBot="1" x14ac:dyDescent="0.3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H51" s="31">
        <f>BH46+1</f>
        <v>6</v>
      </c>
      <c r="BI51" s="31">
        <v>8</v>
      </c>
      <c r="BJ51" s="107">
        <f>$H$31*H47</f>
        <v>3.1562759158334232E-9</v>
      </c>
    </row>
    <row r="52" spans="1:62" x14ac:dyDescent="0.25">
      <c r="H52" s="107"/>
      <c r="BH52" s="31">
        <f>BH47+1</f>
        <v>6</v>
      </c>
      <c r="BI52" s="31">
        <v>9</v>
      </c>
      <c r="BJ52" s="107">
        <f>$H$31*H48</f>
        <v>1.4448667853134416E-10</v>
      </c>
    </row>
    <row r="53" spans="1:62" x14ac:dyDescent="0.25">
      <c r="BH53" s="31">
        <f>BH48+1</f>
        <v>6</v>
      </c>
      <c r="BI53" s="31">
        <v>10</v>
      </c>
      <c r="BJ53" s="107">
        <f>$H$31*H49</f>
        <v>5.0341002199657209E-12</v>
      </c>
    </row>
    <row r="54" spans="1:62" x14ac:dyDescent="0.25">
      <c r="BH54" s="31">
        <f>BH51+1</f>
        <v>7</v>
      </c>
      <c r="BI54" s="31">
        <v>8</v>
      </c>
      <c r="BJ54" s="107">
        <f>$H$32*H47</f>
        <v>6.8764742078685089E-10</v>
      </c>
    </row>
    <row r="55" spans="1:62" x14ac:dyDescent="0.25">
      <c r="BH55" s="31">
        <f>BH52+1</f>
        <v>7</v>
      </c>
      <c r="BI55" s="31">
        <v>9</v>
      </c>
      <c r="BJ55" s="107">
        <f>$H$32*H48</f>
        <v>3.1478835969859275E-11</v>
      </c>
    </row>
    <row r="56" spans="1:62" x14ac:dyDescent="0.25">
      <c r="BH56" s="31">
        <f>BH53+1</f>
        <v>7</v>
      </c>
      <c r="BI56" s="31">
        <v>10</v>
      </c>
      <c r="BJ56" s="107">
        <f>$H$32*H49</f>
        <v>1.0967628067230868E-12</v>
      </c>
    </row>
    <row r="57" spans="1:62" x14ac:dyDescent="0.25">
      <c r="BH57" s="31">
        <f>BH55+1</f>
        <v>8</v>
      </c>
      <c r="BI57" s="31">
        <v>9</v>
      </c>
      <c r="BJ57" s="107">
        <f>$H$33*H48</f>
        <v>5.1750502935069731E-12</v>
      </c>
    </row>
    <row r="58" spans="1:62" x14ac:dyDescent="0.25">
      <c r="BH58" s="31">
        <f>BH56+1</f>
        <v>8</v>
      </c>
      <c r="BI58" s="31">
        <v>10</v>
      </c>
      <c r="BJ58" s="107">
        <f>$H$33*H49</f>
        <v>1.8030535469209777E-13</v>
      </c>
    </row>
    <row r="59" spans="1:62" x14ac:dyDescent="0.25">
      <c r="BH59" s="31">
        <f>BH58+1</f>
        <v>9</v>
      </c>
      <c r="BI59" s="31">
        <v>10</v>
      </c>
      <c r="BJ59" s="107">
        <f>$H$34*H49</f>
        <v>2.2001846348974438E-14</v>
      </c>
    </row>
  </sheetData>
  <mergeCells count="2">
    <mergeCell ref="P1:Q1"/>
    <mergeCell ref="B3:C3"/>
  </mergeCells>
  <conditionalFormatting sqref="H49">
    <cfRule type="cellIs" dxfId="13" priority="1" operator="greaterThan">
      <formula>0.15</formula>
    </cfRule>
  </conditionalFormatting>
  <conditionalFormatting sqref="H39:H49">
    <cfRule type="cellIs" dxfId="12" priority="2" operator="greaterThan">
      <formula>0.15</formula>
    </cfRule>
  </conditionalFormatting>
  <conditionalFormatting sqref="H49">
    <cfRule type="cellIs" dxfId="11" priority="3" operator="greaterThan">
      <formula>0.15</formula>
    </cfRule>
  </conditionalFormatting>
  <conditionalFormatting sqref="H39:H49">
    <cfRule type="cellIs" dxfId="10" priority="4" operator="greaterThan">
      <formula>0.15</formula>
    </cfRule>
  </conditionalFormatting>
  <conditionalFormatting sqref="H35">
    <cfRule type="cellIs" dxfId="9" priority="5" operator="greaterThan">
      <formula>0.15</formula>
    </cfRule>
  </conditionalFormatting>
  <conditionalFormatting sqref="H25:H35">
    <cfRule type="cellIs" dxfId="8" priority="6" operator="greaterThan">
      <formula>0.15</formula>
    </cfRule>
  </conditionalFormatting>
  <conditionalFormatting sqref="H35">
    <cfRule type="cellIs" dxfId="7" priority="7" operator="greaterThan">
      <formula>0.15</formula>
    </cfRule>
  </conditionalFormatting>
  <conditionalFormatting sqref="H25:H35">
    <cfRule type="cellIs" dxfId="6" priority="8" operator="greaterThan">
      <formula>0.15</formula>
    </cfRule>
  </conditionalFormatting>
  <conditionalFormatting sqref="V49">
    <cfRule type="cellIs" dxfId="5" priority="9" operator="greaterThan">
      <formula>0.15</formula>
    </cfRule>
  </conditionalFormatting>
  <conditionalFormatting sqref="V35">
    <cfRule type="cellIs" dxfId="4" priority="10" operator="greaterThan">
      <formula>0.15</formula>
    </cfRule>
  </conditionalFormatting>
  <conditionalFormatting sqref="V25:V35 V39:V49">
    <cfRule type="cellIs" dxfId="3" priority="11" operator="greaterThan">
      <formula>0.15</formula>
    </cfRule>
  </conditionalFormatting>
  <conditionalFormatting sqref="V49">
    <cfRule type="cellIs" dxfId="2" priority="12" operator="greaterThan">
      <formula>0.15</formula>
    </cfRule>
  </conditionalFormatting>
  <conditionalFormatting sqref="V35">
    <cfRule type="cellIs" dxfId="1" priority="13" operator="greaterThan">
      <formula>0.15</formula>
    </cfRule>
  </conditionalFormatting>
  <conditionalFormatting sqref="V25:V35 V39:V49">
    <cfRule type="cellIs" dxfId="0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BR59"/>
  <sheetViews>
    <sheetView zoomScale="80" workbookViewId="0">
      <selection activeCell="K6" sqref="K6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8.42578125" customWidth="1"/>
    <col min="16" max="16" width="10.140625" customWidth="1"/>
    <col min="17" max="17" width="8.85546875" customWidth="1"/>
    <col min="19" max="19" width="8.85546875" customWidth="1"/>
    <col min="21" max="21" width="8.85546875" customWidth="1"/>
    <col min="23" max="23" width="17.42578125" customWidth="1"/>
    <col min="24" max="24" width="7.140625" customWidth="1"/>
    <col min="25" max="25" width="8.425781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8.8554687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143</v>
      </c>
      <c r="B1" t="s">
        <v>0</v>
      </c>
      <c r="F1" s="194" t="s">
        <v>1</v>
      </c>
      <c r="G1" s="192">
        <f>IF(D3="SI",COUNTIF($F$6:$F$18,"RAP"),0)</f>
        <v>1</v>
      </c>
      <c r="H1" s="13"/>
      <c r="J1" s="195" t="s">
        <v>1</v>
      </c>
      <c r="K1" s="192">
        <f>IF(D3="SI",COUNTIF($J$6:$J$18,"RAP"),0)</f>
        <v>1</v>
      </c>
      <c r="L1" s="13"/>
      <c r="P1" s="204"/>
      <c r="Q1" s="204"/>
      <c r="R1" s="151"/>
      <c r="S1" s="151"/>
      <c r="U1">
        <v>1.5</v>
      </c>
      <c r="V1">
        <v>2.5</v>
      </c>
      <c r="W1">
        <v>3.5</v>
      </c>
      <c r="AI1" s="156"/>
    </row>
    <row r="2" spans="1:70" x14ac:dyDescent="0.25">
      <c r="A2" s="153" t="s">
        <v>146</v>
      </c>
      <c r="B2" t="s">
        <v>0</v>
      </c>
      <c r="F2" s="194" t="s">
        <v>2</v>
      </c>
      <c r="G2" s="192">
        <f>IF(D3="SI",COUNTIF($F$6:$F$18,"TEC"),0)</f>
        <v>1</v>
      </c>
      <c r="H2" s="13"/>
      <c r="J2" s="195" t="s">
        <v>2</v>
      </c>
      <c r="K2" s="192">
        <f>IF(D3="SI",COUNTIF($J$6:$J$18,"TEC"),0)</f>
        <v>2</v>
      </c>
      <c r="L2" s="13"/>
      <c r="M2" s="158"/>
      <c r="O2" t="s">
        <v>3</v>
      </c>
      <c r="P2" s="201">
        <v>0.45</v>
      </c>
      <c r="R2" s="151"/>
      <c r="S2" s="151"/>
      <c r="Y2" t="s">
        <v>3</v>
      </c>
      <c r="Z2" s="202">
        <v>0.45</v>
      </c>
      <c r="AI2" s="13"/>
    </row>
    <row r="3" spans="1:70" x14ac:dyDescent="0.25">
      <c r="A3" s="157" t="s">
        <v>4</v>
      </c>
      <c r="B3" s="205" t="s">
        <v>5</v>
      </c>
      <c r="C3" s="205"/>
      <c r="D3" t="str">
        <f>IF(B3="Sol","SI",IF(B3="Lluvia","SI","NO"))</f>
        <v>SI</v>
      </c>
      <c r="F3" s="194" t="s">
        <v>6</v>
      </c>
      <c r="G3" s="192">
        <f>IF(D3="SI",COUNTIF($F$6:$F$18,"POT"),0)</f>
        <v>0</v>
      </c>
      <c r="H3" s="13"/>
      <c r="J3" s="195" t="s">
        <v>6</v>
      </c>
      <c r="K3" s="192">
        <f>IF(D3="SI",COUNTIF($J$6:$J$18,"POT"),0)</f>
        <v>0</v>
      </c>
      <c r="L3" s="13"/>
      <c r="O3" t="s">
        <v>7</v>
      </c>
      <c r="P3" s="201">
        <v>0.56999999999999995</v>
      </c>
      <c r="Q3" t="s">
        <v>8</v>
      </c>
      <c r="R3" s="201">
        <v>0.7</v>
      </c>
      <c r="Y3" t="s">
        <v>7</v>
      </c>
      <c r="Z3" s="202">
        <v>0.56999999999999995</v>
      </c>
      <c r="AA3" t="s">
        <v>8</v>
      </c>
      <c r="AB3" s="202">
        <v>0.7</v>
      </c>
      <c r="AI3" s="197">
        <f>SUM(AI5:AI19)</f>
        <v>3.6837</v>
      </c>
      <c r="AM3" s="197">
        <f>SUM(AM5:AM19)</f>
        <v>3.6837000000000009</v>
      </c>
      <c r="AN3" s="197">
        <f>SUM(AN5:AN19)</f>
        <v>3.0750000000000006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18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AG4" s="8" t="s">
        <v>25</v>
      </c>
      <c r="AH4" s="8" t="s">
        <v>26</v>
      </c>
      <c r="AI4" s="153" t="s">
        <v>27</v>
      </c>
      <c r="AK4" s="9" t="s">
        <v>25</v>
      </c>
      <c r="AL4" s="9" t="s">
        <v>26</v>
      </c>
      <c r="AM4" s="13" t="s">
        <v>28</v>
      </c>
      <c r="AO4" t="s">
        <v>29</v>
      </c>
      <c r="BH4">
        <v>0</v>
      </c>
      <c r="BI4">
        <v>1</v>
      </c>
      <c r="BJ4" s="107">
        <f t="shared" ref="BJ4:BJ13" si="0">$H$25*H40</f>
        <v>5.531666219575221E-3</v>
      </c>
      <c r="BL4">
        <v>0</v>
      </c>
      <c r="BM4">
        <v>0</v>
      </c>
      <c r="BN4" s="107">
        <f>H25*H39</f>
        <v>1.0038906950242926E-3</v>
      </c>
      <c r="BP4">
        <v>1</v>
      </c>
      <c r="BQ4">
        <v>0</v>
      </c>
      <c r="BR4" s="107">
        <f>$H$26*H39</f>
        <v>2.6362188010995765E-3</v>
      </c>
    </row>
    <row r="5" spans="1:70" x14ac:dyDescent="0.25">
      <c r="A5" s="40" t="s">
        <v>30</v>
      </c>
      <c r="B5" s="154">
        <v>352</v>
      </c>
      <c r="C5" s="154">
        <v>352</v>
      </c>
      <c r="E5" s="187" t="s">
        <v>31</v>
      </c>
      <c r="F5" s="162" t="s">
        <v>32</v>
      </c>
      <c r="G5" s="162">
        <v>12</v>
      </c>
      <c r="H5" s="10"/>
      <c r="I5" s="10"/>
      <c r="J5" s="161" t="s">
        <v>32</v>
      </c>
      <c r="K5" s="161">
        <v>12</v>
      </c>
      <c r="L5" s="10"/>
      <c r="M5" s="10"/>
      <c r="O5" s="67">
        <f t="shared" ref="O5:O19" si="1">AG5*AI5*AO5*AH5</f>
        <v>9.445845365853657E-2</v>
      </c>
      <c r="P5" s="199">
        <f>P3</f>
        <v>0.56999999999999995</v>
      </c>
      <c r="Q5" s="203">
        <f t="shared" ref="Q5:Q19" si="2">P5*O5</f>
        <v>5.3841318585365838E-2</v>
      </c>
      <c r="R5" s="155">
        <f t="shared" ref="R5:R19" si="3">IF($B$17="JC",IF($C$17="JC",$W$1,$V$1*1.1),IF($C$17="JC",$V$1/0.9,$U$1))*Q5/1.5</f>
        <v>5.3841318585365838E-2</v>
      </c>
      <c r="S5" s="171">
        <f t="shared" ref="S5:S19" si="4">(1-R5)</f>
        <v>0.94615868141463411</v>
      </c>
      <c r="T5" s="172">
        <f>R5*PRODUCT(S6:S19)</f>
        <v>4.5716966134316889E-2</v>
      </c>
      <c r="U5" s="172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7.5999691276662038E-3</v>
      </c>
      <c r="V5" s="18"/>
      <c r="W5" s="181" t="s">
        <v>33</v>
      </c>
      <c r="X5" s="15" t="s">
        <v>34</v>
      </c>
      <c r="Y5" s="69">
        <f t="shared" ref="Y5:Y19" si="5">AK5*AI5*AL5*AO5</f>
        <v>0</v>
      </c>
      <c r="Z5" s="69">
        <f>Z3</f>
        <v>0.56999999999999995</v>
      </c>
      <c r="AA5" s="69">
        <f t="shared" ref="AA5:AA19" si="6">Z5*Y5</f>
        <v>0</v>
      </c>
      <c r="AB5" s="155">
        <f t="shared" ref="AB5:AB19" si="7">IF($B$17="JC",IF($C$17="JC",$W$1,$V$1/0.9),IF($C$17="JC",$V$1*1.1,$U$1))*AA5/1.5</f>
        <v>0</v>
      </c>
      <c r="AC5" s="171">
        <f t="shared" ref="AC5:AC19" si="8">(1-AB5)</f>
        <v>1</v>
      </c>
      <c r="AD5" s="172">
        <f>AB5*PRODUCT(AC6:AC19)</f>
        <v>0</v>
      </c>
      <c r="AE5" s="172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193">
        <f>IF(COUNTIF(F5:F10,"IMP")+COUNTIF(J5:J10,"IMP")=0,0,COUNTIF(F5:F10,"IMP")/(COUNTIF(F5:F10,"IMP")+COUNTIF(J5:J10,"IMP")))</f>
        <v>1</v>
      </c>
      <c r="AH5">
        <f>COUNTIF(F5:F10,"IMP")</f>
        <v>1</v>
      </c>
      <c r="AI5" s="196">
        <f t="shared" ref="AI5:AI19" si="9">AN5*$AM$3/$AN$3</f>
        <v>0.56675072195121945</v>
      </c>
      <c r="AK5" s="193">
        <f>IF(COUNTIF(F5:F10,"IMP")+COUNTIF(J5:J10,"IMP")=0,0,COUNTIF(J5:J10,"IMP")/(COUNTIF(F5:F10,"IMP")+COUNTIF(J5:J10,"IMP")))</f>
        <v>0</v>
      </c>
      <c r="AL5">
        <f>COUNTIF(J5:J10,"IMP")</f>
        <v>0</v>
      </c>
      <c r="AM5" s="197">
        <v>0.47309999999999997</v>
      </c>
      <c r="AN5" s="198">
        <f t="shared" ref="AN5:AN19" si="10">IF(AG5=0,IF(AK5=0,0,AM5),AM5)</f>
        <v>0.47309999999999997</v>
      </c>
      <c r="AO5">
        <f>1/6</f>
        <v>0.16666666666666666</v>
      </c>
      <c r="BH5">
        <v>0</v>
      </c>
      <c r="BI5">
        <v>2</v>
      </c>
      <c r="BJ5" s="107">
        <f t="shared" si="0"/>
        <v>1.3945759632985603E-2</v>
      </c>
      <c r="BL5">
        <v>1</v>
      </c>
      <c r="BM5">
        <v>1</v>
      </c>
      <c r="BN5" s="107">
        <f>$H$26*H40</f>
        <v>1.4526165609193877E-2</v>
      </c>
      <c r="BP5">
        <f>BP4+1</f>
        <v>2</v>
      </c>
      <c r="BQ5">
        <v>0</v>
      </c>
      <c r="BR5" s="107">
        <f>$H$27*H39</f>
        <v>3.1676723012723034E-3</v>
      </c>
    </row>
    <row r="6" spans="1:70" x14ac:dyDescent="0.25">
      <c r="A6" s="2" t="s">
        <v>35</v>
      </c>
      <c r="B6" s="163">
        <v>10.25</v>
      </c>
      <c r="C6" s="164">
        <v>10.75</v>
      </c>
      <c r="E6" s="187" t="s">
        <v>36</v>
      </c>
      <c r="F6" s="162" t="s">
        <v>37</v>
      </c>
      <c r="G6" s="162"/>
      <c r="H6" s="10"/>
      <c r="I6" s="10"/>
      <c r="J6" s="161" t="s">
        <v>32</v>
      </c>
      <c r="K6" s="161"/>
      <c r="L6" s="10"/>
      <c r="M6" s="10"/>
      <c r="O6" s="67">
        <f t="shared" si="1"/>
        <v>0</v>
      </c>
      <c r="P6" s="199">
        <f>P3</f>
        <v>0.56999999999999995</v>
      </c>
      <c r="Q6" s="203">
        <f t="shared" si="2"/>
        <v>0</v>
      </c>
      <c r="R6" s="155">
        <f t="shared" si="3"/>
        <v>0</v>
      </c>
      <c r="S6" s="171">
        <f t="shared" si="4"/>
        <v>1</v>
      </c>
      <c r="T6" s="172">
        <f>R6*S5*PRODUCT(S7:S19)</f>
        <v>0</v>
      </c>
      <c r="U6" s="172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1" t="s">
        <v>38</v>
      </c>
      <c r="X6" s="15" t="s">
        <v>39</v>
      </c>
      <c r="Y6" s="69">
        <f t="shared" si="5"/>
        <v>6.2188642682926842E-2</v>
      </c>
      <c r="Z6" s="69">
        <f>Z3</f>
        <v>0.56999999999999995</v>
      </c>
      <c r="AA6" s="69">
        <f t="shared" si="6"/>
        <v>3.54475263292683E-2</v>
      </c>
      <c r="AB6" s="155">
        <f t="shared" si="7"/>
        <v>3.54475263292683E-2</v>
      </c>
      <c r="AC6" s="171">
        <f t="shared" si="8"/>
        <v>0.96455247367073171</v>
      </c>
      <c r="AD6" s="172">
        <f>AB6*AC5*PRODUCT(AC7:AC19)</f>
        <v>2.3084022230361888E-2</v>
      </c>
      <c r="AE6" s="172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1.0604208096359695E-2</v>
      </c>
      <c r="AF6" s="18"/>
      <c r="AG6" s="193">
        <f>IF(COUNTIF(F11:F18,"IMP")+COUNTIF(J11:J18,"IMP")=0,0,COUNTIF(F11:F18,"IMP")/(COUNTIF(F11:F18,"IMP")+COUNTIF(J11:J18,"IMP")))</f>
        <v>0</v>
      </c>
      <c r="AH6">
        <f>COUNTIF(F11:F18,"IMP")</f>
        <v>0</v>
      </c>
      <c r="AI6" s="196">
        <f t="shared" si="9"/>
        <v>0.49750914146341474</v>
      </c>
      <c r="AK6" s="193">
        <f>IF(COUNTIF(F11:F18,"IMP")+COUNTIF(J11:J18,"IMP")=0,0,COUNTIF(J11:J18,"IMP")/(COUNTIF(F11:F18,"IMP")+COUNTIF(J11:J18,"IMP")))</f>
        <v>1</v>
      </c>
      <c r="AL6">
        <f>COUNTIF(J11:J18,"IMP")</f>
        <v>1</v>
      </c>
      <c r="AM6" s="197">
        <v>0.41530000000000006</v>
      </c>
      <c r="AN6" s="198">
        <f t="shared" si="10"/>
        <v>0.41530000000000006</v>
      </c>
      <c r="AO6">
        <f>1/8</f>
        <v>0.125</v>
      </c>
      <c r="BH6">
        <v>0</v>
      </c>
      <c r="BI6">
        <v>3</v>
      </c>
      <c r="BJ6" s="107">
        <f t="shared" si="0"/>
        <v>2.128515681611811E-2</v>
      </c>
      <c r="BL6">
        <f>BH14+1</f>
        <v>2</v>
      </c>
      <c r="BM6">
        <v>2</v>
      </c>
      <c r="BN6" s="107">
        <f>$H$27*H41</f>
        <v>4.4004388852853064E-2</v>
      </c>
      <c r="BP6">
        <f>BL5+1</f>
        <v>2</v>
      </c>
      <c r="BQ6">
        <v>1</v>
      </c>
      <c r="BR6" s="107">
        <f>$H$27*H40</f>
        <v>1.7454595356328196E-2</v>
      </c>
    </row>
    <row r="7" spans="1:70" x14ac:dyDescent="0.25">
      <c r="A7" s="5" t="s">
        <v>40</v>
      </c>
      <c r="B7" s="163">
        <v>11.75</v>
      </c>
      <c r="C7" s="164">
        <v>14.5</v>
      </c>
      <c r="E7" s="187" t="s">
        <v>41</v>
      </c>
      <c r="F7" s="162"/>
      <c r="G7" s="162"/>
      <c r="H7" s="10"/>
      <c r="I7" s="10"/>
      <c r="J7" s="161"/>
      <c r="K7" s="161"/>
      <c r="L7" s="10"/>
      <c r="M7" s="10"/>
      <c r="O7" s="67">
        <f t="shared" si="1"/>
        <v>4.6720097560975617E-3</v>
      </c>
      <c r="P7" s="199">
        <f>P2</f>
        <v>0.45</v>
      </c>
      <c r="Q7" s="203">
        <f t="shared" si="2"/>
        <v>2.1024043902439027E-3</v>
      </c>
      <c r="R7" s="155">
        <f t="shared" si="3"/>
        <v>2.1024043902439027E-3</v>
      </c>
      <c r="S7" s="171">
        <f t="shared" si="4"/>
        <v>0.99789759560975611</v>
      </c>
      <c r="T7" s="172">
        <f>R7*PRODUCT(S5:S6)*PRODUCT(S8:S19)</f>
        <v>1.6926063735024602E-3</v>
      </c>
      <c r="U7" s="172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2.7781212781311383E-4</v>
      </c>
      <c r="W7" s="182" t="s">
        <v>42</v>
      </c>
      <c r="X7" s="15" t="s">
        <v>43</v>
      </c>
      <c r="Y7" s="69">
        <f t="shared" si="5"/>
        <v>0</v>
      </c>
      <c r="Z7" s="69">
        <f>Z2</f>
        <v>0.45</v>
      </c>
      <c r="AA7" s="69">
        <f t="shared" si="6"/>
        <v>0</v>
      </c>
      <c r="AB7" s="155">
        <f t="shared" si="7"/>
        <v>0</v>
      </c>
      <c r="AC7" s="171">
        <f t="shared" si="8"/>
        <v>1</v>
      </c>
      <c r="AD7" s="172">
        <f>AB7*PRODUCT(AC5:AC6)*PRODUCT(AC8:AC19)</f>
        <v>0</v>
      </c>
      <c r="AE7" s="172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193">
        <f>IF(COUNTIF(F14:F18,"IMP")+COUNTIF(J14:J18,"IMP")=0,0,COUNTIF(J14:J18,"IMP")/(COUNTIF(F14:F18,"IMP")+COUNTIF(J14:J18,"IMP")))</f>
        <v>1</v>
      </c>
      <c r="AH7">
        <f>COUNTIF(J14:J18,"IMP")</f>
        <v>1</v>
      </c>
      <c r="AI7" s="196">
        <f t="shared" si="9"/>
        <v>4.6720097560975617E-3</v>
      </c>
      <c r="AK7" s="193">
        <f>IF(COUNTIF(F14:F18,"IMP")+COUNTIF(J14:J18,"IMP")=0,0,COUNTIF(F14:F18,"IMP")/(COUNTIF(F14:F18,"IMP")+COUNTIF(J14:J18,"IMP")))</f>
        <v>0</v>
      </c>
      <c r="AL7">
        <f>COUNTIF(F14:F18,"IMP")</f>
        <v>0</v>
      </c>
      <c r="AM7" s="197">
        <v>3.9000000000000003E-3</v>
      </c>
      <c r="AN7" s="198">
        <f t="shared" si="10"/>
        <v>3.9000000000000003E-3</v>
      </c>
      <c r="AO7">
        <v>1</v>
      </c>
      <c r="BH7">
        <v>0</v>
      </c>
      <c r="BI7">
        <v>4</v>
      </c>
      <c r="BJ7" s="107">
        <f t="shared" si="0"/>
        <v>2.1930830866349605E-2</v>
      </c>
      <c r="BL7">
        <f>BH23+1</f>
        <v>3</v>
      </c>
      <c r="BM7">
        <v>3</v>
      </c>
      <c r="BN7" s="107">
        <f>$H$28*H42</f>
        <v>4.8874163311368499E-2</v>
      </c>
      <c r="BP7">
        <f>BP5+1</f>
        <v>3</v>
      </c>
      <c r="BQ7">
        <v>0</v>
      </c>
      <c r="BR7" s="107">
        <f>$H$28*H39</f>
        <v>2.3050954333691696E-3</v>
      </c>
    </row>
    <row r="8" spans="1:70" x14ac:dyDescent="0.25">
      <c r="A8" s="5" t="s">
        <v>44</v>
      </c>
      <c r="B8" s="163">
        <v>10.5</v>
      </c>
      <c r="C8" s="164">
        <v>14.25</v>
      </c>
      <c r="E8" s="187" t="s">
        <v>41</v>
      </c>
      <c r="F8" s="162" t="s">
        <v>2</v>
      </c>
      <c r="G8" s="162"/>
      <c r="H8" s="10"/>
      <c r="I8" s="10"/>
      <c r="J8" s="161" t="s">
        <v>32</v>
      </c>
      <c r="K8" s="161"/>
      <c r="L8" s="10"/>
      <c r="M8" s="10"/>
      <c r="O8" s="67">
        <f t="shared" si="1"/>
        <v>2.1194521575984997E-2</v>
      </c>
      <c r="P8" s="199">
        <f>P2</f>
        <v>0.45</v>
      </c>
      <c r="Q8" s="203">
        <f t="shared" si="2"/>
        <v>9.5375347091932496E-3</v>
      </c>
      <c r="R8" s="155">
        <f t="shared" si="3"/>
        <v>9.5375347091932496E-3</v>
      </c>
      <c r="S8" s="171">
        <f t="shared" si="4"/>
        <v>0.99046246529080673</v>
      </c>
      <c r="T8" s="172">
        <f>R8*PRODUCT(S5:S7)*PRODUCT(S9:S19)</f>
        <v>7.736130775536568E-3</v>
      </c>
      <c r="U8" s="172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1.1952582626514575E-3</v>
      </c>
      <c r="W8" s="181" t="s">
        <v>45</v>
      </c>
      <c r="X8" s="15" t="s">
        <v>46</v>
      </c>
      <c r="Y8" s="69">
        <f t="shared" si="5"/>
        <v>2.1194521575984997E-2</v>
      </c>
      <c r="Z8" s="69">
        <f>Z2</f>
        <v>0.45</v>
      </c>
      <c r="AA8" s="69">
        <f t="shared" si="6"/>
        <v>9.5375347091932496E-3</v>
      </c>
      <c r="AB8" s="155">
        <f t="shared" si="7"/>
        <v>9.5375347091932496E-3</v>
      </c>
      <c r="AC8" s="171">
        <f t="shared" si="8"/>
        <v>0.99046246529080673</v>
      </c>
      <c r="AD8" s="172">
        <f>AB8*PRODUCT(AC5:AC7)*PRODUCT(AC9:AC19)</f>
        <v>6.0485255373993749E-3</v>
      </c>
      <c r="AE8" s="172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2.7202940672383419E-3</v>
      </c>
      <c r="AG8" s="193">
        <f>IF(COUNTIF(F6:F18,"IMP")+COUNTIF(J6:J18,"IMP")=0,0,COUNTIF(F6:F18,"IMP")/(COUNTIF(F6:F18,"IMP")+COUNTIF(J6:J18,"IMP")))</f>
        <v>0.5</v>
      </c>
      <c r="AH8">
        <f>COUNTIF(F6:F18,"IMP")</f>
        <v>1</v>
      </c>
      <c r="AI8" s="196">
        <f t="shared" si="9"/>
        <v>0.55105756097560987</v>
      </c>
      <c r="AK8" s="193">
        <f>IF(COUNTIF(F6:F18,"IMP")+COUNTIF(J6:J18,"IMP")=0,0,COUNTIF(J6:J18,"IMP")/(COUNTIF(F6:F18,"IMP")+COUNTIF(J6:J18,"IMP")))</f>
        <v>0.5</v>
      </c>
      <c r="AL8">
        <f>COUNTIF(J6:J18,"IMP")</f>
        <v>1</v>
      </c>
      <c r="AM8" s="197">
        <v>0.46000000000000008</v>
      </c>
      <c r="AN8" s="198">
        <f t="shared" si="10"/>
        <v>0.46000000000000008</v>
      </c>
      <c r="AO8">
        <f>1/13</f>
        <v>7.6923076923076927E-2</v>
      </c>
      <c r="BH8">
        <v>0</v>
      </c>
      <c r="BI8">
        <v>5</v>
      </c>
      <c r="BJ8" s="107">
        <f t="shared" si="0"/>
        <v>1.6101346060694906E-2</v>
      </c>
      <c r="BL8">
        <f>BH31+1</f>
        <v>4</v>
      </c>
      <c r="BM8">
        <v>4</v>
      </c>
      <c r="BN8" s="107">
        <f>$H$29*H43</f>
        <v>2.4753364028197528E-2</v>
      </c>
      <c r="BP8">
        <f>BP6+1</f>
        <v>3</v>
      </c>
      <c r="BQ8">
        <v>1</v>
      </c>
      <c r="BR8" s="107">
        <f>$H$28*H40</f>
        <v>1.2701600487846723E-2</v>
      </c>
    </row>
    <row r="9" spans="1:70" x14ac:dyDescent="0.25">
      <c r="A9" s="5" t="s">
        <v>47</v>
      </c>
      <c r="B9" s="163">
        <v>11.25</v>
      </c>
      <c r="C9" s="164">
        <v>16.5</v>
      </c>
      <c r="E9" s="187" t="s">
        <v>41</v>
      </c>
      <c r="F9" s="162"/>
      <c r="G9" s="162"/>
      <c r="H9" s="10"/>
      <c r="I9" s="10"/>
      <c r="J9" s="161"/>
      <c r="K9" s="161"/>
      <c r="L9" s="10"/>
      <c r="M9" s="10"/>
      <c r="O9" s="67">
        <f t="shared" si="1"/>
        <v>0</v>
      </c>
      <c r="P9" s="199">
        <f>P2</f>
        <v>0.45</v>
      </c>
      <c r="Q9" s="203">
        <f t="shared" si="2"/>
        <v>0</v>
      </c>
      <c r="R9" s="155">
        <f t="shared" si="3"/>
        <v>0</v>
      </c>
      <c r="S9" s="171">
        <f t="shared" si="4"/>
        <v>1</v>
      </c>
      <c r="T9" s="172">
        <f>R9*PRODUCT(S5:S8)*PRODUCT(S10:S19)</f>
        <v>0</v>
      </c>
      <c r="U9" s="172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2" t="s">
        <v>48</v>
      </c>
      <c r="X9" s="15" t="s">
        <v>49</v>
      </c>
      <c r="Y9" s="69">
        <f t="shared" si="5"/>
        <v>1.3776439024390243E-2</v>
      </c>
      <c r="Z9" s="69">
        <f>Z2</f>
        <v>0.45</v>
      </c>
      <c r="AA9" s="69">
        <f t="shared" si="6"/>
        <v>6.1993975609756094E-3</v>
      </c>
      <c r="AB9" s="155">
        <f t="shared" si="7"/>
        <v>6.1993975609756094E-3</v>
      </c>
      <c r="AC9" s="171">
        <f t="shared" si="8"/>
        <v>0.99380060243902435</v>
      </c>
      <c r="AD9" s="172">
        <f>AB9*PRODUCT(AC5:AC8)*PRODUCT(AC10:AC19)</f>
        <v>3.9183357056623049E-3</v>
      </c>
      <c r="AE9" s="172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1.7378090074045259E-3</v>
      </c>
      <c r="AG9" s="193">
        <f>IF(COUNTIF(J6:J13,"IMP")+COUNTIF(F6:F13,"IMP")=0,0,COUNTIF(J6:J13,"IMP")/(COUNTIF(J6:J13,"IMP")+COUNTIF(F6:F13,"IMP")))</f>
        <v>0</v>
      </c>
      <c r="AH9">
        <f>COUNTIF(J6:J13,"IMP")</f>
        <v>0</v>
      </c>
      <c r="AI9" s="196">
        <f t="shared" si="9"/>
        <v>1.3776439024390243E-2</v>
      </c>
      <c r="AK9" s="193">
        <f>IF(COUNTIF(J6:J13,"IMP")+COUNTIF(F6:F13,"IMP")=0,0,COUNTIF(F6:F13,"IMP")/(COUNTIF(J6:J13,"IMP")+COUNTIF(F6:F13,"IMP")))</f>
        <v>1</v>
      </c>
      <c r="AL9">
        <f>COUNTIF(F6:F13,"IMP")</f>
        <v>1</v>
      </c>
      <c r="AM9" s="197">
        <v>1.15E-2</v>
      </c>
      <c r="AN9" s="198">
        <f t="shared" si="10"/>
        <v>1.15E-2</v>
      </c>
      <c r="AO9">
        <v>1</v>
      </c>
      <c r="BH9">
        <v>0</v>
      </c>
      <c r="BI9">
        <v>6</v>
      </c>
      <c r="BJ9" s="107">
        <f t="shared" si="0"/>
        <v>8.6658899859473545E-3</v>
      </c>
      <c r="BL9">
        <f>BH38+1</f>
        <v>5</v>
      </c>
      <c r="BM9">
        <v>5</v>
      </c>
      <c r="BN9" s="107">
        <f>$H$30*H44</f>
        <v>6.3730039898282059E-3</v>
      </c>
      <c r="BP9">
        <f>BL6+1</f>
        <v>3</v>
      </c>
      <c r="BQ9">
        <v>2</v>
      </c>
      <c r="BR9" s="107">
        <f>$H$28*H41</f>
        <v>3.2021720097805399E-2</v>
      </c>
    </row>
    <row r="10" spans="1:70" x14ac:dyDescent="0.25">
      <c r="A10" s="6" t="s">
        <v>50</v>
      </c>
      <c r="B10" s="163">
        <v>11.5</v>
      </c>
      <c r="C10" s="164">
        <v>16.25</v>
      </c>
      <c r="E10" s="187" t="s">
        <v>36</v>
      </c>
      <c r="F10" s="162" t="s">
        <v>32</v>
      </c>
      <c r="G10" s="162"/>
      <c r="H10" s="10"/>
      <c r="I10" s="10"/>
      <c r="J10" s="161" t="s">
        <v>144</v>
      </c>
      <c r="K10" s="161"/>
      <c r="L10" s="10"/>
      <c r="M10" s="10"/>
      <c r="O10" s="67">
        <f t="shared" si="1"/>
        <v>3.7435975609756096E-2</v>
      </c>
      <c r="P10" s="199">
        <f>P3</f>
        <v>0.56999999999999995</v>
      </c>
      <c r="Q10" s="203">
        <f t="shared" si="2"/>
        <v>2.1338506097560973E-2</v>
      </c>
      <c r="R10" s="155">
        <f t="shared" si="3"/>
        <v>2.1338506097560977E-2</v>
      </c>
      <c r="S10" s="171">
        <f t="shared" si="4"/>
        <v>0.97866149390243906</v>
      </c>
      <c r="T10" s="172">
        <f>R10*PRODUCT(S5:S9)*PRODUCT(S11:S19)</f>
        <v>1.7516898100499018E-2</v>
      </c>
      <c r="U10" s="172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2.3244854139135621E-3</v>
      </c>
      <c r="W10" s="181" t="s">
        <v>51</v>
      </c>
      <c r="X10" s="15" t="s">
        <v>52</v>
      </c>
      <c r="Y10" s="69">
        <f t="shared" si="5"/>
        <v>3.7435975609756096E-2</v>
      </c>
      <c r="Z10" s="69">
        <f>Z3</f>
        <v>0.56999999999999995</v>
      </c>
      <c r="AA10" s="69">
        <f t="shared" si="6"/>
        <v>2.1338506097560973E-2</v>
      </c>
      <c r="AB10" s="155">
        <f t="shared" si="7"/>
        <v>2.1338506097560977E-2</v>
      </c>
      <c r="AC10" s="171">
        <f t="shared" si="8"/>
        <v>0.97866149390243906</v>
      </c>
      <c r="AD10" s="172">
        <f>AB10*PRODUCT(AC5:AC9)*PRODUCT(AC11:AC19)</f>
        <v>1.3695658536685255E-2</v>
      </c>
      <c r="AE10" s="172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5.7755024272257219E-3</v>
      </c>
      <c r="AG10" s="193">
        <f>IF(COUNTIF(F11:F18,"RAP")+COUNTIF(J11:J18,"RAP")=0,0,COUNTIF(F11:F18,"RAP")/(COUNTIF(F11:F18,"RAP")+COUNTIF(J11:J18,"RAP")))</f>
        <v>0.5</v>
      </c>
      <c r="AH10">
        <f>COUNTIF(F11:F18,"RAP")</f>
        <v>1</v>
      </c>
      <c r="AI10" s="196">
        <f t="shared" si="9"/>
        <v>0.59897560975609754</v>
      </c>
      <c r="AK10" s="193">
        <f>IF(COUNTIF(F11:F18,"RAP")+COUNTIF(J11:J18,"RAP")=0,0,COUNTIF(J11:J18,"RAP")/(COUNTIF(F11:F18,"RAP")+COUNTIF(J11:J18,"RAP")))</f>
        <v>0.5</v>
      </c>
      <c r="AL10">
        <f>COUNTIF(J11:J18,"RAP")</f>
        <v>1</v>
      </c>
      <c r="AM10" s="197">
        <v>0.5</v>
      </c>
      <c r="AN10" s="198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3.4641121528331659E-3</v>
      </c>
      <c r="BL10">
        <f>BH44+1</f>
        <v>6</v>
      </c>
      <c r="BM10">
        <v>6</v>
      </c>
      <c r="BN10" s="107">
        <f>$H$31*H45</f>
        <v>8.8338087055978443E-4</v>
      </c>
      <c r="BP10">
        <f>BP7+1</f>
        <v>4</v>
      </c>
      <c r="BQ10">
        <v>0</v>
      </c>
      <c r="BR10" s="107">
        <f>$H$29*H39</f>
        <v>1.1330930401084608E-3</v>
      </c>
    </row>
    <row r="11" spans="1:70" x14ac:dyDescent="0.25">
      <c r="A11" s="6" t="s">
        <v>53</v>
      </c>
      <c r="B11" s="163">
        <v>17.5</v>
      </c>
      <c r="C11" s="164">
        <v>10.5</v>
      </c>
      <c r="E11" s="187" t="s">
        <v>54</v>
      </c>
      <c r="F11" s="162" t="s">
        <v>32</v>
      </c>
      <c r="G11" s="162"/>
      <c r="H11" s="10"/>
      <c r="I11" s="10"/>
      <c r="J11" s="161" t="s">
        <v>144</v>
      </c>
      <c r="K11" s="161"/>
      <c r="L11" s="10"/>
      <c r="M11" s="10"/>
      <c r="O11" s="67">
        <f t="shared" si="1"/>
        <v>3.7435975609756096E-2</v>
      </c>
      <c r="P11" s="199">
        <f>P3</f>
        <v>0.56999999999999995</v>
      </c>
      <c r="Q11" s="203">
        <f t="shared" si="2"/>
        <v>2.1338506097560973E-2</v>
      </c>
      <c r="R11" s="155">
        <f t="shared" si="3"/>
        <v>2.1338506097560977E-2</v>
      </c>
      <c r="S11" s="171">
        <f t="shared" si="4"/>
        <v>0.97866149390243906</v>
      </c>
      <c r="T11" s="172">
        <f>R11*PRODUCT(S5:S10)*PRODUCT(S12:S19)</f>
        <v>1.7516898100499015E-2</v>
      </c>
      <c r="U11" s="172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1.9425510686300082E-3</v>
      </c>
      <c r="W11" s="181" t="s">
        <v>55</v>
      </c>
      <c r="X11" s="15" t="s">
        <v>56</v>
      </c>
      <c r="Y11" s="69">
        <f t="shared" si="5"/>
        <v>3.7435975609756096E-2</v>
      </c>
      <c r="Z11" s="69">
        <f>Z3</f>
        <v>0.56999999999999995</v>
      </c>
      <c r="AA11" s="69">
        <f t="shared" si="6"/>
        <v>2.1338506097560973E-2</v>
      </c>
      <c r="AB11" s="155">
        <f t="shared" si="7"/>
        <v>2.1338506097560977E-2</v>
      </c>
      <c r="AC11" s="171">
        <f t="shared" si="8"/>
        <v>0.97866149390243906</v>
      </c>
      <c r="AD11" s="172">
        <f>AB11*PRODUCT(AC5:AC10)*PRODUCT(AC12:AC19)</f>
        <v>1.3695658536685251E-2</v>
      </c>
      <c r="AE11" s="172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5.4768854947970878E-3</v>
      </c>
      <c r="AG11" s="193">
        <f>IF(COUNTIF(F11:F18,"RAP")+COUNTIF(J11:J18,"RAP")=0,0,COUNTIF(F11:F18,"RAP")/(COUNTIF(F11:F18,"RAP")+COUNTIF(J11:J18,"RAP")))</f>
        <v>0.5</v>
      </c>
      <c r="AH11">
        <f>COUNTIF(F11:F18,"RAP")</f>
        <v>1</v>
      </c>
      <c r="AI11" s="196">
        <f t="shared" si="9"/>
        <v>0.59897560975609754</v>
      </c>
      <c r="AK11" s="193">
        <f>IF(COUNTIF(F11:F18,"RAP")+COUNTIF(J11:J18,"RAP")=0,0,COUNTIF(J11:J18,"RAP")/(COUNTIF(F11:F18,"RAP")+COUNTIF(J11:J18,"RAP")))</f>
        <v>0.5</v>
      </c>
      <c r="AL11">
        <f>COUNTIF(J11:J18,"RAP")</f>
        <v>1</v>
      </c>
      <c r="AM11" s="197">
        <v>0.5</v>
      </c>
      <c r="AN11" s="198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1.0304786422478747E-3</v>
      </c>
      <c r="BL11">
        <f>BH50+1</f>
        <v>7</v>
      </c>
      <c r="BM11">
        <v>7</v>
      </c>
      <c r="BN11" s="107">
        <f>$H$32*H46</f>
        <v>6.7739630499014566E-5</v>
      </c>
      <c r="BP11">
        <f>BP8+1</f>
        <v>4</v>
      </c>
      <c r="BQ11">
        <v>1</v>
      </c>
      <c r="BR11" s="107">
        <f>$H$29*H40</f>
        <v>6.2436005480179194E-3</v>
      </c>
    </row>
    <row r="12" spans="1:70" x14ac:dyDescent="0.25">
      <c r="A12" s="6" t="s">
        <v>57</v>
      </c>
      <c r="B12" s="163">
        <v>12</v>
      </c>
      <c r="C12" s="164">
        <v>17.5</v>
      </c>
      <c r="E12" s="187" t="s">
        <v>54</v>
      </c>
      <c r="F12" s="162"/>
      <c r="G12" s="162"/>
      <c r="H12" s="10"/>
      <c r="I12" s="10"/>
      <c r="J12" s="161" t="s">
        <v>32</v>
      </c>
      <c r="K12" s="161"/>
      <c r="L12" s="10"/>
      <c r="M12" s="10"/>
      <c r="O12" s="67">
        <f t="shared" si="1"/>
        <v>3.4441097560975603E-3</v>
      </c>
      <c r="P12" s="199">
        <f>P2</f>
        <v>0.45</v>
      </c>
      <c r="Q12" s="203">
        <f t="shared" si="2"/>
        <v>1.5498493902439021E-3</v>
      </c>
      <c r="R12" s="155">
        <f t="shared" si="3"/>
        <v>1.5498493902439021E-3</v>
      </c>
      <c r="S12" s="171">
        <f t="shared" si="4"/>
        <v>0.99845015060975606</v>
      </c>
      <c r="T12" s="172">
        <f>R12*PRODUCT(S5:S11)*PRODUCT(S13:S19)</f>
        <v>1.2470641751107696E-3</v>
      </c>
      <c r="U12" s="172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1.3635846314082441E-4</v>
      </c>
      <c r="W12" s="182" t="s">
        <v>58</v>
      </c>
      <c r="X12" s="15" t="s">
        <v>59</v>
      </c>
      <c r="Y12" s="69">
        <f t="shared" si="5"/>
        <v>3.4441097560975607E-3</v>
      </c>
      <c r="Z12" s="69">
        <f>Z2</f>
        <v>0.45</v>
      </c>
      <c r="AA12" s="69">
        <f t="shared" si="6"/>
        <v>1.5498493902439024E-3</v>
      </c>
      <c r="AB12" s="155">
        <f t="shared" si="7"/>
        <v>1.5498493902439024E-3</v>
      </c>
      <c r="AC12" s="171">
        <f t="shared" si="8"/>
        <v>0.99845015060975606</v>
      </c>
      <c r="AD12" s="172">
        <f>AB12*PRODUCT(AC5:AC11)*PRODUCT(AC13:AC19)</f>
        <v>9.7502223382595413E-4</v>
      </c>
      <c r="AE12" s="172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3.8839731328109639E-4</v>
      </c>
      <c r="AG12" s="193">
        <f>IF(COUNTA(F6:F10)+COUNTA(J6:J10)=0,0,COUNTA(F6:F10)/(COUNTA(F6:F10)+COUNTA(J6:J10)))</f>
        <v>0.5</v>
      </c>
      <c r="AH12">
        <f>COUNTA(J6:J10)</f>
        <v>3</v>
      </c>
      <c r="AI12" s="196">
        <f t="shared" si="9"/>
        <v>1.3776439024390243E-2</v>
      </c>
      <c r="AK12" s="193">
        <f>IF(COUNTA(J6:J10)+COUNTA(F6:F10)=0,0,COUNTA(J6:J10)/(COUNTA(J6:J10)+COUNTA(F6:F10)))</f>
        <v>0.5</v>
      </c>
      <c r="AL12">
        <f>COUNTA(F6:F10)</f>
        <v>3</v>
      </c>
      <c r="AM12" s="197">
        <v>1.15E-2</v>
      </c>
      <c r="AN12" s="198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2.2621542433281025E-4</v>
      </c>
      <c r="BL12">
        <f>BH54+1</f>
        <v>8</v>
      </c>
      <c r="BM12">
        <v>8</v>
      </c>
      <c r="BN12" s="107">
        <f>$H$33*H47</f>
        <v>2.8884477779208944E-6</v>
      </c>
      <c r="BP12">
        <f>BP9+1</f>
        <v>4</v>
      </c>
      <c r="BQ12">
        <v>2</v>
      </c>
      <c r="BR12" s="107">
        <f>$H$29*H41</f>
        <v>1.5740601300004209E-2</v>
      </c>
    </row>
    <row r="13" spans="1:70" x14ac:dyDescent="0.25">
      <c r="A13" s="7" t="s">
        <v>60</v>
      </c>
      <c r="B13" s="163">
        <v>6.5</v>
      </c>
      <c r="C13" s="164">
        <v>12.5</v>
      </c>
      <c r="E13" s="187" t="s">
        <v>54</v>
      </c>
      <c r="F13" s="162" t="s">
        <v>32</v>
      </c>
      <c r="G13" s="162"/>
      <c r="H13" s="10"/>
      <c r="I13" s="10"/>
      <c r="J13" s="161" t="s">
        <v>2</v>
      </c>
      <c r="K13" s="161"/>
      <c r="L13" s="10"/>
      <c r="M13" s="10"/>
      <c r="O13" s="67">
        <f t="shared" si="1"/>
        <v>8.6128414285714272E-2</v>
      </c>
      <c r="P13" s="199">
        <f>P3</f>
        <v>0.56999999999999995</v>
      </c>
      <c r="Q13" s="203">
        <f t="shared" si="2"/>
        <v>4.9093196142857128E-2</v>
      </c>
      <c r="R13" s="155">
        <f t="shared" si="3"/>
        <v>4.9093196142857128E-2</v>
      </c>
      <c r="S13" s="171">
        <f t="shared" si="4"/>
        <v>0.95090680385714288</v>
      </c>
      <c r="T13" s="172">
        <f>R13*PRODUCT(S5:S12)*PRODUCT(S14:S19)</f>
        <v>4.147716321323084E-2</v>
      </c>
      <c r="U13" s="172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2.3938881999542804E-3</v>
      </c>
      <c r="W13" s="181" t="s">
        <v>61</v>
      </c>
      <c r="X13" s="15" t="s">
        <v>62</v>
      </c>
      <c r="Y13" s="69">
        <f t="shared" si="5"/>
        <v>9.0329800348432035E-2</v>
      </c>
      <c r="Z13" s="69">
        <f>Z3</f>
        <v>0.56999999999999995</v>
      </c>
      <c r="AA13" s="69">
        <f t="shared" si="6"/>
        <v>5.1487986198606256E-2</v>
      </c>
      <c r="AB13" s="155">
        <f t="shared" si="7"/>
        <v>5.1487986198606256E-2</v>
      </c>
      <c r="AC13" s="171">
        <f t="shared" si="8"/>
        <v>0.94851201380139372</v>
      </c>
      <c r="AD13" s="172">
        <f>AB13*PRODUCT(AC5:AC12)*PRODUCT(AC14:AC19)</f>
        <v>3.4096867290166782E-2</v>
      </c>
      <c r="AE13" s="172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1.1731512433335773E-2</v>
      </c>
      <c r="AG13" s="193">
        <f>B22</f>
        <v>0.48809523809523808</v>
      </c>
      <c r="AH13">
        <v>1</v>
      </c>
      <c r="AI13" s="196">
        <f t="shared" si="9"/>
        <v>0.17645821463414632</v>
      </c>
      <c r="AK13" s="193">
        <f>C22</f>
        <v>0.51190476190476186</v>
      </c>
      <c r="AL13">
        <v>1</v>
      </c>
      <c r="AM13" s="197">
        <v>0.14729999999999999</v>
      </c>
      <c r="AN13" s="198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3.5882268141711241E-5</v>
      </c>
      <c r="BL13">
        <f>BH57+1</f>
        <v>9</v>
      </c>
      <c r="BM13">
        <v>9</v>
      </c>
      <c r="BN13" s="107">
        <f>$H$34*H48</f>
        <v>6.7448318228094827E-8</v>
      </c>
      <c r="BP13">
        <f>BL7+1</f>
        <v>4</v>
      </c>
      <c r="BQ13">
        <v>3</v>
      </c>
      <c r="BR13" s="107">
        <f>$H$29*H42</f>
        <v>2.4024590690500398E-2</v>
      </c>
    </row>
    <row r="14" spans="1:70" x14ac:dyDescent="0.25">
      <c r="A14" s="7" t="s">
        <v>63</v>
      </c>
      <c r="B14" s="163">
        <v>5.5</v>
      </c>
      <c r="C14" s="164">
        <v>10.75</v>
      </c>
      <c r="E14" s="187" t="s">
        <v>64</v>
      </c>
      <c r="F14" s="162" t="s">
        <v>32</v>
      </c>
      <c r="G14" s="162"/>
      <c r="H14" s="10"/>
      <c r="I14" s="10"/>
      <c r="J14" s="161" t="s">
        <v>37</v>
      </c>
      <c r="K14" s="161"/>
      <c r="L14" s="10"/>
      <c r="M14" s="10"/>
      <c r="O14" s="67">
        <f t="shared" si="1"/>
        <v>0</v>
      </c>
      <c r="P14" s="199">
        <f>IF(COUNTIF(F6:F18,"CAB")-COUNTIF(J6:J18,"CAB")&gt;2,0.8,IF(COUNTIF(F6:F18,"CAB")-COUNTIF(J6:J18,"CAB")&gt;0,0.6,IF(COUNTIF(F6:F18,"CAB")-COUNTIF(J6:J18,"CAB")=0,0.5,0.15)))</f>
        <v>0.15</v>
      </c>
      <c r="Q14" s="203">
        <f t="shared" si="2"/>
        <v>0</v>
      </c>
      <c r="R14" s="155">
        <f t="shared" si="3"/>
        <v>0</v>
      </c>
      <c r="S14" s="171">
        <f t="shared" si="4"/>
        <v>1</v>
      </c>
      <c r="T14" s="172">
        <f>R14*PRODUCT(S5:S13)*PRODUCT(S15:S19)</f>
        <v>0</v>
      </c>
      <c r="U14" s="172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1" t="s">
        <v>65</v>
      </c>
      <c r="X14" s="15" t="s">
        <v>66</v>
      </c>
      <c r="Y14" s="69">
        <f t="shared" si="5"/>
        <v>0.25073119024390245</v>
      </c>
      <c r="Z14" s="200">
        <f>IF(COUNTIF(J6:J18,"CAB")-COUNTIF(F6:F18,"CAB")&gt;2,0.8,IF(COUNTIF(J6:J18,"CAB")-COUNTIF(F6:F18,"CAB")&gt;0,0.6,IF(COUNTIF(J6:J18,"CAB")-COUNTIF(F6:F18,"CAB")=0,0.5,0.15)))</f>
        <v>0.8</v>
      </c>
      <c r="AA14" s="69">
        <f t="shared" si="6"/>
        <v>0.20058495219512196</v>
      </c>
      <c r="AB14" s="155">
        <f t="shared" si="7"/>
        <v>0.20058495219512196</v>
      </c>
      <c r="AC14" s="171">
        <f t="shared" si="8"/>
        <v>0.79941504780487804</v>
      </c>
      <c r="AD14" s="172">
        <f>AB14*PRODUCT(AC5:AC13)*PRODUCT(AC15:AC19)</f>
        <v>0.15760770300188509</v>
      </c>
      <c r="AE14" s="172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1.4681090502451848E-2</v>
      </c>
      <c r="AG14" s="193">
        <f>IF(AL14=0,1,B22)</f>
        <v>0.48809523809523808</v>
      </c>
      <c r="AH14">
        <f>IF(COUNTIF(F6:F18,"CAB")&gt;0,1,0)</f>
        <v>0</v>
      </c>
      <c r="AI14" s="196">
        <f t="shared" si="9"/>
        <v>0.25073119024390245</v>
      </c>
      <c r="AK14" s="193">
        <f>IF(AH14=0,1,C22)</f>
        <v>1</v>
      </c>
      <c r="AL14">
        <f>IF(COUNTIF(J6:J18,"CAB")&gt;0,1,0)</f>
        <v>1</v>
      </c>
      <c r="AM14" s="197">
        <v>0.20929999999999999</v>
      </c>
      <c r="AN14" s="198">
        <f t="shared" si="10"/>
        <v>0.20929999999999999</v>
      </c>
      <c r="AO14">
        <v>1</v>
      </c>
      <c r="BH14">
        <v>1</v>
      </c>
      <c r="BI14">
        <v>2</v>
      </c>
      <c r="BJ14" s="107">
        <f t="shared" ref="BJ14:BJ22" si="11">$H$26*H41</f>
        <v>3.6621590300926682E-2</v>
      </c>
      <c r="BL14">
        <f>BP39+1</f>
        <v>10</v>
      </c>
      <c r="BM14">
        <v>10</v>
      </c>
      <c r="BN14" s="107">
        <f>$H$35*H49</f>
        <v>8.2781667358591977E-10</v>
      </c>
      <c r="BP14">
        <f>BP10+1</f>
        <v>5</v>
      </c>
      <c r="BQ14">
        <v>0</v>
      </c>
      <c r="BR14" s="107">
        <f>$H$30*H39</f>
        <v>3.9734562443564486E-4</v>
      </c>
    </row>
    <row r="15" spans="1:70" x14ac:dyDescent="0.25">
      <c r="A15" s="184" t="s">
        <v>67</v>
      </c>
      <c r="B15" s="165">
        <v>3</v>
      </c>
      <c r="C15" s="166">
        <v>8.25</v>
      </c>
      <c r="E15" s="187" t="s">
        <v>64</v>
      </c>
      <c r="F15" s="162" t="s">
        <v>32</v>
      </c>
      <c r="G15" s="162"/>
      <c r="H15" s="10"/>
      <c r="I15" s="10"/>
      <c r="J15" s="161" t="s">
        <v>144</v>
      </c>
      <c r="K15" s="161"/>
      <c r="L15" s="10"/>
      <c r="M15" s="10"/>
      <c r="O15" s="67">
        <f t="shared" si="1"/>
        <v>2.2803857142857147E-2</v>
      </c>
      <c r="P15" s="199">
        <f>R3</f>
        <v>0.7</v>
      </c>
      <c r="Q15" s="203">
        <f t="shared" si="2"/>
        <v>1.5962700000000003E-2</v>
      </c>
      <c r="R15" s="155">
        <f t="shared" si="3"/>
        <v>1.5962700000000003E-2</v>
      </c>
      <c r="S15" s="171">
        <f t="shared" si="4"/>
        <v>0.9840373</v>
      </c>
      <c r="T15" s="172">
        <f>R15*PRODUCT(S5:S14)*PRODUCT(S16:S19)</f>
        <v>1.3032282461113499E-2</v>
      </c>
      <c r="U15" s="172">
        <f>R15*R16*PRODUCT(S5:S14)*PRODUCT(S17:S19)+R15*R17*PRODUCT(S5:S14)*S16*PRODUCT(S18:S19)+R15*R18*PRODUCT(S5:S14)*S16*S17*S19+R15*R19*PRODUCT(S5:S14)*S16*S17*S18</f>
        <v>5.4076376880364812E-4</v>
      </c>
      <c r="W15" s="181" t="s">
        <v>68</v>
      </c>
      <c r="X15" s="15" t="s">
        <v>69</v>
      </c>
      <c r="Y15" s="69">
        <f t="shared" si="5"/>
        <v>2.3916240418118469E-2</v>
      </c>
      <c r="Z15" s="69">
        <f>AB3</f>
        <v>0.7</v>
      </c>
      <c r="AA15" s="69">
        <f t="shared" si="6"/>
        <v>1.6741368292682926E-2</v>
      </c>
      <c r="AB15" s="155">
        <f t="shared" si="7"/>
        <v>1.6741368292682926E-2</v>
      </c>
      <c r="AC15" s="171">
        <f t="shared" si="8"/>
        <v>0.98325863170731709</v>
      </c>
      <c r="AD15" s="172">
        <f>AB15*PRODUCT(AC5:AC14)*PRODUCT(AC16:AC19)</f>
        <v>1.0694847399087361E-2</v>
      </c>
      <c r="AE15" s="172">
        <f>AB15*AB16*PRODUCT(AC5:AC14)*PRODUCT(AC17:AC19)+AB15*AB17*PRODUCT(AC5:AC14)*AC16*PRODUCT(AC18:AC19)+AB15*AB18*PRODUCT(AC5:AC14)*AC16*AC17*AC19+AB15*AB19*PRODUCT(AC5:AC14)*AC16*AC17*AC18</f>
        <v>8.1412558972165309E-4</v>
      </c>
      <c r="AG15" s="193">
        <f>IF(AL15=0,1,B22)</f>
        <v>0.48809523809523808</v>
      </c>
      <c r="AH15">
        <v>1</v>
      </c>
      <c r="AI15" s="196">
        <f t="shared" si="9"/>
        <v>4.6720097560975615E-2</v>
      </c>
      <c r="AK15" s="193">
        <f>IF(AH15=0,1,C22)</f>
        <v>0.51190476190476186</v>
      </c>
      <c r="AL15">
        <v>1</v>
      </c>
      <c r="AM15" s="197">
        <v>3.9000000000000007E-2</v>
      </c>
      <c r="AN15" s="198">
        <f t="shared" si="10"/>
        <v>3.9000000000000007E-2</v>
      </c>
      <c r="AO15">
        <v>1</v>
      </c>
      <c r="BH15">
        <v>1</v>
      </c>
      <c r="BI15">
        <v>3</v>
      </c>
      <c r="BJ15" s="107">
        <f t="shared" si="11"/>
        <v>5.5894860726491274E-2</v>
      </c>
      <c r="BP15">
        <f>BP11+1</f>
        <v>5</v>
      </c>
      <c r="BQ15">
        <v>1</v>
      </c>
      <c r="BR15" s="107">
        <f>$H$30*H40</f>
        <v>2.1894648282734519E-3</v>
      </c>
    </row>
    <row r="16" spans="1:70" x14ac:dyDescent="0.25">
      <c r="A16" s="184" t="s">
        <v>70</v>
      </c>
      <c r="B16" s="52">
        <f>AVERAGE(G5:G18)</f>
        <v>12</v>
      </c>
      <c r="C16" s="54">
        <f>AVERAGE(K5:K18)</f>
        <v>12</v>
      </c>
      <c r="E16" s="187" t="s">
        <v>71</v>
      </c>
      <c r="F16" s="162" t="s">
        <v>1</v>
      </c>
      <c r="G16" s="162"/>
      <c r="H16" s="10"/>
      <c r="I16" s="10"/>
      <c r="J16" s="161" t="s">
        <v>2</v>
      </c>
      <c r="K16" s="161"/>
      <c r="L16" s="10"/>
      <c r="M16" s="10"/>
      <c r="O16" s="67">
        <f t="shared" si="1"/>
        <v>1.9132992334494774E-2</v>
      </c>
      <c r="P16" s="199">
        <v>0.15</v>
      </c>
      <c r="Q16" s="203">
        <f t="shared" si="2"/>
        <v>2.869948850174216E-3</v>
      </c>
      <c r="R16" s="155">
        <f t="shared" si="3"/>
        <v>2.869948850174216E-3</v>
      </c>
      <c r="S16" s="171">
        <f t="shared" si="4"/>
        <v>0.99713005114982578</v>
      </c>
      <c r="T16" s="172">
        <f>R16*PRODUCT(S5:S15)*PRODUCT(S17:S19)</f>
        <v>2.3123205817494196E-3</v>
      </c>
      <c r="U16" s="172">
        <f>R16*R17*PRODUCT(S5:S15)*PRODUCT(S18:S19)+R16*R18*PRODUCT(S5:S15)*S17*S19+R16*R19*PRODUCT(S5:S15)*S17*S18</f>
        <v>8.9292485440271976E-5</v>
      </c>
      <c r="W16" s="182" t="s">
        <v>72</v>
      </c>
      <c r="X16" s="15" t="s">
        <v>73</v>
      </c>
      <c r="Y16" s="69">
        <f t="shared" si="5"/>
        <v>1.8243085714285717E-2</v>
      </c>
      <c r="Z16" s="69">
        <v>0.15</v>
      </c>
      <c r="AA16" s="69">
        <f t="shared" si="6"/>
        <v>2.7364628571428574E-3</v>
      </c>
      <c r="AB16" s="155">
        <f t="shared" si="7"/>
        <v>2.7364628571428574E-3</v>
      </c>
      <c r="AC16" s="171">
        <f t="shared" si="8"/>
        <v>0.99726353714285709</v>
      </c>
      <c r="AD16" s="172">
        <f>AB16*PRODUCT(AC5:AC15)*PRODUCT(AC17:AC19)</f>
        <v>1.723578335942546E-3</v>
      </c>
      <c r="AE16" s="172">
        <f>AB16*AB17*PRODUCT(AC5:AC15)*PRODUCT(AC18:AC19)+AB16*AB18*PRODUCT(AC5:AC15)*AC17*AC19+AB16*AB19*PRODUCT(AC5:AC15)*AC17*AC18</f>
        <v>1.264747809866103E-4</v>
      </c>
      <c r="AG16" s="193">
        <f>C22</f>
        <v>0.51190476190476186</v>
      </c>
      <c r="AH16">
        <v>1</v>
      </c>
      <c r="AI16" s="196">
        <f t="shared" si="9"/>
        <v>3.7376078048780494E-2</v>
      </c>
      <c r="AK16" s="193">
        <f>B22</f>
        <v>0.48809523809523808</v>
      </c>
      <c r="AL16">
        <v>1</v>
      </c>
      <c r="AM16" s="197">
        <v>3.1200000000000002E-2</v>
      </c>
      <c r="AN16" s="198">
        <f t="shared" si="10"/>
        <v>3.1200000000000002E-2</v>
      </c>
      <c r="AO16">
        <v>1</v>
      </c>
      <c r="BH16">
        <v>1</v>
      </c>
      <c r="BI16">
        <v>4</v>
      </c>
      <c r="BJ16" s="107">
        <f t="shared" si="11"/>
        <v>5.7590401963240348E-2</v>
      </c>
      <c r="BP16">
        <f>BP12+1</f>
        <v>5</v>
      </c>
      <c r="BQ16">
        <v>2</v>
      </c>
      <c r="BR16" s="107">
        <f>$H$30*H41</f>
        <v>5.5198106696904715E-3</v>
      </c>
    </row>
    <row r="17" spans="1:70" x14ac:dyDescent="0.25">
      <c r="A17" s="183" t="s">
        <v>74</v>
      </c>
      <c r="B17" s="167" t="s">
        <v>75</v>
      </c>
      <c r="C17" s="168" t="s">
        <v>75</v>
      </c>
      <c r="E17" s="187" t="s">
        <v>71</v>
      </c>
      <c r="F17" s="162" t="s">
        <v>32</v>
      </c>
      <c r="G17" s="162"/>
      <c r="H17" s="10"/>
      <c r="I17" s="10"/>
      <c r="J17" s="161"/>
      <c r="K17" s="161"/>
      <c r="L17" s="10"/>
      <c r="M17" s="10"/>
      <c r="O17" s="67">
        <f t="shared" si="1"/>
        <v>6.5228443902439023E-2</v>
      </c>
      <c r="P17" s="199">
        <f>P3</f>
        <v>0.56999999999999995</v>
      </c>
      <c r="Q17" s="203">
        <f t="shared" si="2"/>
        <v>3.7180213024390243E-2</v>
      </c>
      <c r="R17" s="155">
        <f t="shared" si="3"/>
        <v>3.7180213024390243E-2</v>
      </c>
      <c r="S17" s="171">
        <f t="shared" si="4"/>
        <v>0.96281978697560977</v>
      </c>
      <c r="T17" s="172">
        <f>R17*PRODUCT(S5:S16)*PRODUCT(S18:S19)</f>
        <v>3.1023626281335526E-2</v>
      </c>
      <c r="U17" s="172">
        <f>R17*R18*PRODUCT(S5:S16)*S19+R17*R19*PRODUCT(S5:S16)*S18</f>
        <v>0</v>
      </c>
      <c r="W17" s="181" t="s">
        <v>76</v>
      </c>
      <c r="X17" s="15" t="s">
        <v>77</v>
      </c>
      <c r="Y17" s="69">
        <f t="shared" si="5"/>
        <v>6.5228443902439023E-2</v>
      </c>
      <c r="Z17" s="69">
        <f>Z3</f>
        <v>0.56999999999999995</v>
      </c>
      <c r="AA17" s="69">
        <f t="shared" si="6"/>
        <v>3.7180213024390243E-2</v>
      </c>
      <c r="AB17" s="155">
        <f t="shared" si="7"/>
        <v>3.7180213024390243E-2</v>
      </c>
      <c r="AC17" s="171">
        <f t="shared" si="8"/>
        <v>0.96281978697560977</v>
      </c>
      <c r="AD17" s="172">
        <f>AB17*PRODUCT(AC5:AC16)*PRODUCT(AC18:AC19)</f>
        <v>2.4255949294287531E-2</v>
      </c>
      <c r="AE17" s="172">
        <f>AB17*AB18*PRODUCT(AC5:AC16)*AC19+AB17*AB19*PRODUCT(AC5:AC16)*AC18</f>
        <v>8.4321506061550548E-4</v>
      </c>
      <c r="AG17" s="193">
        <f>COUNTA(F14:F15)/(COUNTA(F14:F15)+COUNTA(J14:J15))</f>
        <v>0.5</v>
      </c>
      <c r="AH17">
        <f>COUNTA(F14:F15)</f>
        <v>2</v>
      </c>
      <c r="AI17" s="196">
        <f t="shared" si="9"/>
        <v>0.13045688780487805</v>
      </c>
      <c r="AK17" s="193">
        <f>COUNTA(J14:J15)/(COUNTA(F14:F15)+COUNTA(J14:J15))</f>
        <v>0.5</v>
      </c>
      <c r="AL17">
        <f>COUNTA(J14:J15)</f>
        <v>2</v>
      </c>
      <c r="AM17" s="197">
        <v>0.1089</v>
      </c>
      <c r="AN17" s="198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4.2282164202336159E-2</v>
      </c>
      <c r="BP17">
        <f>BP13+1</f>
        <v>5</v>
      </c>
      <c r="BQ17">
        <v>3</v>
      </c>
      <c r="BR17" s="107">
        <f>$H$30*H42</f>
        <v>8.4247856546836621E-3</v>
      </c>
    </row>
    <row r="18" spans="1:70" x14ac:dyDescent="0.25">
      <c r="A18" s="183" t="s">
        <v>78</v>
      </c>
      <c r="B18" s="167">
        <v>20</v>
      </c>
      <c r="C18" s="168">
        <v>20</v>
      </c>
      <c r="E18" s="187" t="s">
        <v>71</v>
      </c>
      <c r="F18" s="162" t="s">
        <v>32</v>
      </c>
      <c r="G18" s="162"/>
      <c r="H18" s="10"/>
      <c r="I18" s="10"/>
      <c r="J18" s="161" t="s">
        <v>1</v>
      </c>
      <c r="K18" s="161"/>
      <c r="L18" s="10"/>
      <c r="M18" s="10"/>
      <c r="O18" s="67">
        <f t="shared" si="1"/>
        <v>0</v>
      </c>
      <c r="P18" s="199">
        <f>P17*1.2</f>
        <v>0.68399999999999994</v>
      </c>
      <c r="Q18" s="203">
        <f t="shared" si="2"/>
        <v>0</v>
      </c>
      <c r="R18" s="155">
        <f t="shared" si="3"/>
        <v>0</v>
      </c>
      <c r="S18" s="171">
        <f t="shared" si="4"/>
        <v>1</v>
      </c>
      <c r="T18" s="172">
        <f>R18*PRODUCT(S5:S17)*PRODUCT(S19)</f>
        <v>0</v>
      </c>
      <c r="U18" s="172">
        <f>R18*R19*PRODUCT(S5:S17)</f>
        <v>0</v>
      </c>
      <c r="W18" s="181" t="s">
        <v>79</v>
      </c>
      <c r="X18" s="15" t="s">
        <v>80</v>
      </c>
      <c r="Y18" s="69">
        <f t="shared" si="5"/>
        <v>4.9116000000000007E-2</v>
      </c>
      <c r="Z18" s="69">
        <f>Z17*1.2</f>
        <v>0.68399999999999994</v>
      </c>
      <c r="AA18" s="69">
        <f t="shared" si="6"/>
        <v>3.3595343999999999E-2</v>
      </c>
      <c r="AB18" s="155">
        <f t="shared" si="7"/>
        <v>3.3595343999999999E-2</v>
      </c>
      <c r="AC18" s="171">
        <f t="shared" si="8"/>
        <v>0.96640465600000003</v>
      </c>
      <c r="AD18" s="172">
        <f>AB18*PRODUCT(AC5:AC17)*PRODUCT(AC19)</f>
        <v>2.1835919673291369E-2</v>
      </c>
      <c r="AE18" s="172">
        <f>AB18*AB19*PRODUCT(AC5:AC17)</f>
        <v>0</v>
      </c>
      <c r="AG18" s="19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196">
        <f t="shared" si="9"/>
        <v>0.19646400000000003</v>
      </c>
      <c r="AK18" s="193">
        <f>IF(COUNTA(J14:J15)&gt;0,IF(COUNTIF(J11:J18,"CAB")+COUNTIF(F11:F18,"CAB")=0,0,COUNTIF(J11:J18,"CAB")/(COUNTIF(J11:J18,"CAB")+COUNTIF(F11:F18,"CAB"))),0)</f>
        <v>1</v>
      </c>
      <c r="AL18">
        <f>COUNTIF(J11:J18,"CAB")</f>
        <v>2</v>
      </c>
      <c r="AM18" s="197">
        <v>0.16400000000000001</v>
      </c>
      <c r="AN18" s="198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2.2756642951713126E-2</v>
      </c>
      <c r="BP18">
        <f>BL8+1</f>
        <v>5</v>
      </c>
      <c r="BQ18">
        <v>4</v>
      </c>
      <c r="BR18" s="107">
        <f>$H$30*H43</f>
        <v>8.6803471017044623E-3</v>
      </c>
    </row>
    <row r="19" spans="1:70" x14ac:dyDescent="0.25">
      <c r="H19" s="13" t="s">
        <v>81</v>
      </c>
      <c r="L19" s="13" t="s">
        <v>81</v>
      </c>
      <c r="O19" s="67">
        <f t="shared" si="1"/>
        <v>0</v>
      </c>
      <c r="P19" s="199">
        <f>P3</f>
        <v>0.56999999999999995</v>
      </c>
      <c r="Q19" s="203">
        <f t="shared" si="2"/>
        <v>0</v>
      </c>
      <c r="R19" s="155">
        <f t="shared" si="3"/>
        <v>0</v>
      </c>
      <c r="S19" s="173">
        <f t="shared" si="4"/>
        <v>1</v>
      </c>
      <c r="T19" s="174">
        <f>R19*PRODUCT(S5:S18)</f>
        <v>0</v>
      </c>
      <c r="U19" s="174">
        <v>0</v>
      </c>
      <c r="V19" s="1" t="s">
        <v>82</v>
      </c>
      <c r="W19" s="181" t="s">
        <v>83</v>
      </c>
      <c r="X19" s="15" t="s">
        <v>84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5">
        <f t="shared" si="7"/>
        <v>0</v>
      </c>
      <c r="AC19" s="173">
        <f t="shared" si="8"/>
        <v>1</v>
      </c>
      <c r="AD19" s="174">
        <f>AB19*PRODUCT(AC5:AC18)</f>
        <v>0</v>
      </c>
      <c r="AE19" s="174">
        <v>0</v>
      </c>
      <c r="AF19" s="1" t="s">
        <v>82</v>
      </c>
      <c r="AG19" s="19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196">
        <f t="shared" si="9"/>
        <v>0</v>
      </c>
      <c r="AK19" s="19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2</v>
      </c>
      <c r="AM19" s="197">
        <v>0.60870000000000002</v>
      </c>
      <c r="AN19" s="198">
        <f t="shared" si="10"/>
        <v>0</v>
      </c>
      <c r="AO19">
        <f>1/8</f>
        <v>0.125</v>
      </c>
      <c r="BH19">
        <v>1</v>
      </c>
      <c r="BI19">
        <v>7</v>
      </c>
      <c r="BJ19" s="107">
        <f t="shared" si="11"/>
        <v>9.096764848682392E-3</v>
      </c>
      <c r="BP19">
        <f>BP15+1</f>
        <v>6</v>
      </c>
      <c r="BQ19">
        <v>1</v>
      </c>
      <c r="BR19" s="107">
        <f>$H$31*H40</f>
        <v>5.6388531687092628E-4</v>
      </c>
    </row>
    <row r="20" spans="1:70" x14ac:dyDescent="0.25">
      <c r="A20" s="185" t="s">
        <v>85</v>
      </c>
      <c r="B20">
        <f>IF(B17="Pres",IF(C17="Pres",2,1),IF(C17="Pres",1,0))</f>
        <v>0</v>
      </c>
      <c r="D20" s="36"/>
      <c r="O20" s="22"/>
      <c r="P20" s="22"/>
      <c r="Q20" s="22"/>
      <c r="S20" s="175">
        <f>PRODUCT(S5:S19)</f>
        <v>0.80338865266348947</v>
      </c>
      <c r="T20" s="176">
        <f>SUM(T5:T19)</f>
        <v>0.17927195619689401</v>
      </c>
      <c r="U20" s="176">
        <f>SUM(U5:U19)</f>
        <v>1.650037891801337E-2</v>
      </c>
      <c r="V20" s="176">
        <f>1-S20-T20-U20</f>
        <v>8.3901222160315259E-4</v>
      </c>
      <c r="W20" s="21"/>
      <c r="X20" s="22"/>
      <c r="Y20" s="22"/>
      <c r="Z20" s="22"/>
      <c r="AA20" s="22"/>
      <c r="AB20" s="23"/>
      <c r="AC20" s="179">
        <f>PRODUCT(AC5:AC19)</f>
        <v>0.6281327091132265</v>
      </c>
      <c r="AD20" s="176">
        <f>SUM(AD5:AD19)</f>
        <v>0.31163208777528073</v>
      </c>
      <c r="AE20" s="176">
        <f>SUM(AE5:AE19)</f>
        <v>5.4899514773417861E-2</v>
      </c>
      <c r="AF20" s="176">
        <f>1-AC20-AD20-AE20</f>
        <v>5.3356883380749134E-3</v>
      </c>
      <c r="BH20">
        <v>1</v>
      </c>
      <c r="BI20">
        <v>8</v>
      </c>
      <c r="BJ20" s="107">
        <f t="shared" si="11"/>
        <v>2.7060387991340779E-3</v>
      </c>
      <c r="BP20">
        <f>BP16+1</f>
        <v>6</v>
      </c>
      <c r="BQ20">
        <v>2</v>
      </c>
      <c r="BR20" s="107">
        <f>$H$31*H41</f>
        <v>1.4215986246284623E-3</v>
      </c>
    </row>
    <row r="21" spans="1:70" x14ac:dyDescent="0.25">
      <c r="A21" s="185" t="s">
        <v>86</v>
      </c>
      <c r="B21" s="186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5.9404211801210305E-4</v>
      </c>
      <c r="BP21">
        <f>BP17+1</f>
        <v>6</v>
      </c>
      <c r="BQ21">
        <v>3</v>
      </c>
      <c r="BR21" s="107">
        <f>$H$31*H42</f>
        <v>2.1697598733326656E-3</v>
      </c>
    </row>
    <row r="22" spans="1:70" x14ac:dyDescent="0.25">
      <c r="A22" s="26" t="s">
        <v>87</v>
      </c>
      <c r="B22" s="62">
        <f>(B6)/((B6)+(C6))</f>
        <v>0.48809523809523808</v>
      </c>
      <c r="C22" s="63">
        <f>1-B22</f>
        <v>0.51190476190476186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9.4226901763430043E-5</v>
      </c>
      <c r="BP22">
        <f>BP18+1</f>
        <v>6</v>
      </c>
      <c r="BQ22">
        <v>4</v>
      </c>
      <c r="BR22" s="107">
        <f>$H$31*H43</f>
        <v>2.2355783992447512E-3</v>
      </c>
    </row>
    <row r="23" spans="1:70" x14ac:dyDescent="0.25">
      <c r="A23" s="40" t="s">
        <v>88</v>
      </c>
      <c r="B23" s="56">
        <f>((B22^2.8)/((B22^2.8)+(C22^2.8)))*B21</f>
        <v>2.3335484435824116</v>
      </c>
      <c r="C23" s="57">
        <f>B21-B23</f>
        <v>2.6664515564175884</v>
      </c>
      <c r="D23" s="149">
        <f>SUM(D25:D30)</f>
        <v>1</v>
      </c>
      <c r="E23" s="149">
        <f>SUM(E25:E30)</f>
        <v>1</v>
      </c>
      <c r="H23" s="59">
        <f>SUM(H25:H35)</f>
        <v>0.99999988000463658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0.99948168021131423</v>
      </c>
      <c r="Y23" s="80">
        <f>SUM(Y25:Y35)</f>
        <v>1.8512284522490582E-3</v>
      </c>
      <c r="Z23" s="81"/>
      <c r="AA23" s="80">
        <f>SUM(AA25:AA35)</f>
        <v>1.6210351810413328E-2</v>
      </c>
      <c r="AB23" s="81"/>
      <c r="AC23" s="80">
        <f>SUM(AC25:AC35)</f>
        <v>6.3884071039084084E-2</v>
      </c>
      <c r="AD23" s="81"/>
      <c r="AE23" s="80">
        <f>SUM(AE25:AE35)</f>
        <v>0.14921922246157651</v>
      </c>
      <c r="AF23" s="81"/>
      <c r="AG23" s="80">
        <f>SUM(AG25:AG35)</f>
        <v>0.22878863939198046</v>
      </c>
      <c r="AH23" s="81"/>
      <c r="AI23" s="80">
        <f>SUM(AI25:AI35)</f>
        <v>0.24062974964110617</v>
      </c>
      <c r="AJ23" s="81"/>
      <c r="AK23" s="80">
        <f>SUM(AK25:AK35)</f>
        <v>0.1758572407849438</v>
      </c>
      <c r="AL23" s="81"/>
      <c r="AM23" s="80">
        <f>SUM(AM25:AM35)</f>
        <v>8.8219655802101921E-2</v>
      </c>
      <c r="AN23" s="81"/>
      <c r="AO23" s="80">
        <f>SUM(AO25:AO35)</f>
        <v>2.9102952079322307E-2</v>
      </c>
      <c r="AP23" s="81"/>
      <c r="AQ23" s="80">
        <f>SUM(AQ25:AQ35)</f>
        <v>5.7185687485366106E-3</v>
      </c>
      <c r="AR23" s="81"/>
      <c r="AS23" s="80">
        <f>SUM(AS25:AS35)</f>
        <v>5.1831978868577288E-4</v>
      </c>
      <c r="BH23">
        <f t="shared" ref="BH23:BH30" si="12">BH15+1</f>
        <v>2</v>
      </c>
      <c r="BI23">
        <v>3</v>
      </c>
      <c r="BJ23" s="107">
        <f t="shared" ref="BJ23:BJ30" si="13">$H$27*H42</f>
        <v>6.716309057234876E-2</v>
      </c>
      <c r="BP23">
        <f>BL9+1</f>
        <v>6</v>
      </c>
      <c r="BQ23">
        <v>5</v>
      </c>
      <c r="BR23" s="107">
        <f>$H$31*H44</f>
        <v>1.6413341414841531E-3</v>
      </c>
    </row>
    <row r="24" spans="1:70" x14ac:dyDescent="0.25">
      <c r="A24" s="26" t="s">
        <v>89</v>
      </c>
      <c r="B24" s="64">
        <f>B23/B21</f>
        <v>0.46670968871648233</v>
      </c>
      <c r="C24" s="65">
        <f>C23/B21</f>
        <v>0.53329031128351767</v>
      </c>
      <c r="D24" s="13" t="s">
        <v>90</v>
      </c>
      <c r="E24" s="13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6.9200447641904125E-2</v>
      </c>
      <c r="BP24">
        <f>BH49+1</f>
        <v>7</v>
      </c>
      <c r="BQ24">
        <v>0</v>
      </c>
      <c r="BR24" s="107">
        <f t="shared" ref="BR24:BR30" si="14">$H$32*H39</f>
        <v>1.9630768792149899E-5</v>
      </c>
    </row>
    <row r="25" spans="1:70" x14ac:dyDescent="0.25">
      <c r="A25" s="26" t="s">
        <v>114</v>
      </c>
      <c r="B25" s="117">
        <f>1/(1+EXP(-3.1416*4*((B11/(B11+C8))-(3.1416/6))))</f>
        <v>0.58579167245523867</v>
      </c>
      <c r="C25" s="118">
        <f>1/(1+EXP(-3.1416*4*((C11/(C11+B8))-(3.1416/6))))</f>
        <v>0.42639691249266598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124">
        <v>0</v>
      </c>
      <c r="H25" s="125">
        <f>L25*J25</f>
        <v>9.3225451797071437E-2</v>
      </c>
      <c r="I25" s="97">
        <v>0</v>
      </c>
      <c r="J25" s="98">
        <f t="shared" ref="J25:J35" si="15">Y25+AA25+AC25+AE25+AG25+AI25+AK25+AM25+AO25+AQ25+AS25</f>
        <v>0.11604028945143717</v>
      </c>
      <c r="K25" s="97">
        <v>0</v>
      </c>
      <c r="L25" s="98">
        <f>S20</f>
        <v>0.80338865266348947</v>
      </c>
      <c r="M25" s="84">
        <v>0</v>
      </c>
      <c r="N25" s="71">
        <f>(1-$B$24)^$B$21</f>
        <v>4.3133874249689168E-2</v>
      </c>
      <c r="O25" s="70">
        <v>0</v>
      </c>
      <c r="P25" s="71">
        <f t="shared" ref="P25:P30" si="16">N25</f>
        <v>4.3133874249689168E-2</v>
      </c>
      <c r="Q25" s="12">
        <v>0</v>
      </c>
      <c r="R25" s="73">
        <f>P25*N25</f>
        <v>1.8605311077879983E-3</v>
      </c>
      <c r="S25" s="70">
        <v>0</v>
      </c>
      <c r="T25" s="133">
        <f>(1-$B$33)^(INT(C23*2*(1-C31)))</f>
        <v>0.995</v>
      </c>
      <c r="U25" s="138">
        <v>0</v>
      </c>
      <c r="V25" s="86">
        <f>R25*T25</f>
        <v>1.8512284522490582E-3</v>
      </c>
      <c r="W25" s="134">
        <f>B31</f>
        <v>0.41481679477751243</v>
      </c>
      <c r="X25" s="12">
        <v>0</v>
      </c>
      <c r="Y25" s="79">
        <f>V25</f>
        <v>1.8512284522490582E-3</v>
      </c>
      <c r="Z25" s="12">
        <v>0</v>
      </c>
      <c r="AA25" s="78">
        <f>((1-W25)^Z26)*V26</f>
        <v>9.4860256302018251E-3</v>
      </c>
      <c r="AB25" s="12">
        <v>0</v>
      </c>
      <c r="AC25" s="79">
        <f>(((1-$W$25)^AB27))*V27</f>
        <v>2.187642191323963E-2</v>
      </c>
      <c r="AD25" s="12">
        <v>0</v>
      </c>
      <c r="AE25" s="79">
        <f>(((1-$W$25)^AB28))*V28</f>
        <v>2.9902006583821021E-2</v>
      </c>
      <c r="AF25" s="12">
        <v>0</v>
      </c>
      <c r="AG25" s="79">
        <f>(((1-$W$25)^AB29))*V29</f>
        <v>2.6828838366571153E-2</v>
      </c>
      <c r="AH25" s="12">
        <v>0</v>
      </c>
      <c r="AI25" s="79">
        <f>(((1-$W$25)^AB30))*V30</f>
        <v>1.6512338615516133E-2</v>
      </c>
      <c r="AJ25" s="12">
        <v>0</v>
      </c>
      <c r="AK25" s="79">
        <f>(((1-$W$25)^AB31))*V31</f>
        <v>7.0617343306971772E-3</v>
      </c>
      <c r="AL25" s="12">
        <v>0</v>
      </c>
      <c r="AM25" s="79">
        <f>(((1-$W$25)^AB32))*V32</f>
        <v>2.0730431052200741E-3</v>
      </c>
      <c r="AN25" s="12">
        <v>0</v>
      </c>
      <c r="AO25" s="79">
        <f>(((1-$W$25)^AB33))*V33</f>
        <v>4.0019519611925533E-4</v>
      </c>
      <c r="AP25" s="12">
        <v>0</v>
      </c>
      <c r="AQ25" s="79">
        <f>(((1-$W$25)^AB34))*V34</f>
        <v>4.6016546998148478E-5</v>
      </c>
      <c r="AR25" s="12">
        <v>0</v>
      </c>
      <c r="AS25" s="79">
        <f>(((1-$W$25)^AB35))*V35</f>
        <v>2.4407108037012595E-6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5.0806116823733434E-2</v>
      </c>
      <c r="BP25">
        <f>BP19+1</f>
        <v>7</v>
      </c>
      <c r="BQ25">
        <v>1</v>
      </c>
      <c r="BR25" s="107">
        <f t="shared" si="14"/>
        <v>1.0817000409511647E-4</v>
      </c>
    </row>
    <row r="26" spans="1:70" x14ac:dyDescent="0.25">
      <c r="A26" s="40" t="s">
        <v>115</v>
      </c>
      <c r="B26" s="119">
        <f>1/(1+EXP(-3.1416*4*((B10/(B10+C9))-(3.1416/6))))</f>
        <v>0.1948863248060955</v>
      </c>
      <c r="C26" s="118">
        <f>1/(1+EXP(-3.1416*4*((C10/(C10+B9))-(3.1416/6))))</f>
        <v>0.69969228081812651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1</v>
      </c>
      <c r="H26" s="126">
        <f>L25*J26+L26*J25</f>
        <v>0.24481020691450373</v>
      </c>
      <c r="I26" s="93">
        <v>1</v>
      </c>
      <c r="J26" s="86">
        <f t="shared" si="15"/>
        <v>0.27882823149696567</v>
      </c>
      <c r="K26" s="93">
        <v>1</v>
      </c>
      <c r="L26" s="86">
        <f>T20</f>
        <v>0.17927195619689401</v>
      </c>
      <c r="M26" s="85">
        <v>1</v>
      </c>
      <c r="N26" s="71">
        <f>(($B$24)^M26)*((1-($B$24))^($B$21-M26))*HLOOKUP($B$21,$AV$24:$BF$34,M26+1)</f>
        <v>0.18874332233560787</v>
      </c>
      <c r="O26" s="72">
        <v>1</v>
      </c>
      <c r="P26" s="71">
        <f t="shared" si="16"/>
        <v>0.18874332233560787</v>
      </c>
      <c r="Q26" s="28">
        <v>1</v>
      </c>
      <c r="R26" s="37">
        <f>N26*P25+P26*N25</f>
        <v>1.6282461462185316E-2</v>
      </c>
      <c r="S26" s="72">
        <v>1</v>
      </c>
      <c r="T26" s="133">
        <f t="shared" ref="T26:T35" si="17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1.6210351810413328E-2</v>
      </c>
      <c r="W26" s="135"/>
      <c r="X26" s="28">
        <v>1</v>
      </c>
      <c r="Y26" s="73"/>
      <c r="Z26" s="28">
        <v>1</v>
      </c>
      <c r="AA26" s="79">
        <f>(1-((1-W25)^Z26))*V26</f>
        <v>6.7243261802115029E-3</v>
      </c>
      <c r="AB26" s="28">
        <v>1</v>
      </c>
      <c r="AC26" s="79">
        <f>((($W$25)^M26)*((1-($W$25))^($U$27-M26))*HLOOKUP($U$27,$AV$24:$BF$34,M26+1))*V27</f>
        <v>3.1014927080145374E-2</v>
      </c>
      <c r="AD26" s="28">
        <v>1</v>
      </c>
      <c r="AE26" s="79">
        <f>((($W$25)^M26)*((1-($W$25))^($U$28-M26))*HLOOKUP($U$28,$AV$24:$BF$34,M26+1))*V28</f>
        <v>6.3589595964911941E-2</v>
      </c>
      <c r="AF26" s="28">
        <v>1</v>
      </c>
      <c r="AG26" s="79">
        <f>((($W$25)^M26)*((1-($W$25))^($U$29-M26))*HLOOKUP($U$29,$AV$24:$BF$34,M26+1))*V29</f>
        <v>7.6072263451878896E-2</v>
      </c>
      <c r="AH26" s="28">
        <v>1</v>
      </c>
      <c r="AI26" s="79">
        <f>((($W$25)^M26)*((1-($W$25))^($U$30-M26))*HLOOKUP($U$30,$AV$24:$BF$34,M26+1))*V30</f>
        <v>5.8525221824890908E-2</v>
      </c>
      <c r="AJ26" s="28">
        <v>1</v>
      </c>
      <c r="AK26" s="79">
        <f>((($W$25)^M26)*((1-($W$25))^($U$31-M26))*HLOOKUP($U$31,$AV$24:$BF$34,M26+1))*V31</f>
        <v>3.0034963148162026E-2</v>
      </c>
      <c r="AL26" s="28">
        <v>1</v>
      </c>
      <c r="AM26" s="79">
        <f>((($W$25)^Q26)*((1-($W$25))^($U$32-Q26))*HLOOKUP($U$32,$AV$24:$BF$34,Q26+1))*V32</f>
        <v>1.0286576273344091E-2</v>
      </c>
      <c r="AN26" s="28">
        <v>1</v>
      </c>
      <c r="AO26" s="79">
        <f>((($W$25)^Q26)*((1-($W$25))^($U$33-Q26))*HLOOKUP($U$33,$AV$24:$BF$34,Q26+1))*V33</f>
        <v>2.2694798764968807E-3</v>
      </c>
      <c r="AP26" s="28">
        <v>1</v>
      </c>
      <c r="AQ26" s="79">
        <f>((($W$25)^Q26)*((1-($W$25))^($U$34-Q26))*HLOOKUP($U$34,$AV$24:$BF$34,Q26+1))*V34</f>
        <v>2.935763146640364E-4</v>
      </c>
      <c r="AR26" s="28">
        <v>1</v>
      </c>
      <c r="AS26" s="79">
        <f>((($W$25)^Q26)*((1-($W$25))^($U$35-Q26))*HLOOKUP($U$35,$AV$24:$BF$34,Q26+1))*V35</f>
        <v>1.7301382260026901E-5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2.7344311298446888E-2</v>
      </c>
      <c r="BP26">
        <f>BP20+1</f>
        <v>7</v>
      </c>
      <c r="BQ26">
        <v>2</v>
      </c>
      <c r="BR26" s="107">
        <f t="shared" si="14"/>
        <v>2.7270497111183295E-4</v>
      </c>
    </row>
    <row r="27" spans="1:70" x14ac:dyDescent="0.25">
      <c r="A27" s="26" t="s">
        <v>116</v>
      </c>
      <c r="B27" s="119">
        <f>1/(1+EXP(-3.1416*4*((B12/(B12+C7))-(3.1416/6))))</f>
        <v>0.29124981281132378</v>
      </c>
      <c r="C27" s="118">
        <f>1/(1+EXP(-3.1416*4*((C12/(C12+B7))-(3.1416/6))))</f>
        <v>0.71881514699194859</v>
      </c>
      <c r="D27" s="151">
        <f>D26</f>
        <v>0.25700000000000001</v>
      </c>
      <c r="E27" s="151">
        <f>E26</f>
        <v>0.25700000000000001</v>
      </c>
      <c r="G27" s="87">
        <v>2</v>
      </c>
      <c r="H27" s="126">
        <f>L25*J27+J26*L26+J25*L27</f>
        <v>0.29416318220185661</v>
      </c>
      <c r="I27" s="93">
        <v>2</v>
      </c>
      <c r="J27" s="86">
        <f t="shared" si="15"/>
        <v>0.30155067556604576</v>
      </c>
      <c r="K27" s="93">
        <v>2</v>
      </c>
      <c r="L27" s="86">
        <f>U20</f>
        <v>1.650037891801337E-2</v>
      </c>
      <c r="M27" s="85">
        <v>2</v>
      </c>
      <c r="N27" s="71">
        <f>(($B$24)^M27)*((1-($B$24))^($B$21-M27))*HLOOKUP($B$21,$AV$24:$BF$34,M27+1)</f>
        <v>0.33035791331950554</v>
      </c>
      <c r="O27" s="72">
        <v>2</v>
      </c>
      <c r="P27" s="71">
        <f t="shared" si="16"/>
        <v>0.33035791331950554</v>
      </c>
      <c r="Q27" s="28">
        <v>2</v>
      </c>
      <c r="R27" s="37">
        <f>P25*N27+P26*N26+P27*N25</f>
        <v>6.4123275107309696E-2</v>
      </c>
      <c r="S27" s="72">
        <v>2</v>
      </c>
      <c r="T27" s="133">
        <f t="shared" si="17"/>
        <v>0</v>
      </c>
      <c r="U27" s="93">
        <v>2</v>
      </c>
      <c r="V27" s="86">
        <f>R27*T25+T26*R26+R25*T27</f>
        <v>6.3884071039084084E-2</v>
      </c>
      <c r="W27" s="135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1.099272204569908E-2</v>
      </c>
      <c r="AD27" s="28">
        <v>2</v>
      </c>
      <c r="AE27" s="79">
        <f>((($W$25)^M27)*((1-($W$25))^($U$28-M27))*HLOOKUP($U$28,$AV$24:$BF$34,M27+1))*V28</f>
        <v>4.5076536961331341E-2</v>
      </c>
      <c r="AF27" s="28">
        <v>2</v>
      </c>
      <c r="AG27" s="79">
        <f>((($W$25)^M27)*((1-($W$25))^($U$29-M27))*HLOOKUP($U$29,$AV$24:$BF$34,M27+1))*V29</f>
        <v>8.0887623435590347E-2</v>
      </c>
      <c r="AH27" s="28">
        <v>2</v>
      </c>
      <c r="AI27" s="79">
        <f>((($W$25)^M27)*((1-($W$25))^($U$30-M27))*HLOOKUP($U$30,$AV$24:$BF$34,M27+1))*V30</f>
        <v>8.2973143160572804E-2</v>
      </c>
      <c r="AJ27" s="28">
        <v>2</v>
      </c>
      <c r="AK27" s="79">
        <f>((($W$25)^M27)*((1-($W$25))^($U$31-M27))*HLOOKUP($U$31,$AV$24:$BF$34,M27+1))*V31</f>
        <v>5.3226951120565483E-2</v>
      </c>
      <c r="AL27" s="28">
        <v>2</v>
      </c>
      <c r="AM27" s="79">
        <f>((($W$25)^Q27)*((1-($W$25))^($U$32-Q27))*HLOOKUP($U$32,$AV$24:$BF$34,Q27+1))*V32</f>
        <v>2.1875429237518881E-2</v>
      </c>
      <c r="AN27" s="28">
        <v>2</v>
      </c>
      <c r="AO27" s="79">
        <f>((($W$25)^Q27)*((1-($W$25))^($U$33-Q27))*HLOOKUP($U$33,$AV$24:$BF$34,Q27+1))*V33</f>
        <v>5.6306542279848963E-3</v>
      </c>
      <c r="AP27" s="28">
        <v>2</v>
      </c>
      <c r="AQ27" s="79">
        <f>((($W$25)^Q27)*((1-($W$25))^($U$34-Q27))*HLOOKUP($U$34,$AV$24:$BF$34,Q27+1))*V34</f>
        <v>8.3242570726361771E-4</v>
      </c>
      <c r="AR27" s="28">
        <v>2</v>
      </c>
      <c r="AS27" s="79">
        <f>((($W$25)^Q27)*((1-($W$25))^($U$35-Q27))*HLOOKUP($U$35,$AV$24:$BF$34,Q27+1))*V35</f>
        <v>5.5189669519279708E-5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1.0930644311594951E-2</v>
      </c>
      <c r="BP27">
        <f>BP21+1</f>
        <v>7</v>
      </c>
      <c r="BQ27">
        <v>3</v>
      </c>
      <c r="BR27" s="107">
        <f t="shared" si="14"/>
        <v>4.162245892235876E-4</v>
      </c>
    </row>
    <row r="28" spans="1:70" x14ac:dyDescent="0.25">
      <c r="A28" s="26" t="s">
        <v>117</v>
      </c>
      <c r="B28" s="169">
        <v>0.9</v>
      </c>
      <c r="C28" s="170">
        <v>0.9</v>
      </c>
      <c r="D28" s="151">
        <v>8.5000000000000006E-2</v>
      </c>
      <c r="E28" s="151">
        <v>8.5000000000000006E-2</v>
      </c>
      <c r="G28" s="87">
        <v>3</v>
      </c>
      <c r="H28" s="126">
        <f>J28*L25+J27*L26+L28*J25+L27*J26</f>
        <v>0.2140607182398547</v>
      </c>
      <c r="I28" s="93">
        <v>3</v>
      </c>
      <c r="J28" s="86">
        <f t="shared" si="15"/>
        <v>0.19330993477436875</v>
      </c>
      <c r="K28" s="93">
        <v>3</v>
      </c>
      <c r="L28" s="86">
        <f>V20</f>
        <v>8.3901222160315259E-4</v>
      </c>
      <c r="M28" s="85">
        <v>3</v>
      </c>
      <c r="N28" s="71">
        <f>(($B$24)^M28)*((1-($B$24))^($B$21-M28))*HLOOKUP($B$21,$AV$24:$BF$34,M28+1)</f>
        <v>0.28911314461965615</v>
      </c>
      <c r="O28" s="72">
        <v>3</v>
      </c>
      <c r="P28" s="71">
        <f t="shared" si="16"/>
        <v>0.28911314461965615</v>
      </c>
      <c r="Q28" s="28">
        <v>3</v>
      </c>
      <c r="R28" s="37">
        <f>P25*N28+P26*N27+P27*N26+P28*N25</f>
        <v>0.14964684028747735</v>
      </c>
      <c r="S28" s="72">
        <v>3</v>
      </c>
      <c r="T28" s="133">
        <f t="shared" si="17"/>
        <v>0</v>
      </c>
      <c r="U28" s="93">
        <v>3</v>
      </c>
      <c r="V28" s="86">
        <f>R28*T25+R27*T26+R26*T27+R25*T28</f>
        <v>0.14921922246157651</v>
      </c>
      <c r="W28" s="135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1.0651082951512217E-2</v>
      </c>
      <c r="AF28" s="28">
        <v>3</v>
      </c>
      <c r="AG28" s="79">
        <f>((($W$25)^M28)*((1-($W$25))^($U$29-M28))*HLOOKUP($U$29,$AV$24:$BF$34,M28+1))*V29</f>
        <v>3.8225686578462065E-2</v>
      </c>
      <c r="AH28" s="28">
        <v>3</v>
      </c>
      <c r="AI28" s="79">
        <f>((($W$25)^M28)*((1-($W$25))^($U$30-M28))*HLOOKUP($U$30,$AV$24:$BF$34,M28+1))*V30</f>
        <v>5.8816885022184573E-2</v>
      </c>
      <c r="AJ28" s="28">
        <v>3</v>
      </c>
      <c r="AK28" s="79">
        <f>((($W$25)^M28)*((1-($W$25))^($U$31-M28))*HLOOKUP($U$31,$AV$24:$BF$34,M28+1))*V31</f>
        <v>5.0307739667540326E-2</v>
      </c>
      <c r="AL28" s="28">
        <v>3</v>
      </c>
      <c r="AM28" s="79">
        <f>((($W$25)^Q28)*((1-($W$25))^($U$32-Q28))*HLOOKUP($U$32,$AV$24:$BF$34,Q28+1))*V32</f>
        <v>2.5844599775779624E-2</v>
      </c>
      <c r="AN28" s="28">
        <v>3</v>
      </c>
      <c r="AO28" s="79">
        <f>((($W$25)^Q28)*((1-($W$25))^($U$33-Q28))*HLOOKUP($U$33,$AV$24:$BF$34,Q28+1))*V33</f>
        <v>7.9827647769389089E-3</v>
      </c>
      <c r="AP28" s="28">
        <v>3</v>
      </c>
      <c r="AQ28" s="79">
        <f>((($W$25)^Q28)*((1-($W$25))^($U$34-Q28))*HLOOKUP($U$34,$AV$24:$BF$34,Q28+1))*V34</f>
        <v>1.3768503748744739E-3</v>
      </c>
      <c r="AR28" s="28">
        <v>3</v>
      </c>
      <c r="AS28" s="79">
        <f>((($W$25)^Q28)*((1-($W$25))^($U$35-Q28))*HLOOKUP($U$35,$AV$24:$BF$34,Q28+1))*V35</f>
        <v>1.0432562707657159E-4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8">BE27+BE28</f>
        <v>210</v>
      </c>
      <c r="BH28">
        <f t="shared" si="12"/>
        <v>2</v>
      </c>
      <c r="BI28">
        <v>8</v>
      </c>
      <c r="BJ28" s="107">
        <f t="shared" si="13"/>
        <v>3.2515677934660948E-3</v>
      </c>
      <c r="BP28">
        <f>BP22+1</f>
        <v>7</v>
      </c>
      <c r="BQ28">
        <v>4</v>
      </c>
      <c r="BR28" s="107">
        <f t="shared" si="14"/>
        <v>4.2885054348136537E-4</v>
      </c>
    </row>
    <row r="29" spans="1:70" x14ac:dyDescent="0.25">
      <c r="A29" s="26" t="s">
        <v>118</v>
      </c>
      <c r="B29" s="119">
        <f>1/(1+EXP(-3.1416*4*((B14/(B14+C13))-(3.1416/6))))</f>
        <v>6.0651982906511165E-2</v>
      </c>
      <c r="C29" s="118">
        <f>1/(1+EXP(-3.1416*4*((C14/(C14+B13))-(3.1416/6))))</f>
        <v>0.77755383103377884</v>
      </c>
      <c r="D29" s="151">
        <v>0.04</v>
      </c>
      <c r="E29" s="151">
        <v>0.04</v>
      </c>
      <c r="G29" s="87">
        <v>4</v>
      </c>
      <c r="H29" s="126">
        <f>J29*L25+J28*L26+J27*L27+J26*L28</f>
        <v>0.10522371719928361</v>
      </c>
      <c r="I29" s="93">
        <v>4</v>
      </c>
      <c r="J29" s="86">
        <f t="shared" si="15"/>
        <v>8.1354181590100771E-2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0.12650886662888206</v>
      </c>
      <c r="O29" s="72">
        <v>4</v>
      </c>
      <c r="P29" s="71">
        <f t="shared" si="16"/>
        <v>0.12650886662888206</v>
      </c>
      <c r="Q29" s="28">
        <v>4</v>
      </c>
      <c r="R29" s="37">
        <f>P25*N29+P26*N28+P27*N27+P28*N26+P29*N25</f>
        <v>0.22918633687491768</v>
      </c>
      <c r="S29" s="72">
        <v>4</v>
      </c>
      <c r="T29" s="133">
        <f t="shared" si="17"/>
        <v>0</v>
      </c>
      <c r="U29" s="93">
        <v>4</v>
      </c>
      <c r="V29" s="86">
        <f>T29*R25+T28*R26+T27*R27+T26*R28+T25*R29</f>
        <v>0.22878863939198046</v>
      </c>
      <c r="W29" s="135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6.7742275594780115E-3</v>
      </c>
      <c r="AH29" s="28">
        <v>4</v>
      </c>
      <c r="AI29" s="79">
        <f>((($W$25)^M29)*((1-($W$25))^($U$30-M29))*HLOOKUP($U$30,$AV$24:$BF$34,M29+1))*V30</f>
        <v>2.0846660931104335E-2</v>
      </c>
      <c r="AJ29" s="28">
        <v>4</v>
      </c>
      <c r="AK29" s="79">
        <f>((($W$25)^M29)*((1-($W$25))^($U$31-M29))*HLOOKUP($U$31,$AV$24:$BF$34,M29+1))*V31</f>
        <v>2.6746105068227773E-2</v>
      </c>
      <c r="AL29" s="28">
        <v>4</v>
      </c>
      <c r="AM29" s="79">
        <f>((($W$25)^Q29)*((1-($W$25))^($U$32-Q29))*HLOOKUP($U$32,$AV$24:$BF$34,Q29+1))*V32</f>
        <v>1.8320372057192696E-2</v>
      </c>
      <c r="AN29" s="28">
        <v>4</v>
      </c>
      <c r="AO29" s="79">
        <f>((($W$25)^Q29)*((1-($W$25))^($U$33-Q29))*HLOOKUP($U$33,$AV$24:$BF$34,Q29+1))*V33</f>
        <v>7.0733935729017285E-3</v>
      </c>
      <c r="AP29" s="28">
        <v>4</v>
      </c>
      <c r="AQ29" s="79">
        <f>((($W$25)^Q29)*((1-($W$25))^($U$34-Q29))*HLOOKUP($U$34,$AV$24:$BF$34,Q29+1))*V34</f>
        <v>1.4640047449153051E-3</v>
      </c>
      <c r="AR29" s="28">
        <v>4</v>
      </c>
      <c r="AS29" s="79">
        <f>((($W$25)^Q29)*((1-($W$25))^($U$35-Q29))*HLOOKUP($U$35,$AV$24:$BF$34,Q29+1))*V35</f>
        <v>1.2941765628091936E-4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8"/>
        <v>252</v>
      </c>
      <c r="BH29">
        <f t="shared" si="12"/>
        <v>2</v>
      </c>
      <c r="BI29">
        <v>9</v>
      </c>
      <c r="BJ29" s="107">
        <f t="shared" si="13"/>
        <v>7.1379915894355763E-4</v>
      </c>
      <c r="BP29">
        <f>BP23+1</f>
        <v>7</v>
      </c>
      <c r="BQ29">
        <v>5</v>
      </c>
      <c r="BR29" s="107">
        <f t="shared" si="14"/>
        <v>3.1485679001362447E-4</v>
      </c>
    </row>
    <row r="30" spans="1:70" x14ac:dyDescent="0.25">
      <c r="A30" s="26" t="s">
        <v>119</v>
      </c>
      <c r="B30" s="169">
        <v>0.15</v>
      </c>
      <c r="C30" s="170">
        <v>0.15</v>
      </c>
      <c r="D30" s="151">
        <f>IF(B17="TL",0.875*B32,0.001)</f>
        <v>1E-3</v>
      </c>
      <c r="E30" s="151">
        <f>IF(C17="TL",0.875*C32,0.001)</f>
        <v>1E-3</v>
      </c>
      <c r="G30" s="87">
        <v>5</v>
      </c>
      <c r="H30" s="126">
        <f>J30*L25+J29*L26+J28*L27+J27*L28</f>
        <v>3.6899161971718525E-2</v>
      </c>
      <c r="I30" s="93">
        <v>5</v>
      </c>
      <c r="J30" s="86">
        <f t="shared" si="15"/>
        <v>2.3490432377991852E-2</v>
      </c>
      <c r="K30" s="93">
        <v>5</v>
      </c>
      <c r="L30" s="86"/>
      <c r="M30" s="85">
        <v>5</v>
      </c>
      <c r="N30" s="71">
        <f>(($B$24)^M30)*((1-($B$24))^($B$21-M30))*HLOOKUP($B$21,$AV$24:$BF$34,M30+1)</f>
        <v>2.2142878846659206E-2</v>
      </c>
      <c r="O30" s="72">
        <v>5</v>
      </c>
      <c r="P30" s="71">
        <f t="shared" si="16"/>
        <v>2.2142878846659206E-2</v>
      </c>
      <c r="Q30" s="28">
        <v>5</v>
      </c>
      <c r="R30" s="37">
        <f>P25*N30+P26*N29+P27*N28+P28*N27+P29*N26+P30*N25</f>
        <v>0.24068725422787091</v>
      </c>
      <c r="S30" s="72">
        <v>5</v>
      </c>
      <c r="T30" s="133">
        <f t="shared" si="17"/>
        <v>0</v>
      </c>
      <c r="U30" s="93">
        <v>5</v>
      </c>
      <c r="V30" s="86">
        <f>T30*R25+T29*R26+T28*R27+T27*R28+T26*R29+T25*R30</f>
        <v>0.24062974964110614</v>
      </c>
      <c r="W30" s="135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2.9555000868374142E-3</v>
      </c>
      <c r="AJ30" s="28">
        <v>5</v>
      </c>
      <c r="AK30" s="79">
        <f>((($W$25)^M30)*((1-($W$25))^($U$31-M30))*HLOOKUP($U$31,$AV$24:$BF$34,M30+1))*V31</f>
        <v>7.5837675983654292E-3</v>
      </c>
      <c r="AL30" s="28">
        <v>5</v>
      </c>
      <c r="AM30" s="79">
        <f>((($W$25)^Q30)*((1-($W$25))^($U$32-Q30))*HLOOKUP($U$32,$AV$24:$BF$34,Q30+1))*V32</f>
        <v>7.7920192665202649E-3</v>
      </c>
      <c r="AN30" s="28">
        <v>5</v>
      </c>
      <c r="AO30" s="79">
        <f>((($W$25)^Q30)*((1-($W$25))^($U$33-Q30))*HLOOKUP($U$33,$AV$24:$BF$34,Q30+1))*V33</f>
        <v>4.0112736304458744E-3</v>
      </c>
      <c r="AP30" s="28">
        <v>5</v>
      </c>
      <c r="AQ30" s="79">
        <f>((($W$25)^Q30)*((1-($W$25))^($U$34-Q30))*HLOOKUP($U$34,$AV$24:$BF$34,Q30+1))*V34</f>
        <v>1.0377839801365154E-3</v>
      </c>
      <c r="AR30" s="28">
        <v>5</v>
      </c>
      <c r="AS30" s="79">
        <f>((($W$25)^Q30)*((1-($W$25))^($U$35-Q30))*HLOOKUP($U$35,$AV$24:$BF$34,Q30+1))*V35</f>
        <v>1.1008781568635305E-4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1.1322275170263812E-4</v>
      </c>
      <c r="BP30">
        <f>BL10+1</f>
        <v>7</v>
      </c>
      <c r="BQ30">
        <v>6</v>
      </c>
      <c r="BR30" s="107">
        <f t="shared" si="14"/>
        <v>1.6945877029791878E-4</v>
      </c>
    </row>
    <row r="31" spans="1:70" x14ac:dyDescent="0.25">
      <c r="A31" s="184" t="s">
        <v>120</v>
      </c>
      <c r="B31" s="60">
        <f>(B25*D25)+(B26*D26)+(B27*D27)+(B28*D28)+(B29*D29)+(B30*D30)/(B25+B26+B27+B28+B29+B30)</f>
        <v>0.41481679477751243</v>
      </c>
      <c r="C31" s="61">
        <f>(C25*E25)+(C26*E26)+(C27*E27)+(C28*E28)+(C29*E29)+(C30*E30)/(C25+C26+C27+C28+C29+C30)</f>
        <v>0.62570229526274812</v>
      </c>
      <c r="G31" s="87">
        <v>6</v>
      </c>
      <c r="H31" s="126">
        <f>J31*L25+J30*L26+J29*L27+J28*L28</f>
        <v>9.5031878895729255E-3</v>
      </c>
      <c r="I31" s="93">
        <v>6</v>
      </c>
      <c r="J31" s="86">
        <f t="shared" si="15"/>
        <v>4.7143408013896361E-3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0.17553146182291901</v>
      </c>
      <c r="S31" s="70">
        <v>6</v>
      </c>
      <c r="T31" s="133">
        <f t="shared" si="17"/>
        <v>0</v>
      </c>
      <c r="U31" s="93">
        <v>6</v>
      </c>
      <c r="V31" s="86">
        <f>T31*R25+T30*R26+T29*R27+T28*R28+T27*R29+T26*R30+T25*R31</f>
        <v>0.17585724078494377</v>
      </c>
      <c r="W31" s="135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8.95979851385583E-4</v>
      </c>
      <c r="AL31" s="28">
        <v>6</v>
      </c>
      <c r="AM31" s="79">
        <f>((($W$25)^Q31)*((1-($W$25))^($U$32-Q31))*HLOOKUP($U$32,$AV$24:$BF$34,Q31+1))*V32</f>
        <v>1.8411672493537866E-3</v>
      </c>
      <c r="AN31" s="28">
        <v>6</v>
      </c>
      <c r="AO31" s="79">
        <f>((($W$25)^Q31)*((1-($W$25))^($U$33-Q31))*HLOOKUP($U$33,$AV$24:$BF$34,Q31+1))*V33</f>
        <v>1.4217288325324372E-3</v>
      </c>
      <c r="AP31" s="28">
        <v>6</v>
      </c>
      <c r="AQ31" s="79">
        <f>((($W$25)^Q31)*((1-($W$25))^($U$34-Q31))*HLOOKUP($U$34,$AV$24:$BF$34,Q31+1))*V34</f>
        <v>4.9043356048698839E-4</v>
      </c>
      <c r="AR31" s="28">
        <v>6</v>
      </c>
      <c r="AS31" s="79">
        <f>((($W$25)^Q31)*((1-($W$25))^($U$35-Q31))*HLOOKUP($U$35,$AV$24:$BF$34,Q31+1))*V35</f>
        <v>6.503130763084149E-5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5.0356735380230618E-2</v>
      </c>
      <c r="BP31">
        <f t="shared" ref="BP31:BP37" si="21">BP24+1</f>
        <v>8</v>
      </c>
      <c r="BQ31">
        <v>0</v>
      </c>
      <c r="BR31" s="107">
        <f t="shared" ref="BR31:BR38" si="22">$H$33*H39</f>
        <v>2.8139213453206931E-6</v>
      </c>
    </row>
    <row r="32" spans="1:70" x14ac:dyDescent="0.25">
      <c r="A32" s="26" t="s">
        <v>121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6">
        <f>J32*L25+J31*L26+J30*L27+J29*L28</f>
        <v>1.8229945738542175E-3</v>
      </c>
      <c r="I32" s="93">
        <v>7</v>
      </c>
      <c r="J32" s="86">
        <f t="shared" si="15"/>
        <v>6.4973196554651098E-4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8.7780903008027447E-2</v>
      </c>
      <c r="S32" s="72">
        <v>7</v>
      </c>
      <c r="T32" s="133">
        <f t="shared" si="17"/>
        <v>0</v>
      </c>
      <c r="U32" s="93">
        <v>7</v>
      </c>
      <c r="V32" s="86">
        <f>T32*R25+T31*R26+T30*R27+T29*R28+T28*R29+T27*R30+T26*R31+T25*R32</f>
        <v>8.8219655802101907E-2</v>
      </c>
      <c r="W32" s="135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1.8644883717250051E-4</v>
      </c>
      <c r="AN32" s="28">
        <v>7</v>
      </c>
      <c r="AO32" s="79">
        <f>((($W$25)^Q32)*((1-($W$25))^($U$33-Q32))*HLOOKUP($U$33,$AV$24:$BF$34,Q32+1))*V33</f>
        <v>2.8794742866877234E-4</v>
      </c>
      <c r="AP32" s="28">
        <v>7</v>
      </c>
      <c r="AQ32" s="79">
        <f>((($W$25)^Q32)*((1-($W$25))^($U$34-Q32))*HLOOKUP($U$34,$AV$24:$BF$34,Q32+1))*V34</f>
        <v>1.4899368934885533E-4</v>
      </c>
      <c r="AR32" s="28">
        <v>7</v>
      </c>
      <c r="AS32" s="79">
        <f>((($W$25)^Q32)*((1-($W$25))^($U$35-Q32))*HLOOKUP($U$35,$AV$24:$BF$34,Q32+1))*V35</f>
        <v>2.634201035638277E-5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3.6971295241168024E-2</v>
      </c>
      <c r="BP32">
        <f t="shared" si="21"/>
        <v>8</v>
      </c>
      <c r="BQ32">
        <v>1</v>
      </c>
      <c r="BR32" s="107">
        <f t="shared" si="22"/>
        <v>1.5505347073742398E-5</v>
      </c>
    </row>
    <row r="33" spans="1:70" x14ac:dyDescent="0.25">
      <c r="A33" s="26" t="s">
        <v>122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6">
        <f>J33*L25+J32*L26+J31*L27+J30*L28</f>
        <v>2.6131240187717518E-4</v>
      </c>
      <c r="I33" s="93">
        <v>8</v>
      </c>
      <c r="J33" s="86">
        <f t="shared" si="15"/>
        <v>5.8921061214402559E-5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2.8808088004303685E-2</v>
      </c>
      <c r="S33" s="72">
        <v>8</v>
      </c>
      <c r="T33" s="133">
        <f t="shared" si="17"/>
        <v>0</v>
      </c>
      <c r="U33" s="93">
        <v>8</v>
      </c>
      <c r="V33" s="86">
        <f>T33*R25+T32*R26+T31*R27+T30*R28+T29*R29+T28*R30+T27*R31+T26*R32+T25*R33</f>
        <v>2.9102952079322304E-2</v>
      </c>
      <c r="W33" s="135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2.5514537233556029E-5</v>
      </c>
      <c r="AP33" s="28">
        <v>8</v>
      </c>
      <c r="AQ33" s="79">
        <f>((($W$25)^Q33)*((1-($W$25))^($U$34-Q33))*HLOOKUP($U$34,$AV$24:$BF$34,Q33+1))*V34</f>
        <v>2.6404160315174361E-5</v>
      </c>
      <c r="AR33" s="28">
        <v>8</v>
      </c>
      <c r="AS33" s="79">
        <f>((($W$25)^Q33)*((1-($W$25))^($U$35-Q33))*HLOOKUP($U$35,$AV$24:$BF$34,Q33+1))*V35</f>
        <v>7.0023636656721688E-6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1.9898285273182537E-2</v>
      </c>
      <c r="BP33">
        <f t="shared" si="21"/>
        <v>8</v>
      </c>
      <c r="BQ33">
        <v>2</v>
      </c>
      <c r="BR33" s="107">
        <f t="shared" si="22"/>
        <v>3.9090182728529282E-5</v>
      </c>
    </row>
    <row r="34" spans="1:70" x14ac:dyDescent="0.25">
      <c r="A34" s="40" t="s">
        <v>123</v>
      </c>
      <c r="B34" s="56">
        <f>B23*2</f>
        <v>4.6670968871648233</v>
      </c>
      <c r="C34" s="57">
        <f>C23*2</f>
        <v>5.3329031128351767</v>
      </c>
      <c r="G34" s="87">
        <v>9</v>
      </c>
      <c r="H34" s="126">
        <f>J34*L25+J33*L26+J32*L27+J31*L28</f>
        <v>2.7796070751196754E-5</v>
      </c>
      <c r="I34" s="93">
        <v>9</v>
      </c>
      <c r="J34" s="86">
        <f t="shared" si="15"/>
        <v>3.1827231586920915E-6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5.6025410135830062E-3</v>
      </c>
      <c r="S34" s="72">
        <v>9</v>
      </c>
      <c r="T34" s="133">
        <f t="shared" si="17"/>
        <v>0</v>
      </c>
      <c r="U34" s="93">
        <v>9</v>
      </c>
      <c r="V34" s="86">
        <f>T34*R25+T33*R26+T32*R27+T31*R28+T30*R29+T29*R30+T28*R31+T27*R32+T26*R33+T25*R34</f>
        <v>5.7185687485366097E-3</v>
      </c>
      <c r="W34" s="135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2.0796695334959087E-6</v>
      </c>
      <c r="AR34" s="28">
        <v>9</v>
      </c>
      <c r="AS34" s="79">
        <f>((($W$25)^Q34)*((1-($W$25))^($U$35-Q34))*HLOOKUP($U$35,$AV$24:$BF$34,Q34+1))*V35</f>
        <v>1.1030536251961831E-6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7.9541618861016985E-3</v>
      </c>
      <c r="BP34">
        <f t="shared" si="21"/>
        <v>8</v>
      </c>
      <c r="BQ34">
        <v>3</v>
      </c>
      <c r="BR34" s="107">
        <f t="shared" si="22"/>
        <v>5.9662628013424934E-5</v>
      </c>
    </row>
    <row r="35" spans="1:70" x14ac:dyDescent="0.25">
      <c r="G35" s="88">
        <v>10</v>
      </c>
      <c r="H35" s="127">
        <f>J35*L25+J34*L26+J33*L27+J32*L28</f>
        <v>2.1507442922897612E-6</v>
      </c>
      <c r="I35" s="94">
        <v>10</v>
      </c>
      <c r="J35" s="89">
        <f t="shared" si="15"/>
        <v>7.8191780828301316E-8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4.9030708361782777E-4</v>
      </c>
      <c r="S35" s="72">
        <v>10</v>
      </c>
      <c r="T35" s="133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5.1831978868577266E-4</v>
      </c>
      <c r="W35" s="135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7.8191780828301316E-8</v>
      </c>
      <c r="BH35">
        <f t="shared" si="19"/>
        <v>3</v>
      </c>
      <c r="BI35">
        <v>8</v>
      </c>
      <c r="BJ35" s="107">
        <f t="shared" si="20"/>
        <v>2.3661456612789483E-3</v>
      </c>
      <c r="BP35">
        <f t="shared" si="21"/>
        <v>8</v>
      </c>
      <c r="BQ35">
        <v>4</v>
      </c>
      <c r="BR35" s="107">
        <f t="shared" si="22"/>
        <v>6.1472462491492393E-5</v>
      </c>
    </row>
    <row r="36" spans="1:70" x14ac:dyDescent="0.25">
      <c r="A36" s="1"/>
      <c r="B36" s="108">
        <f>SUM(B37:B39)</f>
        <v>0.99995243105071974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0.99999999999999989</v>
      </c>
      <c r="BH36">
        <f t="shared" si="19"/>
        <v>3</v>
      </c>
      <c r="BI36">
        <v>9</v>
      </c>
      <c r="BJ36" s="107">
        <f t="shared" si="20"/>
        <v>5.194272087307389E-4</v>
      </c>
      <c r="BP36">
        <f t="shared" si="21"/>
        <v>8</v>
      </c>
      <c r="BQ36">
        <v>5</v>
      </c>
      <c r="BR36" s="107">
        <f t="shared" si="22"/>
        <v>4.5132325255279172E-5</v>
      </c>
    </row>
    <row r="37" spans="1:70" x14ac:dyDescent="0.25">
      <c r="A37" s="109" t="s">
        <v>124</v>
      </c>
      <c r="B37" s="107">
        <f>SUM(BN4:BN14)</f>
        <v>0.14048905371143711</v>
      </c>
      <c r="G37" s="13"/>
      <c r="H37" s="59">
        <f>SUM(H39:H49)</f>
        <v>0.99995470085969684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0.99999999999999978</v>
      </c>
      <c r="S37" s="13"/>
      <c r="T37" s="59">
        <f>SUM(T39:T49)</f>
        <v>1</v>
      </c>
      <c r="U37" s="13"/>
      <c r="V37" s="59">
        <f>SUM(V39:V48)</f>
        <v>0.99797544825724893</v>
      </c>
      <c r="W37" s="13"/>
      <c r="X37" s="13"/>
      <c r="Y37" s="80">
        <f>SUM(Y39:Y49)</f>
        <v>4.8541627045873995E-4</v>
      </c>
      <c r="Z37" s="81"/>
      <c r="AA37" s="80">
        <f>SUM(AA39:AA49)</f>
        <v>5.5515342224545126E-3</v>
      </c>
      <c r="AB37" s="81"/>
      <c r="AC37" s="80">
        <f>SUM(AC39:AC49)</f>
        <v>2.8576484867223001E-2</v>
      </c>
      <c r="AD37" s="81"/>
      <c r="AE37" s="80">
        <f>SUM(AE39:AE49)</f>
        <v>8.7192069039690526E-2</v>
      </c>
      <c r="AF37" s="81"/>
      <c r="AG37" s="80">
        <f>SUM(AG39:AG49)</f>
        <v>0.17465467567836535</v>
      </c>
      <c r="AH37" s="81"/>
      <c r="AI37" s="80">
        <f>SUM(AI39:AI49)</f>
        <v>0.24003513143466115</v>
      </c>
      <c r="AJ37" s="81"/>
      <c r="AK37" s="80">
        <f>SUM(AK39:AK49)</f>
        <v>0.22929942963070324</v>
      </c>
      <c r="AL37" s="81"/>
      <c r="AM37" s="80">
        <f>SUM(AM39:AM49)</f>
        <v>0.15044053428887086</v>
      </c>
      <c r="AN37" s="81"/>
      <c r="AO37" s="80">
        <f>SUM(AO39:AO49)</f>
        <v>6.4978361157396539E-2</v>
      </c>
      <c r="AP37" s="81"/>
      <c r="AQ37" s="80">
        <f>SUM(AQ39:AQ49)</f>
        <v>1.6761811667424933E-2</v>
      </c>
      <c r="AR37" s="81"/>
      <c r="AS37" s="80">
        <f>SUM(AS39:AS49)</f>
        <v>2.024551742751068E-3</v>
      </c>
      <c r="BH37">
        <f t="shared" si="19"/>
        <v>3</v>
      </c>
      <c r="BI37">
        <v>10</v>
      </c>
      <c r="BJ37" s="107">
        <f t="shared" si="20"/>
        <v>8.2391492263393383E-5</v>
      </c>
      <c r="BP37">
        <f t="shared" si="21"/>
        <v>8</v>
      </c>
      <c r="BQ37">
        <v>6</v>
      </c>
      <c r="BR37" s="107">
        <f t="shared" si="22"/>
        <v>2.4290625392307293E-5</v>
      </c>
    </row>
    <row r="38" spans="1:70" x14ac:dyDescent="0.25">
      <c r="A38" s="110" t="s">
        <v>125</v>
      </c>
      <c r="B38" s="107">
        <f>SUM(BJ4:BJ59)</f>
        <v>0.7067753884939828</v>
      </c>
      <c r="G38" s="103" t="str">
        <f t="shared" ref="G38:AS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39" t="str">
        <f t="shared" si="23"/>
        <v>p</v>
      </c>
      <c r="U38" s="140" t="str">
        <f t="shared" si="23"/>
        <v>Total</v>
      </c>
      <c r="V38" s="141" t="str">
        <f t="shared" si="23"/>
        <v>P</v>
      </c>
      <c r="W38" s="90" t="str">
        <f t="shared" si="23"/>
        <v>E(x)</v>
      </c>
      <c r="X38" s="30" t="str">
        <f t="shared" si="23"/>
        <v>G0</v>
      </c>
      <c r="Y38" s="30" t="str">
        <f t="shared" si="23"/>
        <v>p</v>
      </c>
      <c r="Z38" s="30" t="str">
        <f t="shared" si="23"/>
        <v>G1</v>
      </c>
      <c r="AA38" s="30" t="str">
        <f t="shared" si="23"/>
        <v>p</v>
      </c>
      <c r="AB38" s="30" t="str">
        <f t="shared" si="23"/>
        <v>G2</v>
      </c>
      <c r="AC38" s="30" t="str">
        <f t="shared" si="23"/>
        <v>p</v>
      </c>
      <c r="AD38" s="30" t="str">
        <f t="shared" si="23"/>
        <v>G3</v>
      </c>
      <c r="AE38" s="30" t="str">
        <f t="shared" si="23"/>
        <v>p</v>
      </c>
      <c r="AF38" s="30" t="str">
        <f t="shared" si="23"/>
        <v>G4</v>
      </c>
      <c r="AG38" s="30" t="str">
        <f t="shared" si="23"/>
        <v>p</v>
      </c>
      <c r="AH38" s="30" t="str">
        <f t="shared" si="23"/>
        <v>G5</v>
      </c>
      <c r="AI38" s="30" t="str">
        <f t="shared" si="23"/>
        <v>p</v>
      </c>
      <c r="AJ38" s="30" t="str">
        <f t="shared" si="23"/>
        <v>G6</v>
      </c>
      <c r="AK38" s="30" t="str">
        <f t="shared" si="23"/>
        <v>p</v>
      </c>
      <c r="AL38" s="30" t="str">
        <f t="shared" si="23"/>
        <v>G7</v>
      </c>
      <c r="AM38" s="30" t="str">
        <f t="shared" si="23"/>
        <v>p</v>
      </c>
      <c r="AN38" s="30" t="str">
        <f t="shared" si="23"/>
        <v>G8</v>
      </c>
      <c r="AO38" s="30" t="str">
        <f t="shared" si="23"/>
        <v>p</v>
      </c>
      <c r="AP38" s="30" t="str">
        <f t="shared" si="23"/>
        <v>G9</v>
      </c>
      <c r="AQ38" s="30" t="str">
        <f t="shared" si="23"/>
        <v>p</v>
      </c>
      <c r="AR38" s="30" t="str">
        <f t="shared" si="23"/>
        <v>G10</v>
      </c>
      <c r="AS38" s="30" t="str">
        <f t="shared" si="23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4">BH32+1</f>
        <v>4</v>
      </c>
      <c r="BI38">
        <v>5</v>
      </c>
      <c r="BJ38" s="107">
        <f t="shared" ref="BJ38:BJ43" si="25">$H$29*H44</f>
        <v>1.8173615163660516E-2</v>
      </c>
      <c r="BP38">
        <f>BL11+1</f>
        <v>8</v>
      </c>
      <c r="BQ38">
        <v>7</v>
      </c>
      <c r="BR38" s="107">
        <f t="shared" si="22"/>
        <v>9.7099606339176035E-6</v>
      </c>
    </row>
    <row r="39" spans="1:70" x14ac:dyDescent="0.25">
      <c r="A39" s="111" t="s">
        <v>126</v>
      </c>
      <c r="B39" s="107">
        <f>SUM(BR4:BR47)</f>
        <v>0.15268798884529994</v>
      </c>
      <c r="G39" s="128">
        <v>0</v>
      </c>
      <c r="H39" s="129">
        <f>L39*J39</f>
        <v>1.0768418663279985E-2</v>
      </c>
      <c r="I39" s="97">
        <v>0</v>
      </c>
      <c r="J39" s="98">
        <f t="shared" ref="J39:J49" si="26">Y39+AA39+AC39+AE39+AG39+AI39+AK39+AM39+AO39+AQ39+AS39</f>
        <v>1.7143540699357022E-2</v>
      </c>
      <c r="K39" s="102">
        <v>0</v>
      </c>
      <c r="L39" s="98">
        <f>AC20</f>
        <v>0.6281327091132265</v>
      </c>
      <c r="M39" s="84">
        <v>0</v>
      </c>
      <c r="N39" s="71">
        <f>(1-$C$24)^$B$21</f>
        <v>2.2142878846659206E-2</v>
      </c>
      <c r="O39" s="70">
        <v>0</v>
      </c>
      <c r="P39" s="71">
        <f t="shared" ref="P39:P44" si="27">N39</f>
        <v>2.2142878846659206E-2</v>
      </c>
      <c r="Q39" s="12">
        <v>0</v>
      </c>
      <c r="R39" s="73">
        <f>P39*N39</f>
        <v>4.9030708361782777E-4</v>
      </c>
      <c r="S39" s="70">
        <v>0</v>
      </c>
      <c r="T39" s="133">
        <f>(1-$C$33)^(INT(B23*2*(1-B31)))</f>
        <v>0.99002500000000004</v>
      </c>
      <c r="U39" s="138">
        <v>0</v>
      </c>
      <c r="V39" s="86">
        <f>R39*T39</f>
        <v>4.8541627045873995E-4</v>
      </c>
      <c r="W39" s="134">
        <f>C31</f>
        <v>0.62570229526274812</v>
      </c>
      <c r="X39" s="12">
        <v>0</v>
      </c>
      <c r="Y39" s="79">
        <f>V39</f>
        <v>4.8541627045873995E-4</v>
      </c>
      <c r="Z39" s="12">
        <v>0</v>
      </c>
      <c r="AA39" s="78">
        <f>((1-W39)^Z40)*V40</f>
        <v>2.0779265172350282E-3</v>
      </c>
      <c r="AB39" s="12">
        <v>0</v>
      </c>
      <c r="AC39" s="79">
        <f>(((1-$W$39)^AB41))*V41</f>
        <v>4.0035304314469415E-3</v>
      </c>
      <c r="AD39" s="12">
        <v>0</v>
      </c>
      <c r="AE39" s="79">
        <f>(((1-$W$39)^AB42))*V42</f>
        <v>4.572234278723465E-3</v>
      </c>
      <c r="AF39" s="12">
        <v>0</v>
      </c>
      <c r="AG39" s="79">
        <f>(((1-$W$39)^AB43))*V43</f>
        <v>3.428063613687595E-3</v>
      </c>
      <c r="AH39" s="12">
        <v>0</v>
      </c>
      <c r="AI39" s="79">
        <f>(((1-$W$39)^AB44))*V44</f>
        <v>1.763439762908488E-3</v>
      </c>
      <c r="AJ39" s="12">
        <v>0</v>
      </c>
      <c r="AK39" s="79">
        <f>(((1-$W$39)^AB45))*V45</f>
        <v>6.305302953534777E-4</v>
      </c>
      <c r="AL39" s="12">
        <v>0</v>
      </c>
      <c r="AM39" s="79">
        <f>(((1-$W$39)^AB46))*V46</f>
        <v>1.5484066034930931E-4</v>
      </c>
      <c r="AN39" s="12">
        <v>0</v>
      </c>
      <c r="AO39" s="79">
        <f>(((1-$W$39)^AB47))*V47</f>
        <v>2.5032606079917648E-5</v>
      </c>
      <c r="AP39" s="12">
        <v>0</v>
      </c>
      <c r="AQ39" s="79">
        <f>(((1-$W$39)^AB48))*V48</f>
        <v>2.4169932204380531E-6</v>
      </c>
      <c r="AR39" s="12">
        <v>0</v>
      </c>
      <c r="AS39" s="79">
        <f>(((1-$W$39)^AB49))*V49</f>
        <v>1.0926989362053767E-7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4"/>
        <v>4</v>
      </c>
      <c r="BI39">
        <v>6</v>
      </c>
      <c r="BJ39" s="107">
        <f t="shared" si="25"/>
        <v>9.7812039478909034E-3</v>
      </c>
      <c r="BP39">
        <f t="shared" ref="BP39:BP46" si="28">BP31+1</f>
        <v>9</v>
      </c>
      <c r="BQ39">
        <v>0</v>
      </c>
      <c r="BR39" s="107">
        <f t="shared" ref="BR39:BR47" si="29">$H$34*H39</f>
        <v>2.9931972704303803E-7</v>
      </c>
    </row>
    <row r="40" spans="1:70" x14ac:dyDescent="0.25">
      <c r="G40" s="91">
        <v>1</v>
      </c>
      <c r="H40" s="130">
        <f>L39*J40+L40*J39</f>
        <v>5.9336437774699977E-2</v>
      </c>
      <c r="I40" s="93">
        <v>1</v>
      </c>
      <c r="J40" s="86">
        <f t="shared" si="26"/>
        <v>8.5959478962535543E-2</v>
      </c>
      <c r="K40" s="95">
        <v>1</v>
      </c>
      <c r="L40" s="86">
        <f>AD20</f>
        <v>0.31163208777528073</v>
      </c>
      <c r="M40" s="85">
        <v>1</v>
      </c>
      <c r="N40" s="71">
        <f>(($C$24)^M26)*((1-($C$24))^($B$21-M26))*HLOOKUP($B$21,$AV$24:$BF$34,M26+1)</f>
        <v>0.12650886662888206</v>
      </c>
      <c r="O40" s="72">
        <v>1</v>
      </c>
      <c r="P40" s="71">
        <f t="shared" si="27"/>
        <v>0.12650886662888206</v>
      </c>
      <c r="Q40" s="28">
        <v>1</v>
      </c>
      <c r="R40" s="37">
        <f>P40*N39+P39*N40</f>
        <v>5.6025410135830062E-3</v>
      </c>
      <c r="S40" s="72">
        <v>1</v>
      </c>
      <c r="T40" s="133">
        <f t="shared" ref="T40:T49" si="30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5.5515342224545126E-3</v>
      </c>
      <c r="W40" s="135"/>
      <c r="X40" s="28">
        <v>1</v>
      </c>
      <c r="Y40" s="73"/>
      <c r="Z40" s="28">
        <v>1</v>
      </c>
      <c r="AA40" s="79">
        <f>(1-((1-W39)^Z40))*V40</f>
        <v>3.4736077052194845E-3</v>
      </c>
      <c r="AB40" s="28">
        <v>1</v>
      </c>
      <c r="AC40" s="79">
        <f>((($W$39)^M40)*((1-($W$39))^($U$27-M40))*HLOOKUP($U$27,$AV$24:$BF$34,M40+1))*V41</f>
        <v>1.3385164527626879E-2</v>
      </c>
      <c r="AD40" s="28">
        <v>1</v>
      </c>
      <c r="AE40" s="79">
        <f>((($W$39)^M40)*((1-($W$39))^($U$28-M40))*HLOOKUP($U$28,$AV$24:$BF$34,M40+1))*V42</f>
        <v>2.2929802505878644E-2</v>
      </c>
      <c r="AF40" s="28">
        <v>1</v>
      </c>
      <c r="AG40" s="79">
        <f>((($W$39)^M40)*((1-($W$39))^($U$29-M40))*HLOOKUP($U$29,$AV$24:$BF$34,M40+1))*V43</f>
        <v>2.2922366279501939E-2</v>
      </c>
      <c r="AH40" s="28">
        <v>1</v>
      </c>
      <c r="AI40" s="79">
        <f>((($W$39)^M40)*((1-($W$39))^($U$30-M40))*HLOOKUP($U$30,$AV$24:$BF$34,M40+1))*V44</f>
        <v>1.4739447948044321E-2</v>
      </c>
      <c r="AJ40" s="28">
        <v>1</v>
      </c>
      <c r="AK40" s="79">
        <f>((($W$39)^M40)*((1-($W$39))^($U$31-M40))*HLOOKUP($U$31,$AV$24:$BF$34,M40+1))*V45</f>
        <v>6.324231990345484E-3</v>
      </c>
      <c r="AL40" s="28">
        <v>1</v>
      </c>
      <c r="AM40" s="79">
        <f>((($W$39)^Q40)*((1-($W$39))^($U$32-Q40))*HLOOKUP($U$32,$AV$24:$BF$34,Q40+1))*V46</f>
        <v>1.8118975550224375E-3</v>
      </c>
      <c r="AN40" s="28">
        <v>1</v>
      </c>
      <c r="AO40" s="79">
        <f>((($W$39)^Q40)*((1-($W$39))^($U$33-Q40))*HLOOKUP($U$33,$AV$24:$BF$34,Q40+1))*V47</f>
        <v>3.3477008023028565E-4</v>
      </c>
      <c r="AP40" s="28">
        <v>1</v>
      </c>
      <c r="AQ40" s="79">
        <f>((($W$39)^Q40)*((1-($W$39))^($U$34-Q40))*HLOOKUP($U$34,$AV$24:$BF$34,Q40+1))*V48</f>
        <v>3.6363738485967538E-5</v>
      </c>
      <c r="AR40" s="28">
        <v>1</v>
      </c>
      <c r="AS40" s="79">
        <f>((($W$39)^Q40)*((1-($W$39))^($U$35-Q40))*HLOOKUP($U$35,$AV$24:$BF$34,Q40+1))*V49</f>
        <v>1.8266321801113142E-6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4"/>
        <v>4</v>
      </c>
      <c r="BI40">
        <v>7</v>
      </c>
      <c r="BJ40" s="107">
        <f t="shared" si="25"/>
        <v>3.9099489515991718E-3</v>
      </c>
      <c r="BP40">
        <f t="shared" si="28"/>
        <v>9</v>
      </c>
      <c r="BQ40">
        <v>1</v>
      </c>
      <c r="BR40" s="107">
        <f t="shared" si="29"/>
        <v>1.6493198225095443E-6</v>
      </c>
    </row>
    <row r="41" spans="1:70" x14ac:dyDescent="0.25">
      <c r="G41" s="91">
        <v>2</v>
      </c>
      <c r="H41" s="130">
        <f>L39*J41+J40*L40+J39*L41</f>
        <v>0.14959176237989219</v>
      </c>
      <c r="I41" s="93">
        <v>2</v>
      </c>
      <c r="J41" s="86">
        <f t="shared" si="26"/>
        <v>0.19400813976535333</v>
      </c>
      <c r="K41" s="95">
        <v>2</v>
      </c>
      <c r="L41" s="86">
        <f>AE20</f>
        <v>5.4899514773417861E-2</v>
      </c>
      <c r="M41" s="85">
        <v>2</v>
      </c>
      <c r="N41" s="71">
        <f>(($C$24)^M27)*((1-($C$24))^($B$21-M27))*HLOOKUP($B$21,$AV$24:$BF$34,M27+1)</f>
        <v>0.28911314461965615</v>
      </c>
      <c r="O41" s="72">
        <v>2</v>
      </c>
      <c r="P41" s="71">
        <f t="shared" si="27"/>
        <v>0.28911314461965615</v>
      </c>
      <c r="Q41" s="28">
        <v>2</v>
      </c>
      <c r="R41" s="37">
        <f>P41*N39+P40*N40+P39*N41</f>
        <v>2.8808088004303685E-2</v>
      </c>
      <c r="S41" s="72">
        <v>2</v>
      </c>
      <c r="T41" s="133">
        <f t="shared" si="30"/>
        <v>2.5000000000000001E-5</v>
      </c>
      <c r="U41" s="93">
        <v>2</v>
      </c>
      <c r="V41" s="86">
        <f>R41*T39+T40*R40+R39*T41</f>
        <v>2.8576484867223001E-2</v>
      </c>
      <c r="W41" s="135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1.1187789908149179E-2</v>
      </c>
      <c r="AD41" s="28">
        <v>2</v>
      </c>
      <c r="AE41" s="79">
        <f>((($W$39)^M41)*((1-($W$39))^($U$28-M41))*HLOOKUP($U$28,$AV$24:$BF$34,M41+1))*V42</f>
        <v>3.8331066090616817E-2</v>
      </c>
      <c r="AF41" s="28">
        <v>2</v>
      </c>
      <c r="AG41" s="79">
        <f>((($W$39)^M41)*((1-($W$39))^($U$29-M41))*HLOOKUP($U$29,$AV$24:$BF$34,M41+1))*V43</f>
        <v>5.7477952759579162E-2</v>
      </c>
      <c r="AH41" s="28">
        <v>2</v>
      </c>
      <c r="AI41" s="79">
        <f>((($W$39)^M41)*((1-($W$39))^($U$30-M41))*HLOOKUP($U$30,$AV$24:$BF$34,M41+1))*V44</f>
        <v>4.9278989933807457E-2</v>
      </c>
      <c r="AJ41" s="28">
        <v>2</v>
      </c>
      <c r="AK41" s="79">
        <f>((($W$39)^M41)*((1-($W$39))^($U$31-M41))*HLOOKUP($U$31,$AV$24:$BF$34,M41+1))*V45</f>
        <v>2.6430074390324198E-2</v>
      </c>
      <c r="AL41" s="28">
        <v>2</v>
      </c>
      <c r="AM41" s="79">
        <f>((($W$39)^Q41)*((1-($W$39))^($U$32-Q41))*HLOOKUP($U$32,$AV$24:$BF$34,Q41+1))*V46</f>
        <v>9.0866851007355524E-3</v>
      </c>
      <c r="AN41" s="28">
        <v>2</v>
      </c>
      <c r="AO41" s="79">
        <f>((($W$39)^Q41)*((1-($W$39))^($U$33-Q41))*HLOOKUP($U$33,$AV$24:$BF$34,Q41+1))*V47</f>
        <v>1.958688010292464E-3</v>
      </c>
      <c r="AP41" s="28">
        <v>2</v>
      </c>
      <c r="AQ41" s="79">
        <f>((($W$39)^Q41)*((1-($W$39))^($U$34-Q41))*HLOOKUP($U$34,$AV$24:$BF$34,Q41+1))*V48</f>
        <v>2.4315270275008711E-4</v>
      </c>
      <c r="AR41" s="28">
        <v>2</v>
      </c>
      <c r="AS41" s="79">
        <f>((($W$39)^Q41)*((1-($W$39))^($U$35-Q41))*HLOOKUP($U$35,$AV$24:$BF$34,Q41+1))*V49</f>
        <v>1.3740869098420998E-5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4"/>
        <v>4</v>
      </c>
      <c r="BI41">
        <v>8</v>
      </c>
      <c r="BJ41" s="107">
        <f t="shared" si="25"/>
        <v>1.1631028988501864E-3</v>
      </c>
      <c r="BP41">
        <f t="shared" si="28"/>
        <v>9</v>
      </c>
      <c r="BQ41">
        <v>2</v>
      </c>
      <c r="BR41" s="107">
        <f t="shared" si="29"/>
        <v>4.158063210907696E-6</v>
      </c>
    </row>
    <row r="42" spans="1:70" ht="15" customHeight="1" x14ac:dyDescent="0.25">
      <c r="G42" s="91">
        <v>3</v>
      </c>
      <c r="H42" s="130">
        <f>J42*L39+J41*L40+L42*J39+L41*J40</f>
        <v>0.22831915969096711</v>
      </c>
      <c r="I42" s="93">
        <v>3</v>
      </c>
      <c r="J42" s="86">
        <f t="shared" si="26"/>
        <v>0.25957793537814089</v>
      </c>
      <c r="K42" s="95">
        <v>3</v>
      </c>
      <c r="L42" s="86">
        <f>AF20</f>
        <v>5.3356883380749134E-3</v>
      </c>
      <c r="M42" s="85">
        <v>3</v>
      </c>
      <c r="N42" s="71">
        <f>(($C$24)^M28)*((1-($C$24))^($B$21-M28))*HLOOKUP($B$21,$AV$24:$BF$34,M28+1)</f>
        <v>0.33035791331950554</v>
      </c>
      <c r="O42" s="72">
        <v>3</v>
      </c>
      <c r="P42" s="71">
        <f t="shared" si="27"/>
        <v>0.33035791331950554</v>
      </c>
      <c r="Q42" s="28">
        <v>3</v>
      </c>
      <c r="R42" s="37">
        <f>P42*N39+P41*N40+P40*N41+P39*N42</f>
        <v>8.7780903008027447E-2</v>
      </c>
      <c r="S42" s="72">
        <v>3</v>
      </c>
      <c r="T42" s="133">
        <f t="shared" si="30"/>
        <v>0</v>
      </c>
      <c r="U42" s="93">
        <v>3</v>
      </c>
      <c r="V42" s="86">
        <f>R42*T39+R41*T40+R40*T41+R39*T42</f>
        <v>8.7192069039690526E-2</v>
      </c>
      <c r="W42" s="135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2.13589661644716E-2</v>
      </c>
      <c r="AF42" s="28">
        <v>3</v>
      </c>
      <c r="AG42" s="79">
        <f>((($W$39)^M42)*((1-($W$39))^($U$29-M42))*HLOOKUP($U$29,$AV$24:$BF$34,M42+1))*V43</f>
        <v>6.405611809975062E-2</v>
      </c>
      <c r="AH42" s="28">
        <v>3</v>
      </c>
      <c r="AI42" s="79">
        <f>((($W$39)^M42)*((1-($W$39))^($U$30-M42))*HLOOKUP($U$30,$AV$24:$BF$34,M42+1))*V44</f>
        <v>8.2378215841472785E-2</v>
      </c>
      <c r="AJ42" s="28">
        <v>3</v>
      </c>
      <c r="AK42" s="79">
        <f>((($W$39)^M42)*((1-($W$39))^($U$31-M42))*HLOOKUP($U$31,$AV$24:$BF$34,M42+1))*V45</f>
        <v>5.8909821427126162E-2</v>
      </c>
      <c r="AL42" s="28">
        <v>3</v>
      </c>
      <c r="AM42" s="79">
        <f>((($W$39)^Q42)*((1-($W$39))^($U$32-Q42))*HLOOKUP($U$32,$AV$24:$BF$34,Q42+1))*V46</f>
        <v>2.5316566874894315E-2</v>
      </c>
      <c r="AN42" s="28">
        <v>3</v>
      </c>
      <c r="AO42" s="79">
        <f>((($W$39)^Q42)*((1-($W$39))^($U$33-Q42))*HLOOKUP($U$33,$AV$24:$BF$34,Q42+1))*V47</f>
        <v>6.5485605080262575E-3</v>
      </c>
      <c r="AP42" s="28">
        <v>3</v>
      </c>
      <c r="AQ42" s="79">
        <f>((($W$39)^Q42)*((1-($W$39))^($U$34-Q42))*HLOOKUP($U$34,$AV$24:$BF$34,Q42+1))*V48</f>
        <v>9.4843259433297718E-4</v>
      </c>
      <c r="AR42" s="28">
        <v>3</v>
      </c>
      <c r="AS42" s="79">
        <f>((($W$39)^Q42)*((1-($W$39))^($U$35-Q42))*HLOOKUP($U$35,$AV$24:$BF$34,Q42+1))*V49</f>
        <v>6.1253868066132828E-5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31">BE41+BE42</f>
        <v>210</v>
      </c>
      <c r="BH42">
        <f t="shared" si="24"/>
        <v>4</v>
      </c>
      <c r="BI42">
        <v>9</v>
      </c>
      <c r="BJ42" s="107">
        <f t="shared" si="25"/>
        <v>2.5532971283341441E-4</v>
      </c>
      <c r="BP42">
        <f t="shared" si="28"/>
        <v>9</v>
      </c>
      <c r="BQ42">
        <v>3</v>
      </c>
      <c r="BR42" s="107">
        <f t="shared" si="29"/>
        <v>6.3463755166239114E-6</v>
      </c>
    </row>
    <row r="43" spans="1:70" ht="15" customHeight="1" x14ac:dyDescent="0.25">
      <c r="G43" s="91">
        <v>4</v>
      </c>
      <c r="H43" s="130">
        <f>J43*L39+J42*L40+J41*L41+J40*L42</f>
        <v>0.23524510145670899</v>
      </c>
      <c r="I43" s="93">
        <v>4</v>
      </c>
      <c r="J43" s="86">
        <f t="shared" si="26"/>
        <v>0.22804525176214402</v>
      </c>
      <c r="K43" s="95">
        <v>4</v>
      </c>
      <c r="L43" s="86"/>
      <c r="M43" s="85">
        <v>4</v>
      </c>
      <c r="N43" s="71">
        <f>(($C$24)^M29)*((1-($C$24))^($B$21-M29))*HLOOKUP($B$21,$AV$24:$BF$34,M29+1)</f>
        <v>0.18874332233560787</v>
      </c>
      <c r="O43" s="72">
        <v>4</v>
      </c>
      <c r="P43" s="71">
        <f t="shared" si="27"/>
        <v>0.18874332233560787</v>
      </c>
      <c r="Q43" s="28">
        <v>4</v>
      </c>
      <c r="R43" s="37">
        <f>P43*N39+P42*N40+P41*N41+P40*N42+P39*N43</f>
        <v>0.17553146182291901</v>
      </c>
      <c r="S43" s="72">
        <v>4</v>
      </c>
      <c r="T43" s="133">
        <f t="shared" si="30"/>
        <v>0</v>
      </c>
      <c r="U43" s="93">
        <v>4</v>
      </c>
      <c r="V43" s="86">
        <f>T43*R39+T42*R40+T41*R41+T40*R42+T39*R43</f>
        <v>0.17465467567836537</v>
      </c>
      <c r="W43" s="135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2.6770174925846043E-2</v>
      </c>
      <c r="AH43" s="28">
        <v>4</v>
      </c>
      <c r="AI43" s="79">
        <f>((($W$39)^M43)*((1-($W$39))^($U$30-M43))*HLOOKUP($U$30,$AV$24:$BF$34,M43+1))*V44</f>
        <v>6.8854601670403554E-2</v>
      </c>
      <c r="AJ43" s="28">
        <v>4</v>
      </c>
      <c r="AK43" s="79">
        <f>((($W$39)^M43)*((1-($W$39))^($U$31-M43))*HLOOKUP($U$31,$AV$24:$BF$34,M43+1))*V45</f>
        <v>7.3858341930682511E-2</v>
      </c>
      <c r="AL43" s="28">
        <v>4</v>
      </c>
      <c r="AM43" s="79">
        <f>((($W$39)^Q43)*((1-($W$39))^($U$32-Q43))*HLOOKUP($U$32,$AV$24:$BF$34,Q43+1))*V46</f>
        <v>4.2320948809755551E-2</v>
      </c>
      <c r="AN43" s="28">
        <v>4</v>
      </c>
      <c r="AO43" s="79">
        <f>((($W$39)^Q43)*((1-($W$39))^($U$33-Q43))*HLOOKUP($U$33,$AV$24:$BF$34,Q43+1))*V47</f>
        <v>1.3683791299947087E-2</v>
      </c>
      <c r="AP43" s="28">
        <v>4</v>
      </c>
      <c r="AQ43" s="79">
        <f>((($W$39)^Q43)*((1-($W$39))^($U$34-Q43))*HLOOKUP($U$34,$AV$24:$BF$34,Q43+1))*V48</f>
        <v>2.3781996669979249E-3</v>
      </c>
      <c r="AR43" s="28">
        <v>4</v>
      </c>
      <c r="AS43" s="79">
        <f>((($W$39)^Q43)*((1-($W$39))^($U$35-Q43))*HLOOKUP($U$35,$AV$24:$BF$34,Q43+1))*V49</f>
        <v>1.7919345851134523E-4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31"/>
        <v>252</v>
      </c>
      <c r="BH43">
        <f t="shared" si="24"/>
        <v>4</v>
      </c>
      <c r="BI43">
        <v>10</v>
      </c>
      <c r="BJ43" s="107">
        <f t="shared" si="25"/>
        <v>4.0500373692272041E-5</v>
      </c>
      <c r="BP43">
        <f t="shared" si="28"/>
        <v>9</v>
      </c>
      <c r="BQ43">
        <v>4</v>
      </c>
      <c r="BR43" s="107">
        <f t="shared" si="29"/>
        <v>6.5388894839631419E-6</v>
      </c>
    </row>
    <row r="44" spans="1:70" ht="15" customHeight="1" x14ac:dyDescent="0.25">
      <c r="G44" s="91">
        <v>5</v>
      </c>
      <c r="H44" s="130">
        <f>J44*L39+J43*L40+J42*L41+J41*L42</f>
        <v>0.17271405769900178</v>
      </c>
      <c r="I44" s="93">
        <v>5</v>
      </c>
      <c r="J44" s="86">
        <f t="shared" si="26"/>
        <v>0.13749000627600602</v>
      </c>
      <c r="K44" s="95">
        <v>5</v>
      </c>
      <c r="L44" s="86"/>
      <c r="M44" s="85">
        <v>5</v>
      </c>
      <c r="N44" s="71">
        <f>(($C$24)^M30)*((1-($C$24))^($B$21-M30))*HLOOKUP($B$21,$AV$24:$BF$34,M30+1)</f>
        <v>4.3133874249689168E-2</v>
      </c>
      <c r="O44" s="72">
        <v>5</v>
      </c>
      <c r="P44" s="71">
        <f t="shared" si="27"/>
        <v>4.3133874249689168E-2</v>
      </c>
      <c r="Q44" s="28">
        <v>5</v>
      </c>
      <c r="R44" s="37">
        <f>P44*N39+P43*N40+P42*N41+P41*N42+P40*N43+P39*N44</f>
        <v>0.24068725422787091</v>
      </c>
      <c r="S44" s="72">
        <v>5</v>
      </c>
      <c r="T44" s="133">
        <f t="shared" si="30"/>
        <v>0</v>
      </c>
      <c r="U44" s="93">
        <v>5</v>
      </c>
      <c r="V44" s="86">
        <f>T44*R39+T43*R40+T42*R41+T41*R42+T40*R43+T39*R44</f>
        <v>0.24003513143466115</v>
      </c>
      <c r="W44" s="135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2.3020436278024539E-2</v>
      </c>
      <c r="AJ44" s="28">
        <v>5</v>
      </c>
      <c r="AK44" s="79">
        <f>((($W$39)^M44)*((1-($W$39))^($U$31-M44))*HLOOKUP($U$31,$AV$24:$BF$34,M44+1))*V45</f>
        <v>4.938671382211076E-2</v>
      </c>
      <c r="AL44" s="28">
        <v>5</v>
      </c>
      <c r="AM44" s="79">
        <f>((($W$39)^Q44)*((1-($W$39))^($U$32-Q44))*HLOOKUP($U$32,$AV$24:$BF$34,Q44+1))*V46</f>
        <v>4.2447999770476606E-2</v>
      </c>
      <c r="AN44" s="28">
        <v>5</v>
      </c>
      <c r="AO44" s="79">
        <f>((($W$39)^Q44)*((1-($W$39))^($U$33-Q44))*HLOOKUP($U$33,$AV$24:$BF$34,Q44+1))*V47</f>
        <v>1.8299828218895697E-2</v>
      </c>
      <c r="AP44" s="28">
        <v>5</v>
      </c>
      <c r="AQ44" s="79">
        <f>((($W$39)^Q44)*((1-($W$39))^($U$34-Q44))*HLOOKUP($U$34,$AV$24:$BF$34,Q44+1))*V48</f>
        <v>3.9755653625455096E-3</v>
      </c>
      <c r="AR44" s="28">
        <v>5</v>
      </c>
      <c r="AS44" s="79">
        <f>((($W$39)^Q44)*((1-($W$39))^($U$35-Q44))*HLOOKUP($U$35,$AV$24:$BF$34,Q44+1))*V49</f>
        <v>3.594628239529032E-4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1"/>
        <v>210</v>
      </c>
      <c r="BH44">
        <f>BH39+1</f>
        <v>5</v>
      </c>
      <c r="BI44">
        <v>6</v>
      </c>
      <c r="BJ44" s="107">
        <f>$H$30*H45</f>
        <v>3.4300083513310472E-3</v>
      </c>
      <c r="BP44">
        <f t="shared" si="28"/>
        <v>9</v>
      </c>
      <c r="BQ44">
        <v>5</v>
      </c>
      <c r="BR44" s="107">
        <f t="shared" si="29"/>
        <v>4.8007721675277322E-6</v>
      </c>
    </row>
    <row r="45" spans="1:70" ht="15" customHeight="1" x14ac:dyDescent="0.25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9.29562669732171E-2</v>
      </c>
      <c r="I45" s="93">
        <v>6</v>
      </c>
      <c r="J45" s="86">
        <f t="shared" si="26"/>
        <v>5.7639680457908189E-2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0.22918633687491768</v>
      </c>
      <c r="S45" s="70">
        <v>6</v>
      </c>
      <c r="T45" s="133">
        <f t="shared" si="30"/>
        <v>0</v>
      </c>
      <c r="U45" s="93">
        <v>6</v>
      </c>
      <c r="V45" s="86">
        <f>T45*R39+T44*R40+T43*R41+T42*R42+T41*R43+T40*R44+T39*R45</f>
        <v>0.22929942963070327</v>
      </c>
      <c r="W45" s="135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1.375971577476064E-2</v>
      </c>
      <c r="AL45" s="28">
        <v>6</v>
      </c>
      <c r="AM45" s="79">
        <f>((($W$39)^Q45)*((1-($W$39))^($U$32-Q45))*HLOOKUP($U$32,$AV$24:$BF$34,Q45+1))*V46</f>
        <v>2.3653017860336755E-2</v>
      </c>
      <c r="AN45" s="28">
        <v>6</v>
      </c>
      <c r="AO45" s="79">
        <f>((($W$39)^Q45)*((1-($W$39))^($U$33-Q45))*HLOOKUP($U$33,$AV$24:$BF$34,Q45+1))*V47</f>
        <v>1.5295638170577146E-2</v>
      </c>
      <c r="AP45" s="28">
        <v>6</v>
      </c>
      <c r="AQ45" s="79">
        <f>((($W$39)^Q45)*((1-($W$39))^($U$34-Q45))*HLOOKUP($U$34,$AV$24:$BF$34,Q45+1))*V48</f>
        <v>4.4305559288392018E-3</v>
      </c>
      <c r="AR45" s="28">
        <v>6</v>
      </c>
      <c r="AS45" s="79">
        <f>((($W$39)^Q45)*((1-($W$39))^($U$35-Q45))*HLOOKUP($U$35,$AV$24:$BF$34,Q45+1))*V49</f>
        <v>5.0075272339444084E-4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1"/>
        <v>120</v>
      </c>
      <c r="BH45">
        <f>BH40+1</f>
        <v>5</v>
      </c>
      <c r="BI45">
        <v>7</v>
      </c>
      <c r="BJ45" s="107">
        <f>$H$30*H46</f>
        <v>1.3711152153365583E-3</v>
      </c>
      <c r="BP45">
        <f t="shared" si="28"/>
        <v>9</v>
      </c>
      <c r="BQ45">
        <v>6</v>
      </c>
      <c r="BR45" s="107">
        <f t="shared" si="29"/>
        <v>2.5838189735546768E-6</v>
      </c>
    </row>
    <row r="46" spans="1:70" ht="15" customHeight="1" x14ac:dyDescent="0.25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3.7158437809169047E-2</v>
      </c>
      <c r="I46" s="93">
        <v>7</v>
      </c>
      <c r="J46" s="86">
        <f t="shared" si="26"/>
        <v>1.6606603472329638E-2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0.14964684028747735</v>
      </c>
      <c r="S46" s="72">
        <v>7</v>
      </c>
      <c r="T46" s="133">
        <f t="shared" si="30"/>
        <v>0</v>
      </c>
      <c r="U46" s="93">
        <v>7</v>
      </c>
      <c r="V46" s="86">
        <f>T46*R39+T45*R40+T44*R41+T43*R42+T42*R43+T41*R44+T40*R45+T39*R46</f>
        <v>0.15044053428887089</v>
      </c>
      <c r="W46" s="135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5.6485776573003401E-3</v>
      </c>
      <c r="AN46" s="28">
        <v>7</v>
      </c>
      <c r="AO46" s="79">
        <f>((($W$39)^Q46)*((1-($W$39))^($U$33-Q46))*HLOOKUP($U$33,$AV$24:$BF$34,Q46+1))*V47</f>
        <v>7.3055033006466626E-3</v>
      </c>
      <c r="AP46" s="28">
        <v>7</v>
      </c>
      <c r="AQ46" s="79">
        <f>((($W$39)^Q46)*((1-($W$39))^($U$34-Q46))*HLOOKUP($U$34,$AV$24:$BF$34,Q46+1))*V48</f>
        <v>3.1741834437575269E-3</v>
      </c>
      <c r="AR46" s="28">
        <v>7</v>
      </c>
      <c r="AS46" s="79">
        <f>((($W$39)^Q46)*((1-($W$39))^($U$35-Q46))*HLOOKUP($U$35,$AV$24:$BF$34,Q46+1))*V49</f>
        <v>4.7833907062510715E-4</v>
      </c>
      <c r="AV46" s="14">
        <v>8</v>
      </c>
      <c r="BD46">
        <v>1</v>
      </c>
      <c r="BE46">
        <v>9</v>
      </c>
      <c r="BF46">
        <f t="shared" si="31"/>
        <v>45</v>
      </c>
      <c r="BH46">
        <f>BH41+1</f>
        <v>5</v>
      </c>
      <c r="BI46">
        <v>8</v>
      </c>
      <c r="BJ46" s="107">
        <f>$H$30*H47</f>
        <v>4.0786928457551744E-4</v>
      </c>
      <c r="BP46">
        <f t="shared" si="28"/>
        <v>9</v>
      </c>
      <c r="BQ46">
        <v>7</v>
      </c>
      <c r="BR46" s="107">
        <f t="shared" si="29"/>
        <v>1.0328585663476074E-6</v>
      </c>
    </row>
    <row r="47" spans="1:70" ht="15" customHeight="1" x14ac:dyDescent="0.25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1.1053619182141049E-2</v>
      </c>
      <c r="I47" s="93">
        <v>8</v>
      </c>
      <c r="J47" s="86">
        <f t="shared" si="26"/>
        <v>3.1529553079252112E-3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6.4123275107309696E-2</v>
      </c>
      <c r="S47" s="72">
        <v>8</v>
      </c>
      <c r="T47" s="133">
        <f t="shared" si="30"/>
        <v>0</v>
      </c>
      <c r="U47" s="93">
        <v>8</v>
      </c>
      <c r="V47" s="86">
        <f>T47*R39+T46*R40+T45*R41+T44*R42+T43*R43+T42*R44+T41*R45+T40*R46+T39*R47</f>
        <v>6.4978361157396552E-2</v>
      </c>
      <c r="W47" s="135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1.5265489627010209E-3</v>
      </c>
      <c r="AP47" s="28">
        <v>8</v>
      </c>
      <c r="AQ47" s="79">
        <f>((($W$39)^Q47)*((1-($W$39))^($U$34-Q47))*HLOOKUP($U$34,$AV$24:$BF$34,Q47+1))*V48</f>
        <v>1.3265469178726926E-3</v>
      </c>
      <c r="AR47" s="28">
        <v>8</v>
      </c>
      <c r="AS47" s="79">
        <f>((($W$39)^Q47)*((1-($W$39))^($U$35-Q47))*HLOOKUP($U$35,$AV$24:$BF$34,Q47+1))*V49</f>
        <v>2.9985942735149748E-4</v>
      </c>
      <c r="AV47" s="29">
        <v>9</v>
      </c>
      <c r="BE47">
        <v>1</v>
      </c>
      <c r="BF47">
        <f t="shared" si="31"/>
        <v>10</v>
      </c>
      <c r="BH47">
        <f>BH42+1</f>
        <v>5</v>
      </c>
      <c r="BI47">
        <v>9</v>
      </c>
      <c r="BJ47" s="107">
        <f>$H$30*H48</f>
        <v>8.9537346529862754E-5</v>
      </c>
      <c r="BP47">
        <f>BL12+1</f>
        <v>9</v>
      </c>
      <c r="BQ47">
        <v>8</v>
      </c>
      <c r="BR47" s="107">
        <f t="shared" si="29"/>
        <v>3.0724718084357821E-7</v>
      </c>
    </row>
    <row r="48" spans="1:70" ht="15" customHeight="1" x14ac:dyDescent="0.25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2.4265414645050455E-3</v>
      </c>
      <c r="I48" s="93">
        <v>9</v>
      </c>
      <c r="J48" s="86">
        <f t="shared" si="26"/>
        <v>3.5778677416171495E-4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1.6282461462185316E-2</v>
      </c>
      <c r="S48" s="72">
        <v>9</v>
      </c>
      <c r="T48" s="133">
        <f t="shared" si="30"/>
        <v>0</v>
      </c>
      <c r="U48" s="93">
        <v>9</v>
      </c>
      <c r="V48" s="86">
        <f>T48*R39+T47*R40+T46*R41+T45*R42+T44*R43+T43*R44+T42*R45+T41*R46+T40*R47+T39*R48</f>
        <v>1.6761811667424936E-2</v>
      </c>
      <c r="W48" s="135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2.4639431862260696E-4</v>
      </c>
      <c r="AR48" s="28">
        <v>9</v>
      </c>
      <c r="AS48" s="79">
        <f>((($W$39)^Q48)*((1-($W$39))^($U$35-Q48))*HLOOKUP($U$35,$AV$24:$BF$34,Q48+1))*V49</f>
        <v>1.1139245553910799E-4</v>
      </c>
      <c r="AV48" s="14">
        <v>10</v>
      </c>
      <c r="BF48">
        <f t="shared" si="31"/>
        <v>1</v>
      </c>
      <c r="BH48">
        <f>BH43+1</f>
        <v>5</v>
      </c>
      <c r="BI48">
        <v>10</v>
      </c>
      <c r="BJ48" s="107">
        <f>$H$30*H49</f>
        <v>1.4202405014412931E-5</v>
      </c>
    </row>
    <row r="49" spans="1:62" ht="15" customHeight="1" x14ac:dyDescent="0.25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3.8489776611453692E-4</v>
      </c>
      <c r="I49" s="94">
        <v>10</v>
      </c>
      <c r="J49" s="89">
        <f t="shared" si="26"/>
        <v>1.8621144138380488E-5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1.8605311077879983E-3</v>
      </c>
      <c r="S49" s="72">
        <v>10</v>
      </c>
      <c r="T49" s="133">
        <f t="shared" si="30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2.0245517427510684E-3</v>
      </c>
      <c r="W49" s="135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1.8621144138380488E-5</v>
      </c>
      <c r="BH49">
        <f>BP14+1</f>
        <v>6</v>
      </c>
      <c r="BI49">
        <v>0</v>
      </c>
      <c r="BJ49" s="107">
        <f>$H$31*H39</f>
        <v>1.0233430583073342E-4</v>
      </c>
    </row>
    <row r="50" spans="1:62" x14ac:dyDescent="0.25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3.5312361618354397E-4</v>
      </c>
    </row>
    <row r="51" spans="1:62" x14ac:dyDescent="0.25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H51">
        <f>BH46+1</f>
        <v>6</v>
      </c>
      <c r="BI51">
        <v>8</v>
      </c>
      <c r="BJ51" s="107">
        <f>$H$31*H47</f>
        <v>1.0504461994767381E-4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2.30598794590309E-5</v>
      </c>
    </row>
    <row r="53" spans="1:62" x14ac:dyDescent="0.25">
      <c r="BH53">
        <f>BH48+1</f>
        <v>6</v>
      </c>
      <c r="BI53">
        <v>10</v>
      </c>
      <c r="BJ53" s="107">
        <f>$H$31*H49</f>
        <v>3.6577557896633394E-6</v>
      </c>
    </row>
    <row r="54" spans="1:62" x14ac:dyDescent="0.25">
      <c r="BH54">
        <f>BH51+1</f>
        <v>7</v>
      </c>
      <c r="BI54">
        <v>8</v>
      </c>
      <c r="BJ54" s="107">
        <f>$H$32*H47</f>
        <v>2.0150687790494028E-5</v>
      </c>
    </row>
    <row r="55" spans="1:62" x14ac:dyDescent="0.25">
      <c r="BH55">
        <f>BH52+1</f>
        <v>7</v>
      </c>
      <c r="BI55">
        <v>9</v>
      </c>
      <c r="BJ55" s="107">
        <f>$H$32*H48</f>
        <v>4.423571923024964E-6</v>
      </c>
    </row>
    <row r="56" spans="1:62" x14ac:dyDescent="0.25">
      <c r="BH56">
        <f>BH53+1</f>
        <v>7</v>
      </c>
      <c r="BI56">
        <v>10</v>
      </c>
      <c r="BJ56" s="107">
        <f>$H$32*H49</f>
        <v>7.0166653911541052E-7</v>
      </c>
    </row>
    <row r="57" spans="1:62" x14ac:dyDescent="0.25">
      <c r="BH57">
        <f>BH55+1</f>
        <v>8</v>
      </c>
      <c r="BI57">
        <v>9</v>
      </c>
      <c r="BJ57" s="107">
        <f>$H$33*H48</f>
        <v>6.3408537834437162E-7</v>
      </c>
    </row>
    <row r="58" spans="1:62" x14ac:dyDescent="0.25">
      <c r="BH58">
        <f>BH56+1</f>
        <v>8</v>
      </c>
      <c r="BI58">
        <v>10</v>
      </c>
      <c r="BJ58" s="107">
        <f>$H$33*H49</f>
        <v>1.0057855974054885E-7</v>
      </c>
    </row>
    <row r="59" spans="1:62" x14ac:dyDescent="0.25">
      <c r="BH59">
        <f>BH58+1</f>
        <v>9</v>
      </c>
      <c r="BI59">
        <v>10</v>
      </c>
      <c r="BJ59" s="107">
        <f>$H$34*H49</f>
        <v>1.0698645538897248E-8</v>
      </c>
    </row>
  </sheetData>
  <mergeCells count="2">
    <mergeCell ref="P1:Q1"/>
    <mergeCell ref="B3:C3"/>
  </mergeCells>
  <conditionalFormatting sqref="H49">
    <cfRule type="cellIs" dxfId="83" priority="1" operator="greaterThan">
      <formula>0.15</formula>
    </cfRule>
  </conditionalFormatting>
  <conditionalFormatting sqref="H39:H49">
    <cfRule type="cellIs" dxfId="82" priority="2" operator="greaterThan">
      <formula>0.15</formula>
    </cfRule>
  </conditionalFormatting>
  <conditionalFormatting sqref="H49">
    <cfRule type="cellIs" dxfId="81" priority="3" operator="greaterThan">
      <formula>0.15</formula>
    </cfRule>
  </conditionalFormatting>
  <conditionalFormatting sqref="H39:H49">
    <cfRule type="cellIs" dxfId="80" priority="4" operator="greaterThan">
      <formula>0.15</formula>
    </cfRule>
  </conditionalFormatting>
  <conditionalFormatting sqref="H35">
    <cfRule type="cellIs" dxfId="79" priority="5" operator="greaterThan">
      <formula>0.15</formula>
    </cfRule>
  </conditionalFormatting>
  <conditionalFormatting sqref="H25:H35">
    <cfRule type="cellIs" dxfId="78" priority="6" operator="greaterThan">
      <formula>0.15</formula>
    </cfRule>
  </conditionalFormatting>
  <conditionalFormatting sqref="H35">
    <cfRule type="cellIs" dxfId="77" priority="7" operator="greaterThan">
      <formula>0.15</formula>
    </cfRule>
  </conditionalFormatting>
  <conditionalFormatting sqref="H25:H35">
    <cfRule type="cellIs" dxfId="76" priority="8" operator="greaterThan">
      <formula>0.15</formula>
    </cfRule>
  </conditionalFormatting>
  <conditionalFormatting sqref="V49">
    <cfRule type="cellIs" dxfId="75" priority="9" operator="greaterThan">
      <formula>0.15</formula>
    </cfRule>
  </conditionalFormatting>
  <conditionalFormatting sqref="V35">
    <cfRule type="cellIs" dxfId="74" priority="10" operator="greaterThan">
      <formula>0.15</formula>
    </cfRule>
  </conditionalFormatting>
  <conditionalFormatting sqref="V25:V35 V39:V49">
    <cfRule type="cellIs" dxfId="73" priority="11" operator="greaterThan">
      <formula>0.15</formula>
    </cfRule>
  </conditionalFormatting>
  <conditionalFormatting sqref="V49">
    <cfRule type="cellIs" dxfId="72" priority="12" operator="greaterThan">
      <formula>0.15</formula>
    </cfRule>
  </conditionalFormatting>
  <conditionalFormatting sqref="V35">
    <cfRule type="cellIs" dxfId="71" priority="13" operator="greaterThan">
      <formula>0.15</formula>
    </cfRule>
  </conditionalFormatting>
  <conditionalFormatting sqref="V25:V35 V39:V49">
    <cfRule type="cellIs" dxfId="70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BR59"/>
  <sheetViews>
    <sheetView zoomScale="80" workbookViewId="0">
      <selection activeCell="Z14" sqref="Z14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8.42578125" customWidth="1"/>
    <col min="16" max="16" width="10.140625" customWidth="1"/>
    <col min="17" max="17" width="8.85546875" customWidth="1"/>
    <col min="19" max="19" width="8.85546875" customWidth="1"/>
    <col min="21" max="21" width="8.85546875" customWidth="1"/>
    <col min="23" max="23" width="17.42578125" customWidth="1"/>
    <col min="24" max="24" width="7.140625" customWidth="1"/>
    <col min="25" max="25" width="8.425781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8.8554687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5" max="35" width="8.4257812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143</v>
      </c>
      <c r="B1" t="s">
        <v>0</v>
      </c>
      <c r="F1" s="194" t="s">
        <v>1</v>
      </c>
      <c r="G1" s="192">
        <f>IF(D3="SI",COUNTIF($F$6:$F$18,"RAP"),0)</f>
        <v>0</v>
      </c>
      <c r="H1" s="13"/>
      <c r="J1" s="195" t="s">
        <v>1</v>
      </c>
      <c r="K1" s="192">
        <f>IF(D3="SI",COUNTIF($J$6:$J$18,"RAP"),0)</f>
        <v>0</v>
      </c>
      <c r="L1" s="13"/>
      <c r="P1" s="204"/>
      <c r="Q1" s="204"/>
      <c r="R1" s="150">
        <v>0</v>
      </c>
      <c r="S1" s="151">
        <f>1+R1</f>
        <v>1</v>
      </c>
      <c r="AI1" s="156" t="s">
        <v>147</v>
      </c>
    </row>
    <row r="2" spans="1:70" x14ac:dyDescent="0.25">
      <c r="A2" s="153" t="s">
        <v>146</v>
      </c>
      <c r="B2" t="s">
        <v>0</v>
      </c>
      <c r="F2" s="194" t="s">
        <v>2</v>
      </c>
      <c r="G2" s="192">
        <f>IF(D3="SI",COUNTIF($F$6:$F$18,"TEC"),0)</f>
        <v>0</v>
      </c>
      <c r="H2" s="13"/>
      <c r="J2" s="195" t="s">
        <v>2</v>
      </c>
      <c r="K2" s="192">
        <f>IF(D3="SI",COUNTIF($J$6:$J$18,"TEC"),0)</f>
        <v>0</v>
      </c>
      <c r="L2" s="13"/>
      <c r="M2" s="158"/>
      <c r="O2" t="s">
        <v>3</v>
      </c>
      <c r="P2" s="190" t="s">
        <v>148</v>
      </c>
      <c r="R2" s="150">
        <v>0</v>
      </c>
      <c r="S2" s="151">
        <f>1+R2</f>
        <v>1</v>
      </c>
      <c r="Y2" t="s">
        <v>3</v>
      </c>
      <c r="Z2" s="191" t="s">
        <v>148</v>
      </c>
      <c r="AI2" s="13">
        <f>IF(B17="JC",IF(C17="JC",4,3),IF(C17="JC",3,2))</f>
        <v>2</v>
      </c>
    </row>
    <row r="3" spans="1:70" x14ac:dyDescent="0.25">
      <c r="A3" s="157" t="s">
        <v>4</v>
      </c>
      <c r="B3" s="205" t="s">
        <v>5</v>
      </c>
      <c r="C3" s="205"/>
      <c r="D3" t="str">
        <f>IF(B3="Sol","SI",IF(B3="Lluvia","SI","NO"))</f>
        <v>SI</v>
      </c>
      <c r="F3" s="194" t="s">
        <v>6</v>
      </c>
      <c r="G3" s="192">
        <f>IF(D3="SI",COUNTIF($F$6:$F$18,"POT"),0)</f>
        <v>0</v>
      </c>
      <c r="H3" s="13"/>
      <c r="J3" s="195" t="s">
        <v>6</v>
      </c>
      <c r="K3" s="192">
        <f>IF(D3="SI",COUNTIF($J$6:$J$18,"POT"),0)</f>
        <v>0</v>
      </c>
      <c r="L3" s="13"/>
      <c r="O3" t="s">
        <v>7</v>
      </c>
      <c r="P3" s="190" t="s">
        <v>149</v>
      </c>
      <c r="Q3" t="s">
        <v>8</v>
      </c>
      <c r="R3" s="190" t="s">
        <v>150</v>
      </c>
      <c r="Y3" t="s">
        <v>7</v>
      </c>
      <c r="Z3" s="191" t="s">
        <v>149</v>
      </c>
      <c r="AA3" t="s">
        <v>8</v>
      </c>
      <c r="AB3" s="191" t="s">
        <v>150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18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AG4" s="8" t="s">
        <v>90</v>
      </c>
      <c r="AI4" s="153" t="s">
        <v>18</v>
      </c>
      <c r="AK4" s="9" t="s">
        <v>15</v>
      </c>
      <c r="AM4" s="13" t="s">
        <v>151</v>
      </c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40" t="s">
        <v>30</v>
      </c>
      <c r="B5" s="154">
        <v>352</v>
      </c>
      <c r="C5" s="154">
        <v>352</v>
      </c>
      <c r="E5" s="187" t="s">
        <v>31</v>
      </c>
      <c r="F5" s="162"/>
      <c r="G5" s="162">
        <v>12</v>
      </c>
      <c r="H5" s="10"/>
      <c r="I5" s="10"/>
      <c r="J5" s="161"/>
      <c r="K5" s="161">
        <v>12</v>
      </c>
      <c r="L5" s="10"/>
      <c r="M5" s="10"/>
      <c r="O5" s="67">
        <f>COUNTIF(F5:F10,"IMP")*AI5*AG5</f>
        <v>0</v>
      </c>
      <c r="P5" s="188" t="str">
        <f>P3</f>
        <v>0,6</v>
      </c>
      <c r="Q5" s="16">
        <f t="shared" ref="Q5:Q19" si="1">P5*O5</f>
        <v>0</v>
      </c>
      <c r="R5" s="155" t="e">
        <f t="shared" ref="R5:R19" si="2">IF($M$2="SI",Q5*$B$22/0.5*$S$1,Q5*$B$22/0.5*$S$2)</f>
        <v>#DIV/0!</v>
      </c>
      <c r="S5" s="171" t="e">
        <f t="shared" ref="S5:S19" si="3">(1-R5)</f>
        <v>#DIV/0!</v>
      </c>
      <c r="T5" s="172" t="e">
        <f>R5*PRODUCT(S6:S19)</f>
        <v>#DIV/0!</v>
      </c>
      <c r="U5" s="17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1" t="s">
        <v>33</v>
      </c>
      <c r="X5" s="15" t="s">
        <v>34</v>
      </c>
      <c r="Y5" s="69">
        <f>COUNTIF(J5:J10,"IMP")*AI5*AK5</f>
        <v>0</v>
      </c>
      <c r="Z5" s="189" t="str">
        <f>Z3</f>
        <v>0,6</v>
      </c>
      <c r="AA5" s="19">
        <f t="shared" ref="AA5:AA19" si="4">Z5*Y5</f>
        <v>0</v>
      </c>
      <c r="AB5" s="155" t="e">
        <f t="shared" ref="AB5:AB19" si="5">IF($M$2="SI",AA5*$C$22/0.5*$S$1,AA5*$C$22/0.5*$S$2)</f>
        <v>#DIV/0!</v>
      </c>
      <c r="AC5" s="171" t="e">
        <f t="shared" ref="AC5:AC19" si="6">(1-AB5)</f>
        <v>#DIV/0!</v>
      </c>
      <c r="AD5" s="172" t="e">
        <f>AB5*PRODUCT(AC6:AC19)</f>
        <v>#DIV/0!</v>
      </c>
      <c r="AE5" s="17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AG5" s="193">
        <f>IF(COUNTIF(F5:F10,"IMP")+COUNTIF(J5:J10,"IMP")=0,0,COUNTIF(F5:F10,"IMP")/(COUNTIF(F5:F10,"IMP")+COUNTIF(J5:J10,"IMP")))</f>
        <v>0</v>
      </c>
      <c r="AI5" s="153">
        <f>IF(AN5=0,(AM5*2*$AI$2/2)+SUM($AN$5:$AN$19),0)</f>
        <v>0</v>
      </c>
      <c r="AK5" s="19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35</v>
      </c>
      <c r="B6" s="163"/>
      <c r="C6" s="164"/>
      <c r="E6" s="187" t="s">
        <v>36</v>
      </c>
      <c r="F6" s="162"/>
      <c r="G6" s="162"/>
      <c r="H6" s="10"/>
      <c r="I6" s="10"/>
      <c r="J6" s="161"/>
      <c r="K6" s="161"/>
      <c r="L6" s="10"/>
      <c r="M6" s="10"/>
      <c r="O6" s="67">
        <f>COUNTIF(F11:F18,"IMP")*AI6*AG6</f>
        <v>0</v>
      </c>
      <c r="P6" s="188" t="str">
        <f>P3</f>
        <v>0,6</v>
      </c>
      <c r="Q6" s="16">
        <f t="shared" si="1"/>
        <v>0</v>
      </c>
      <c r="R6" s="155" t="e">
        <f t="shared" si="2"/>
        <v>#DIV/0!</v>
      </c>
      <c r="S6" s="171" t="e">
        <f t="shared" si="3"/>
        <v>#DIV/0!</v>
      </c>
      <c r="T6" s="172" t="e">
        <f>R6*S5*PRODUCT(S7:S19)</f>
        <v>#DIV/0!</v>
      </c>
      <c r="U6" s="17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1" t="s">
        <v>38</v>
      </c>
      <c r="X6" s="15" t="s">
        <v>39</v>
      </c>
      <c r="Y6" s="69">
        <f>COUNTIF(J11:J18,"IMP")*AI6*AK6</f>
        <v>0</v>
      </c>
      <c r="Z6" s="189" t="str">
        <f>Z3</f>
        <v>0,6</v>
      </c>
      <c r="AA6" s="19">
        <f t="shared" si="4"/>
        <v>0</v>
      </c>
      <c r="AB6" s="155" t="e">
        <f t="shared" si="5"/>
        <v>#DIV/0!</v>
      </c>
      <c r="AC6" s="171" t="e">
        <f t="shared" si="6"/>
        <v>#DIV/0!</v>
      </c>
      <c r="AD6" s="172" t="e">
        <f>AB6*AC5*PRODUCT(AC7:AC19)</f>
        <v>#DIV/0!</v>
      </c>
      <c r="AE6" s="17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AG6" s="193">
        <f>IF(COUNTIF(F11:F18,"IMP")+COUNTIF(J11:J18,"IMP")=0,0,COUNTIF(F11:F18,"IMP")/(COUNTIF(F11:F18,"IMP")+COUNTIF(J11:J18,"IMP")))</f>
        <v>0</v>
      </c>
      <c r="AI6" s="153">
        <f>IF(AN6=0,(AM6*2*$AI$2/2)+SUM($AN$5:$AN$19),0)</f>
        <v>0</v>
      </c>
      <c r="AK6" s="193">
        <f>IF(COUNTIF(F11:F18,"IMP")+COUNTIF(J11:J18,"IMP")=0,0,COUNTIF(J11:J18,"IMP")/(COUNTIF(F11:F18,"IMP")+COUNTIF(J11:J18,"IMP")))</f>
        <v>0</v>
      </c>
      <c r="AM6" s="13">
        <v>0.05</v>
      </c>
      <c r="AN6">
        <f>IF(AK6+AG6=0,AM6*2/10,0)</f>
        <v>0.01</v>
      </c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40</v>
      </c>
      <c r="B7" s="163"/>
      <c r="C7" s="164"/>
      <c r="E7" s="187" t="s">
        <v>41</v>
      </c>
      <c r="F7" s="162"/>
      <c r="G7" s="162"/>
      <c r="H7" s="10"/>
      <c r="I7" s="10"/>
      <c r="J7" s="161"/>
      <c r="K7" s="161"/>
      <c r="L7" s="10"/>
      <c r="M7" s="10"/>
      <c r="O7" s="67"/>
      <c r="P7" s="188">
        <f>B30</f>
        <v>0.15</v>
      </c>
      <c r="Q7" s="16">
        <f t="shared" si="1"/>
        <v>0</v>
      </c>
      <c r="R7" s="155" t="e">
        <f t="shared" si="2"/>
        <v>#DIV/0!</v>
      </c>
      <c r="S7" s="171" t="e">
        <f t="shared" si="3"/>
        <v>#DIV/0!</v>
      </c>
      <c r="T7" s="172" t="e">
        <f>R7*PRODUCT(S5:S6)*PRODUCT(S8:S19)</f>
        <v>#DIV/0!</v>
      </c>
      <c r="U7" s="17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1" t="s">
        <v>152</v>
      </c>
      <c r="X7" s="15" t="s">
        <v>153</v>
      </c>
      <c r="Y7" s="69"/>
      <c r="Z7" s="189">
        <f>C30</f>
        <v>0.15</v>
      </c>
      <c r="AA7" s="19">
        <f t="shared" si="4"/>
        <v>0</v>
      </c>
      <c r="AB7" s="155" t="e">
        <f t="shared" si="5"/>
        <v>#DIV/0!</v>
      </c>
      <c r="AC7" s="171" t="e">
        <f t="shared" si="6"/>
        <v>#DIV/0!</v>
      </c>
      <c r="AD7" s="172" t="e">
        <f>AB7*PRODUCT(AC5:AC6)*PRODUCT(AC8:AC19)</f>
        <v>#DIV/0!</v>
      </c>
      <c r="AE7" s="17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AG7" s="13"/>
      <c r="AI7" s="153"/>
      <c r="AK7" s="13"/>
      <c r="AM7" s="13">
        <v>0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44</v>
      </c>
      <c r="B8" s="163"/>
      <c r="C8" s="164"/>
      <c r="E8" s="187" t="s">
        <v>41</v>
      </c>
      <c r="F8" s="162"/>
      <c r="G8" s="162"/>
      <c r="H8" s="10"/>
      <c r="I8" s="10"/>
      <c r="J8" s="161"/>
      <c r="K8" s="161"/>
      <c r="L8" s="10"/>
      <c r="M8" s="10"/>
      <c r="O8" s="67">
        <f>COUNTIF(F6:F18,"IMP")*AI8*AG8</f>
        <v>0</v>
      </c>
      <c r="P8" s="188" t="str">
        <f>P3</f>
        <v>0,6</v>
      </c>
      <c r="Q8" s="16">
        <f t="shared" si="1"/>
        <v>0</v>
      </c>
      <c r="R8" s="155" t="e">
        <f t="shared" si="2"/>
        <v>#DIV/0!</v>
      </c>
      <c r="S8" s="171" t="e">
        <f t="shared" si="3"/>
        <v>#DIV/0!</v>
      </c>
      <c r="T8" s="172" t="e">
        <f>R8*PRODUCT(S5:S7)*PRODUCT(S9:S19)</f>
        <v>#DIV/0!</v>
      </c>
      <c r="U8" s="17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1" t="s">
        <v>45</v>
      </c>
      <c r="X8" s="15" t="s">
        <v>46</v>
      </c>
      <c r="Y8" s="69">
        <f>COUNTIF(J6:J18,"IMP")*AI8*AK8</f>
        <v>0</v>
      </c>
      <c r="Z8" s="189" t="str">
        <f>Z3</f>
        <v>0,6</v>
      </c>
      <c r="AA8" s="19">
        <f t="shared" si="4"/>
        <v>0</v>
      </c>
      <c r="AB8" s="155" t="e">
        <f t="shared" si="5"/>
        <v>#DIV/0!</v>
      </c>
      <c r="AC8" s="171" t="e">
        <f t="shared" si="6"/>
        <v>#DIV/0!</v>
      </c>
      <c r="AD8" s="172" t="e">
        <f>AB8*PRODUCT(AC5:AC7)*PRODUCT(AC9:AC19)</f>
        <v>#DIV/0!</v>
      </c>
      <c r="AE8" s="17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AG8" s="193">
        <f>IF(COUNTIF(F6:F18,"IMP")+COUNTIF(J6:J18,"IMP")=0,0,COUNTIF(F6:F18,"IMP")/(COUNTIF(F6:F18,"IMP")+COUNTIF(J6:J18,"IMP")))</f>
        <v>0</v>
      </c>
      <c r="AI8" s="153">
        <f>IF(AN8=0,(AM8*2*$AI$2/2)+SUM($AN$5:$AN$19),0)</f>
        <v>0</v>
      </c>
      <c r="AK8" s="193">
        <f>IF(COUNTIF(F6:F18,"IMP")+COUNTIF(J6:J18,"IMP")=0,0,COUNTIF(J6:J18,"IMP")/(COUNTIF(F6:F18,"IMP")+COUNTIF(J6:J18,"IMP")))</f>
        <v>0</v>
      </c>
      <c r="AM8" s="13">
        <v>0.05</v>
      </c>
      <c r="AN8">
        <f>IF(AK8+AG8=0,AM8*2/10,0)</f>
        <v>0.01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47</v>
      </c>
      <c r="B9" s="163"/>
      <c r="C9" s="164"/>
      <c r="E9" s="187" t="s">
        <v>41</v>
      </c>
      <c r="F9" s="162"/>
      <c r="G9" s="162"/>
      <c r="H9" s="10"/>
      <c r="I9" s="10"/>
      <c r="J9" s="161"/>
      <c r="K9" s="161"/>
      <c r="L9" s="10"/>
      <c r="M9" s="10"/>
      <c r="O9" s="67">
        <f>COUNTIF(J6:J13,"IMP")*AI9*AG9</f>
        <v>0</v>
      </c>
      <c r="P9" s="188" t="str">
        <f>Z3</f>
        <v>0,6</v>
      </c>
      <c r="Q9" s="16">
        <f t="shared" si="1"/>
        <v>0</v>
      </c>
      <c r="R9" s="155" t="e">
        <f t="shared" si="2"/>
        <v>#DIV/0!</v>
      </c>
      <c r="S9" s="171" t="e">
        <f t="shared" si="3"/>
        <v>#DIV/0!</v>
      </c>
      <c r="T9" s="172" t="e">
        <f>R9*PRODUCT(S5:S8)*PRODUCT(S10:S19)</f>
        <v>#DIV/0!</v>
      </c>
      <c r="U9" s="17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2" t="s">
        <v>48</v>
      </c>
      <c r="X9" s="15" t="s">
        <v>49</v>
      </c>
      <c r="Y9" s="69">
        <f>COUNTIF(F6:F13,"IMP")*AI9*AK9</f>
        <v>0</v>
      </c>
      <c r="Z9" s="189" t="str">
        <f>P3</f>
        <v>0,6</v>
      </c>
      <c r="AA9" s="19">
        <f t="shared" si="4"/>
        <v>0</v>
      </c>
      <c r="AB9" s="155" t="e">
        <f t="shared" si="5"/>
        <v>#DIV/0!</v>
      </c>
      <c r="AC9" s="171" t="e">
        <f t="shared" si="6"/>
        <v>#DIV/0!</v>
      </c>
      <c r="AD9" s="172" t="e">
        <f>AB9*PRODUCT(AC5:AC8)*PRODUCT(AC10:AC19)</f>
        <v>#DIV/0!</v>
      </c>
      <c r="AE9" s="17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AG9" s="193">
        <f>IF(COUNTIF(J6:J13,"IMP")+COUNTIF(F6:F13,"IMP")=0,0,COUNTIF(J6:J13,"IMP")/(COUNTIF(J6:J13,"IMP")+COUNTIF(F6:F13,"IMP")))</f>
        <v>0</v>
      </c>
      <c r="AI9" s="153">
        <f>IF(AN9=0,(AM9*2*$AI$2/2)+SUM($AN$5:$AN$19),0)</f>
        <v>0</v>
      </c>
      <c r="AK9" s="193">
        <f>IF(COUNTIF(J6:J13,"IMP")+COUNTIF(F6:F13,"IMP")=0,0,COUNTIF(F6:F13,"IMP")/(COUNTIF(J6:J13,"IMP")+COUNTIF(F6:F13,"IMP")))</f>
        <v>0</v>
      </c>
      <c r="AM9" s="13">
        <v>2.5000000000000001E-2</v>
      </c>
      <c r="AN9">
        <f>IF(AK9+AG9=0,AM9*2/10,0)</f>
        <v>5.0000000000000001E-3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50</v>
      </c>
      <c r="B10" s="163"/>
      <c r="C10" s="164"/>
      <c r="E10" s="187" t="s">
        <v>36</v>
      </c>
      <c r="F10" s="162"/>
      <c r="G10" s="162"/>
      <c r="H10" s="10"/>
      <c r="I10" s="10"/>
      <c r="J10" s="161"/>
      <c r="K10" s="161"/>
      <c r="L10" s="10"/>
      <c r="M10" s="10"/>
      <c r="O10" s="67">
        <f>COUNTIF(F11:F18,"RAP")*AI10*AG10</f>
        <v>0</v>
      </c>
      <c r="P10" s="188" t="str">
        <f>R3</f>
        <v>0,72</v>
      </c>
      <c r="Q10" s="16">
        <f t="shared" si="1"/>
        <v>0</v>
      </c>
      <c r="R10" s="155" t="e">
        <f t="shared" si="2"/>
        <v>#DIV/0!</v>
      </c>
      <c r="S10" s="171" t="e">
        <f t="shared" si="3"/>
        <v>#DIV/0!</v>
      </c>
      <c r="T10" s="172" t="e">
        <f>R10*PRODUCT(S5:S9)*PRODUCT(S11:S19)</f>
        <v>#DIV/0!</v>
      </c>
      <c r="U10" s="17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1" t="s">
        <v>51</v>
      </c>
      <c r="X10" s="15" t="s">
        <v>52</v>
      </c>
      <c r="Y10" s="69">
        <f>COUNTIF(J11:J18,"RAP")*AI10*AK10</f>
        <v>0</v>
      </c>
      <c r="Z10" s="189" t="str">
        <f>AB3</f>
        <v>0,72</v>
      </c>
      <c r="AA10" s="19">
        <f t="shared" si="4"/>
        <v>0</v>
      </c>
      <c r="AB10" s="155" t="e">
        <f t="shared" si="5"/>
        <v>#DIV/0!</v>
      </c>
      <c r="AC10" s="171" t="e">
        <f t="shared" si="6"/>
        <v>#DIV/0!</v>
      </c>
      <c r="AD10" s="172" t="e">
        <f>AB10*PRODUCT(AC5:AC9)*PRODUCT(AC11:AC19)</f>
        <v>#DIV/0!</v>
      </c>
      <c r="AE10" s="17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AG10" s="193">
        <f>IF(COUNTIF(F11:F18,"RAP")+COUNTIF(J11:J18,"RAP")=0,0,COUNTIF(F11:F18,"RAP")/(COUNTIF(F11:F18,"RAP")+COUNTIF(J11:J18,"RAP")))</f>
        <v>0</v>
      </c>
      <c r="AI10" s="153">
        <f>IF(AN10=0,(AM10*2*$AI$2/2)+SUM($AN$5:$AN$19),0)</f>
        <v>0</v>
      </c>
      <c r="AK10" s="193">
        <f>IF(COUNTIF(F11:F18,"RAP")+COUNTIF(J11:J18,"RAP")=0,0,COUNTIF(J11:J18,"RAP")/(COUNTIF(F11:F18,"RAP")+COUNTIF(J11:J18,"RAP")))</f>
        <v>0</v>
      </c>
      <c r="AM10" s="13">
        <v>0.05</v>
      </c>
      <c r="AN10">
        <f>IF(AK10+AG10=0,AM10*2/10,0)</f>
        <v>0.01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53</v>
      </c>
      <c r="B11" s="163"/>
      <c r="C11" s="164"/>
      <c r="E11" s="187" t="s">
        <v>54</v>
      </c>
      <c r="F11" s="162"/>
      <c r="G11" s="162"/>
      <c r="H11" s="10"/>
      <c r="I11" s="10"/>
      <c r="J11" s="161"/>
      <c r="K11" s="161"/>
      <c r="L11" s="10"/>
      <c r="M11" s="10"/>
      <c r="O11" s="67">
        <f>COUNTIF(F11:F18,"RAP")*AI11*AG11</f>
        <v>0</v>
      </c>
      <c r="P11" s="188" t="str">
        <f>R3</f>
        <v>0,72</v>
      </c>
      <c r="Q11" s="16">
        <f t="shared" si="1"/>
        <v>0</v>
      </c>
      <c r="R11" s="155" t="e">
        <f t="shared" si="2"/>
        <v>#DIV/0!</v>
      </c>
      <c r="S11" s="171" t="e">
        <f t="shared" si="3"/>
        <v>#DIV/0!</v>
      </c>
      <c r="T11" s="172" t="e">
        <f>R11*PRODUCT(S5:S10)*PRODUCT(S12:S19)</f>
        <v>#DIV/0!</v>
      </c>
      <c r="U11" s="17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1" t="s">
        <v>55</v>
      </c>
      <c r="X11" s="15" t="s">
        <v>56</v>
      </c>
      <c r="Y11" s="69">
        <f>COUNTIF(J11:J18,"RAP")*AI11*AK11</f>
        <v>0</v>
      </c>
      <c r="Z11" s="189" t="str">
        <f>AB3</f>
        <v>0,72</v>
      </c>
      <c r="AA11" s="19">
        <f t="shared" si="4"/>
        <v>0</v>
      </c>
      <c r="AB11" s="155" t="e">
        <f t="shared" si="5"/>
        <v>#DIV/0!</v>
      </c>
      <c r="AC11" s="171" t="e">
        <f t="shared" si="6"/>
        <v>#DIV/0!</v>
      </c>
      <c r="AD11" s="172" t="e">
        <f>AB11*PRODUCT(AC5:AC10)*PRODUCT(AC12:AC19)</f>
        <v>#DIV/0!</v>
      </c>
      <c r="AE11" s="17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AG11" s="193">
        <f>IF(COUNTIF(F11:F18,"RAP")+COUNTIF(J11:J18,"RAP")=0,0,COUNTIF(F11:F18,"RAP")/(COUNTIF(F11:F18,"RAP")+COUNTIF(J11:J18,"RAP")))</f>
        <v>0</v>
      </c>
      <c r="AI11" s="153">
        <f>IF(AN11=0,(AM11*2*$AI$2/2)+SUM($AN$5:$AN$19),0)</f>
        <v>0</v>
      </c>
      <c r="AK11" s="193">
        <f>IF(COUNTIF(F11:F18,"RAP")+COUNTIF(J11:J18,"RAP")=0,0,COUNTIF(J11:J18,"RAP")/(COUNTIF(F11:F18,"RAP")+COUNTIF(J11:J18,"RAP")))</f>
        <v>0</v>
      </c>
      <c r="AM11" s="13">
        <v>0.05</v>
      </c>
      <c r="AN11">
        <f>IF(AK11+AG11=0,AM11*2/10,0)</f>
        <v>0.01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57</v>
      </c>
      <c r="B12" s="163"/>
      <c r="C12" s="164"/>
      <c r="E12" s="187" t="s">
        <v>54</v>
      </c>
      <c r="F12" s="162"/>
      <c r="G12" s="162"/>
      <c r="H12" s="10"/>
      <c r="I12" s="10"/>
      <c r="J12" s="161"/>
      <c r="K12" s="161"/>
      <c r="L12" s="10"/>
      <c r="M12" s="10"/>
      <c r="O12" s="67"/>
      <c r="P12" s="188">
        <v>0.5</v>
      </c>
      <c r="Q12" s="16">
        <f t="shared" si="1"/>
        <v>0</v>
      </c>
      <c r="R12" s="155" t="e">
        <f t="shared" si="2"/>
        <v>#DIV/0!</v>
      </c>
      <c r="S12" s="171" t="e">
        <f t="shared" si="3"/>
        <v>#DIV/0!</v>
      </c>
      <c r="T12" s="172" t="e">
        <f>R12*PRODUCT(S5:S11)*PRODUCT(S13:S19)</f>
        <v>#DIV/0!</v>
      </c>
      <c r="U12" s="17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2" t="s">
        <v>58</v>
      </c>
      <c r="X12" s="15" t="s">
        <v>59</v>
      </c>
      <c r="Y12" s="69"/>
      <c r="Z12" s="189">
        <v>0.5</v>
      </c>
      <c r="AA12" s="19">
        <f t="shared" si="4"/>
        <v>0</v>
      </c>
      <c r="AB12" s="155" t="e">
        <f t="shared" si="5"/>
        <v>#DIV/0!</v>
      </c>
      <c r="AC12" s="171" t="e">
        <f t="shared" si="6"/>
        <v>#DIV/0!</v>
      </c>
      <c r="AD12" s="172" t="e">
        <f>AB12*PRODUCT(AC5:AC11)*PRODUCT(AC13:AC19)</f>
        <v>#DIV/0!</v>
      </c>
      <c r="AE12" s="17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AG12" s="13"/>
      <c r="AI12" s="153"/>
      <c r="AK12" s="13"/>
      <c r="AM12" s="13">
        <v>0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60</v>
      </c>
      <c r="B13" s="163">
        <v>3</v>
      </c>
      <c r="C13" s="164">
        <v>12.5</v>
      </c>
      <c r="E13" s="187" t="s">
        <v>54</v>
      </c>
      <c r="F13" s="162"/>
      <c r="G13" s="162"/>
      <c r="H13" s="10"/>
      <c r="I13" s="10"/>
      <c r="J13" s="161"/>
      <c r="K13" s="161"/>
      <c r="L13" s="10"/>
      <c r="M13" s="10"/>
      <c r="O13" s="67" t="e">
        <f>AI13*B22/0.5</f>
        <v>#DIV/0!</v>
      </c>
      <c r="P13" s="188" t="str">
        <f>P2</f>
        <v>0,4</v>
      </c>
      <c r="Q13" s="16" t="e">
        <f t="shared" si="1"/>
        <v>#DIV/0!</v>
      </c>
      <c r="R13" s="155" t="e">
        <f t="shared" si="2"/>
        <v>#DIV/0!</v>
      </c>
      <c r="S13" s="171" t="e">
        <f t="shared" si="3"/>
        <v>#DIV/0!</v>
      </c>
      <c r="T13" s="172" t="e">
        <f>R13*PRODUCT(S5:S12)*PRODUCT(S14:S19)</f>
        <v>#DIV/0!</v>
      </c>
      <c r="U13" s="17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1" t="s">
        <v>61</v>
      </c>
      <c r="X13" s="15" t="s">
        <v>62</v>
      </c>
      <c r="Y13" s="69" t="e">
        <f>AI13*C22/0.5</f>
        <v>#DIV/0!</v>
      </c>
      <c r="Z13" s="189" t="str">
        <f>Z2</f>
        <v>0,4</v>
      </c>
      <c r="AA13" s="19" t="e">
        <f t="shared" si="4"/>
        <v>#DIV/0!</v>
      </c>
      <c r="AB13" s="155" t="e">
        <f t="shared" si="5"/>
        <v>#DIV/0!</v>
      </c>
      <c r="AC13" s="171" t="e">
        <f t="shared" si="6"/>
        <v>#DIV/0!</v>
      </c>
      <c r="AD13" s="172" t="e">
        <f>AB13*PRODUCT(AC5:AC12)*PRODUCT(AC14:AC19)</f>
        <v>#DIV/0!</v>
      </c>
      <c r="AE13" s="17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AG13" s="13"/>
      <c r="AI13" s="153">
        <f>(AM13*$AI$2/2)+SUM($AN$5:$AN$19)</f>
        <v>0.32800000000000001</v>
      </c>
      <c r="AK13" s="13"/>
      <c r="AM13" s="13">
        <v>0.22000000000000003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63</v>
      </c>
      <c r="B14" s="163">
        <v>3</v>
      </c>
      <c r="C14" s="164">
        <v>10.75</v>
      </c>
      <c r="E14" s="187" t="s">
        <v>64</v>
      </c>
      <c r="F14" s="162"/>
      <c r="G14" s="162"/>
      <c r="H14" s="10"/>
      <c r="I14" s="10"/>
      <c r="J14" s="161"/>
      <c r="K14" s="161"/>
      <c r="L14" s="10"/>
      <c r="M14" s="10"/>
      <c r="O14" s="67">
        <f>IF(COUNTIF(F6:F18,"CAB")&gt;0,AI14*B22/0.5,0)</f>
        <v>0</v>
      </c>
      <c r="P14" s="188">
        <f>IF(COUNTIF(F6:F18,"CAB")-COUNTIF(J6:J18,"CAB")&gt;3,0.8,IF(COUNTIF(F6:F18,"CAB")-COUNTIF(J6:J18,"CAB")&gt;0,0.6,IF(COUNTIF(F6:F18,"CAB")-COUNTIF(J6:J18,"CAB")=0,0.4,0.15)))</f>
        <v>0.4</v>
      </c>
      <c r="Q14" s="16">
        <f t="shared" si="1"/>
        <v>0</v>
      </c>
      <c r="R14" s="155" t="e">
        <f t="shared" si="2"/>
        <v>#DIV/0!</v>
      </c>
      <c r="S14" s="171" t="e">
        <f t="shared" si="3"/>
        <v>#DIV/0!</v>
      </c>
      <c r="T14" s="172" t="e">
        <f>R14*PRODUCT(S5:S13)*PRODUCT(S15:S19)</f>
        <v>#DIV/0!</v>
      </c>
      <c r="U14" s="17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1" t="s">
        <v>65</v>
      </c>
      <c r="X14" s="15" t="s">
        <v>66</v>
      </c>
      <c r="Y14" s="69">
        <f>IF(COUNTIF(J6:J18,"CAB")&gt;0,AI14*C22/0.5,0)</f>
        <v>0</v>
      </c>
      <c r="Z14" s="189">
        <f>IF(COUNTIF(J6:J18,"CAB")-COUNTIF(F6:F18,"CAB")&gt;3,0.8,IF(COUNTIF(J6:J18,"CAB")-COUNTIF(F6:F18,"CAB")&gt;0,0.6,IF(COUNTIF(J6:J18,"CAB")-COUNTIF(F6:F18,"CAB")=0,0.4,0.15)))</f>
        <v>0.4</v>
      </c>
      <c r="AA14" s="19">
        <f t="shared" si="4"/>
        <v>0</v>
      </c>
      <c r="AB14" s="155" t="e">
        <f t="shared" si="5"/>
        <v>#DIV/0!</v>
      </c>
      <c r="AC14" s="171" t="e">
        <f t="shared" si="6"/>
        <v>#DIV/0!</v>
      </c>
      <c r="AD14" s="172" t="e">
        <f>AB14*PRODUCT(AC5:AC13)*PRODUCT(AC15:AC19)</f>
        <v>#DIV/0!</v>
      </c>
      <c r="AE14" s="17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AG14" s="13"/>
      <c r="AI14" s="153">
        <f>IF(COUNTIF(J6:J18,"CAB")+COUNTIF(F6:F18,"CAB")=0,0,(AM14*$AI$2/2)+SUM($AN$5:$AN$19))</f>
        <v>0</v>
      </c>
      <c r="AK14" s="13"/>
      <c r="AM14" s="13">
        <v>0.125</v>
      </c>
      <c r="AN14">
        <f>IF(COUNTIF(J6:J18,"CAB")+COUNTIF(F6:F18,"CAB")=0,AM14*2/10,0)</f>
        <v>2.5000000000000001E-2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4" t="s">
        <v>67</v>
      </c>
      <c r="B15" s="165">
        <v>3</v>
      </c>
      <c r="C15" s="166">
        <v>8.25</v>
      </c>
      <c r="E15" s="187" t="s">
        <v>64</v>
      </c>
      <c r="F15" s="162"/>
      <c r="G15" s="162"/>
      <c r="H15" s="10"/>
      <c r="I15" s="10"/>
      <c r="J15" s="161"/>
      <c r="K15" s="161"/>
      <c r="L15" s="10"/>
      <c r="M15" s="10"/>
      <c r="O15" s="67"/>
      <c r="P15" s="188">
        <v>0.5</v>
      </c>
      <c r="Q15" s="16">
        <f t="shared" si="1"/>
        <v>0</v>
      </c>
      <c r="R15" s="155" t="e">
        <f t="shared" si="2"/>
        <v>#DIV/0!</v>
      </c>
      <c r="S15" s="171" t="e">
        <f t="shared" si="3"/>
        <v>#DIV/0!</v>
      </c>
      <c r="T15" s="172" t="e">
        <f>R15*PRODUCT(S5:S14)*PRODUCT(S16:S19)</f>
        <v>#DIV/0!</v>
      </c>
      <c r="U15" s="172" t="e">
        <f>R15*R16*PRODUCT(S5:S14)*PRODUCT(S17:S19)+R15*R17*PRODUCT(S5:S14)*S16*PRODUCT(S18:S19)+R15*R18*PRODUCT(S5:S14)*S16*S17*S19+R15*R19*PRODUCT(S5:S14)*S16*S17*S18</f>
        <v>#DIV/0!</v>
      </c>
      <c r="W15" s="181" t="s">
        <v>68</v>
      </c>
      <c r="X15" s="15" t="s">
        <v>69</v>
      </c>
      <c r="Y15" s="69"/>
      <c r="Z15" s="189">
        <v>0.5</v>
      </c>
      <c r="AA15" s="19">
        <f t="shared" si="4"/>
        <v>0</v>
      </c>
      <c r="AB15" s="155" t="e">
        <f t="shared" si="5"/>
        <v>#DIV/0!</v>
      </c>
      <c r="AC15" s="171" t="e">
        <f t="shared" si="6"/>
        <v>#DIV/0!</v>
      </c>
      <c r="AD15" s="172" t="e">
        <f>AB15*PRODUCT(AC5:AC14)*PRODUCT(AC16:AC19)</f>
        <v>#DIV/0!</v>
      </c>
      <c r="AE15" s="172" t="e">
        <f>AB15*AB16*PRODUCT(AC5:AC14)*PRODUCT(AC17:AC19)+AB15*AB17*PRODUCT(AC5:AC14)*AC16*PRODUCT(AC18:AC19)+AB15*AB18*PRODUCT(AC5:AC14)*AC16*AC17*AC19+AB15*AB19*PRODUCT(AC5:AC14)*AC16*AC17*AC18</f>
        <v>#DIV/0!</v>
      </c>
      <c r="AG15" s="13"/>
      <c r="AI15" s="153"/>
      <c r="AK15" s="13"/>
      <c r="AM15" s="13">
        <v>0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4" t="s">
        <v>70</v>
      </c>
      <c r="B16" s="52">
        <f>AVERAGE(G5:G18)</f>
        <v>12</v>
      </c>
      <c r="C16" s="54">
        <f>AVERAGE(K5:K18)</f>
        <v>12</v>
      </c>
      <c r="E16" s="187" t="s">
        <v>71</v>
      </c>
      <c r="F16" s="162"/>
      <c r="G16" s="162"/>
      <c r="H16" s="10"/>
      <c r="I16" s="10"/>
      <c r="J16" s="161"/>
      <c r="K16" s="161"/>
      <c r="L16" s="10"/>
      <c r="M16" s="10"/>
      <c r="O16" s="67"/>
      <c r="P16" s="188">
        <v>0.25</v>
      </c>
      <c r="Q16" s="16">
        <f t="shared" si="1"/>
        <v>0</v>
      </c>
      <c r="R16" s="155" t="e">
        <f t="shared" si="2"/>
        <v>#DIV/0!</v>
      </c>
      <c r="S16" s="171" t="e">
        <f t="shared" si="3"/>
        <v>#DIV/0!</v>
      </c>
      <c r="T16" s="172" t="e">
        <f>R16*PRODUCT(S5:S15)*PRODUCT(S17:S19)</f>
        <v>#DIV/0!</v>
      </c>
      <c r="U16" s="172" t="e">
        <f>R16*R17*PRODUCT(S5:S15)*PRODUCT(S18:S19)+R16*R18*PRODUCT(S5:S15)*S17*S19+R16*R19*PRODUCT(S5:S15)*S17*S18</f>
        <v>#DIV/0!</v>
      </c>
      <c r="W16" s="182" t="s">
        <v>72</v>
      </c>
      <c r="X16" s="15" t="s">
        <v>73</v>
      </c>
      <c r="Y16" s="69"/>
      <c r="Z16" s="189">
        <v>0.25</v>
      </c>
      <c r="AA16" s="19">
        <f t="shared" si="4"/>
        <v>0</v>
      </c>
      <c r="AB16" s="155" t="e">
        <f t="shared" si="5"/>
        <v>#DIV/0!</v>
      </c>
      <c r="AC16" s="171" t="e">
        <f t="shared" si="6"/>
        <v>#DIV/0!</v>
      </c>
      <c r="AD16" s="172" t="e">
        <f>AB16*PRODUCT(AC5:AC15)*PRODUCT(AC17:AC19)</f>
        <v>#DIV/0!</v>
      </c>
      <c r="AE16" s="172" t="e">
        <f>AB16*AB17*PRODUCT(AC5:AC15)*PRODUCT(AC18:AC19)+AB16*AB18*PRODUCT(AC5:AC15)*AC17*AC19+AB16*AB19*PRODUCT(AC5:AC15)*AC17*AC18</f>
        <v>#DIV/0!</v>
      </c>
      <c r="AG16" s="13"/>
      <c r="AI16" s="153"/>
      <c r="AK16" s="13"/>
      <c r="AM16" s="13">
        <v>0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3" t="s">
        <v>74</v>
      </c>
      <c r="B17" s="167" t="s">
        <v>75</v>
      </c>
      <c r="C17" s="168" t="s">
        <v>75</v>
      </c>
      <c r="E17" s="187" t="s">
        <v>71</v>
      </c>
      <c r="F17" s="162"/>
      <c r="G17" s="162"/>
      <c r="H17" s="10"/>
      <c r="I17" s="10"/>
      <c r="J17" s="161"/>
      <c r="K17" s="161"/>
      <c r="L17" s="10"/>
      <c r="M17" s="10"/>
      <c r="O17" s="67">
        <f>(AI17*2)*IF(COUNTBLANK(F14:F15)&lt;&gt;0,(2-COUNTBLANK(F14:F15))/2,1)*AG17</f>
        <v>0</v>
      </c>
      <c r="P17" s="188" t="str">
        <f>IF(COUNTIF(F14:F18,"CAB")&gt;0,0.95,P3)</f>
        <v>0,6</v>
      </c>
      <c r="Q17" s="16">
        <f t="shared" si="1"/>
        <v>0</v>
      </c>
      <c r="R17" s="155" t="e">
        <f t="shared" si="2"/>
        <v>#DIV/0!</v>
      </c>
      <c r="S17" s="171" t="e">
        <f t="shared" si="3"/>
        <v>#DIV/0!</v>
      </c>
      <c r="T17" s="172" t="e">
        <f>R17*PRODUCT(S5:S16)*PRODUCT(S18:S19)</f>
        <v>#DIV/0!</v>
      </c>
      <c r="U17" s="172" t="e">
        <f>R17*R18*PRODUCT(S5:S16)*S19+R17*R19*PRODUCT(S5:S16)*S18</f>
        <v>#DIV/0!</v>
      </c>
      <c r="W17" s="181" t="s">
        <v>76</v>
      </c>
      <c r="X17" s="15" t="s">
        <v>77</v>
      </c>
      <c r="Y17" s="69">
        <f>(AI17*2)*IF(COUNTBLANK(J14:J15)&lt;&gt;0,(2-COUNTBLANK(J14:J15))/2,1)*AK17</f>
        <v>0</v>
      </c>
      <c r="Z17" s="189" t="str">
        <f>IF(COUNTIF(J14:J18,"CAB")&gt;0,0.95,Z3)</f>
        <v>0,6</v>
      </c>
      <c r="AA17" s="19">
        <f t="shared" si="4"/>
        <v>0</v>
      </c>
      <c r="AB17" s="155" t="e">
        <f t="shared" si="5"/>
        <v>#DIV/0!</v>
      </c>
      <c r="AC17" s="171" t="e">
        <f t="shared" si="6"/>
        <v>#DIV/0!</v>
      </c>
      <c r="AD17" s="172" t="e">
        <f>AB17*PRODUCT(AC5:AC16)*PRODUCT(AC18:AC19)</f>
        <v>#DIV/0!</v>
      </c>
      <c r="AE17" s="172" t="e">
        <f>AB17*AB18*PRODUCT(AC5:AC16)*AC19+AB17*AB19*PRODUCT(AC5:AC16)*AC18</f>
        <v>#DIV/0!</v>
      </c>
      <c r="AG17" s="19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</v>
      </c>
      <c r="AI17" s="153">
        <f>IF(AN17=0,(AM17*2*$AI$2/2)+SUM($AN$5:$AN$19),0)</f>
        <v>0</v>
      </c>
      <c r="AK17" s="19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</v>
      </c>
      <c r="AM17" s="13">
        <v>0.08</v>
      </c>
      <c r="AN17">
        <f>IF(AK17+AG17=0,AM17*2/10,0)</f>
        <v>1.6E-2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3" t="s">
        <v>78</v>
      </c>
      <c r="B18" s="167">
        <v>20</v>
      </c>
      <c r="C18" s="168">
        <v>20</v>
      </c>
      <c r="E18" s="187" t="s">
        <v>71</v>
      </c>
      <c r="F18" s="162"/>
      <c r="G18" s="162"/>
      <c r="H18" s="10"/>
      <c r="I18" s="10"/>
      <c r="J18" s="161"/>
      <c r="K18" s="161"/>
      <c r="L18" s="10"/>
      <c r="M18" s="10"/>
      <c r="O18" s="67"/>
      <c r="P18" s="188"/>
      <c r="Q18" s="16">
        <f t="shared" si="1"/>
        <v>0</v>
      </c>
      <c r="R18" s="155" t="e">
        <f t="shared" si="2"/>
        <v>#DIV/0!</v>
      </c>
      <c r="S18" s="171" t="e">
        <f t="shared" si="3"/>
        <v>#DIV/0!</v>
      </c>
      <c r="T18" s="172" t="e">
        <f>R18*PRODUCT(S5:S17)*PRODUCT(S19)</f>
        <v>#DIV/0!</v>
      </c>
      <c r="U18" s="172" t="e">
        <f>R18*R19*PRODUCT(S5:S17)</f>
        <v>#DIV/0!</v>
      </c>
      <c r="W18" s="181" t="s">
        <v>79</v>
      </c>
      <c r="X18" s="15" t="s">
        <v>80</v>
      </c>
      <c r="Y18" s="69"/>
      <c r="Z18" s="189"/>
      <c r="AA18" s="19">
        <f t="shared" si="4"/>
        <v>0</v>
      </c>
      <c r="AB18" s="155" t="e">
        <f t="shared" si="5"/>
        <v>#DIV/0!</v>
      </c>
      <c r="AC18" s="171" t="e">
        <f t="shared" si="6"/>
        <v>#DIV/0!</v>
      </c>
      <c r="AD18" s="172" t="e">
        <f>AB18*PRODUCT(AC5:AC17)*PRODUCT(AC19)</f>
        <v>#DIV/0!</v>
      </c>
      <c r="AE18" s="172" t="e">
        <f>AB18*AB19*PRODUCT(AC5:AC17)</f>
        <v>#DIV/0!</v>
      </c>
      <c r="AG18" s="193"/>
      <c r="AI18" s="153"/>
      <c r="AK18" s="193"/>
      <c r="AM18" s="13">
        <v>0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81</v>
      </c>
      <c r="L19" s="13" t="s">
        <v>81</v>
      </c>
      <c r="O19" s="67">
        <f>COUNTIF(F11:F18,"TEC")*AG19*AI19</f>
        <v>0</v>
      </c>
      <c r="P19" s="188" t="str">
        <f>P3</f>
        <v>0,6</v>
      </c>
      <c r="Q19" s="16">
        <f t="shared" si="1"/>
        <v>0</v>
      </c>
      <c r="R19" s="155" t="e">
        <f t="shared" si="2"/>
        <v>#DIV/0!</v>
      </c>
      <c r="S19" s="173" t="e">
        <f t="shared" si="3"/>
        <v>#DIV/0!</v>
      </c>
      <c r="T19" s="174" t="e">
        <f>R19*PRODUCT(S5:S18)</f>
        <v>#DIV/0!</v>
      </c>
      <c r="U19" s="174">
        <v>0</v>
      </c>
      <c r="V19" s="1" t="s">
        <v>82</v>
      </c>
      <c r="W19" s="181" t="s">
        <v>83</v>
      </c>
      <c r="X19" s="15" t="s">
        <v>84</v>
      </c>
      <c r="Y19" s="69">
        <f>COUNTIF(J11:J18,"TEC")*AI19*AK19</f>
        <v>0</v>
      </c>
      <c r="Z19" s="189" t="str">
        <f>Z3</f>
        <v>0,6</v>
      </c>
      <c r="AA19" s="19">
        <f t="shared" si="4"/>
        <v>0</v>
      </c>
      <c r="AB19" s="155" t="e">
        <f t="shared" si="5"/>
        <v>#DIV/0!</v>
      </c>
      <c r="AC19" s="173" t="e">
        <f t="shared" si="6"/>
        <v>#DIV/0!</v>
      </c>
      <c r="AD19" s="174" t="e">
        <f>AB19*PRODUCT(AC5:AC18)</f>
        <v>#DIV/0!</v>
      </c>
      <c r="AE19" s="174">
        <v>0</v>
      </c>
      <c r="AF19" s="1" t="s">
        <v>82</v>
      </c>
      <c r="AG19" s="193">
        <f>IF(COUNTIF(F11:F18,"TEC")&gt;0,IF(COUNTIF(J6:J13,"CAB")&gt;0,IF(COUNTIF(F11:F18,"TEC")+COUNTIF(J11:J18,"TEC")&gt;0,COUNTIF(F11:F18,"TEC")/(COUNTIF(F11:F18,"TEC")+COUNTIF(J11:J18,"TEC")),0),0),0)</f>
        <v>0</v>
      </c>
      <c r="AI19" s="153">
        <f>IF(AN19=0,(AM19*2*$AI$2/2)+SUM($AN$5:$AN$19),0)</f>
        <v>0</v>
      </c>
      <c r="AK19" s="19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>IF(AK19+AG19=0,AM19*2/10,0)</f>
        <v>1.2E-2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85" t="s">
        <v>85</v>
      </c>
      <c r="B20">
        <f>IF(B17="Pres",IF(C17="Pres",2,1),IF(C17="Pres",1,0))</f>
        <v>0</v>
      </c>
      <c r="D20" s="36"/>
      <c r="O20" s="22"/>
      <c r="P20" s="22"/>
      <c r="Q20" s="22"/>
      <c r="S20" s="175" t="e">
        <f>PRODUCT(S5:S19)</f>
        <v>#DIV/0!</v>
      </c>
      <c r="T20" s="176" t="e">
        <f>SUM(T5:T19)</f>
        <v>#DIV/0!</v>
      </c>
      <c r="U20" s="176" t="e">
        <f>SUM(U5:U19)</f>
        <v>#DIV/0!</v>
      </c>
      <c r="V20" s="176" t="e">
        <f>1-S20-T20-U20</f>
        <v>#DIV/0!</v>
      </c>
      <c r="W20" s="21"/>
      <c r="X20" s="22"/>
      <c r="Y20" s="22"/>
      <c r="Z20" s="22"/>
      <c r="AA20" s="22"/>
      <c r="AB20" s="23"/>
      <c r="AC20" s="179" t="e">
        <f>PRODUCT(AC5:AC19)</f>
        <v>#DIV/0!</v>
      </c>
      <c r="AD20" s="176" t="e">
        <f>SUM(AD5:AD19)</f>
        <v>#DIV/0!</v>
      </c>
      <c r="AE20" s="176" t="e">
        <f>SUM(AE5:AE19)</f>
        <v>#DIV/0!</v>
      </c>
      <c r="AF20" s="17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85" t="s">
        <v>86</v>
      </c>
      <c r="B21" s="186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87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x14ac:dyDescent="0.25">
      <c r="A23" s="40" t="s">
        <v>88</v>
      </c>
      <c r="B23" s="56" t="e">
        <f>((B22^2.8)/((B22^2.8)+(C22^2.8)))*B21</f>
        <v>#DIV/0!</v>
      </c>
      <c r="C23" s="57" t="e">
        <f>B21-B23</f>
        <v>#DIV/0!</v>
      </c>
      <c r="D23" s="149">
        <f>SUM(D25:D30)</f>
        <v>1</v>
      </c>
      <c r="E23" s="149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x14ac:dyDescent="0.25">
      <c r="A24" s="26" t="s">
        <v>89</v>
      </c>
      <c r="B24" s="64" t="e">
        <f>B23/B21</f>
        <v>#DIV/0!</v>
      </c>
      <c r="C24" s="65" t="e">
        <f>C23/B21</f>
        <v>#DIV/0!</v>
      </c>
      <c r="D24" s="13" t="s">
        <v>90</v>
      </c>
      <c r="E24" s="13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114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124">
        <v>0</v>
      </c>
      <c r="H25" s="125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S20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 t="shared" ref="P25:P30" si="12">N25</f>
        <v>#DIV/0!</v>
      </c>
      <c r="Q25" s="12">
        <v>0</v>
      </c>
      <c r="R25" s="73" t="e">
        <f>P25*N25</f>
        <v>#DIV/0!</v>
      </c>
      <c r="S25" s="70">
        <v>0</v>
      </c>
      <c r="T25" s="133" t="e">
        <f>(1-$B$33)^(INT(C23*2*(1-C31)))</f>
        <v>#DIV/0!</v>
      </c>
      <c r="U25" s="138">
        <v>0</v>
      </c>
      <c r="V25" s="86" t="e">
        <f>R25*T25</f>
        <v>#DIV/0!</v>
      </c>
      <c r="W25" s="134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115</v>
      </c>
      <c r="B26" s="119" t="e">
        <f>1/(1+EXP(-3.1416*4*((B10/(B10+C9))-(3.1416/6))))</f>
        <v>#DIV/0!</v>
      </c>
      <c r="C26" s="118" t="e">
        <f>1/(1+EXP(-3.1416*4*((C10/(C10+B9))-(3.1416/6))))</f>
        <v>#DIV/0!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1</v>
      </c>
      <c r="H26" s="126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T20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si="12"/>
        <v>#DIV/0!</v>
      </c>
      <c r="Q26" s="28">
        <v>1</v>
      </c>
      <c r="R26" s="37" t="e">
        <f>N26*P25+P26*N25</f>
        <v>#DIV/0!</v>
      </c>
      <c r="S26" s="72">
        <v>1</v>
      </c>
      <c r="T26" s="133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5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116</v>
      </c>
      <c r="B27" s="119" t="e">
        <f>1/(1+EXP(-3.1416*4*((B12/(B12+C7))-(3.1416/6))))</f>
        <v>#DIV/0!</v>
      </c>
      <c r="C27" s="118" t="e">
        <f>1/(1+EXP(-3.1416*4*((C12/(C12+B7))-(3.1416/6))))</f>
        <v>#DIV/0!</v>
      </c>
      <c r="D27" s="151">
        <f>D26</f>
        <v>0.25700000000000001</v>
      </c>
      <c r="E27" s="151">
        <f>E26</f>
        <v>0.25700000000000001</v>
      </c>
      <c r="G27" s="87">
        <v>2</v>
      </c>
      <c r="H27" s="126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U20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3" t="e">
        <f t="shared" si="13"/>
        <v>#DIV/0!</v>
      </c>
      <c r="U27" s="93">
        <v>2</v>
      </c>
      <c r="V27" s="86" t="e">
        <f>R27*T25+T26*R26+R25*T27</f>
        <v>#DIV/0!</v>
      </c>
      <c r="W27" s="135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117</v>
      </c>
      <c r="B28" s="169">
        <v>0.9</v>
      </c>
      <c r="C28" s="170">
        <v>0.9</v>
      </c>
      <c r="D28" s="151">
        <v>8.5000000000000006E-2</v>
      </c>
      <c r="E28" s="151">
        <v>8.5000000000000006E-2</v>
      </c>
      <c r="G28" s="87">
        <v>3</v>
      </c>
      <c r="H28" s="126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V20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3" t="e">
        <f t="shared" si="13"/>
        <v>#DIV/0!</v>
      </c>
      <c r="U28" s="93">
        <v>3</v>
      </c>
      <c r="V28" s="86" t="e">
        <f>R28*T25+R27*T26+R26*T27+R25*T28</f>
        <v>#DIV/0!</v>
      </c>
      <c r="W28" s="135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4"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118</v>
      </c>
      <c r="B29" s="119">
        <f>1/(1+EXP(-3.1416*4*((B14/(B14+C13))-(3.1416/6))))</f>
        <v>1.555707217202411E-2</v>
      </c>
      <c r="C29" s="118">
        <f>1/(1+EXP(-3.1416*4*((C14/(C14+B13))-(3.1416/6))))</f>
        <v>0.96248844203767769</v>
      </c>
      <c r="D29" s="151">
        <v>0.04</v>
      </c>
      <c r="E29" s="151">
        <v>0.04</v>
      </c>
      <c r="G29" s="87">
        <v>4</v>
      </c>
      <c r="H29" s="126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3" t="e">
        <f t="shared" si="13"/>
        <v>#DIV/0!</v>
      </c>
      <c r="U29" s="93">
        <v>4</v>
      </c>
      <c r="V29" s="86" t="e">
        <f>T29*R25+T28*R26+T27*R27+T26*R28+T25*R29</f>
        <v>#DIV/0!</v>
      </c>
      <c r="W29" s="135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4"/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119</v>
      </c>
      <c r="B30" s="169">
        <v>0.15</v>
      </c>
      <c r="C30" s="170">
        <v>0.15</v>
      </c>
      <c r="D30" s="151">
        <f>IF(B17="TL",0.875*B32,0.001)</f>
        <v>1E-3</v>
      </c>
      <c r="E30" s="151">
        <f>IF(C17="TL",0.875*C32,0.001)</f>
        <v>1E-3</v>
      </c>
      <c r="G30" s="87">
        <v>5</v>
      </c>
      <c r="H30" s="126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3" t="e">
        <f t="shared" si="13"/>
        <v>#DIV/0!</v>
      </c>
      <c r="U30" s="93">
        <v>5</v>
      </c>
      <c r="V30" s="86" t="e">
        <f>T30*R25+T29*R26+T28*R27+T27*R28+T26*R29+T25*R30</f>
        <v>#DIV/0!</v>
      </c>
      <c r="W30" s="135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4" t="s">
        <v>120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6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3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5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121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6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3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5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122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6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3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5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123</v>
      </c>
      <c r="B34" s="56" t="e">
        <f>B23*2</f>
        <v>#DIV/0!</v>
      </c>
      <c r="C34" s="57" t="e">
        <f>C23*2</f>
        <v>#DIV/0!</v>
      </c>
      <c r="G34" s="87">
        <v>9</v>
      </c>
      <c r="H34" s="126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3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5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88">
        <v>10</v>
      </c>
      <c r="H35" s="127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3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5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x14ac:dyDescent="0.25">
      <c r="A37" s="109" t="s">
        <v>124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125</v>
      </c>
      <c r="B38" s="107" t="e">
        <f>SUM(BJ4:BJ59)</f>
        <v>#DIV/0!</v>
      </c>
      <c r="G38" s="103" t="str">
        <f t="shared" ref="G38:AS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39" t="str">
        <f t="shared" si="19"/>
        <v>p</v>
      </c>
      <c r="U38" s="140" t="str">
        <f t="shared" si="19"/>
        <v>Total</v>
      </c>
      <c r="V38" s="141" t="str">
        <f t="shared" si="19"/>
        <v>P</v>
      </c>
      <c r="W38" s="90" t="str">
        <f t="shared" si="19"/>
        <v>E(x)</v>
      </c>
      <c r="X38" s="30" t="str">
        <f t="shared" si="19"/>
        <v>G0</v>
      </c>
      <c r="Y38" s="30" t="str">
        <f t="shared" si="19"/>
        <v>p</v>
      </c>
      <c r="Z38" s="30" t="str">
        <f t="shared" si="19"/>
        <v>G1</v>
      </c>
      <c r="AA38" s="30" t="str">
        <f t="shared" si="19"/>
        <v>p</v>
      </c>
      <c r="AB38" s="30" t="str">
        <f t="shared" si="19"/>
        <v>G2</v>
      </c>
      <c r="AC38" s="30" t="str">
        <f t="shared" si="19"/>
        <v>p</v>
      </c>
      <c r="AD38" s="30" t="str">
        <f t="shared" si="19"/>
        <v>G3</v>
      </c>
      <c r="AE38" s="30" t="str">
        <f t="shared" si="19"/>
        <v>p</v>
      </c>
      <c r="AF38" s="30" t="str">
        <f t="shared" si="19"/>
        <v>G4</v>
      </c>
      <c r="AG38" s="30" t="str">
        <f t="shared" si="19"/>
        <v>p</v>
      </c>
      <c r="AH38" s="30" t="str">
        <f t="shared" si="19"/>
        <v>G5</v>
      </c>
      <c r="AI38" s="30" t="str">
        <f t="shared" si="19"/>
        <v>p</v>
      </c>
      <c r="AJ38" s="30" t="str">
        <f t="shared" si="19"/>
        <v>G6</v>
      </c>
      <c r="AK38" s="30" t="str">
        <f t="shared" si="19"/>
        <v>p</v>
      </c>
      <c r="AL38" s="30" t="str">
        <f t="shared" si="19"/>
        <v>G7</v>
      </c>
      <c r="AM38" s="30" t="str">
        <f t="shared" si="19"/>
        <v>p</v>
      </c>
      <c r="AN38" s="30" t="str">
        <f t="shared" si="19"/>
        <v>G8</v>
      </c>
      <c r="AO38" s="30" t="str">
        <f t="shared" si="19"/>
        <v>p</v>
      </c>
      <c r="AP38" s="30" t="str">
        <f t="shared" si="19"/>
        <v>G9</v>
      </c>
      <c r="AQ38" s="30" t="str">
        <f t="shared" si="19"/>
        <v>p</v>
      </c>
      <c r="AR38" s="30" t="str">
        <f t="shared" si="19"/>
        <v>G10</v>
      </c>
      <c r="AS38" s="30" t="str">
        <f t="shared" si="19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0">BH32+1</f>
        <v>4</v>
      </c>
      <c r="BI38">
        <v>5</v>
      </c>
      <c r="BJ38" s="107" t="e">
        <f t="shared" ref="BJ38:BJ43" si="21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126</v>
      </c>
      <c r="B39" s="107" t="e">
        <f>SUM(BR4:BR47)</f>
        <v>#DIV/0!</v>
      </c>
      <c r="G39" s="128">
        <v>0</v>
      </c>
      <c r="H39" s="129" t="e">
        <f>L39*J39</f>
        <v>#DIV/0!</v>
      </c>
      <c r="I39" s="97">
        <v>0</v>
      </c>
      <c r="J39" s="98" t="e">
        <f t="shared" ref="J39:J49" si="22">Y39+AA39+AC39+AE39+AG39+AI39+AK39+AM39+AO39+AQ39+AS39</f>
        <v>#DIV/0!</v>
      </c>
      <c r="K39" s="102">
        <v>0</v>
      </c>
      <c r="L39" s="98" t="e">
        <f>AC20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 t="shared" ref="P39:P44" si="23">N39</f>
        <v>#DIV/0!</v>
      </c>
      <c r="Q39" s="12">
        <v>0</v>
      </c>
      <c r="R39" s="73" t="e">
        <f>P39*N39</f>
        <v>#DIV/0!</v>
      </c>
      <c r="S39" s="70">
        <v>0</v>
      </c>
      <c r="T39" s="133" t="e">
        <f>(1-$C$33)^(INT(B23*2*(1-B31)))</f>
        <v>#DIV/0!</v>
      </c>
      <c r="U39" s="138">
        <v>0</v>
      </c>
      <c r="V39" s="86" t="e">
        <f>R39*T39</f>
        <v>#DIV/0!</v>
      </c>
      <c r="W39" s="134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0"/>
        <v>4</v>
      </c>
      <c r="BI39">
        <v>6</v>
      </c>
      <c r="BJ39" s="107" t="e">
        <f t="shared" si="21"/>
        <v>#DIV/0!</v>
      </c>
      <c r="BP39">
        <f t="shared" ref="BP39:BP46" si="24">BP31+1</f>
        <v>9</v>
      </c>
      <c r="BQ39">
        <v>0</v>
      </c>
      <c r="BR39" s="107" t="e">
        <f t="shared" ref="BR39:BR47" si="25">$H$34*H39</f>
        <v>#DIV/0!</v>
      </c>
    </row>
    <row r="40" spans="1:70" x14ac:dyDescent="0.25">
      <c r="G40" s="91">
        <v>1</v>
      </c>
      <c r="H40" s="130" t="e">
        <f>L39*J40+L40*J39</f>
        <v>#DIV/0!</v>
      </c>
      <c r="I40" s="93">
        <v>1</v>
      </c>
      <c r="J40" s="86" t="e">
        <f t="shared" si="22"/>
        <v>#DIV/0!</v>
      </c>
      <c r="K40" s="95">
        <v>1</v>
      </c>
      <c r="L40" s="86" t="e">
        <f>AD20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si="23"/>
        <v>#DIV/0!</v>
      </c>
      <c r="Q40" s="28">
        <v>1</v>
      </c>
      <c r="R40" s="37" t="e">
        <f>P40*N39+P39*N40</f>
        <v>#DIV/0!</v>
      </c>
      <c r="S40" s="72">
        <v>1</v>
      </c>
      <c r="T40" s="133" t="e">
        <f t="shared" ref="T40:T49" si="26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5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0"/>
        <v>4</v>
      </c>
      <c r="BI40">
        <v>7</v>
      </c>
      <c r="BJ40" s="107" t="e">
        <f t="shared" si="21"/>
        <v>#DIV/0!</v>
      </c>
      <c r="BP40">
        <f t="shared" si="24"/>
        <v>9</v>
      </c>
      <c r="BQ40">
        <v>1</v>
      </c>
      <c r="BR40" s="107" t="e">
        <f t="shared" si="25"/>
        <v>#DIV/0!</v>
      </c>
    </row>
    <row r="41" spans="1:70" x14ac:dyDescent="0.25">
      <c r="G41" s="91">
        <v>2</v>
      </c>
      <c r="H41" s="130" t="e">
        <f>L39*J41+J40*L40+J39*L41</f>
        <v>#DIV/0!</v>
      </c>
      <c r="I41" s="93">
        <v>2</v>
      </c>
      <c r="J41" s="86" t="e">
        <f t="shared" si="22"/>
        <v>#DIV/0!</v>
      </c>
      <c r="K41" s="95">
        <v>2</v>
      </c>
      <c r="L41" s="86" t="e">
        <f>AE20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23"/>
        <v>#DIV/0!</v>
      </c>
      <c r="Q41" s="28">
        <v>2</v>
      </c>
      <c r="R41" s="37" t="e">
        <f>P41*N39+P40*N40+P39*N41</f>
        <v>#DIV/0!</v>
      </c>
      <c r="S41" s="72">
        <v>2</v>
      </c>
      <c r="T41" s="133" t="e">
        <f t="shared" si="26"/>
        <v>#DIV/0!</v>
      </c>
      <c r="U41" s="93">
        <v>2</v>
      </c>
      <c r="V41" s="86" t="e">
        <f>R41*T39+T40*R40+R39*T41</f>
        <v>#DIV/0!</v>
      </c>
      <c r="W41" s="135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0"/>
        <v>4</v>
      </c>
      <c r="BI41">
        <v>8</v>
      </c>
      <c r="BJ41" s="107" t="e">
        <f t="shared" si="21"/>
        <v>#DIV/0!</v>
      </c>
      <c r="BP41">
        <f t="shared" si="24"/>
        <v>9</v>
      </c>
      <c r="BQ41">
        <v>2</v>
      </c>
      <c r="BR41" s="107" t="e">
        <f t="shared" si="25"/>
        <v>#DIV/0!</v>
      </c>
    </row>
    <row r="42" spans="1:70" ht="15" customHeight="1" x14ac:dyDescent="0.25">
      <c r="G42" s="91">
        <v>3</v>
      </c>
      <c r="H42" s="130" t="e">
        <f>J42*L39+J41*L40+L42*J39+L41*J40</f>
        <v>#DIV/0!</v>
      </c>
      <c r="I42" s="93">
        <v>3</v>
      </c>
      <c r="J42" s="86" t="e">
        <f t="shared" si="22"/>
        <v>#DIV/0!</v>
      </c>
      <c r="K42" s="95">
        <v>3</v>
      </c>
      <c r="L42" s="86" t="e">
        <f>AF20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23"/>
        <v>#DIV/0!</v>
      </c>
      <c r="Q42" s="28">
        <v>3</v>
      </c>
      <c r="R42" s="37" t="e">
        <f>P42*N39+P41*N40+P40*N41+P39*N42</f>
        <v>#DIV/0!</v>
      </c>
      <c r="S42" s="72">
        <v>3</v>
      </c>
      <c r="T42" s="133" t="e">
        <f t="shared" si="26"/>
        <v>#DIV/0!</v>
      </c>
      <c r="U42" s="93">
        <v>3</v>
      </c>
      <c r="V42" s="86" t="e">
        <f>R42*T39+R41*T40+R40*T41+R39*T42</f>
        <v>#DIV/0!</v>
      </c>
      <c r="W42" s="135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27">BE41+BE42</f>
        <v>210</v>
      </c>
      <c r="BH42">
        <f t="shared" si="20"/>
        <v>4</v>
      </c>
      <c r="BI42">
        <v>9</v>
      </c>
      <c r="BJ42" s="107" t="e">
        <f t="shared" si="21"/>
        <v>#DIV/0!</v>
      </c>
      <c r="BP42">
        <f t="shared" si="24"/>
        <v>9</v>
      </c>
      <c r="BQ42">
        <v>3</v>
      </c>
      <c r="BR42" s="107" t="e">
        <f t="shared" si="25"/>
        <v>#DIV/0!</v>
      </c>
    </row>
    <row r="43" spans="1:70" ht="15" customHeight="1" x14ac:dyDescent="0.25">
      <c r="G43" s="91">
        <v>4</v>
      </c>
      <c r="H43" s="130" t="e">
        <f>J43*L39+J42*L40+J41*L41+J40*L42</f>
        <v>#DIV/0!</v>
      </c>
      <c r="I43" s="93">
        <v>4</v>
      </c>
      <c r="J43" s="86" t="e">
        <f t="shared" si="22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23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3" t="e">
        <f t="shared" si="26"/>
        <v>#DIV/0!</v>
      </c>
      <c r="U43" s="93">
        <v>4</v>
      </c>
      <c r="V43" s="86" t="e">
        <f>T43*R39+T42*R40+T41*R41+T40*R42+T39*R43</f>
        <v>#DIV/0!</v>
      </c>
      <c r="W43" s="135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27"/>
        <v>252</v>
      </c>
      <c r="BH43">
        <f t="shared" si="20"/>
        <v>4</v>
      </c>
      <c r="BI43">
        <v>10</v>
      </c>
      <c r="BJ43" s="107" t="e">
        <f t="shared" si="21"/>
        <v>#DIV/0!</v>
      </c>
      <c r="BP43">
        <f t="shared" si="24"/>
        <v>9</v>
      </c>
      <c r="BQ43">
        <v>4</v>
      </c>
      <c r="BR43" s="107" t="e">
        <f t="shared" si="25"/>
        <v>#DIV/0!</v>
      </c>
    </row>
    <row r="44" spans="1:70" ht="15" customHeight="1" x14ac:dyDescent="0.25">
      <c r="G44" s="91">
        <v>5</v>
      </c>
      <c r="H44" s="130" t="e">
        <f>J44*L39+J43*L40+J42*L41+J41*L42</f>
        <v>#DIV/0!</v>
      </c>
      <c r="I44" s="93">
        <v>5</v>
      </c>
      <c r="J44" s="86" t="e">
        <f t="shared" si="22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23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3" t="e">
        <f t="shared" si="26"/>
        <v>#DIV/0!</v>
      </c>
      <c r="U44" s="93">
        <v>5</v>
      </c>
      <c r="V44" s="86" t="e">
        <f>T44*R39+T43*R40+T42*R41+T41*R42+T40*R43+T39*R44</f>
        <v>#DIV/0!</v>
      </c>
      <c r="W44" s="135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27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24"/>
        <v>9</v>
      </c>
      <c r="BQ44">
        <v>5</v>
      </c>
      <c r="BR44" s="107" t="e">
        <f t="shared" si="25"/>
        <v>#DIV/0!</v>
      </c>
    </row>
    <row r="45" spans="1:70" ht="15" customHeight="1" x14ac:dyDescent="0.25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 t="e">
        <f>J45*L39+J44*L40+J43*L41+J42*L42</f>
        <v>#DIV/0!</v>
      </c>
      <c r="I45" s="93">
        <v>6</v>
      </c>
      <c r="J45" s="86" t="e">
        <f t="shared" si="22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3" t="e">
        <f t="shared" si="26"/>
        <v>#DIV/0!</v>
      </c>
      <c r="U45" s="93">
        <v>6</v>
      </c>
      <c r="V45" s="86" t="e">
        <f>T45*R39+T44*R40+T43*R41+T42*R42+T41*R43+T40*R44+T39*R45</f>
        <v>#DIV/0!</v>
      </c>
      <c r="W45" s="135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27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24"/>
        <v>9</v>
      </c>
      <c r="BQ45">
        <v>6</v>
      </c>
      <c r="BR45" s="107" t="e">
        <f t="shared" si="25"/>
        <v>#DIV/0!</v>
      </c>
    </row>
    <row r="46" spans="1:70" ht="15" customHeight="1" x14ac:dyDescent="0.25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 t="e">
        <f>J46*L39+J45*L40+J44*L41+J43*L42</f>
        <v>#DIV/0!</v>
      </c>
      <c r="I46" s="93">
        <v>7</v>
      </c>
      <c r="J46" s="86" t="e">
        <f t="shared" si="22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3" t="e">
        <f t="shared" si="26"/>
        <v>#DIV/0!</v>
      </c>
      <c r="U46" s="93">
        <v>7</v>
      </c>
      <c r="V46" s="86" t="e">
        <f>T46*R39+T45*R40+T44*R41+T43*R42+T42*R43+T41*R44+T40*R45+T39*R46</f>
        <v>#DIV/0!</v>
      </c>
      <c r="W46" s="135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27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24"/>
        <v>9</v>
      </c>
      <c r="BQ46">
        <v>7</v>
      </c>
      <c r="BR46" s="107" t="e">
        <f t="shared" si="25"/>
        <v>#DIV/0!</v>
      </c>
    </row>
    <row r="47" spans="1:70" ht="15" customHeight="1" x14ac:dyDescent="0.25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 t="e">
        <f>J47*L39+J46*L40+J45*L41+J44*L42</f>
        <v>#DIV/0!</v>
      </c>
      <c r="I47" s="93">
        <v>8</v>
      </c>
      <c r="J47" s="86" t="e">
        <f t="shared" si="22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3" t="e">
        <f t="shared" si="26"/>
        <v>#DIV/0!</v>
      </c>
      <c r="U47" s="93">
        <v>8</v>
      </c>
      <c r="V47" s="86" t="e">
        <f>T47*R39+T46*R40+T45*R41+T44*R42+T43*R43+T42*R44+T41*R45+T40*R46+T39*R47</f>
        <v>#DIV/0!</v>
      </c>
      <c r="W47" s="135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27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25"/>
        <v>#DIV/0!</v>
      </c>
    </row>
    <row r="48" spans="1:70" ht="15" customHeight="1" x14ac:dyDescent="0.25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 t="e">
        <f>J48*L39+J47*L40+J46*L41+J45*L42</f>
        <v>#DIV/0!</v>
      </c>
      <c r="I48" s="93">
        <v>9</v>
      </c>
      <c r="J48" s="86" t="e">
        <f t="shared" si="22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3" t="e">
        <f t="shared" si="26"/>
        <v>#DIV/0!</v>
      </c>
      <c r="U48" s="93">
        <v>9</v>
      </c>
      <c r="V48" s="86" t="e">
        <f>T48*R39+T47*R40+T46*R41+T45*R42+T44*R43+T43*R44+T42*R45+T41*R46+T40*R47+T39*R48</f>
        <v>#DIV/0!</v>
      </c>
      <c r="W48" s="135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27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x14ac:dyDescent="0.25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 t="e">
        <f>J49*L39+J48*L40+J47*L41+J46*L42</f>
        <v>#DIV/0!</v>
      </c>
      <c r="I49" s="94">
        <v>10</v>
      </c>
      <c r="J49" s="89" t="e">
        <f t="shared" si="22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3" t="e">
        <f t="shared" si="26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5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x14ac:dyDescent="0.25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x14ac:dyDescent="0.25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H49">
    <cfRule type="cellIs" dxfId="69" priority="1" operator="greaterThan">
      <formula>0.15</formula>
    </cfRule>
  </conditionalFormatting>
  <conditionalFormatting sqref="H39:H49">
    <cfRule type="cellIs" dxfId="68" priority="2" operator="greaterThan">
      <formula>0.15</formula>
    </cfRule>
  </conditionalFormatting>
  <conditionalFormatting sqref="H49">
    <cfRule type="cellIs" dxfId="67" priority="3" operator="greaterThan">
      <formula>0.15</formula>
    </cfRule>
  </conditionalFormatting>
  <conditionalFormatting sqref="H39:H49">
    <cfRule type="cellIs" dxfId="66" priority="4" operator="greaterThan">
      <formula>0.15</formula>
    </cfRule>
  </conditionalFormatting>
  <conditionalFormatting sqref="H35">
    <cfRule type="cellIs" dxfId="65" priority="5" operator="greaterThan">
      <formula>0.15</formula>
    </cfRule>
  </conditionalFormatting>
  <conditionalFormatting sqref="H25:H35">
    <cfRule type="cellIs" dxfId="64" priority="6" operator="greaterThan">
      <formula>0.15</formula>
    </cfRule>
  </conditionalFormatting>
  <conditionalFormatting sqref="H35">
    <cfRule type="cellIs" dxfId="63" priority="7" operator="greaterThan">
      <formula>0.15</formula>
    </cfRule>
  </conditionalFormatting>
  <conditionalFormatting sqref="H25:H35">
    <cfRule type="cellIs" dxfId="62" priority="8" operator="greaterThan">
      <formula>0.15</formula>
    </cfRule>
  </conditionalFormatting>
  <conditionalFormatting sqref="V49">
    <cfRule type="cellIs" dxfId="61" priority="9" operator="greaterThan">
      <formula>0.15</formula>
    </cfRule>
  </conditionalFormatting>
  <conditionalFormatting sqref="V35">
    <cfRule type="cellIs" dxfId="60" priority="10" operator="greaterThan">
      <formula>0.15</formula>
    </cfRule>
  </conditionalFormatting>
  <conditionalFormatting sqref="V25:V35 V39:V49">
    <cfRule type="cellIs" dxfId="59" priority="11" operator="greaterThan">
      <formula>0.15</formula>
    </cfRule>
  </conditionalFormatting>
  <conditionalFormatting sqref="V49">
    <cfRule type="cellIs" dxfId="58" priority="12" operator="greaterThan">
      <formula>0.15</formula>
    </cfRule>
  </conditionalFormatting>
  <conditionalFormatting sqref="V35">
    <cfRule type="cellIs" dxfId="57" priority="13" operator="greaterThan">
      <formula>0.15</formula>
    </cfRule>
  </conditionalFormatting>
  <conditionalFormatting sqref="V25:V35 V39:V49">
    <cfRule type="cellIs" dxfId="56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BR59"/>
  <sheetViews>
    <sheetView zoomScale="80" workbookViewId="0">
      <selection activeCell="G8" sqref="G8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8.42578125" customWidth="1"/>
    <col min="16" max="16" width="10.140625" customWidth="1"/>
    <col min="17" max="17" width="8.85546875" customWidth="1"/>
    <col min="19" max="19" width="8.85546875" customWidth="1"/>
    <col min="21" max="21" width="8.85546875" customWidth="1"/>
    <col min="23" max="23" width="17.42578125" customWidth="1"/>
    <col min="24" max="24" width="7.140625" customWidth="1"/>
    <col min="25" max="25" width="8.425781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8.8554687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5" max="35" width="8.4257812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143</v>
      </c>
      <c r="B1" t="s">
        <v>0</v>
      </c>
      <c r="F1" s="10" t="s">
        <v>1</v>
      </c>
      <c r="G1" s="70">
        <f>IF(D3="SI",COUNTIF($F$6:$F$18,"RAP"),0)</f>
        <v>2</v>
      </c>
      <c r="H1" s="70">
        <f>G1+G2+G3</f>
        <v>4</v>
      </c>
      <c r="J1" s="11" t="s">
        <v>1</v>
      </c>
      <c r="K1" s="70">
        <f>IF(D3="SI",COUNTIF($J$6:$J$18,"RAP"),0)</f>
        <v>3</v>
      </c>
      <c r="L1" s="70">
        <f>K1+K2+K3</f>
        <v>3</v>
      </c>
      <c r="M1" s="148">
        <f>L1+H1</f>
        <v>7</v>
      </c>
      <c r="P1" s="204"/>
      <c r="Q1" s="204"/>
      <c r="R1" s="150">
        <v>0</v>
      </c>
      <c r="S1" s="151">
        <f>1+R1</f>
        <v>1</v>
      </c>
      <c r="U1" s="156" t="s">
        <v>154</v>
      </c>
      <c r="V1">
        <f>IF(B17="JC",IF(C17="JC",2,1.5),IF(C17="JC",1.5,1))</f>
        <v>1</v>
      </c>
      <c r="AE1" s="156" t="s">
        <v>154</v>
      </c>
    </row>
    <row r="2" spans="1:70" x14ac:dyDescent="0.25">
      <c r="A2" s="153" t="s">
        <v>146</v>
      </c>
      <c r="B2" t="s">
        <v>0</v>
      </c>
      <c r="F2" s="10" t="s">
        <v>2</v>
      </c>
      <c r="G2" s="70">
        <f>IF(D3="SI",COUNTIF($F$6:$F$18,"TEC"),0)</f>
        <v>2</v>
      </c>
      <c r="H2" s="13"/>
      <c r="J2" s="11" t="s">
        <v>2</v>
      </c>
      <c r="K2" s="70">
        <f>IF(D3="SI",COUNTIF($J$6:$J$18,"TEC"),0)</f>
        <v>0</v>
      </c>
      <c r="L2" s="13" t="s">
        <v>155</v>
      </c>
      <c r="M2" s="158" t="str">
        <f>IF(M1&lt;&gt;0,"SI","NO")</f>
        <v>SI</v>
      </c>
      <c r="O2" t="s">
        <v>3</v>
      </c>
      <c r="P2" s="190" t="s">
        <v>148</v>
      </c>
      <c r="R2" s="150">
        <v>0</v>
      </c>
      <c r="S2" s="151">
        <f>1+R2</f>
        <v>1</v>
      </c>
      <c r="U2">
        <f>IF(B17="JC",IF(C17="JC",3,2.25),IF(C17="JC",1.75,1))</f>
        <v>1</v>
      </c>
      <c r="Y2" t="s">
        <v>3</v>
      </c>
      <c r="Z2" s="191" t="s">
        <v>148</v>
      </c>
      <c r="AE2">
        <f>IF(B17="JC",IF(C17="JC",3,1.75),IF(C17="JC",2.25,1))</f>
        <v>1</v>
      </c>
    </row>
    <row r="3" spans="1:70" x14ac:dyDescent="0.25">
      <c r="A3" s="157" t="s">
        <v>4</v>
      </c>
      <c r="B3" s="206" t="s">
        <v>5</v>
      </c>
      <c r="C3" s="206"/>
      <c r="D3" t="str">
        <f>IF(B3="Sol","SI",IF(B3="Lluvia","SI","NO"))</f>
        <v>SI</v>
      </c>
      <c r="F3" s="10" t="s">
        <v>6</v>
      </c>
      <c r="G3" s="70">
        <f>IF(D3="SI",COUNTIF($F$6:$F$18,"POT"),0)</f>
        <v>0</v>
      </c>
      <c r="H3" s="13"/>
      <c r="J3" s="11" t="s">
        <v>6</v>
      </c>
      <c r="K3" s="70">
        <f>IF(D3="SI",COUNTIF($J$6:$J$18,"POT"),0)</f>
        <v>0</v>
      </c>
      <c r="L3" s="13"/>
      <c r="O3" t="s">
        <v>7</v>
      </c>
      <c r="P3" s="190" t="s">
        <v>149</v>
      </c>
      <c r="Q3" t="s">
        <v>8</v>
      </c>
      <c r="R3" s="190" t="s">
        <v>150</v>
      </c>
      <c r="Y3" t="s">
        <v>7</v>
      </c>
      <c r="Z3" s="191" t="s">
        <v>149</v>
      </c>
      <c r="AA3" t="s">
        <v>8</v>
      </c>
      <c r="AB3" s="191" t="s">
        <v>150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18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AI4" s="153" t="s">
        <v>18</v>
      </c>
      <c r="BH4">
        <v>0</v>
      </c>
      <c r="BI4">
        <v>1</v>
      </c>
      <c r="BJ4" s="107">
        <f t="shared" ref="BJ4:BJ13" si="0">$H$25*H40</f>
        <v>1.5710760863666719E-2</v>
      </c>
      <c r="BL4">
        <v>0</v>
      </c>
      <c r="BM4">
        <v>0</v>
      </c>
      <c r="BN4" s="107">
        <f>H25*H39</f>
        <v>4.2098796242761435E-3</v>
      </c>
      <c r="BP4">
        <v>1</v>
      </c>
      <c r="BQ4">
        <v>0</v>
      </c>
      <c r="BR4" s="107">
        <f>$H$26*H39</f>
        <v>9.7454689573103614E-3</v>
      </c>
    </row>
    <row r="5" spans="1:70" x14ac:dyDescent="0.25">
      <c r="A5" s="183" t="s">
        <v>30</v>
      </c>
      <c r="B5" s="154">
        <v>352</v>
      </c>
      <c r="C5" s="154">
        <v>352</v>
      </c>
      <c r="E5" s="187" t="s">
        <v>31</v>
      </c>
      <c r="F5" s="162" t="s">
        <v>37</v>
      </c>
      <c r="G5" s="162">
        <v>12</v>
      </c>
      <c r="H5" s="10"/>
      <c r="I5" s="10"/>
      <c r="J5" s="161" t="s">
        <v>32</v>
      </c>
      <c r="K5" s="161">
        <v>12</v>
      </c>
      <c r="L5" s="10"/>
      <c r="M5" s="10"/>
      <c r="O5" s="67">
        <f>COUNTIF(F5:F10,"IMP")*AI5</f>
        <v>0.04</v>
      </c>
      <c r="P5" s="188" t="str">
        <f>P3</f>
        <v>0,6</v>
      </c>
      <c r="Q5" s="16">
        <f t="shared" ref="Q5:Q19" si="1">P5*O5</f>
        <v>2.4E-2</v>
      </c>
      <c r="R5" s="155">
        <f t="shared" ref="R5:R19" si="2">IF($M$2="SI",Q5*$B$22/0.5*$S$1,Q5*$B$22/0.5*$S$2)</f>
        <v>2.2736842105263156E-2</v>
      </c>
      <c r="S5" s="171">
        <f t="shared" ref="S5:S19" si="3">(1-R5)</f>
        <v>0.97726315789473683</v>
      </c>
      <c r="T5" s="172">
        <f>R5*PRODUCT(S6:S19)</f>
        <v>1.5462580558822462E-2</v>
      </c>
      <c r="U5" s="172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6.1646568708122991E-3</v>
      </c>
      <c r="V5" s="18"/>
      <c r="W5" s="181" t="s">
        <v>33</v>
      </c>
      <c r="X5" s="15" t="s">
        <v>34</v>
      </c>
      <c r="Y5" s="69">
        <f>COUNTIF(J5:J10,"IMP")*AI5</f>
        <v>0.2</v>
      </c>
      <c r="Z5" s="189" t="str">
        <f>Z3</f>
        <v>0,6</v>
      </c>
      <c r="AA5" s="19">
        <f t="shared" ref="AA5:AA19" si="4">Z5*Y5</f>
        <v>0.12</v>
      </c>
      <c r="AB5" s="155">
        <f t="shared" ref="AB5:AB19" si="5">IF($M$2="SI",AA5*$C$22/0.5*$S$1,AA5*$C$22/0.5*$S$2)</f>
        <v>0.12631578947368421</v>
      </c>
      <c r="AC5" s="171">
        <f t="shared" ref="AC5:AC19" si="6">(1-AB5)</f>
        <v>0.87368421052631584</v>
      </c>
      <c r="AD5" s="172">
        <f>AB5*PRODUCT(AC6:AC19)</f>
        <v>6.5180495192466478E-2</v>
      </c>
      <c r="AE5" s="172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4.6200306086421165E-2</v>
      </c>
      <c r="AF5" s="18"/>
      <c r="AI5" s="153">
        <v>0.04</v>
      </c>
      <c r="BH5">
        <v>0</v>
      </c>
      <c r="BI5">
        <v>2</v>
      </c>
      <c r="BJ5" s="107">
        <f t="shared" si="0"/>
        <v>2.7310783784979888E-2</v>
      </c>
      <c r="BL5">
        <v>1</v>
      </c>
      <c r="BM5">
        <v>1</v>
      </c>
      <c r="BN5" s="107">
        <f>$H$26*H40</f>
        <v>3.6368909792501833E-2</v>
      </c>
      <c r="BP5">
        <f>BP4+1</f>
        <v>2</v>
      </c>
      <c r="BQ5">
        <v>0</v>
      </c>
      <c r="BR5" s="107">
        <f>$H$27*H39</f>
        <v>1.0470909407618526E-2</v>
      </c>
    </row>
    <row r="6" spans="1:70" x14ac:dyDescent="0.25">
      <c r="A6" s="2" t="s">
        <v>35</v>
      </c>
      <c r="B6" s="163">
        <v>9</v>
      </c>
      <c r="C6" s="164">
        <v>10</v>
      </c>
      <c r="E6" s="187" t="s">
        <v>36</v>
      </c>
      <c r="F6" s="162" t="s">
        <v>32</v>
      </c>
      <c r="G6" s="162"/>
      <c r="H6" s="10"/>
      <c r="I6" s="10"/>
      <c r="J6" s="161" t="s">
        <v>37</v>
      </c>
      <c r="K6" s="161"/>
      <c r="L6" s="10"/>
      <c r="M6" s="10"/>
      <c r="O6" s="67">
        <f>COUNTIF(F11:F18,"IMP")*AI6</f>
        <v>0.04</v>
      </c>
      <c r="P6" s="188" t="str">
        <f>P3</f>
        <v>0,6</v>
      </c>
      <c r="Q6" s="16">
        <f t="shared" si="1"/>
        <v>2.4E-2</v>
      </c>
      <c r="R6" s="155">
        <f t="shared" si="2"/>
        <v>2.2736842105263156E-2</v>
      </c>
      <c r="S6" s="171">
        <f t="shared" si="3"/>
        <v>0.97726315789473683</v>
      </c>
      <c r="T6" s="172">
        <f>R6*S5*PRODUCT(S7:S19)</f>
        <v>1.5462580558822462E-2</v>
      </c>
      <c r="U6" s="172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5.8049070430757996E-3</v>
      </c>
      <c r="V6" s="18"/>
      <c r="W6" s="181" t="s">
        <v>38</v>
      </c>
      <c r="X6" s="15" t="s">
        <v>39</v>
      </c>
      <c r="Y6" s="69">
        <f>COUNTIF(J11:J18,"IMP")*AI6</f>
        <v>0.08</v>
      </c>
      <c r="Z6" s="189" t="str">
        <f>Z3</f>
        <v>0,6</v>
      </c>
      <c r="AA6" s="19">
        <f t="shared" si="4"/>
        <v>4.8000000000000001E-2</v>
      </c>
      <c r="AB6" s="155">
        <f t="shared" si="5"/>
        <v>5.052631578947369E-2</v>
      </c>
      <c r="AC6" s="171">
        <f t="shared" si="6"/>
        <v>0.94947368421052636</v>
      </c>
      <c r="AD6" s="172">
        <f>AB6*AC5*PRODUCT(AC7:AC19)</f>
        <v>2.3991047010974362E-2</v>
      </c>
      <c r="AE6" s="172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1.5728305281779445E-2</v>
      </c>
      <c r="AF6" s="18"/>
      <c r="AI6" s="153">
        <v>0.04</v>
      </c>
      <c r="BH6">
        <v>0</v>
      </c>
      <c r="BI6">
        <v>3</v>
      </c>
      <c r="BJ6" s="107">
        <f t="shared" si="0"/>
        <v>2.9377629484313671E-2</v>
      </c>
      <c r="BL6">
        <f>BH14+1</f>
        <v>2</v>
      </c>
      <c r="BM6">
        <v>2</v>
      </c>
      <c r="BN6" s="107">
        <f>$H$27*H41</f>
        <v>6.7928009441066028E-2</v>
      </c>
      <c r="BP6">
        <f>BL5+1</f>
        <v>2</v>
      </c>
      <c r="BQ6">
        <v>1</v>
      </c>
      <c r="BR6" s="107">
        <f>$H$27*H40</f>
        <v>3.9076165688822599E-2</v>
      </c>
    </row>
    <row r="7" spans="1:70" x14ac:dyDescent="0.25">
      <c r="A7" s="5" t="s">
        <v>40</v>
      </c>
      <c r="B7" s="163">
        <v>9</v>
      </c>
      <c r="C7" s="164">
        <v>8</v>
      </c>
      <c r="E7" s="187" t="s">
        <v>41</v>
      </c>
      <c r="F7" s="162"/>
      <c r="G7" s="162"/>
      <c r="H7" s="10"/>
      <c r="I7" s="10"/>
      <c r="J7" s="161" t="s">
        <v>37</v>
      </c>
      <c r="K7" s="161"/>
      <c r="L7" s="10"/>
      <c r="M7" s="10"/>
      <c r="O7" s="67"/>
      <c r="P7" s="188">
        <f>B30</f>
        <v>0.15</v>
      </c>
      <c r="Q7" s="16">
        <f t="shared" si="1"/>
        <v>0</v>
      </c>
      <c r="R7" s="155">
        <f t="shared" si="2"/>
        <v>0</v>
      </c>
      <c r="S7" s="171">
        <f t="shared" si="3"/>
        <v>1</v>
      </c>
      <c r="T7" s="172">
        <f>R7*PRODUCT(S5:S6)*PRODUCT(S8:S19)</f>
        <v>0</v>
      </c>
      <c r="U7" s="172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1" t="s">
        <v>152</v>
      </c>
      <c r="X7" s="15" t="s">
        <v>153</v>
      </c>
      <c r="Y7" s="69"/>
      <c r="Z7" s="189">
        <f>C30</f>
        <v>0.15</v>
      </c>
      <c r="AA7" s="19">
        <f t="shared" si="4"/>
        <v>0</v>
      </c>
      <c r="AB7" s="155">
        <f t="shared" si="5"/>
        <v>0</v>
      </c>
      <c r="AC7" s="171">
        <f t="shared" si="6"/>
        <v>1</v>
      </c>
      <c r="AD7" s="172">
        <f>AB7*PRODUCT(AC5:AC6)*PRODUCT(AC8:AC19)</f>
        <v>0</v>
      </c>
      <c r="AE7" s="172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53">
        <v>0</v>
      </c>
      <c r="BH7">
        <v>0</v>
      </c>
      <c r="BI7">
        <v>4</v>
      </c>
      <c r="BJ7" s="107">
        <f t="shared" si="0"/>
        <v>2.1875343532560668E-2</v>
      </c>
      <c r="BL7">
        <f>BH23+1</f>
        <v>3</v>
      </c>
      <c r="BM7">
        <v>3</v>
      </c>
      <c r="BN7" s="107">
        <f>$H$28*H42</f>
        <v>4.8362110630153693E-2</v>
      </c>
      <c r="BP7">
        <f>BP5+1</f>
        <v>3</v>
      </c>
      <c r="BQ7">
        <v>0</v>
      </c>
      <c r="BR7" s="107">
        <f>$H$28*H39</f>
        <v>6.9303979831859888E-3</v>
      </c>
    </row>
    <row r="8" spans="1:70" x14ac:dyDescent="0.25">
      <c r="A8" s="5" t="s">
        <v>44</v>
      </c>
      <c r="B8" s="163">
        <v>9</v>
      </c>
      <c r="C8" s="164">
        <v>8</v>
      </c>
      <c r="E8" s="187" t="s">
        <v>41</v>
      </c>
      <c r="F8" s="162" t="s">
        <v>32</v>
      </c>
      <c r="G8" s="162"/>
      <c r="H8" s="10"/>
      <c r="I8" s="10"/>
      <c r="J8" s="161" t="s">
        <v>37</v>
      </c>
      <c r="K8" s="161"/>
      <c r="L8" s="10"/>
      <c r="M8" s="10"/>
      <c r="O8" s="67">
        <f>COUNTIF(F6:F18,"IMP")*AI8</f>
        <v>0.04</v>
      </c>
      <c r="P8" s="188" t="str">
        <f>P3</f>
        <v>0,6</v>
      </c>
      <c r="Q8" s="16">
        <f t="shared" si="1"/>
        <v>2.4E-2</v>
      </c>
      <c r="R8" s="155">
        <f t="shared" si="2"/>
        <v>2.2736842105263156E-2</v>
      </c>
      <c r="S8" s="171">
        <f t="shared" si="3"/>
        <v>0.97726315789473683</v>
      </c>
      <c r="T8" s="172">
        <f>R8*PRODUCT(S5:S7)*PRODUCT(S9:S19)</f>
        <v>1.5462580558822464E-2</v>
      </c>
      <c r="U8" s="172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5.4451572153393019E-3</v>
      </c>
      <c r="W8" s="181" t="s">
        <v>45</v>
      </c>
      <c r="X8" s="15" t="s">
        <v>46</v>
      </c>
      <c r="Y8" s="69">
        <f>COUNTIF(J6:J18,"IMP")*AI8</f>
        <v>0.28000000000000003</v>
      </c>
      <c r="Z8" s="189" t="str">
        <f>Z3</f>
        <v>0,6</v>
      </c>
      <c r="AA8" s="19">
        <f t="shared" si="4"/>
        <v>0.16800000000000001</v>
      </c>
      <c r="AB8" s="155">
        <f t="shared" si="5"/>
        <v>0.17684210526315794</v>
      </c>
      <c r="AC8" s="171">
        <f t="shared" si="6"/>
        <v>0.82315789473684209</v>
      </c>
      <c r="AD8" s="172">
        <f>AB8*PRODUCT(AC5:AC7)*PRODUCT(AC9:AC19)</f>
        <v>9.6853881603127953E-2</v>
      </c>
      <c r="AE8" s="172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4.2689012359657573E-2</v>
      </c>
      <c r="AI8" s="153">
        <v>0.04</v>
      </c>
      <c r="BH8">
        <v>0</v>
      </c>
      <c r="BI8">
        <v>5</v>
      </c>
      <c r="BJ8" s="107">
        <f t="shared" si="0"/>
        <v>1.192809961349613E-2</v>
      </c>
      <c r="BL8">
        <f>BH31+1</f>
        <v>4</v>
      </c>
      <c r="BM8">
        <v>4</v>
      </c>
      <c r="BN8" s="107">
        <f>$H$29*H43</f>
        <v>1.6424231496534585E-2</v>
      </c>
      <c r="BP8">
        <f>BP6+1</f>
        <v>3</v>
      </c>
      <c r="BQ8">
        <v>1</v>
      </c>
      <c r="BR8" s="107">
        <f>$H$28*H40</f>
        <v>2.5863405874127481E-2</v>
      </c>
    </row>
    <row r="9" spans="1:70" x14ac:dyDescent="0.25">
      <c r="A9" s="5" t="s">
        <v>47</v>
      </c>
      <c r="B9" s="163">
        <v>9</v>
      </c>
      <c r="C9" s="164">
        <v>8</v>
      </c>
      <c r="E9" s="187" t="s">
        <v>41</v>
      </c>
      <c r="F9" s="162"/>
      <c r="G9" s="162"/>
      <c r="H9" s="10"/>
      <c r="I9" s="10"/>
      <c r="J9" s="161" t="s">
        <v>37</v>
      </c>
      <c r="K9" s="161"/>
      <c r="L9" s="10"/>
      <c r="M9" s="10"/>
      <c r="O9" s="67">
        <f>COUNTIF(J6:J13,"IMP")*AI9</f>
        <v>0.125</v>
      </c>
      <c r="P9" s="188" t="str">
        <f>Z3</f>
        <v>0,6</v>
      </c>
      <c r="Q9" s="16">
        <f t="shared" si="1"/>
        <v>7.4999999999999997E-2</v>
      </c>
      <c r="R9" s="155">
        <f t="shared" si="2"/>
        <v>7.1052631578947367E-2</v>
      </c>
      <c r="S9" s="171">
        <f t="shared" si="3"/>
        <v>0.92894736842105263</v>
      </c>
      <c r="T9" s="172">
        <f>R9*PRODUCT(S5:S8)*PRODUCT(S10:S19)</f>
        <v>5.0833781128933352E-2</v>
      </c>
      <c r="U9" s="172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1.4013010928952015E-2</v>
      </c>
      <c r="W9" s="182" t="s">
        <v>48</v>
      </c>
      <c r="X9" s="15" t="s">
        <v>49</v>
      </c>
      <c r="Y9" s="69">
        <f>COUNTIF(F6:F13,"IMP")*AI9</f>
        <v>2.5000000000000001E-2</v>
      </c>
      <c r="Z9" s="189" t="str">
        <f>P3</f>
        <v>0,6</v>
      </c>
      <c r="AA9" s="19">
        <f t="shared" si="4"/>
        <v>1.4999999999999999E-2</v>
      </c>
      <c r="AB9" s="155">
        <f t="shared" si="5"/>
        <v>1.5789473684210527E-2</v>
      </c>
      <c r="AC9" s="171">
        <f t="shared" si="6"/>
        <v>0.98421052631578942</v>
      </c>
      <c r="AD9" s="172">
        <f>AB9*PRODUCT(AC5:AC8)*PRODUCT(AC10:AC19)</f>
        <v>7.2325950547790351E-3</v>
      </c>
      <c r="AE9" s="172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3.0717849213186916E-3</v>
      </c>
      <c r="AI9" s="153">
        <v>2.5000000000000001E-2</v>
      </c>
      <c r="BH9">
        <v>0</v>
      </c>
      <c r="BI9">
        <v>6</v>
      </c>
      <c r="BJ9" s="107">
        <f t="shared" si="0"/>
        <v>4.9030419901580176E-3</v>
      </c>
      <c r="BL9">
        <f>BH38+1</f>
        <v>5</v>
      </c>
      <c r="BM9">
        <v>5</v>
      </c>
      <c r="BN9" s="107">
        <f>$H$30*H44</f>
        <v>2.9800808497183564E-3</v>
      </c>
      <c r="BP9">
        <f>BL6+1</f>
        <v>3</v>
      </c>
      <c r="BQ9">
        <v>2</v>
      </c>
      <c r="BR9" s="107">
        <f>$H$28*H41</f>
        <v>4.4959623018959255E-2</v>
      </c>
    </row>
    <row r="10" spans="1:70" x14ac:dyDescent="0.25">
      <c r="A10" s="6" t="s">
        <v>50</v>
      </c>
      <c r="B10" s="163">
        <v>7</v>
      </c>
      <c r="C10" s="164">
        <v>8</v>
      </c>
      <c r="E10" s="187" t="s">
        <v>36</v>
      </c>
      <c r="F10" s="162" t="s">
        <v>2</v>
      </c>
      <c r="G10" s="162"/>
      <c r="H10" s="10"/>
      <c r="I10" s="10"/>
      <c r="J10" s="161" t="s">
        <v>37</v>
      </c>
      <c r="K10" s="161"/>
      <c r="L10" s="10"/>
      <c r="M10" s="10"/>
      <c r="O10" s="67">
        <f>COUNTIF(F11:F18,"RAP")*AI10</f>
        <v>0.12</v>
      </c>
      <c r="P10" s="188" t="str">
        <f>R3</f>
        <v>0,72</v>
      </c>
      <c r="Q10" s="16">
        <f t="shared" si="1"/>
        <v>8.6399999999999991E-2</v>
      </c>
      <c r="R10" s="155">
        <f t="shared" si="2"/>
        <v>8.1852631578947357E-2</v>
      </c>
      <c r="S10" s="171">
        <f t="shared" si="3"/>
        <v>0.9181473684210526</v>
      </c>
      <c r="T10" s="172">
        <f>R10*PRODUCT(S5:S9)*PRODUCT(S11:S19)</f>
        <v>5.9249352525587905E-2</v>
      </c>
      <c r="U10" s="172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1.105080915621854E-2</v>
      </c>
      <c r="W10" s="181" t="s">
        <v>51</v>
      </c>
      <c r="X10" s="15" t="s">
        <v>52</v>
      </c>
      <c r="Y10" s="69">
        <f>COUNTIF(J11:J18,"RAP")*AI10</f>
        <v>0.18</v>
      </c>
      <c r="Z10" s="189" t="str">
        <f>AB3</f>
        <v>0,72</v>
      </c>
      <c r="AA10" s="19">
        <f t="shared" si="4"/>
        <v>0.12959999999999999</v>
      </c>
      <c r="AB10" s="155">
        <f t="shared" si="5"/>
        <v>0.13642105263157897</v>
      </c>
      <c r="AC10" s="171">
        <f t="shared" si="6"/>
        <v>0.863578947368421</v>
      </c>
      <c r="AD10" s="172">
        <f>AB10*PRODUCT(AC5:AC9)*PRODUCT(AC11:AC19)</f>
        <v>7.1218668808540914E-2</v>
      </c>
      <c r="AE10" s="172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1.8997035386145802E-2</v>
      </c>
      <c r="AI10" s="153">
        <v>0.06</v>
      </c>
      <c r="BH10">
        <v>0</v>
      </c>
      <c r="BI10">
        <v>7</v>
      </c>
      <c r="BJ10" s="107">
        <f t="shared" si="0"/>
        <v>1.5374619379472027E-3</v>
      </c>
      <c r="BL10">
        <f>BH44+1</f>
        <v>6</v>
      </c>
      <c r="BM10">
        <v>6</v>
      </c>
      <c r="BN10" s="107">
        <f>$H$31*H45</f>
        <v>3.0672599812041091E-4</v>
      </c>
      <c r="BP10">
        <f>BP7+1</f>
        <v>4</v>
      </c>
      <c r="BQ10">
        <v>0</v>
      </c>
      <c r="BR10" s="107">
        <f>$H$29*H39</f>
        <v>3.1608206480843145E-3</v>
      </c>
    </row>
    <row r="11" spans="1:70" x14ac:dyDescent="0.25">
      <c r="A11" s="6" t="s">
        <v>53</v>
      </c>
      <c r="B11" s="163">
        <v>7</v>
      </c>
      <c r="C11" s="164">
        <v>8</v>
      </c>
      <c r="E11" s="187" t="s">
        <v>54</v>
      </c>
      <c r="F11" s="162" t="s">
        <v>37</v>
      </c>
      <c r="G11" s="162"/>
      <c r="H11" s="10"/>
      <c r="I11" s="10"/>
      <c r="J11" s="161" t="s">
        <v>1</v>
      </c>
      <c r="K11" s="161"/>
      <c r="L11" s="10"/>
      <c r="M11" s="10"/>
      <c r="O11" s="67">
        <f>COUNTIF(F11:F18,"RAP")*AI11</f>
        <v>0.12</v>
      </c>
      <c r="P11" s="188" t="str">
        <f>R3</f>
        <v>0,72</v>
      </c>
      <c r="Q11" s="16">
        <f t="shared" si="1"/>
        <v>8.6399999999999991E-2</v>
      </c>
      <c r="R11" s="155">
        <f t="shared" si="2"/>
        <v>8.1852631578947357E-2</v>
      </c>
      <c r="S11" s="171">
        <f t="shared" si="3"/>
        <v>0.9181473684210526</v>
      </c>
      <c r="T11" s="172">
        <f>R11*PRODUCT(S5:S10)*PRODUCT(S12:S19)</f>
        <v>5.9249352525587898E-2</v>
      </c>
      <c r="U11" s="172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5.7687426924130317E-3</v>
      </c>
      <c r="W11" s="181" t="s">
        <v>55</v>
      </c>
      <c r="X11" s="15" t="s">
        <v>56</v>
      </c>
      <c r="Y11" s="69">
        <f>COUNTIF(J11:J18,"RAP")*AI11</f>
        <v>0.18</v>
      </c>
      <c r="Z11" s="189" t="str">
        <f>AB3</f>
        <v>0,72</v>
      </c>
      <c r="AA11" s="19">
        <f t="shared" si="4"/>
        <v>0.12959999999999999</v>
      </c>
      <c r="AB11" s="155">
        <f t="shared" si="5"/>
        <v>0.13642105263157897</v>
      </c>
      <c r="AC11" s="171">
        <f t="shared" si="6"/>
        <v>0.863578947368421</v>
      </c>
      <c r="AD11" s="172">
        <f>AB11*PRODUCT(AC5:AC10)*PRODUCT(AC12:AC19)</f>
        <v>7.1218668808540914E-2</v>
      </c>
      <c r="AE11" s="172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7.746499699179803E-3</v>
      </c>
      <c r="AI11" s="153">
        <v>0.06</v>
      </c>
      <c r="BH11">
        <v>0</v>
      </c>
      <c r="BI11">
        <v>8</v>
      </c>
      <c r="BJ11" s="107">
        <f t="shared" si="0"/>
        <v>3.6724810127541869E-4</v>
      </c>
      <c r="BL11">
        <f>BH50+1</f>
        <v>7</v>
      </c>
      <c r="BM11">
        <v>7</v>
      </c>
      <c r="BN11" s="107">
        <f>$H$32*H46</f>
        <v>1.838762597856114E-5</v>
      </c>
      <c r="BP11">
        <f>BP8+1</f>
        <v>4</v>
      </c>
      <c r="BQ11">
        <v>1</v>
      </c>
      <c r="BR11" s="107">
        <f>$H$29*H40</f>
        <v>1.1795799824925205E-2</v>
      </c>
    </row>
    <row r="12" spans="1:70" x14ac:dyDescent="0.25">
      <c r="A12" s="6" t="s">
        <v>57</v>
      </c>
      <c r="B12" s="163">
        <v>7</v>
      </c>
      <c r="C12" s="164">
        <v>8</v>
      </c>
      <c r="E12" s="187" t="s">
        <v>54</v>
      </c>
      <c r="F12" s="162" t="s">
        <v>2</v>
      </c>
      <c r="G12" s="162"/>
      <c r="H12" s="10"/>
      <c r="I12" s="10"/>
      <c r="J12" s="161"/>
      <c r="K12" s="161"/>
      <c r="L12" s="10"/>
      <c r="M12" s="10"/>
      <c r="O12" s="67"/>
      <c r="P12" s="188">
        <v>0.5</v>
      </c>
      <c r="Q12" s="16">
        <f t="shared" si="1"/>
        <v>0</v>
      </c>
      <c r="R12" s="155">
        <f t="shared" si="2"/>
        <v>0</v>
      </c>
      <c r="S12" s="171">
        <f t="shared" si="3"/>
        <v>1</v>
      </c>
      <c r="T12" s="172">
        <f>R12*PRODUCT(S5:S11)*PRODUCT(S13:S19)</f>
        <v>0</v>
      </c>
      <c r="U12" s="172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2" t="s">
        <v>58</v>
      </c>
      <c r="X12" s="15" t="s">
        <v>59</v>
      </c>
      <c r="Y12" s="69"/>
      <c r="Z12" s="189">
        <v>0.5</v>
      </c>
      <c r="AA12" s="19">
        <f t="shared" si="4"/>
        <v>0</v>
      </c>
      <c r="AB12" s="155">
        <f t="shared" si="5"/>
        <v>0</v>
      </c>
      <c r="AC12" s="171">
        <f t="shared" si="6"/>
        <v>1</v>
      </c>
      <c r="AD12" s="172">
        <f>AB12*PRODUCT(AC5:AC11)*PRODUCT(AC13:AC19)</f>
        <v>0</v>
      </c>
      <c r="AE12" s="172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53">
        <v>0</v>
      </c>
      <c r="BH12">
        <v>0</v>
      </c>
      <c r="BI12">
        <v>9</v>
      </c>
      <c r="BJ12" s="107">
        <f t="shared" si="0"/>
        <v>6.5868638185525192E-5</v>
      </c>
      <c r="BL12">
        <f>BH54+1</f>
        <v>8</v>
      </c>
      <c r="BM12">
        <v>8</v>
      </c>
      <c r="BN12" s="107">
        <f>$H$33*H47</f>
        <v>6.4208908520440627E-7</v>
      </c>
      <c r="BP12">
        <f>BP9+1</f>
        <v>4</v>
      </c>
      <c r="BQ12">
        <v>2</v>
      </c>
      <c r="BR12" s="107">
        <f>$H$29*H41</f>
        <v>2.0505215589810017E-2</v>
      </c>
    </row>
    <row r="13" spans="1:70" x14ac:dyDescent="0.25">
      <c r="A13" s="7" t="s">
        <v>60</v>
      </c>
      <c r="B13" s="163">
        <v>11</v>
      </c>
      <c r="C13" s="164">
        <v>12.5</v>
      </c>
      <c r="E13" s="187" t="s">
        <v>54</v>
      </c>
      <c r="F13" s="162" t="s">
        <v>32</v>
      </c>
      <c r="G13" s="162"/>
      <c r="H13" s="10"/>
      <c r="I13" s="10"/>
      <c r="J13" s="161"/>
      <c r="K13" s="161"/>
      <c r="L13" s="10"/>
      <c r="M13" s="10"/>
      <c r="O13" s="67">
        <f>AI13</f>
        <v>0.125</v>
      </c>
      <c r="P13" s="188" t="str">
        <f>P2</f>
        <v>0,4</v>
      </c>
      <c r="Q13" s="16">
        <f t="shared" si="1"/>
        <v>0.05</v>
      </c>
      <c r="R13" s="155">
        <f t="shared" si="2"/>
        <v>4.736842105263158E-2</v>
      </c>
      <c r="S13" s="171">
        <f t="shared" si="3"/>
        <v>0.95263157894736838</v>
      </c>
      <c r="T13" s="172">
        <f>R13*PRODUCT(S5:S12)*PRODUCT(S14:S19)</f>
        <v>3.3046638560798293E-2</v>
      </c>
      <c r="U13" s="172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1.5743436103071084E-3</v>
      </c>
      <c r="W13" s="181" t="s">
        <v>61</v>
      </c>
      <c r="X13" s="15" t="s">
        <v>62</v>
      </c>
      <c r="Y13" s="69">
        <f>AI13</f>
        <v>0.125</v>
      </c>
      <c r="Z13" s="189" t="str">
        <f>Z2</f>
        <v>0,4</v>
      </c>
      <c r="AA13" s="19">
        <f t="shared" si="4"/>
        <v>0.05</v>
      </c>
      <c r="AB13" s="155">
        <f t="shared" si="5"/>
        <v>5.2631578947368432E-2</v>
      </c>
      <c r="AC13" s="171">
        <f t="shared" si="6"/>
        <v>0.94736842105263153</v>
      </c>
      <c r="AD13" s="172">
        <f>AB13*PRODUCT(AC5:AC12)*PRODUCT(AC14:AC19)</f>
        <v>2.5046208800808885E-2</v>
      </c>
      <c r="AE13" s="172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1.3328359450541314E-3</v>
      </c>
      <c r="AI13" s="153">
        <v>0.125</v>
      </c>
      <c r="BH13">
        <v>0</v>
      </c>
      <c r="BI13">
        <v>10</v>
      </c>
      <c r="BJ13" s="107">
        <f t="shared" si="0"/>
        <v>8.6049888980214087E-6</v>
      </c>
      <c r="BL13">
        <f>BH57+1</f>
        <v>9</v>
      </c>
      <c r="BM13">
        <v>9</v>
      </c>
      <c r="BN13" s="107">
        <f>$H$34*H48</f>
        <v>1.2727679298407143E-8</v>
      </c>
      <c r="BP13">
        <f>BL7+1</f>
        <v>4</v>
      </c>
      <c r="BQ13">
        <v>3</v>
      </c>
      <c r="BR13" s="107">
        <f>$H$29*H42</f>
        <v>2.205702446462595E-2</v>
      </c>
    </row>
    <row r="14" spans="1:70" x14ac:dyDescent="0.25">
      <c r="A14" s="7" t="s">
        <v>63</v>
      </c>
      <c r="B14" s="163">
        <v>9</v>
      </c>
      <c r="C14" s="164">
        <v>10.75</v>
      </c>
      <c r="E14" s="187" t="s">
        <v>64</v>
      </c>
      <c r="F14" s="162" t="s">
        <v>1</v>
      </c>
      <c r="G14" s="162"/>
      <c r="H14" s="10"/>
      <c r="I14" s="10"/>
      <c r="J14" s="161" t="s">
        <v>37</v>
      </c>
      <c r="K14" s="161"/>
      <c r="L14" s="10"/>
      <c r="M14" s="10"/>
      <c r="O14" s="67">
        <f>IF(COUNTIF(F6:F18,"CAB")&gt;0,AI14,0)</f>
        <v>0</v>
      </c>
      <c r="P14" s="188">
        <f>IF(COUNTIF(F6:F18,"CAB")-COUNTIF(J6:J18,"CAB")&gt;0,0.85,IF(COUNTIF(F6:F18,"CAB")-COUNTIF(J6:J18,"CAB")=0,0.5,0.25))</f>
        <v>0.5</v>
      </c>
      <c r="Q14" s="16">
        <f t="shared" si="1"/>
        <v>0</v>
      </c>
      <c r="R14" s="155">
        <f t="shared" si="2"/>
        <v>0</v>
      </c>
      <c r="S14" s="171">
        <f t="shared" si="3"/>
        <v>1</v>
      </c>
      <c r="T14" s="172">
        <f>R14*PRODUCT(S5:S13)*PRODUCT(S15:S19)</f>
        <v>0</v>
      </c>
      <c r="U14" s="172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1" t="s">
        <v>65</v>
      </c>
      <c r="X14" s="15" t="s">
        <v>66</v>
      </c>
      <c r="Y14" s="69">
        <f>IF(COUNTIF(J6:J18,"CAB")&gt;0,AI14,0)</f>
        <v>0</v>
      </c>
      <c r="Z14" s="189">
        <f>IF(COUNTIF(J6:J18,"CAB")-COUNTIF(F6:F18,"CAB")&gt;0,0.85,IF(COUNTIF(J6:J18,"CAB")-COUNTIF(F6:F18,"CAB")=0,0.5,0.25))</f>
        <v>0.5</v>
      </c>
      <c r="AA14" s="19">
        <f t="shared" si="4"/>
        <v>0</v>
      </c>
      <c r="AB14" s="155">
        <f t="shared" si="5"/>
        <v>0</v>
      </c>
      <c r="AC14" s="171">
        <f t="shared" si="6"/>
        <v>1</v>
      </c>
      <c r="AD14" s="172">
        <f>AB14*PRODUCT(AC5:AC13)*PRODUCT(AC15:AC19)</f>
        <v>0</v>
      </c>
      <c r="AE14" s="172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I14" s="153">
        <v>0.125</v>
      </c>
      <c r="BH14">
        <v>1</v>
      </c>
      <c r="BI14">
        <v>2</v>
      </c>
      <c r="BJ14" s="107">
        <f t="shared" ref="BJ14:BJ22" si="7">$H$26*H41</f>
        <v>6.3221854145556533E-2</v>
      </c>
      <c r="BL14">
        <f>BP39+1</f>
        <v>10</v>
      </c>
      <c r="BM14">
        <v>10</v>
      </c>
      <c r="BN14" s="107">
        <f>$H$35*H49</f>
        <v>1.3514223913083559E-10</v>
      </c>
      <c r="BP14">
        <f>BP10+1</f>
        <v>5</v>
      </c>
      <c r="BQ14">
        <v>0</v>
      </c>
      <c r="BR14" s="107">
        <f>$H$30*H39</f>
        <v>1.0517837756594383E-3</v>
      </c>
    </row>
    <row r="15" spans="1:70" x14ac:dyDescent="0.25">
      <c r="A15" s="184" t="s">
        <v>67</v>
      </c>
      <c r="B15" s="165">
        <v>7.75</v>
      </c>
      <c r="C15" s="166">
        <v>8.25</v>
      </c>
      <c r="E15" s="187" t="s">
        <v>64</v>
      </c>
      <c r="F15" s="162" t="s">
        <v>1</v>
      </c>
      <c r="G15" s="162"/>
      <c r="H15" s="10"/>
      <c r="I15" s="10"/>
      <c r="J15" s="161" t="s">
        <v>37</v>
      </c>
      <c r="K15" s="161"/>
      <c r="L15" s="10"/>
      <c r="M15" s="10"/>
      <c r="O15" s="67"/>
      <c r="P15" s="188">
        <v>0.5</v>
      </c>
      <c r="Q15" s="16">
        <f t="shared" si="1"/>
        <v>0</v>
      </c>
      <c r="R15" s="155">
        <f t="shared" si="2"/>
        <v>0</v>
      </c>
      <c r="S15" s="171">
        <f t="shared" si="3"/>
        <v>1</v>
      </c>
      <c r="T15" s="172">
        <f>R15*PRODUCT(S5:S14)*PRODUCT(S16:S19)</f>
        <v>0</v>
      </c>
      <c r="U15" s="172">
        <f>R15*R16*PRODUCT(S5:S14)*PRODUCT(S17:S19)+R15*R17*PRODUCT(S5:S14)*S16*PRODUCT(S18:S19)+R15*R18*PRODUCT(S5:S14)*S16*S17*S19+R15*R19*PRODUCT(S5:S14)*S16*S17*S18</f>
        <v>0</v>
      </c>
      <c r="W15" s="181" t="s">
        <v>68</v>
      </c>
      <c r="X15" s="15" t="s">
        <v>69</v>
      </c>
      <c r="Y15" s="69"/>
      <c r="Z15" s="189">
        <v>0.5</v>
      </c>
      <c r="AA15" s="19">
        <f t="shared" si="4"/>
        <v>0</v>
      </c>
      <c r="AB15" s="155">
        <f t="shared" si="5"/>
        <v>0</v>
      </c>
      <c r="AC15" s="171">
        <f t="shared" si="6"/>
        <v>1</v>
      </c>
      <c r="AD15" s="172">
        <f>AB15*PRODUCT(AC5:AC14)*PRODUCT(AC16:AC19)</f>
        <v>0</v>
      </c>
      <c r="AE15" s="172">
        <f>AB15*AB16*PRODUCT(AC5:AC14)*PRODUCT(AC17:AC19)+AB15*AB17*PRODUCT(AC5:AC14)*AC16*PRODUCT(AC18:AC19)+AB15*AB18*PRODUCT(AC5:AC14)*AC16*AC17*AC19+AB15*AB19*PRODUCT(AC5:AC14)*AC16*AC17*AC18</f>
        <v>0</v>
      </c>
      <c r="AI15" s="153">
        <v>0</v>
      </c>
      <c r="BH15">
        <v>1</v>
      </c>
      <c r="BI15">
        <v>3</v>
      </c>
      <c r="BJ15" s="107">
        <f t="shared" si="7"/>
        <v>6.8006404394038086E-2</v>
      </c>
      <c r="BP15">
        <f>BP11+1</f>
        <v>5</v>
      </c>
      <c r="BQ15">
        <v>1</v>
      </c>
      <c r="BR15" s="107">
        <f>$H$30*H40</f>
        <v>3.9251296603311199E-3</v>
      </c>
    </row>
    <row r="16" spans="1:70" x14ac:dyDescent="0.25">
      <c r="A16" s="184" t="s">
        <v>70</v>
      </c>
      <c r="B16" s="52">
        <f>AVERAGE(G5:G18)</f>
        <v>12</v>
      </c>
      <c r="C16" s="54">
        <f>AVERAGE(K5:K18)</f>
        <v>12</v>
      </c>
      <c r="E16" s="187" t="s">
        <v>71</v>
      </c>
      <c r="F16" s="162" t="s">
        <v>32</v>
      </c>
      <c r="G16" s="162"/>
      <c r="H16" s="10"/>
      <c r="I16" s="10"/>
      <c r="J16" s="161" t="s">
        <v>1</v>
      </c>
      <c r="K16" s="161"/>
      <c r="L16" s="10"/>
      <c r="M16" s="10"/>
      <c r="O16" s="67"/>
      <c r="P16" s="188">
        <v>0.25</v>
      </c>
      <c r="Q16" s="16">
        <f t="shared" si="1"/>
        <v>0</v>
      </c>
      <c r="R16" s="155">
        <f t="shared" si="2"/>
        <v>0</v>
      </c>
      <c r="S16" s="171">
        <f t="shared" si="3"/>
        <v>1</v>
      </c>
      <c r="T16" s="172">
        <f>R16*PRODUCT(S5:S15)*PRODUCT(S17:S19)</f>
        <v>0</v>
      </c>
      <c r="U16" s="172">
        <f>R16*R17*PRODUCT(S5:S15)*PRODUCT(S18:S19)+R16*R18*PRODUCT(S5:S15)*S17*S19+R16*R19*PRODUCT(S5:S15)*S17*S18</f>
        <v>0</v>
      </c>
      <c r="W16" s="182" t="s">
        <v>72</v>
      </c>
      <c r="X16" s="15" t="s">
        <v>73</v>
      </c>
      <c r="Y16" s="69"/>
      <c r="Z16" s="189">
        <v>0.25</v>
      </c>
      <c r="AA16" s="19">
        <f t="shared" si="4"/>
        <v>0</v>
      </c>
      <c r="AB16" s="155">
        <f t="shared" si="5"/>
        <v>0</v>
      </c>
      <c r="AC16" s="171">
        <f t="shared" si="6"/>
        <v>1</v>
      </c>
      <c r="AD16" s="172">
        <f>AB16*PRODUCT(AC5:AC15)*PRODUCT(AC17:AC19)</f>
        <v>0</v>
      </c>
      <c r="AE16" s="172">
        <f>AB16*AB17*PRODUCT(AC5:AC15)*PRODUCT(AC18:AC19)+AB16*AB18*PRODUCT(AC5:AC15)*AC17*AC19+AB16*AB19*PRODUCT(AC5:AC15)*AC17*AC18</f>
        <v>0</v>
      </c>
      <c r="AI16" s="153">
        <v>0</v>
      </c>
      <c r="BH16">
        <v>1</v>
      </c>
      <c r="BI16">
        <v>4</v>
      </c>
      <c r="BJ16" s="107">
        <f t="shared" si="7"/>
        <v>5.0639329471023911E-2</v>
      </c>
      <c r="BP16">
        <f>BP12+1</f>
        <v>5</v>
      </c>
      <c r="BQ16">
        <v>2</v>
      </c>
      <c r="BR16" s="107">
        <f>$H$30*H41</f>
        <v>6.82324480727255E-3</v>
      </c>
    </row>
    <row r="17" spans="1:70" x14ac:dyDescent="0.25">
      <c r="A17" s="183" t="s">
        <v>74</v>
      </c>
      <c r="B17" s="167" t="s">
        <v>75</v>
      </c>
      <c r="C17" s="168" t="s">
        <v>75</v>
      </c>
      <c r="E17" s="187" t="s">
        <v>71</v>
      </c>
      <c r="F17" s="162" t="s">
        <v>32</v>
      </c>
      <c r="G17" s="162"/>
      <c r="H17" s="10"/>
      <c r="I17" s="10"/>
      <c r="J17" s="161"/>
      <c r="K17" s="161"/>
      <c r="L17" s="10"/>
      <c r="M17" s="10"/>
      <c r="O17" s="67">
        <f>(AI17*2)*IF(COUNTBLANK(F14:F15)&lt;&gt;0,(2-COUNTBLANK(F14:F15))/2,1)</f>
        <v>0.08</v>
      </c>
      <c r="P17" s="188" t="str">
        <f>P3</f>
        <v>0,6</v>
      </c>
      <c r="Q17" s="16">
        <f t="shared" si="1"/>
        <v>4.8000000000000001E-2</v>
      </c>
      <c r="R17" s="155">
        <f t="shared" si="2"/>
        <v>4.5473684210526312E-2</v>
      </c>
      <c r="S17" s="171">
        <f t="shared" si="3"/>
        <v>0.95452631578947367</v>
      </c>
      <c r="T17" s="172">
        <f>R17*PRODUCT(S5:S16)*PRODUCT(S18:S19)</f>
        <v>3.1661799273954072E-2</v>
      </c>
      <c r="U17" s="172">
        <f>R17*R18*PRODUCT(S5:S16)*S19+R17*R19*PRODUCT(S5:S16)*S18</f>
        <v>0</v>
      </c>
      <c r="W17" s="181" t="s">
        <v>76</v>
      </c>
      <c r="X17" s="15" t="s">
        <v>77</v>
      </c>
      <c r="Y17" s="69">
        <f>(AI17*2)*IF(COUNTBLANK(J14:J15)&lt;&gt;0,(2-COUNTBLANK(J14:J15))/2,1)</f>
        <v>0.08</v>
      </c>
      <c r="Z17" s="189" t="str">
        <f>Z3</f>
        <v>0,6</v>
      </c>
      <c r="AA17" s="19">
        <f t="shared" si="4"/>
        <v>4.8000000000000001E-2</v>
      </c>
      <c r="AB17" s="155">
        <f t="shared" si="5"/>
        <v>5.052631578947369E-2</v>
      </c>
      <c r="AC17" s="171">
        <f t="shared" si="6"/>
        <v>0.94947368421052636</v>
      </c>
      <c r="AD17" s="172">
        <f>AB17*PRODUCT(AC5:AC16)*PRODUCT(AC18:AC19)</f>
        <v>2.3991047010974358E-2</v>
      </c>
      <c r="AE17" s="172">
        <f>AB17*AB18*PRODUCT(AC5:AC16)*AC19+AB17*AB19*PRODUCT(AC5:AC16)*AC18</f>
        <v>0</v>
      </c>
      <c r="AI17" s="153">
        <v>0.04</v>
      </c>
      <c r="BH17">
        <v>1</v>
      </c>
      <c r="BI17">
        <v>5</v>
      </c>
      <c r="BJ17" s="107">
        <f t="shared" si="7"/>
        <v>2.7612410538465144E-2</v>
      </c>
      <c r="BP17">
        <f>BP13+1</f>
        <v>5</v>
      </c>
      <c r="BQ17">
        <v>3</v>
      </c>
      <c r="BR17" s="107">
        <f>$H$30*H42</f>
        <v>7.3396193755179643E-3</v>
      </c>
    </row>
    <row r="18" spans="1:70" x14ac:dyDescent="0.25">
      <c r="A18" s="183" t="s">
        <v>78</v>
      </c>
      <c r="B18" s="167">
        <v>20</v>
      </c>
      <c r="C18" s="168">
        <v>20</v>
      </c>
      <c r="E18" s="187" t="s">
        <v>71</v>
      </c>
      <c r="F18" s="162" t="s">
        <v>32</v>
      </c>
      <c r="G18" s="162"/>
      <c r="H18" s="10"/>
      <c r="I18" s="10"/>
      <c r="J18" s="161" t="s">
        <v>1</v>
      </c>
      <c r="K18" s="161"/>
      <c r="L18" s="10"/>
      <c r="M18" s="10"/>
      <c r="O18" s="67">
        <f>IF(COUNTIF(F14:F18,"CAB")&gt;0,(AI18*2)*IF(COUNTBLANK(F14:F15)&lt;&gt;0,(2-COUNTBLANK(F14:F15))/2,1),0)</f>
        <v>0</v>
      </c>
      <c r="P18" s="188">
        <v>0.95</v>
      </c>
      <c r="Q18" s="16">
        <f t="shared" si="1"/>
        <v>0</v>
      </c>
      <c r="R18" s="155">
        <f t="shared" si="2"/>
        <v>0</v>
      </c>
      <c r="S18" s="171">
        <f t="shared" si="3"/>
        <v>1</v>
      </c>
      <c r="T18" s="172">
        <f>R18*PRODUCT(S5:S17)*PRODUCT(S19)</f>
        <v>0</v>
      </c>
      <c r="U18" s="172">
        <f>R18*R19*PRODUCT(S5:S17)</f>
        <v>0</v>
      </c>
      <c r="W18" s="181" t="s">
        <v>79</v>
      </c>
      <c r="X18" s="15" t="s">
        <v>80</v>
      </c>
      <c r="Y18" s="69">
        <f>IF(COUNTIF(J14:J18,"CAB")&gt;0,(AI18*2)*IF(COUNTBLANK(J14:J15)&lt;&gt;0,(2-COUNTBLANK(J14:J15))/2,1),0)</f>
        <v>0</v>
      </c>
      <c r="Z18" s="189">
        <v>0.95</v>
      </c>
      <c r="AA18" s="19">
        <f t="shared" si="4"/>
        <v>0</v>
      </c>
      <c r="AB18" s="155">
        <f t="shared" si="5"/>
        <v>0</v>
      </c>
      <c r="AC18" s="171">
        <f t="shared" si="6"/>
        <v>1</v>
      </c>
      <c r="AD18" s="172">
        <f>AB18*PRODUCT(AC5:AC17)*PRODUCT(AC19)</f>
        <v>0</v>
      </c>
      <c r="AE18" s="172">
        <f>AB18*AB19*PRODUCT(AC5:AC17)</f>
        <v>0</v>
      </c>
      <c r="AI18" s="153">
        <v>0.04</v>
      </c>
      <c r="BH18">
        <v>1</v>
      </c>
      <c r="BI18">
        <v>6</v>
      </c>
      <c r="BJ18" s="107">
        <f t="shared" si="7"/>
        <v>1.135007358308731E-2</v>
      </c>
      <c r="BP18">
        <f>BL8+1</f>
        <v>5</v>
      </c>
      <c r="BQ18">
        <v>4</v>
      </c>
      <c r="BR18" s="107">
        <f>$H$30*H43</f>
        <v>5.4652706176794791E-3</v>
      </c>
    </row>
    <row r="19" spans="1:70" x14ac:dyDescent="0.25">
      <c r="H19" s="13" t="s">
        <v>156</v>
      </c>
      <c r="L19" s="13" t="s">
        <v>156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88" t="str">
        <f>P3</f>
        <v>0,6</v>
      </c>
      <c r="Q19" s="16">
        <f t="shared" si="1"/>
        <v>0</v>
      </c>
      <c r="R19" s="155">
        <f t="shared" si="2"/>
        <v>0</v>
      </c>
      <c r="S19" s="173">
        <f t="shared" si="3"/>
        <v>1</v>
      </c>
      <c r="T19" s="174">
        <f>R19*PRODUCT(S5:S18)</f>
        <v>0</v>
      </c>
      <c r="U19" s="174">
        <v>0</v>
      </c>
      <c r="V19" s="1" t="s">
        <v>82</v>
      </c>
      <c r="W19" s="181" t="s">
        <v>83</v>
      </c>
      <c r="X19" s="15" t="s">
        <v>84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89" t="str">
        <f>Z3</f>
        <v>0,6</v>
      </c>
      <c r="AA19" s="19">
        <f t="shared" si="4"/>
        <v>0</v>
      </c>
      <c r="AB19" s="155">
        <f t="shared" si="5"/>
        <v>0</v>
      </c>
      <c r="AC19" s="173">
        <f t="shared" si="6"/>
        <v>1</v>
      </c>
      <c r="AD19" s="174">
        <f>AB19*PRODUCT(AC5:AC18)</f>
        <v>0</v>
      </c>
      <c r="AE19" s="174">
        <v>0</v>
      </c>
      <c r="AF19" s="1" t="s">
        <v>82</v>
      </c>
      <c r="AI19" s="153">
        <v>0.06</v>
      </c>
      <c r="BH19">
        <v>1</v>
      </c>
      <c r="BI19">
        <v>7</v>
      </c>
      <c r="BJ19" s="107">
        <f t="shared" si="7"/>
        <v>3.559077438440287E-3</v>
      </c>
      <c r="BP19">
        <f>BP15+1</f>
        <v>6</v>
      </c>
      <c r="BQ19">
        <v>1</v>
      </c>
      <c r="BR19" s="107">
        <f>$H$31*H40</f>
        <v>9.8283857589071097E-4</v>
      </c>
    </row>
    <row r="20" spans="1:70" x14ac:dyDescent="0.25">
      <c r="A20" s="185" t="s">
        <v>85</v>
      </c>
      <c r="B20">
        <f>IF(B17="Pres",IF(C17="Pres",2,1),IF(C17="Pres",1,0))</f>
        <v>0</v>
      </c>
      <c r="D20" s="36"/>
      <c r="O20" s="22"/>
      <c r="P20" s="22"/>
      <c r="Q20" s="22"/>
      <c r="S20" s="175">
        <f>PRODUCT(S5:S19)</f>
        <v>0.66460461994494335</v>
      </c>
      <c r="T20" s="176">
        <f>SUM(T5:T19)</f>
        <v>0.28042866569132896</v>
      </c>
      <c r="U20" s="176">
        <f>SUM(U5:U19)</f>
        <v>4.9821627517118099E-2</v>
      </c>
      <c r="V20" s="176">
        <f>1-S20-T20-U20</f>
        <v>5.1450868466095881E-3</v>
      </c>
      <c r="W20" s="21"/>
      <c r="X20" s="22"/>
      <c r="Y20" s="22"/>
      <c r="Z20" s="22"/>
      <c r="AA20" s="22"/>
      <c r="AB20" s="23"/>
      <c r="AC20" s="179">
        <f>PRODUCT(AC5:AC19)</f>
        <v>0.4508317584145598</v>
      </c>
      <c r="AD20" s="176">
        <f>SUM(AD5:AD19)</f>
        <v>0.38473261229021288</v>
      </c>
      <c r="AE20" s="176">
        <f>SUM(AE5:AE19)</f>
        <v>0.13576577967955661</v>
      </c>
      <c r="AF20" s="176">
        <f>1-AC20-AD20-AE20</f>
        <v>2.8669849615670706E-2</v>
      </c>
      <c r="BH20">
        <v>1</v>
      </c>
      <c r="BI20">
        <v>8</v>
      </c>
      <c r="BJ20" s="107">
        <f t="shared" si="7"/>
        <v>8.5014425352509875E-4</v>
      </c>
      <c r="BP20">
        <f>BP16+1</f>
        <v>6</v>
      </c>
      <c r="BQ20">
        <v>2</v>
      </c>
      <c r="BR20" s="107">
        <f>$H$31*H41</f>
        <v>1.7085163522388503E-3</v>
      </c>
    </row>
    <row r="21" spans="1:70" x14ac:dyDescent="0.25">
      <c r="A21" s="185" t="s">
        <v>86</v>
      </c>
      <c r="B21" s="186">
        <f>5-B20</f>
        <v>5</v>
      </c>
      <c r="C21" s="35"/>
      <c r="D21" s="24"/>
      <c r="E21" s="24"/>
      <c r="O21" s="22"/>
      <c r="P21" s="22"/>
      <c r="Q21" s="22"/>
      <c r="S21" s="177">
        <f>1-T21-U21-V21</f>
        <v>0.66460461994494335</v>
      </c>
      <c r="T21" s="178">
        <f>T20*U2</f>
        <v>0.28042866569132896</v>
      </c>
      <c r="U21" s="178">
        <f>U20*U2</f>
        <v>4.9821627517118099E-2</v>
      </c>
      <c r="V21" s="178">
        <f>V20*U2</f>
        <v>5.1450868466095881E-3</v>
      </c>
      <c r="W21" s="21"/>
      <c r="X21" s="22"/>
      <c r="Y21" s="22"/>
      <c r="Z21" s="22"/>
      <c r="AA21" s="22"/>
      <c r="AB21" s="23"/>
      <c r="AC21" s="180">
        <f>1-AD21-AE21-AF21</f>
        <v>0.45083175841455986</v>
      </c>
      <c r="AD21" s="178">
        <f>AD20*AE2</f>
        <v>0.38473261229021288</v>
      </c>
      <c r="AE21" s="178">
        <f>AE20*AE2</f>
        <v>0.13576577967955661</v>
      </c>
      <c r="AF21" s="178">
        <f>AF20*AE2</f>
        <v>2.8669849615670706E-2</v>
      </c>
      <c r="BH21" s="18">
        <v>1</v>
      </c>
      <c r="BI21">
        <v>9</v>
      </c>
      <c r="BJ21" s="107">
        <f t="shared" si="7"/>
        <v>1.5247960179092223E-4</v>
      </c>
      <c r="BP21">
        <f>BP17+1</f>
        <v>6</v>
      </c>
      <c r="BQ21">
        <v>3</v>
      </c>
      <c r="BR21" s="107">
        <f>$H$31*H42</f>
        <v>1.8378147166749667E-3</v>
      </c>
    </row>
    <row r="22" spans="1:70" x14ac:dyDescent="0.25">
      <c r="A22" s="26" t="s">
        <v>87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1.9919726849217682E-5</v>
      </c>
      <c r="BP22">
        <f>BP18+1</f>
        <v>6</v>
      </c>
      <c r="BQ22">
        <v>4</v>
      </c>
      <c r="BR22" s="107">
        <f>$H$31*H43</f>
        <v>1.3684844210431289E-3</v>
      </c>
    </row>
    <row r="23" spans="1:70" x14ac:dyDescent="0.25">
      <c r="A23" s="40" t="s">
        <v>88</v>
      </c>
      <c r="B23" s="56">
        <f>((B22^2.8)/((B22^2.8)+(C22^2.8)))*B21</f>
        <v>2.1338895849549826</v>
      </c>
      <c r="C23" s="57">
        <f>B21-B23</f>
        <v>2.8661104150450174</v>
      </c>
      <c r="D23" s="149">
        <f>SUM(D25:D30)</f>
        <v>1</v>
      </c>
      <c r="E23" s="149">
        <f>SUM(E25:E30)</f>
        <v>1</v>
      </c>
      <c r="H23" s="59">
        <f>SUM(H25:H35)</f>
        <v>0.99999989180232174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7.3068715591534925E-2</v>
      </c>
      <c r="BP23">
        <f>BL9+1</f>
        <v>6</v>
      </c>
      <c r="BQ23">
        <v>5</v>
      </c>
      <c r="BR23" s="107">
        <f>$H$31*H44</f>
        <v>7.4620169824639304E-4</v>
      </c>
    </row>
    <row r="24" spans="1:70" x14ac:dyDescent="0.25">
      <c r="A24" s="26" t="s">
        <v>89</v>
      </c>
      <c r="B24" s="64">
        <f>B23/B21</f>
        <v>0.42677791699099654</v>
      </c>
      <c r="C24" s="65">
        <f>C23/B21</f>
        <v>0.57322208300900346</v>
      </c>
      <c r="D24" s="13" t="s">
        <v>90</v>
      </c>
      <c r="E24" s="13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5.4408857457381762E-2</v>
      </c>
      <c r="BP24">
        <f>BH49+1</f>
        <v>7</v>
      </c>
      <c r="BQ24">
        <v>0</v>
      </c>
      <c r="BR24" s="107">
        <f t="shared" ref="BR24:BR30" si="10">$H$32*H39</f>
        <v>5.0349013549767308E-5</v>
      </c>
    </row>
    <row r="25" spans="1:70" x14ac:dyDescent="0.25">
      <c r="A25" s="26" t="s">
        <v>114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124">
        <v>0</v>
      </c>
      <c r="H25" s="125">
        <f>L25*J25</f>
        <v>0.11729554082099101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0.66460461994494335</v>
      </c>
      <c r="M25" s="84">
        <v>0</v>
      </c>
      <c r="N25" s="71">
        <f>(1-$B$24)^$B$21</f>
        <v>6.1889156665255927E-2</v>
      </c>
      <c r="O25" s="70">
        <v>0</v>
      </c>
      <c r="P25" s="71">
        <f t="shared" ref="P25:P30" si="12"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3">
        <f>(1-$B$33)^(INT(C23*2*(1-C31)))</f>
        <v>0.98507487500000002</v>
      </c>
      <c r="U25" s="138">
        <v>0</v>
      </c>
      <c r="V25" s="86">
        <f>R25*T25</f>
        <v>3.7731004883405344E-3</v>
      </c>
      <c r="W25" s="134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2.9667843645159519E-2</v>
      </c>
      <c r="BP25">
        <f>BP19+1</f>
        <v>7</v>
      </c>
      <c r="BQ25">
        <v>1</v>
      </c>
      <c r="BR25" s="107">
        <f t="shared" si="10"/>
        <v>1.878964203728081E-4</v>
      </c>
    </row>
    <row r="26" spans="1:70" x14ac:dyDescent="0.25">
      <c r="A26" s="40" t="s">
        <v>115</v>
      </c>
      <c r="B26" s="119">
        <f>1/(1+EXP(-3.1416*4*((B10/(B10+C9))-(3.1416/6))))</f>
        <v>0.32839636256027932</v>
      </c>
      <c r="C26" s="118">
        <f>1/(1+EXP(-3.1416*4*((C10/(C10+B9))-(3.1416/6))))</f>
        <v>0.33935563523733447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1</v>
      </c>
      <c r="H26" s="126">
        <f>L25*J26+L26*J25</f>
        <v>0.27152796609913654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0.28042866569132896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si="12"/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3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5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1.2194958783298146E-2</v>
      </c>
      <c r="BP26">
        <f>BP20+1</f>
        <v>7</v>
      </c>
      <c r="BQ26">
        <v>2</v>
      </c>
      <c r="BR26" s="107">
        <f t="shared" si="10"/>
        <v>3.2662953470579358E-4</v>
      </c>
    </row>
    <row r="27" spans="1:70" x14ac:dyDescent="0.25">
      <c r="A27" s="26" t="s">
        <v>116</v>
      </c>
      <c r="B27" s="119">
        <f>1/(1+EXP(-3.1416*4*((B12/(B12+C7))-(3.1416/6))))</f>
        <v>0.32839636256027932</v>
      </c>
      <c r="C27" s="118">
        <f>1/(1+EXP(-3.1416*4*((C12/(C12+B7))-(3.1416/6))))</f>
        <v>0.33935563523733447</v>
      </c>
      <c r="D27" s="151">
        <f>D26</f>
        <v>0.25700000000000001</v>
      </c>
      <c r="E27" s="151">
        <f>E26</f>
        <v>0.25700000000000001</v>
      </c>
      <c r="G27" s="87">
        <v>2</v>
      </c>
      <c r="H27" s="126">
        <f>L25*J27+J26*L26+J25*L27</f>
        <v>0.2917401663391731</v>
      </c>
      <c r="I27" s="93">
        <v>2</v>
      </c>
      <c r="J27" s="86">
        <f t="shared" si="11"/>
        <v>0.2847705100733125</v>
      </c>
      <c r="K27" s="93">
        <v>2</v>
      </c>
      <c r="L27" s="86">
        <f>U21</f>
        <v>4.9821627517118099E-2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3">
        <f t="shared" si="13"/>
        <v>7.4625000000000011E-5</v>
      </c>
      <c r="U27" s="93">
        <v>2</v>
      </c>
      <c r="V27" s="86">
        <f>R27*T25+T26*R26+R25*T27</f>
        <v>9.454096521102523E-2</v>
      </c>
      <c r="W27" s="135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3.8240106859765166E-3</v>
      </c>
      <c r="BP27">
        <f>BP21+1</f>
        <v>7</v>
      </c>
      <c r="BQ27">
        <v>3</v>
      </c>
      <c r="BR27" s="107">
        <f t="shared" si="10"/>
        <v>3.5134844626824184E-4</v>
      </c>
    </row>
    <row r="28" spans="1:70" x14ac:dyDescent="0.25">
      <c r="A28" s="26" t="s">
        <v>117</v>
      </c>
      <c r="B28" s="169">
        <v>0.9</v>
      </c>
      <c r="C28" s="170">
        <v>0.9</v>
      </c>
      <c r="D28" s="151">
        <v>8.5000000000000006E-2</v>
      </c>
      <c r="E28" s="151">
        <v>8.5000000000000006E-2</v>
      </c>
      <c r="G28" s="87">
        <v>3</v>
      </c>
      <c r="H28" s="126">
        <f>J28*L25+J27*L26+L28*J25+L27*J26</f>
        <v>0.19309454238427987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5.1450868466095881E-3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3">
        <f t="shared" si="13"/>
        <v>1.2500000000000002E-7</v>
      </c>
      <c r="U28" s="93">
        <v>3</v>
      </c>
      <c r="V28" s="86">
        <f>R28*T25+R27*T26+R26*T27+R25*T28</f>
        <v>0.18828113238782934</v>
      </c>
      <c r="W28" s="135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4">BE27+BE28</f>
        <v>210</v>
      </c>
      <c r="BH28">
        <f t="shared" si="8"/>
        <v>2</v>
      </c>
      <c r="BI28">
        <v>8</v>
      </c>
      <c r="BJ28" s="107">
        <f t="shared" si="9"/>
        <v>9.1342792235680939E-4</v>
      </c>
      <c r="BP28">
        <f>BP22+1</f>
        <v>7</v>
      </c>
      <c r="BQ28">
        <v>4</v>
      </c>
      <c r="BR28" s="107">
        <f t="shared" si="10"/>
        <v>2.6162314988188988E-4</v>
      </c>
    </row>
    <row r="29" spans="1:70" x14ac:dyDescent="0.25">
      <c r="A29" s="26" t="s">
        <v>118</v>
      </c>
      <c r="B29" s="119">
        <f>1/(1+EXP(-3.1416*4*((B14/(B14+C13))-(3.1416/6))))</f>
        <v>0.21091587975125142</v>
      </c>
      <c r="C29" s="118">
        <f>1/(1+EXP(-3.1416*4*((C14/(C14+B13))-(3.1416/6))))</f>
        <v>0.40883398126688669</v>
      </c>
      <c r="D29" s="151">
        <v>0.04</v>
      </c>
      <c r="E29" s="151">
        <v>0.04</v>
      </c>
      <c r="G29" s="87">
        <v>4</v>
      </c>
      <c r="H29" s="126">
        <f>J29*L25+J28*L26+J27*L27+J26*L28</f>
        <v>8.8066690842485224E-2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3">
        <f t="shared" si="13"/>
        <v>0</v>
      </c>
      <c r="U29" s="93">
        <v>4</v>
      </c>
      <c r="V29" s="86">
        <f>T29*R25+T28*R26+T27*R27+T26*R28+T25*R29</f>
        <v>0.24628757091290557</v>
      </c>
      <c r="W29" s="135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4"/>
        <v>252</v>
      </c>
      <c r="BH29">
        <f t="shared" si="8"/>
        <v>2</v>
      </c>
      <c r="BI29">
        <v>9</v>
      </c>
      <c r="BJ29" s="107">
        <f t="shared" si="9"/>
        <v>1.638299915433867E-4</v>
      </c>
      <c r="BP29">
        <f>BP23+1</f>
        <v>7</v>
      </c>
      <c r="BQ29">
        <v>5</v>
      </c>
      <c r="BR29" s="107">
        <f t="shared" si="10"/>
        <v>1.4265682220454318E-4</v>
      </c>
    </row>
    <row r="30" spans="1:70" x14ac:dyDescent="0.25">
      <c r="A30" s="26" t="s">
        <v>119</v>
      </c>
      <c r="B30" s="169">
        <v>0.15</v>
      </c>
      <c r="C30" s="170">
        <v>0.15</v>
      </c>
      <c r="D30" s="151">
        <f>IF(B17="TL",0.875*B32,0.001)</f>
        <v>1E-3</v>
      </c>
      <c r="E30" s="151">
        <f>IF(C17="TL",0.875*C32,0.001)</f>
        <v>1E-3</v>
      </c>
      <c r="G30" s="87">
        <v>5</v>
      </c>
      <c r="H30" s="126">
        <f>J30*L25+J29*L26+J28*L27+J27*L28</f>
        <v>2.9304768260192272E-2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3">
        <f t="shared" si="13"/>
        <v>0</v>
      </c>
      <c r="U30" s="93">
        <v>5</v>
      </c>
      <c r="V30" s="86">
        <f>T30*R25+T29*R26+T28*R27+T27*R28+T26*R29+T25*R30</f>
        <v>0.22120189162163786</v>
      </c>
      <c r="W30" s="135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2.1402526258749665E-5</v>
      </c>
      <c r="BP30">
        <f>BL10+1</f>
        <v>7</v>
      </c>
      <c r="BQ30">
        <v>6</v>
      </c>
      <c r="BR30" s="107">
        <f t="shared" si="10"/>
        <v>5.8639046630695621E-5</v>
      </c>
    </row>
    <row r="31" spans="1:70" x14ac:dyDescent="0.25">
      <c r="A31" s="184" t="s">
        <v>120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6">
        <f>J31*L25+J30*L26+J29*L27+J28*L28</f>
        <v>7.3378102626105316E-3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3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5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3.6011679722463892E-2</v>
      </c>
      <c r="BP31">
        <f t="shared" ref="BP31:BP37" si="17">BP24+1</f>
        <v>8</v>
      </c>
      <c r="BQ31">
        <v>0</v>
      </c>
      <c r="BR31" s="107">
        <f t="shared" ref="BR31:BR38" si="18">$H$33*H39</f>
        <v>7.3604676168085289E-6</v>
      </c>
    </row>
    <row r="32" spans="1:70" x14ac:dyDescent="0.25">
      <c r="A32" s="26" t="s">
        <v>121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6">
        <f>J32*L25+J31*L26+J30*L27+J29*L28</f>
        <v>1.402822717321473E-3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3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5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1.9636304332295254E-2</v>
      </c>
      <c r="BP32">
        <f t="shared" si="17"/>
        <v>8</v>
      </c>
      <c r="BQ32">
        <v>1</v>
      </c>
      <c r="BR32" s="107">
        <f t="shared" si="18"/>
        <v>2.7468373657435598E-5</v>
      </c>
    </row>
    <row r="33" spans="1:70" x14ac:dyDescent="0.25">
      <c r="A33" s="26" t="s">
        <v>122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6">
        <f>J33*L25+J32*L26+J31*L27+J30*L28</f>
        <v>2.0507712971897473E-4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3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5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8.071497371117814E-3</v>
      </c>
      <c r="BP33">
        <f t="shared" si="17"/>
        <v>8</v>
      </c>
      <c r="BQ33">
        <v>2</v>
      </c>
      <c r="BR33" s="107">
        <f t="shared" si="18"/>
        <v>4.774961699138079E-5</v>
      </c>
    </row>
    <row r="34" spans="1:70" x14ac:dyDescent="0.25">
      <c r="A34" s="40" t="s">
        <v>123</v>
      </c>
      <c r="B34" s="56">
        <f>B23*2</f>
        <v>4.2677791699099652</v>
      </c>
      <c r="C34" s="57">
        <f>C23*2</f>
        <v>5.7322208300900348</v>
      </c>
      <c r="G34" s="87">
        <v>9</v>
      </c>
      <c r="H34" s="126">
        <f>J34*L25+J33*L26+J32*L27+J31*L28</f>
        <v>2.266480783309812E-5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3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5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2.5310042245701029E-3</v>
      </c>
      <c r="BP34">
        <f t="shared" si="17"/>
        <v>8</v>
      </c>
      <c r="BQ34">
        <v>3</v>
      </c>
      <c r="BR34" s="107">
        <f t="shared" si="18"/>
        <v>5.1363247830410317E-5</v>
      </c>
    </row>
    <row r="35" spans="1:70" x14ac:dyDescent="0.25">
      <c r="G35" s="88">
        <v>10</v>
      </c>
      <c r="H35" s="127">
        <f>J35*L25+J34*L26+J33*L27+J32*L28</f>
        <v>1.8421385796623046E-6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3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5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6.0457203710323883E-4</v>
      </c>
      <c r="BP35">
        <f t="shared" si="17"/>
        <v>8</v>
      </c>
      <c r="BQ35">
        <v>4</v>
      </c>
      <c r="BR35" s="107">
        <f t="shared" si="18"/>
        <v>3.8246404184456838E-5</v>
      </c>
    </row>
    <row r="36" spans="1:70" x14ac:dyDescent="0.25">
      <c r="A36" s="1"/>
      <c r="B36" s="108">
        <f>SUM(B37:B39)</f>
        <v>0.99999107374820073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1.0843442520394211E-4</v>
      </c>
      <c r="BP36">
        <f t="shared" si="17"/>
        <v>8</v>
      </c>
      <c r="BQ36">
        <v>5</v>
      </c>
      <c r="BR36" s="107">
        <f t="shared" si="18"/>
        <v>2.085484592693087E-5</v>
      </c>
    </row>
    <row r="37" spans="1:70" x14ac:dyDescent="0.25">
      <c r="A37" s="109" t="s">
        <v>124</v>
      </c>
      <c r="B37" s="107">
        <f>SUM(BN4:BN14)</f>
        <v>0.17659899041025631</v>
      </c>
      <c r="G37" s="13"/>
      <c r="H37" s="59">
        <f>SUM(H39:H49)</f>
        <v>0.99999302393571066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1.4165725157625937E-5</v>
      </c>
      <c r="BP37">
        <f t="shared" si="17"/>
        <v>8</v>
      </c>
      <c r="BQ37">
        <v>6</v>
      </c>
      <c r="BR37" s="107">
        <f t="shared" si="18"/>
        <v>8.5723785507562359E-6</v>
      </c>
    </row>
    <row r="38" spans="1:70" x14ac:dyDescent="0.25">
      <c r="A38" s="110" t="s">
        <v>125</v>
      </c>
      <c r="B38" s="107">
        <f>SUM(BJ4:BJ59)</f>
        <v>0.59597225178515745</v>
      </c>
      <c r="G38" s="103" t="str">
        <f t="shared" ref="G38:AS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39" t="str">
        <f t="shared" si="19"/>
        <v>p</v>
      </c>
      <c r="U38" s="140" t="str">
        <f t="shared" si="19"/>
        <v>Total</v>
      </c>
      <c r="V38" s="141" t="str">
        <f t="shared" si="19"/>
        <v>P</v>
      </c>
      <c r="W38" s="90" t="str">
        <f t="shared" si="19"/>
        <v>E(x)</v>
      </c>
      <c r="X38" s="30" t="str">
        <f t="shared" si="19"/>
        <v>G0</v>
      </c>
      <c r="Y38" s="30" t="str">
        <f t="shared" si="19"/>
        <v>p</v>
      </c>
      <c r="Z38" s="30" t="str">
        <f t="shared" si="19"/>
        <v>G1</v>
      </c>
      <c r="AA38" s="30" t="str">
        <f t="shared" si="19"/>
        <v>p</v>
      </c>
      <c r="AB38" s="30" t="str">
        <f t="shared" si="19"/>
        <v>G2</v>
      </c>
      <c r="AC38" s="30" t="str">
        <f t="shared" si="19"/>
        <v>p</v>
      </c>
      <c r="AD38" s="30" t="str">
        <f t="shared" si="19"/>
        <v>G3</v>
      </c>
      <c r="AE38" s="30" t="str">
        <f t="shared" si="19"/>
        <v>p</v>
      </c>
      <c r="AF38" s="30" t="str">
        <f t="shared" si="19"/>
        <v>G4</v>
      </c>
      <c r="AG38" s="30" t="str">
        <f t="shared" si="19"/>
        <v>p</v>
      </c>
      <c r="AH38" s="30" t="str">
        <f t="shared" si="19"/>
        <v>G5</v>
      </c>
      <c r="AI38" s="30" t="str">
        <f t="shared" si="19"/>
        <v>p</v>
      </c>
      <c r="AJ38" s="30" t="str">
        <f t="shared" si="19"/>
        <v>G6</v>
      </c>
      <c r="AK38" s="30" t="str">
        <f t="shared" si="19"/>
        <v>p</v>
      </c>
      <c r="AL38" s="30" t="str">
        <f t="shared" si="19"/>
        <v>G7</v>
      </c>
      <c r="AM38" s="30" t="str">
        <f t="shared" si="19"/>
        <v>p</v>
      </c>
      <c r="AN38" s="30" t="str">
        <f t="shared" si="19"/>
        <v>G8</v>
      </c>
      <c r="AO38" s="30" t="str">
        <f t="shared" si="19"/>
        <v>p</v>
      </c>
      <c r="AP38" s="30" t="str">
        <f t="shared" si="19"/>
        <v>G9</v>
      </c>
      <c r="AQ38" s="30" t="str">
        <f t="shared" si="19"/>
        <v>p</v>
      </c>
      <c r="AR38" s="30" t="str">
        <f t="shared" si="19"/>
        <v>G10</v>
      </c>
      <c r="AS38" s="30" t="str">
        <f t="shared" si="19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0">BH32+1</f>
        <v>4</v>
      </c>
      <c r="BI38">
        <v>5</v>
      </c>
      <c r="BJ38" s="107">
        <f t="shared" ref="BJ38:BJ43" si="21">$H$29*H44</f>
        <v>8.9557390984137137E-3</v>
      </c>
      <c r="BP38">
        <f>BL11+1</f>
        <v>8</v>
      </c>
      <c r="BQ38">
        <v>7</v>
      </c>
      <c r="BR38" s="107">
        <f t="shared" si="18"/>
        <v>2.6880670746688735E-6</v>
      </c>
    </row>
    <row r="39" spans="1:70" x14ac:dyDescent="0.25">
      <c r="A39" s="111" t="s">
        <v>126</v>
      </c>
      <c r="B39" s="107">
        <f>SUM(BR4:BR47)</f>
        <v>0.227419831552787</v>
      </c>
      <c r="G39" s="128">
        <v>0</v>
      </c>
      <c r="H39" s="129">
        <f>L39*J39</f>
        <v>3.5891216279918037E-2</v>
      </c>
      <c r="I39" s="97">
        <v>0</v>
      </c>
      <c r="J39" s="98">
        <f t="shared" ref="J39:J49" si="22">Y39+AA39+AC39+AE39+AG39+AI39+AK39+AM39+AO39+AQ39+AS39</f>
        <v>7.9611109044617184E-2</v>
      </c>
      <c r="K39" s="102">
        <v>0</v>
      </c>
      <c r="L39" s="98">
        <f>AC21</f>
        <v>0.45083175841455986</v>
      </c>
      <c r="M39" s="84">
        <v>0</v>
      </c>
      <c r="N39" s="71">
        <f>(1-$C$24)^$B$21</f>
        <v>1.4158253922436198E-2</v>
      </c>
      <c r="O39" s="70">
        <v>0</v>
      </c>
      <c r="P39" s="71">
        <f t="shared" ref="P39:P44" si="23"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3">
        <f>(1-$C$33)^(INT(B23*2*(1-B31)))</f>
        <v>0.99002500000000004</v>
      </c>
      <c r="U39" s="138">
        <v>0</v>
      </c>
      <c r="V39" s="86">
        <f>R39*T39</f>
        <v>1.9845660399471149E-4</v>
      </c>
      <c r="W39" s="134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0"/>
        <v>4</v>
      </c>
      <c r="BI39">
        <v>6</v>
      </c>
      <c r="BJ39" s="107">
        <f t="shared" si="21"/>
        <v>3.6812540367067081E-3</v>
      </c>
      <c r="BP39">
        <f t="shared" ref="BP39:BP46" si="24">BP31+1</f>
        <v>9</v>
      </c>
      <c r="BQ39">
        <v>0</v>
      </c>
      <c r="BR39" s="107">
        <f t="shared" ref="BR39:BR47" si="25">$H$34*H39</f>
        <v>8.1346751988050509E-7</v>
      </c>
    </row>
    <row r="40" spans="1:70" x14ac:dyDescent="0.25">
      <c r="G40" s="91">
        <v>1</v>
      </c>
      <c r="H40" s="130">
        <f>L39*J40+L40*J39</f>
        <v>0.13394167206785365</v>
      </c>
      <c r="I40" s="93">
        <v>1</v>
      </c>
      <c r="J40" s="86">
        <f t="shared" si="22"/>
        <v>0.22916016937475037</v>
      </c>
      <c r="K40" s="95">
        <v>1</v>
      </c>
      <c r="L40" s="86">
        <f>AD21</f>
        <v>0.38473261229021288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si="23"/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3">
        <f t="shared" ref="T40:T49" si="26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5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0"/>
        <v>4</v>
      </c>
      <c r="BI40">
        <v>7</v>
      </c>
      <c r="BJ40" s="107">
        <f t="shared" si="21"/>
        <v>1.1543421363129406E-3</v>
      </c>
      <c r="BP40">
        <f t="shared" si="24"/>
        <v>9</v>
      </c>
      <c r="BQ40">
        <v>1</v>
      </c>
      <c r="BR40" s="107">
        <f t="shared" si="25"/>
        <v>3.0357622582617492E-6</v>
      </c>
    </row>
    <row r="41" spans="1:70" x14ac:dyDescent="0.25">
      <c r="G41" s="91">
        <v>2</v>
      </c>
      <c r="H41" s="130">
        <f>L39*J41+J40*L40+J39*L41</f>
        <v>0.23283735761668781</v>
      </c>
      <c r="I41" s="93">
        <v>2</v>
      </c>
      <c r="J41" s="86">
        <f t="shared" si="22"/>
        <v>0.29692562742348416</v>
      </c>
      <c r="K41" s="95">
        <v>2</v>
      </c>
      <c r="L41" s="86">
        <f>AE21</f>
        <v>0.13576577967955661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23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3">
        <f t="shared" si="26"/>
        <v>2.5000000000000001E-5</v>
      </c>
      <c r="U41" s="93">
        <v>2</v>
      </c>
      <c r="V41" s="86">
        <f>R41*T39+T40*R40+R39*T41</f>
        <v>1.6137702390179705E-2</v>
      </c>
      <c r="W41" s="135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0"/>
        <v>4</v>
      </c>
      <c r="BI41">
        <v>8</v>
      </c>
      <c r="BJ41" s="107">
        <f t="shared" si="21"/>
        <v>2.7573362781856131E-4</v>
      </c>
      <c r="BP41">
        <f t="shared" si="24"/>
        <v>9</v>
      </c>
      <c r="BQ41">
        <v>2</v>
      </c>
      <c r="BR41" s="107">
        <f t="shared" si="25"/>
        <v>5.2772139667485739E-6</v>
      </c>
    </row>
    <row r="42" spans="1:70" ht="15" customHeight="1" x14ac:dyDescent="0.25">
      <c r="G42" s="91">
        <v>3</v>
      </c>
      <c r="H42" s="130">
        <f>J42*L39+J41*L40+L42*J39+L41*J40</f>
        <v>0.25045819541552683</v>
      </c>
      <c r="I42" s="93">
        <v>3</v>
      </c>
      <c r="J42" s="86">
        <f t="shared" si="22"/>
        <v>0.22808214730009638</v>
      </c>
      <c r="K42" s="95">
        <v>3</v>
      </c>
      <c r="L42" s="86">
        <f>AF21</f>
        <v>2.8669849615670706E-2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23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3">
        <f t="shared" si="26"/>
        <v>0</v>
      </c>
      <c r="U42" s="93">
        <v>3</v>
      </c>
      <c r="V42" s="86">
        <f>R42*T39+R41*T40+R40*T41+R39*T42</f>
        <v>5.7866491280477626E-2</v>
      </c>
      <c r="W42" s="135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27">BE41+BE42</f>
        <v>210</v>
      </c>
      <c r="BH42">
        <f t="shared" si="20"/>
        <v>4</v>
      </c>
      <c r="BI42">
        <v>9</v>
      </c>
      <c r="BJ42" s="107">
        <f t="shared" si="21"/>
        <v>4.945484674607559E-5</v>
      </c>
      <c r="BP42">
        <f t="shared" si="24"/>
        <v>9</v>
      </c>
      <c r="BQ42">
        <v>3</v>
      </c>
      <c r="BR42" s="107">
        <f t="shared" si="25"/>
        <v>5.6765868693174524E-6</v>
      </c>
    </row>
    <row r="43" spans="1:70" ht="15" customHeight="1" x14ac:dyDescent="0.25">
      <c r="G43" s="91">
        <v>4</v>
      </c>
      <c r="H43" s="130">
        <f>J43*L39+J42*L40+J41*L41+J40*L42</f>
        <v>0.18649765693945197</v>
      </c>
      <c r="I43" s="93">
        <v>4</v>
      </c>
      <c r="J43" s="86">
        <f t="shared" si="22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23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3">
        <f t="shared" si="26"/>
        <v>0</v>
      </c>
      <c r="U43" s="93">
        <v>4</v>
      </c>
      <c r="V43" s="86">
        <f>T43*R39+T42*R40+T41*R41+T40*R42+T39*R43</f>
        <v>0.13621440614823141</v>
      </c>
      <c r="W43" s="135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27"/>
        <v>252</v>
      </c>
      <c r="BH43">
        <f t="shared" si="20"/>
        <v>4</v>
      </c>
      <c r="BI43">
        <v>10</v>
      </c>
      <c r="BJ43" s="107">
        <f t="shared" si="21"/>
        <v>6.4607136100902139E-6</v>
      </c>
      <c r="BP43">
        <f t="shared" si="24"/>
        <v>9</v>
      </c>
      <c r="BQ43">
        <v>4</v>
      </c>
      <c r="BR43" s="107">
        <f t="shared" si="25"/>
        <v>4.226933555855737E-6</v>
      </c>
    </row>
    <row r="44" spans="1:70" ht="15" customHeight="1" x14ac:dyDescent="0.25">
      <c r="G44" s="91">
        <v>5</v>
      </c>
      <c r="H44" s="130">
        <f>J44*L39+J43*L40+J42*L41+J41*L42</f>
        <v>0.10169269462425716</v>
      </c>
      <c r="I44" s="93">
        <v>5</v>
      </c>
      <c r="J44" s="86">
        <f t="shared" si="22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23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3">
        <f t="shared" si="26"/>
        <v>0</v>
      </c>
      <c r="U44" s="93">
        <v>5</v>
      </c>
      <c r="V44" s="86">
        <f>T44*R39+T43*R40+T42*R41+T41*R42+T40*R43+T39*R44</f>
        <v>0.21997508653438405</v>
      </c>
      <c r="W44" s="135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27"/>
        <v>210</v>
      </c>
      <c r="BH44">
        <f>BH39+1</f>
        <v>5</v>
      </c>
      <c r="BI44">
        <v>6</v>
      </c>
      <c r="BJ44" s="107">
        <f>$H$30*H45</f>
        <v>1.2249613948312982E-3</v>
      </c>
      <c r="BP44">
        <f t="shared" si="24"/>
        <v>9</v>
      </c>
      <c r="BQ44">
        <v>5</v>
      </c>
      <c r="BR44" s="107">
        <f t="shared" si="25"/>
        <v>2.3048453816887188E-6</v>
      </c>
    </row>
    <row r="45" spans="1:70" ht="15" customHeight="1" x14ac:dyDescent="0.25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4.1800753514072017E-2</v>
      </c>
      <c r="I45" s="93">
        <v>6</v>
      </c>
      <c r="J45" s="86">
        <f t="shared" si="22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3">
        <f t="shared" si="26"/>
        <v>0</v>
      </c>
      <c r="U45" s="93">
        <v>6</v>
      </c>
      <c r="V45" s="86">
        <f>T45*R39+T44*R40+T43*R41+T42*R42+T41*R43+T40*R44+T39*R45</f>
        <v>0.24688739984683838</v>
      </c>
      <c r="W45" s="135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27"/>
        <v>120</v>
      </c>
      <c r="BH45">
        <f>BH40+1</f>
        <v>5</v>
      </c>
      <c r="BI45">
        <v>7</v>
      </c>
      <c r="BJ45" s="107">
        <f>$H$30*H46</f>
        <v>3.8411490739591634E-4</v>
      </c>
      <c r="BP45">
        <f t="shared" si="24"/>
        <v>9</v>
      </c>
      <c r="BQ45">
        <v>6</v>
      </c>
      <c r="BR45" s="107">
        <f t="shared" si="25"/>
        <v>9.4740604567514321E-7</v>
      </c>
    </row>
    <row r="46" spans="1:70" ht="15" customHeight="1" x14ac:dyDescent="0.25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1.3107590682356623E-2</v>
      </c>
      <c r="I46" s="93">
        <v>7</v>
      </c>
      <c r="J46" s="86">
        <f t="shared" si="22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3">
        <f t="shared" si="26"/>
        <v>0</v>
      </c>
      <c r="U46" s="93">
        <v>7</v>
      </c>
      <c r="V46" s="86">
        <f>T46*R39+T45*R40+T44*R41+T43*R42+T42*R43+T41*R44+T40*R45+T39*R46</f>
        <v>0.19026383247544018</v>
      </c>
      <c r="W46" s="135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27"/>
        <v>45</v>
      </c>
      <c r="BH46">
        <f>BH41+1</f>
        <v>5</v>
      </c>
      <c r="BI46">
        <v>8</v>
      </c>
      <c r="BJ46" s="107">
        <f>$H$30*H47</f>
        <v>9.1752170854442205E-5</v>
      </c>
      <c r="BP46">
        <f t="shared" si="24"/>
        <v>9</v>
      </c>
      <c r="BQ46">
        <v>7</v>
      </c>
      <c r="BR46" s="107">
        <f t="shared" si="25"/>
        <v>2.9708102397052031E-7</v>
      </c>
    </row>
    <row r="47" spans="1:70" ht="15" customHeight="1" x14ac:dyDescent="0.25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3.1309638772704018E-3</v>
      </c>
      <c r="I47" s="93">
        <v>8</v>
      </c>
      <c r="J47" s="86">
        <f t="shared" si="22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3">
        <f t="shared" si="26"/>
        <v>0</v>
      </c>
      <c r="U47" s="93">
        <v>8</v>
      </c>
      <c r="V47" s="86">
        <f>T47*R39+T46*R40+T45*R41+T44*R42+T43*R43+T42*R44+T41*R45+T40*R46+T39*R47</f>
        <v>9.6483745132614707E-2</v>
      </c>
      <c r="W47" s="135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27"/>
        <v>10</v>
      </c>
      <c r="BH47">
        <f>BH42+1</f>
        <v>5</v>
      </c>
      <c r="BI47">
        <v>9</v>
      </c>
      <c r="BJ47" s="107">
        <f>$H$30*H48</f>
        <v>1.6456424209570892E-5</v>
      </c>
      <c r="BP47">
        <f>BL12+1</f>
        <v>9</v>
      </c>
      <c r="BQ47">
        <v>8</v>
      </c>
      <c r="BR47" s="107">
        <f t="shared" si="25"/>
        <v>7.0962694610705461E-8</v>
      </c>
    </row>
    <row r="48" spans="1:70" ht="15" customHeight="1" x14ac:dyDescent="0.25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5.6156131532783256E-4</v>
      </c>
      <c r="I48" s="93">
        <v>9</v>
      </c>
      <c r="J48" s="86">
        <f t="shared" si="22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3">
        <f t="shared" si="26"/>
        <v>0</v>
      </c>
      <c r="U48" s="93">
        <v>9</v>
      </c>
      <c r="V48" s="86">
        <f>T48*R39+T47*R40+T46*R41+T45*R42+T44*R43+T43*R44+T42*R45+T41*R46+T40*R47+T39*R48</f>
        <v>2.9188220720316679E-2</v>
      </c>
      <c r="W48" s="135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27"/>
        <v>1</v>
      </c>
      <c r="BH48">
        <f>BH43+1</f>
        <v>5</v>
      </c>
      <c r="BI48">
        <v>10</v>
      </c>
      <c r="BJ48" s="107">
        <f>$H$30*H49</f>
        <v>2.1498447747718403E-6</v>
      </c>
    </row>
    <row r="49" spans="1:62" ht="15" customHeight="1" x14ac:dyDescent="0.25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7.336160298841875E-5</v>
      </c>
      <c r="I49" s="94">
        <v>10</v>
      </c>
      <c r="J49" s="89">
        <f t="shared" si="22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3">
        <f t="shared" si="26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5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2.6336293515635676E-4</v>
      </c>
    </row>
    <row r="50" spans="1:62" x14ac:dyDescent="0.25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9.6181013427094607E-5</v>
      </c>
    </row>
    <row r="51" spans="1:62" x14ac:dyDescent="0.25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H51">
        <f>BH46+1</f>
        <v>6</v>
      </c>
      <c r="BI51">
        <v>8</v>
      </c>
      <c r="BJ51" s="107">
        <f>$H$31*H47</f>
        <v>2.2974418870497614E-5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4.1206303826976387E-6</v>
      </c>
    </row>
    <row r="53" spans="1:62" x14ac:dyDescent="0.25">
      <c r="BH53">
        <f>BH48+1</f>
        <v>6</v>
      </c>
      <c r="BI53">
        <v>10</v>
      </c>
      <c r="BJ53" s="107">
        <f>$H$31*H49</f>
        <v>5.3831352328997858E-7</v>
      </c>
    </row>
    <row r="54" spans="1:62" x14ac:dyDescent="0.25">
      <c r="BH54">
        <f>BH51+1</f>
        <v>7</v>
      </c>
      <c r="BI54">
        <v>8</v>
      </c>
      <c r="BJ54" s="107">
        <f>$H$32*H47</f>
        <v>4.3921872541478401E-6</v>
      </c>
    </row>
    <row r="55" spans="1:62" x14ac:dyDescent="0.25">
      <c r="BH55">
        <f>BH52+1</f>
        <v>7</v>
      </c>
      <c r="BI55">
        <v>9</v>
      </c>
      <c r="BJ55" s="107">
        <f>$H$32*H48</f>
        <v>7.8777097031081063E-7</v>
      </c>
    </row>
    <row r="56" spans="1:62" x14ac:dyDescent="0.25">
      <c r="BH56">
        <f>BH53+1</f>
        <v>7</v>
      </c>
      <c r="BI56">
        <v>10</v>
      </c>
      <c r="BJ56" s="107">
        <f>$H$32*H49</f>
        <v>1.0291332325127269E-7</v>
      </c>
    </row>
    <row r="57" spans="1:62" x14ac:dyDescent="0.25">
      <c r="BH57">
        <f>BH55+1</f>
        <v>8</v>
      </c>
      <c r="BI57">
        <v>9</v>
      </c>
      <c r="BJ57" s="107">
        <f>$H$33*H48</f>
        <v>1.1516338270864398E-7</v>
      </c>
    </row>
    <row r="58" spans="1:62" x14ac:dyDescent="0.25">
      <c r="BH58">
        <f>BH56+1</f>
        <v>8</v>
      </c>
      <c r="BI58">
        <v>10</v>
      </c>
      <c r="BJ58" s="107">
        <f>$H$33*H49</f>
        <v>1.5044786972447876E-8</v>
      </c>
    </row>
    <row r="59" spans="1:62" x14ac:dyDescent="0.25">
      <c r="BH59">
        <f>BH58+1</f>
        <v>9</v>
      </c>
      <c r="BI59">
        <v>10</v>
      </c>
      <c r="BJ59" s="107">
        <f>$H$34*H49</f>
        <v>1.6627266340605477E-9</v>
      </c>
    </row>
  </sheetData>
  <mergeCells count="2">
    <mergeCell ref="P1:Q1"/>
    <mergeCell ref="B3:C3"/>
  </mergeCells>
  <conditionalFormatting sqref="H49">
    <cfRule type="cellIs" dxfId="55" priority="1" operator="greaterThan">
      <formula>0.15</formula>
    </cfRule>
  </conditionalFormatting>
  <conditionalFormatting sqref="H39:H49">
    <cfRule type="cellIs" dxfId="54" priority="2" operator="greaterThan">
      <formula>0.15</formula>
    </cfRule>
  </conditionalFormatting>
  <conditionalFormatting sqref="H49">
    <cfRule type="cellIs" dxfId="53" priority="3" operator="greaterThan">
      <formula>0.15</formula>
    </cfRule>
  </conditionalFormatting>
  <conditionalFormatting sqref="H39:H49">
    <cfRule type="cellIs" dxfId="52" priority="4" operator="greaterThan">
      <formula>0.15</formula>
    </cfRule>
  </conditionalFormatting>
  <conditionalFormatting sqref="H35">
    <cfRule type="cellIs" dxfId="51" priority="5" operator="greaterThan">
      <formula>0.15</formula>
    </cfRule>
  </conditionalFormatting>
  <conditionalFormatting sqref="H25:H35">
    <cfRule type="cellIs" dxfId="50" priority="6" operator="greaterThan">
      <formula>0.15</formula>
    </cfRule>
  </conditionalFormatting>
  <conditionalFormatting sqref="H35">
    <cfRule type="cellIs" dxfId="49" priority="7" operator="greaterThan">
      <formula>0.15</formula>
    </cfRule>
  </conditionalFormatting>
  <conditionalFormatting sqref="H25:H35">
    <cfRule type="cellIs" dxfId="48" priority="8" operator="greaterThan">
      <formula>0.15</formula>
    </cfRule>
  </conditionalFormatting>
  <conditionalFormatting sqref="V49">
    <cfRule type="cellIs" dxfId="47" priority="9" operator="greaterThan">
      <formula>0.15</formula>
    </cfRule>
  </conditionalFormatting>
  <conditionalFormatting sqref="V35">
    <cfRule type="cellIs" dxfId="46" priority="10" operator="greaterThan">
      <formula>0.15</formula>
    </cfRule>
  </conditionalFormatting>
  <conditionalFormatting sqref="V25:V35 V39:V49">
    <cfRule type="cellIs" dxfId="45" priority="11" operator="greaterThan">
      <formula>0.15</formula>
    </cfRule>
  </conditionalFormatting>
  <conditionalFormatting sqref="V49">
    <cfRule type="cellIs" dxfId="44" priority="12" operator="greaterThan">
      <formula>0.15</formula>
    </cfRule>
  </conditionalFormatting>
  <conditionalFormatting sqref="V35">
    <cfRule type="cellIs" dxfId="43" priority="13" operator="greaterThan">
      <formula>0.15</formula>
    </cfRule>
  </conditionalFormatting>
  <conditionalFormatting sqref="V25:V35 V39:V49">
    <cfRule type="cellIs" dxfId="42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BR59"/>
  <sheetViews>
    <sheetView zoomScale="80" workbookViewId="0">
      <selection activeCell="O16" sqref="O16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7.140625" customWidth="1"/>
    <col min="17" max="17" width="8.85546875" customWidth="1"/>
    <col min="19" max="19" width="8.85546875" customWidth="1"/>
    <col min="21" max="21" width="8.85546875" customWidth="1"/>
    <col min="23" max="23" width="17.42578125" customWidth="1"/>
    <col min="24" max="24" width="7.1406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8.8554687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5" max="35" width="8.4257812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143</v>
      </c>
      <c r="B1" t="s">
        <v>0</v>
      </c>
      <c r="F1" s="10" t="s">
        <v>1</v>
      </c>
      <c r="G1" s="70">
        <f>IF(D3="SI",COUNTIF($F$6:$F$18,"RAP"),0)</f>
        <v>0</v>
      </c>
      <c r="H1" s="70">
        <f>G1+G2+G3</f>
        <v>0</v>
      </c>
      <c r="J1" s="11" t="s">
        <v>1</v>
      </c>
      <c r="K1" s="70">
        <f>IF(D3="SI",COUNTIF($J$6:$J$18,"RAP"),0)</f>
        <v>0</v>
      </c>
      <c r="L1" s="70">
        <f>K1+K2+K3</f>
        <v>0</v>
      </c>
      <c r="M1" s="148">
        <f>L1+H1</f>
        <v>0</v>
      </c>
      <c r="P1" s="204" t="s">
        <v>157</v>
      </c>
      <c r="Q1" s="204"/>
      <c r="R1" s="150">
        <v>-0.12364059050405626</v>
      </c>
      <c r="S1" s="151">
        <f>1+R1</f>
        <v>0.87635940949594371</v>
      </c>
      <c r="U1" s="156" t="s">
        <v>154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3" t="s">
        <v>146</v>
      </c>
      <c r="B2" t="s">
        <v>0</v>
      </c>
      <c r="F2" s="10" t="s">
        <v>2</v>
      </c>
      <c r="G2" s="70">
        <f>IF(D3="SI",COUNTIF($F$6:$F$18,"TEC"),0)</f>
        <v>0</v>
      </c>
      <c r="H2" s="13"/>
      <c r="J2" s="11" t="s">
        <v>2</v>
      </c>
      <c r="K2" s="70">
        <f>IF(D3="SI",COUNTIF($J$6:$J$18,"TEC"),0)</f>
        <v>0</v>
      </c>
      <c r="L2" s="13" t="s">
        <v>155</v>
      </c>
      <c r="M2" s="158" t="str">
        <f>IF(M1&lt;&gt;0,"SI","NO")</f>
        <v>NO</v>
      </c>
      <c r="O2" t="s">
        <v>3</v>
      </c>
      <c r="P2" s="160" t="s">
        <v>148</v>
      </c>
      <c r="R2" s="150">
        <v>7.3959748117051499E-2</v>
      </c>
      <c r="S2" s="151">
        <f>1+R2</f>
        <v>1.0739597481170515</v>
      </c>
      <c r="Y2" t="s">
        <v>3</v>
      </c>
      <c r="Z2" s="159" t="s">
        <v>148</v>
      </c>
    </row>
    <row r="3" spans="1:70" x14ac:dyDescent="0.25">
      <c r="A3" s="157" t="s">
        <v>4</v>
      </c>
      <c r="B3" s="206" t="s">
        <v>130</v>
      </c>
      <c r="C3" s="206"/>
      <c r="D3" t="str">
        <f>IF(B3="Sol","SI",IF(B3="Lluvia","SI","NO"))</f>
        <v>NO</v>
      </c>
      <c r="F3" s="10" t="s">
        <v>6</v>
      </c>
      <c r="G3" s="70">
        <f>IF(D3="SI",COUNTIF($F$6:$F$18,"POT"),0)</f>
        <v>0</v>
      </c>
      <c r="H3" s="13"/>
      <c r="J3" s="11" t="s">
        <v>6</v>
      </c>
      <c r="K3" s="70">
        <f>IF(D3="SI",COUNTIF($J$6:$J$18,"POT"),0)</f>
        <v>0</v>
      </c>
      <c r="L3" s="13"/>
      <c r="O3" t="s">
        <v>7</v>
      </c>
      <c r="P3" s="160" t="s">
        <v>149</v>
      </c>
      <c r="Q3" t="s">
        <v>8</v>
      </c>
      <c r="R3" s="160" t="s">
        <v>150</v>
      </c>
      <c r="Y3" t="s">
        <v>7</v>
      </c>
      <c r="Z3" s="159" t="s">
        <v>149</v>
      </c>
      <c r="AA3" t="s">
        <v>8</v>
      </c>
      <c r="AB3" s="159" t="s">
        <v>150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158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159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3" t="s">
        <v>160</v>
      </c>
      <c r="B5" s="154">
        <v>352</v>
      </c>
      <c r="C5" s="154">
        <v>352</v>
      </c>
      <c r="E5" s="187" t="s">
        <v>31</v>
      </c>
      <c r="F5" s="162"/>
      <c r="G5" s="162">
        <v>12</v>
      </c>
      <c r="H5" s="10"/>
      <c r="I5" s="10"/>
      <c r="J5" s="161"/>
      <c r="K5" s="161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 t="shared" ref="Q5:Q19" si="1">P5*O5</f>
        <v>0</v>
      </c>
      <c r="R5" s="155" t="e">
        <f t="shared" ref="R5:R19" si="2">IF($M$2="SI",Q5*$B$22/0.5*$S$1,Q5*$B$22/0.5*$S$2)</f>
        <v>#DIV/0!</v>
      </c>
      <c r="S5" s="171" t="e">
        <f t="shared" ref="S5:S19" si="3">(1-R5)</f>
        <v>#DIV/0!</v>
      </c>
      <c r="T5" s="172" t="e">
        <f>R5*PRODUCT(S6:S19)</f>
        <v>#DIV/0!</v>
      </c>
      <c r="U5" s="17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1" t="s">
        <v>33</v>
      </c>
      <c r="X5" s="15" t="s">
        <v>34</v>
      </c>
      <c r="Y5" s="69">
        <f>COUNTIF(J5:J18,"IMP")*0.017</f>
        <v>0</v>
      </c>
      <c r="Z5" s="144" t="str">
        <f>Z3</f>
        <v>0,6</v>
      </c>
      <c r="AA5" s="19">
        <f t="shared" ref="AA5:AA19" si="4">Z5*Y5</f>
        <v>0</v>
      </c>
      <c r="AB5" s="155" t="e">
        <f t="shared" ref="AB5:AB19" si="5">IF($M$2="SI",AA5*$C$22/0.5*$S$1,AA5*$C$22/0.5*$S$2)</f>
        <v>#DIV/0!</v>
      </c>
      <c r="AC5" s="171" t="e">
        <f t="shared" ref="AC5:AC19" si="6">(1-AB5)</f>
        <v>#DIV/0!</v>
      </c>
      <c r="AD5" s="172" t="e">
        <f>AB5*PRODUCT(AC6:AC19)</f>
        <v>#DIV/0!</v>
      </c>
      <c r="AE5" s="17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35</v>
      </c>
      <c r="B6" s="163"/>
      <c r="C6" s="164"/>
      <c r="E6" s="187" t="s">
        <v>36</v>
      </c>
      <c r="F6" s="162"/>
      <c r="G6" s="162"/>
      <c r="H6" s="10"/>
      <c r="I6" s="10"/>
      <c r="J6" s="161"/>
      <c r="K6" s="161"/>
      <c r="L6" s="10"/>
      <c r="M6" s="10"/>
      <c r="O6" s="67">
        <f>COUNTIF(F14:F18,"IMP")*0.017</f>
        <v>0</v>
      </c>
      <c r="P6" s="16" t="str">
        <f>P3</f>
        <v>0,6</v>
      </c>
      <c r="Q6" s="16">
        <f t="shared" si="1"/>
        <v>0</v>
      </c>
      <c r="R6" s="155" t="e">
        <f t="shared" si="2"/>
        <v>#DIV/0!</v>
      </c>
      <c r="S6" s="171" t="e">
        <f t="shared" si="3"/>
        <v>#DIV/0!</v>
      </c>
      <c r="T6" s="172" t="e">
        <f>R6*S5*PRODUCT(S7:S19)</f>
        <v>#DIV/0!</v>
      </c>
      <c r="U6" s="17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1" t="s">
        <v>38</v>
      </c>
      <c r="X6" s="15" t="s">
        <v>39</v>
      </c>
      <c r="Y6" s="69">
        <f>COUNTIF(J14:J18,"IMP")*0.017</f>
        <v>0</v>
      </c>
      <c r="Z6" s="144" t="str">
        <f>Z3</f>
        <v>0,6</v>
      </c>
      <c r="AA6" s="19">
        <f t="shared" si="4"/>
        <v>0</v>
      </c>
      <c r="AB6" s="155" t="e">
        <f t="shared" si="5"/>
        <v>#DIV/0!</v>
      </c>
      <c r="AC6" s="171" t="e">
        <f t="shared" si="6"/>
        <v>#DIV/0!</v>
      </c>
      <c r="AD6" s="172" t="e">
        <f>AB6*AC5*PRODUCT(AC7:AC19)</f>
        <v>#DIV/0!</v>
      </c>
      <c r="AE6" s="17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40</v>
      </c>
      <c r="B7" s="163"/>
      <c r="C7" s="164"/>
      <c r="E7" s="187" t="s">
        <v>41</v>
      </c>
      <c r="F7" s="162"/>
      <c r="G7" s="162"/>
      <c r="H7" s="10"/>
      <c r="I7" s="10"/>
      <c r="J7" s="161"/>
      <c r="K7" s="161"/>
      <c r="L7" s="10"/>
      <c r="M7" s="10"/>
      <c r="O7" s="67">
        <v>0</v>
      </c>
      <c r="P7" s="142">
        <v>0.5</v>
      </c>
      <c r="Q7" s="16">
        <f t="shared" si="1"/>
        <v>0</v>
      </c>
      <c r="R7" s="155" t="e">
        <f t="shared" si="2"/>
        <v>#DIV/0!</v>
      </c>
      <c r="S7" s="171" t="e">
        <f t="shared" si="3"/>
        <v>#DIV/0!</v>
      </c>
      <c r="T7" s="172" t="e">
        <f>R7*PRODUCT(S5:S6)*PRODUCT(S8:S19)</f>
        <v>#DIV/0!</v>
      </c>
      <c r="U7" s="17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1" t="s">
        <v>152</v>
      </c>
      <c r="X7" s="15" t="s">
        <v>153</v>
      </c>
      <c r="Y7" s="69">
        <v>0</v>
      </c>
      <c r="Z7" s="144">
        <v>0.5</v>
      </c>
      <c r="AA7" s="19">
        <f t="shared" si="4"/>
        <v>0</v>
      </c>
      <c r="AB7" s="155" t="e">
        <f t="shared" si="5"/>
        <v>#DIV/0!</v>
      </c>
      <c r="AC7" s="171" t="e">
        <f t="shared" si="6"/>
        <v>#DIV/0!</v>
      </c>
      <c r="AD7" s="172" t="e">
        <f>AB7*PRODUCT(AC5:AC6)*PRODUCT(AC8:AC19)</f>
        <v>#DIV/0!</v>
      </c>
      <c r="AE7" s="17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44</v>
      </c>
      <c r="B8" s="163"/>
      <c r="C8" s="164"/>
      <c r="E8" s="187" t="s">
        <v>41</v>
      </c>
      <c r="F8" s="162"/>
      <c r="G8" s="162"/>
      <c r="H8" s="10"/>
      <c r="I8" s="10"/>
      <c r="J8" s="161"/>
      <c r="K8" s="161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5" t="e">
        <f t="shared" si="2"/>
        <v>#DIV/0!</v>
      </c>
      <c r="S8" s="171" t="e">
        <f t="shared" si="3"/>
        <v>#DIV/0!</v>
      </c>
      <c r="T8" s="172" t="e">
        <f>R8*PRODUCT(S5:S7)*PRODUCT(S9:S19)</f>
        <v>#DIV/0!</v>
      </c>
      <c r="U8" s="17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1" t="s">
        <v>45</v>
      </c>
      <c r="X8" s="15" t="s">
        <v>46</v>
      </c>
      <c r="Y8" s="69">
        <f>COUNTIF(J6:J18,"IMP")*0.01</f>
        <v>0</v>
      </c>
      <c r="Z8" s="144" t="str">
        <f>Z3</f>
        <v>0,6</v>
      </c>
      <c r="AA8" s="19">
        <f t="shared" si="4"/>
        <v>0</v>
      </c>
      <c r="AB8" s="155" t="e">
        <f t="shared" si="5"/>
        <v>#DIV/0!</v>
      </c>
      <c r="AC8" s="171" t="e">
        <f t="shared" si="6"/>
        <v>#DIV/0!</v>
      </c>
      <c r="AD8" s="172" t="e">
        <f>AB8*PRODUCT(AC5:AC7)*PRODUCT(AC9:AC19)</f>
        <v>#DIV/0!</v>
      </c>
      <c r="AE8" s="17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47</v>
      </c>
      <c r="B9" s="163"/>
      <c r="C9" s="164"/>
      <c r="E9" s="187" t="s">
        <v>41</v>
      </c>
      <c r="F9" s="162"/>
      <c r="G9" s="162"/>
      <c r="H9" s="10"/>
      <c r="I9" s="10"/>
      <c r="J9" s="161"/>
      <c r="K9" s="161"/>
      <c r="L9" s="10"/>
      <c r="M9" s="10"/>
      <c r="O9" s="67">
        <f>COUNTIF(J6:J13,"IMP")*0.025</f>
        <v>0</v>
      </c>
      <c r="P9" s="142">
        <v>0.5</v>
      </c>
      <c r="Q9" s="16">
        <f t="shared" si="1"/>
        <v>0</v>
      </c>
      <c r="R9" s="155" t="e">
        <f t="shared" si="2"/>
        <v>#DIV/0!</v>
      </c>
      <c r="S9" s="171" t="e">
        <f t="shared" si="3"/>
        <v>#DIV/0!</v>
      </c>
      <c r="T9" s="172" t="e">
        <f>R9*PRODUCT(S5:S8)*PRODUCT(S10:S19)</f>
        <v>#DIV/0!</v>
      </c>
      <c r="U9" s="17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2" t="s">
        <v>48</v>
      </c>
      <c r="X9" s="15" t="s">
        <v>49</v>
      </c>
      <c r="Y9" s="69">
        <f>COUNTIF(F6:F13,"IMP")*0.025</f>
        <v>0</v>
      </c>
      <c r="Z9" s="144">
        <v>0.5</v>
      </c>
      <c r="AA9" s="19">
        <f t="shared" si="4"/>
        <v>0</v>
      </c>
      <c r="AB9" s="155" t="e">
        <f t="shared" si="5"/>
        <v>#DIV/0!</v>
      </c>
      <c r="AC9" s="171" t="e">
        <f t="shared" si="6"/>
        <v>#DIV/0!</v>
      </c>
      <c r="AD9" s="172" t="e">
        <f>AB9*PRODUCT(AC5:AC8)*PRODUCT(AC10:AC19)</f>
        <v>#DIV/0!</v>
      </c>
      <c r="AE9" s="17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50</v>
      </c>
      <c r="B10" s="163"/>
      <c r="C10" s="164"/>
      <c r="E10" s="187" t="s">
        <v>36</v>
      </c>
      <c r="F10" s="162"/>
      <c r="G10" s="162"/>
      <c r="H10" s="10"/>
      <c r="I10" s="10"/>
      <c r="J10" s="161"/>
      <c r="K10" s="161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5" t="e">
        <f t="shared" si="2"/>
        <v>#DIV/0!</v>
      </c>
      <c r="S10" s="171" t="e">
        <f t="shared" si="3"/>
        <v>#DIV/0!</v>
      </c>
      <c r="T10" s="172" t="e">
        <f>R10*PRODUCT(S5:S9)*PRODUCT(S11:S19)</f>
        <v>#DIV/0!</v>
      </c>
      <c r="U10" s="17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1" t="s">
        <v>51</v>
      </c>
      <c r="X10" s="15" t="s">
        <v>52</v>
      </c>
      <c r="Y10" s="69">
        <f>COUNTIF(J14:J18,"RAP")*0.085</f>
        <v>8.5000000000000006E-2</v>
      </c>
      <c r="Z10" s="144" t="str">
        <f>AB3</f>
        <v>0,72</v>
      </c>
      <c r="AA10" s="19">
        <f t="shared" si="4"/>
        <v>6.1200000000000004E-2</v>
      </c>
      <c r="AB10" s="155" t="e">
        <f t="shared" si="5"/>
        <v>#DIV/0!</v>
      </c>
      <c r="AC10" s="171" t="e">
        <f t="shared" si="6"/>
        <v>#DIV/0!</v>
      </c>
      <c r="AD10" s="172" t="e">
        <f>AB10*PRODUCT(AC5:AC9)*PRODUCT(AC11:AC19)</f>
        <v>#DIV/0!</v>
      </c>
      <c r="AE10" s="17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53</v>
      </c>
      <c r="B11" s="163"/>
      <c r="C11" s="164"/>
      <c r="E11" s="187" t="s">
        <v>54</v>
      </c>
      <c r="F11" s="162"/>
      <c r="G11" s="162"/>
      <c r="H11" s="10"/>
      <c r="I11" s="10"/>
      <c r="J11" s="161"/>
      <c r="K11" s="161"/>
      <c r="L11" s="10"/>
      <c r="M11" s="10"/>
      <c r="O11" s="67">
        <f>IF(COUNTA(F16:F18)=0,0,COUNTIF(F14:F15,"RAP")*0.085)+IF(COUNTA(F17:F18)=0,0,COUNTIF(F16,"RAP")*0.085)+IF(COUNTA(F16:F17)=0,0,COUNTIF(F18,"RAP")*0.085)+IF(COUNTA(F16,F18)=0,0,COUNTIF(F17,"RAP")*0.085)</f>
        <v>0</v>
      </c>
      <c r="P11" s="16" t="str">
        <f>R3</f>
        <v>0,72</v>
      </c>
      <c r="Q11" s="16">
        <f t="shared" si="1"/>
        <v>0</v>
      </c>
      <c r="R11" s="155" t="e">
        <f t="shared" si="2"/>
        <v>#DIV/0!</v>
      </c>
      <c r="S11" s="171" t="e">
        <f t="shared" si="3"/>
        <v>#DIV/0!</v>
      </c>
      <c r="T11" s="172" t="e">
        <f>R11*PRODUCT(S5:S10)*PRODUCT(S12:S19)</f>
        <v>#DIV/0!</v>
      </c>
      <c r="U11" s="17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1" t="s">
        <v>55</v>
      </c>
      <c r="X11" s="15" t="s">
        <v>56</v>
      </c>
      <c r="Y11" s="69">
        <f>IF(COUNTA(J16:J18)=0,0,COUNTIF(J14:J15,"RAP")*0.085)+IF(COUNTA(J17:J18)=0,0,COUNTIF(J16,"RAP")*0.085)+IF(COUNTA(J16:J17)=0,0,COUNTIF(J18,"RAP")*0.085)+IF(COUNTA(J16,J18)=0,0,COUNTIF(J17,"RAP")*0.085)</f>
        <v>0</v>
      </c>
      <c r="Z11" s="144" t="str">
        <f>AB3</f>
        <v>0,72</v>
      </c>
      <c r="AA11" s="19">
        <f t="shared" si="4"/>
        <v>0</v>
      </c>
      <c r="AB11" s="155" t="e">
        <f t="shared" si="5"/>
        <v>#DIV/0!</v>
      </c>
      <c r="AC11" s="171" t="e">
        <f t="shared" si="6"/>
        <v>#DIV/0!</v>
      </c>
      <c r="AD11" s="172" t="e">
        <f>AB11*PRODUCT(AC5:AC10)*PRODUCT(AC12:AC19)</f>
        <v>#DIV/0!</v>
      </c>
      <c r="AE11" s="17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57</v>
      </c>
      <c r="B12" s="163"/>
      <c r="C12" s="164"/>
      <c r="E12" s="187" t="s">
        <v>54</v>
      </c>
      <c r="F12" s="162"/>
      <c r="G12" s="162"/>
      <c r="H12" s="10"/>
      <c r="I12" s="10"/>
      <c r="J12" s="161"/>
      <c r="K12" s="161"/>
      <c r="L12" s="10"/>
      <c r="M12" s="10"/>
      <c r="O12" s="67"/>
      <c r="P12" s="142">
        <v>0.5</v>
      </c>
      <c r="Q12" s="16">
        <f t="shared" si="1"/>
        <v>0</v>
      </c>
      <c r="R12" s="155" t="e">
        <f t="shared" si="2"/>
        <v>#DIV/0!</v>
      </c>
      <c r="S12" s="171" t="e">
        <f t="shared" si="3"/>
        <v>#DIV/0!</v>
      </c>
      <c r="T12" s="172" t="e">
        <f>R12*PRODUCT(S5:S11)*PRODUCT(S13:S19)</f>
        <v>#DIV/0!</v>
      </c>
      <c r="U12" s="17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2" t="s">
        <v>58</v>
      </c>
      <c r="X12" s="15" t="s">
        <v>59</v>
      </c>
      <c r="Y12" s="69"/>
      <c r="Z12" s="144">
        <v>0.5</v>
      </c>
      <c r="AA12" s="19">
        <f t="shared" si="4"/>
        <v>0</v>
      </c>
      <c r="AB12" s="155" t="e">
        <f t="shared" si="5"/>
        <v>#DIV/0!</v>
      </c>
      <c r="AC12" s="171" t="e">
        <f t="shared" si="6"/>
        <v>#DIV/0!</v>
      </c>
      <c r="AD12" s="172" t="e">
        <f>AB12*PRODUCT(AC5:AC11)*PRODUCT(AC13:AC19)</f>
        <v>#DIV/0!</v>
      </c>
      <c r="AE12" s="17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60</v>
      </c>
      <c r="B13" s="163">
        <v>11.75</v>
      </c>
      <c r="C13" s="164">
        <v>12.5</v>
      </c>
      <c r="E13" s="187" t="s">
        <v>54</v>
      </c>
      <c r="F13" s="162"/>
      <c r="G13" s="162"/>
      <c r="H13" s="10"/>
      <c r="I13" s="10"/>
      <c r="J13" s="161"/>
      <c r="K13" s="161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5" t="e">
        <f t="shared" si="2"/>
        <v>#DIV/0!</v>
      </c>
      <c r="S13" s="171" t="e">
        <f t="shared" si="3"/>
        <v>#DIV/0!</v>
      </c>
      <c r="T13" s="172" t="e">
        <f>R13*PRODUCT(S5:S12)*PRODUCT(S14:S19)</f>
        <v>#DIV/0!</v>
      </c>
      <c r="U13" s="17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1" t="s">
        <v>61</v>
      </c>
      <c r="X13" s="15" t="s">
        <v>62</v>
      </c>
      <c r="Y13" s="69">
        <v>0.125</v>
      </c>
      <c r="Z13" s="19" t="str">
        <f>Z2</f>
        <v>0,4</v>
      </c>
      <c r="AA13" s="19">
        <f t="shared" si="4"/>
        <v>0.05</v>
      </c>
      <c r="AB13" s="155" t="e">
        <f t="shared" si="5"/>
        <v>#DIV/0!</v>
      </c>
      <c r="AC13" s="171" t="e">
        <f t="shared" si="6"/>
        <v>#DIV/0!</v>
      </c>
      <c r="AD13" s="172" t="e">
        <f>AB13*PRODUCT(AC5:AC12)*PRODUCT(AC14:AC19)</f>
        <v>#DIV/0!</v>
      </c>
      <c r="AE13" s="17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63</v>
      </c>
      <c r="B14" s="163">
        <v>9.25</v>
      </c>
      <c r="C14" s="164">
        <v>10.75</v>
      </c>
      <c r="E14" s="187" t="s">
        <v>64</v>
      </c>
      <c r="F14" s="162"/>
      <c r="G14" s="162"/>
      <c r="H14" s="10"/>
      <c r="I14" s="10"/>
      <c r="J14" s="161" t="s">
        <v>161</v>
      </c>
      <c r="K14" s="161"/>
      <c r="L14" s="10"/>
      <c r="M14" s="10"/>
      <c r="O14" s="67">
        <f>COUNTIF(F6:F18,"CAB")*0.095</f>
        <v>0</v>
      </c>
      <c r="P14" s="142">
        <v>0.95</v>
      </c>
      <c r="Q14" s="16">
        <f t="shared" si="1"/>
        <v>0</v>
      </c>
      <c r="R14" s="155" t="e">
        <f t="shared" si="2"/>
        <v>#DIV/0!</v>
      </c>
      <c r="S14" s="171" t="e">
        <f t="shared" si="3"/>
        <v>#DIV/0!</v>
      </c>
      <c r="T14" s="172" t="e">
        <f>R14*PRODUCT(S5:S13)*PRODUCT(S15:S19)</f>
        <v>#DIV/0!</v>
      </c>
      <c r="U14" s="17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1" t="s">
        <v>65</v>
      </c>
      <c r="X14" s="15" t="s">
        <v>66</v>
      </c>
      <c r="Y14" s="69">
        <f>COUNTIF(J6:J18,"CAB")*0.095</f>
        <v>0</v>
      </c>
      <c r="Z14" s="145">
        <v>0.95</v>
      </c>
      <c r="AA14" s="19">
        <f t="shared" si="4"/>
        <v>0</v>
      </c>
      <c r="AB14" s="155" t="e">
        <f t="shared" si="5"/>
        <v>#DIV/0!</v>
      </c>
      <c r="AC14" s="171" t="e">
        <f t="shared" si="6"/>
        <v>#DIV/0!</v>
      </c>
      <c r="AD14" s="172" t="e">
        <f>AB14*PRODUCT(AC5:AC13)*PRODUCT(AC15:AC19)</f>
        <v>#DIV/0!</v>
      </c>
      <c r="AE14" s="17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4" t="s">
        <v>67</v>
      </c>
      <c r="B15" s="165">
        <v>7.75</v>
      </c>
      <c r="C15" s="166">
        <v>8.25</v>
      </c>
      <c r="E15" s="187" t="s">
        <v>64</v>
      </c>
      <c r="F15" s="162"/>
      <c r="G15" s="162"/>
      <c r="H15" s="10"/>
      <c r="I15" s="10"/>
      <c r="J15" s="161"/>
      <c r="K15" s="161"/>
      <c r="L15" s="10"/>
      <c r="M15" s="10"/>
      <c r="O15" s="67"/>
      <c r="P15" s="142">
        <v>0.5</v>
      </c>
      <c r="Q15" s="16">
        <f t="shared" si="1"/>
        <v>0</v>
      </c>
      <c r="R15" s="155" t="e">
        <f t="shared" si="2"/>
        <v>#DIV/0!</v>
      </c>
      <c r="S15" s="171" t="e">
        <f t="shared" si="3"/>
        <v>#DIV/0!</v>
      </c>
      <c r="T15" s="172" t="e">
        <f>R15*PRODUCT(S5:S14)*PRODUCT(S16:S19)</f>
        <v>#DIV/0!</v>
      </c>
      <c r="U15" s="172" t="e">
        <f>R15*R16*PRODUCT(S5:S14)*PRODUCT(S17:S19)+R15*R17*PRODUCT(S5:S14)*S16*PRODUCT(S18:S19)+R15*R18*PRODUCT(S5:S14)*S16*S17*S19+R15*R19*PRODUCT(S5:S14)*S16*S17*S18</f>
        <v>#DIV/0!</v>
      </c>
      <c r="W15" s="181" t="s">
        <v>68</v>
      </c>
      <c r="X15" s="15" t="s">
        <v>69</v>
      </c>
      <c r="Y15" s="69"/>
      <c r="Z15" s="144">
        <v>0.5</v>
      </c>
      <c r="AA15" s="19">
        <f t="shared" si="4"/>
        <v>0</v>
      </c>
      <c r="AB15" s="155" t="e">
        <f t="shared" si="5"/>
        <v>#DIV/0!</v>
      </c>
      <c r="AC15" s="171" t="e">
        <f t="shared" si="6"/>
        <v>#DIV/0!</v>
      </c>
      <c r="AD15" s="172" t="e">
        <f>AB15*PRODUCT(AC5:AC14)*PRODUCT(AC16:AC19)</f>
        <v>#DIV/0!</v>
      </c>
      <c r="AE15" s="17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4" t="s">
        <v>70</v>
      </c>
      <c r="B16" s="52">
        <f>AVERAGE(G5:G18)</f>
        <v>12</v>
      </c>
      <c r="C16" s="54">
        <f>AVERAGE(K5:K18)</f>
        <v>12</v>
      </c>
      <c r="E16" s="187" t="s">
        <v>71</v>
      </c>
      <c r="F16" s="162"/>
      <c r="G16" s="162"/>
      <c r="H16" s="10"/>
      <c r="I16" s="10"/>
      <c r="J16" s="161"/>
      <c r="K16" s="161"/>
      <c r="L16" s="10"/>
      <c r="M16" s="10"/>
      <c r="O16" s="67">
        <f>COUNTA(L6:L13)*0.03</f>
        <v>0</v>
      </c>
      <c r="P16" s="142">
        <v>0.25</v>
      </c>
      <c r="Q16" s="16">
        <f t="shared" si="1"/>
        <v>0</v>
      </c>
      <c r="R16" s="155" t="e">
        <f t="shared" si="2"/>
        <v>#DIV/0!</v>
      </c>
      <c r="S16" s="171" t="e">
        <f t="shared" si="3"/>
        <v>#DIV/0!</v>
      </c>
      <c r="T16" s="172" t="e">
        <f>R16*PRODUCT(S5:S15)*PRODUCT(S17:S19)</f>
        <v>#DIV/0!</v>
      </c>
      <c r="U16" s="172" t="e">
        <f>R16*R17*PRODUCT(S5:S15)*PRODUCT(S18:S19)+R16*R18*PRODUCT(S5:S15)*S17*S19+R16*R19*PRODUCT(S5:S15)*S17*S18</f>
        <v>#DIV/0!</v>
      </c>
      <c r="W16" s="182" t="s">
        <v>72</v>
      </c>
      <c r="X16" s="15" t="s">
        <v>73</v>
      </c>
      <c r="Y16" s="69">
        <f>COUNTA(H6:H13)*0.03</f>
        <v>0</v>
      </c>
      <c r="Z16" s="144">
        <v>0.25</v>
      </c>
      <c r="AA16" s="19">
        <f t="shared" si="4"/>
        <v>0</v>
      </c>
      <c r="AB16" s="155" t="e">
        <f t="shared" si="5"/>
        <v>#DIV/0!</v>
      </c>
      <c r="AC16" s="171" t="e">
        <f t="shared" si="6"/>
        <v>#DIV/0!</v>
      </c>
      <c r="AD16" s="172" t="e">
        <f>AB16*PRODUCT(AC5:AC15)*PRODUCT(AC17:AC19)</f>
        <v>#DIV/0!</v>
      </c>
      <c r="AE16" s="17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3" t="s">
        <v>74</v>
      </c>
      <c r="B17" s="167" t="s">
        <v>75</v>
      </c>
      <c r="C17" s="168" t="s">
        <v>75</v>
      </c>
      <c r="E17" s="187" t="s">
        <v>71</v>
      </c>
      <c r="F17" s="162"/>
      <c r="G17" s="162"/>
      <c r="H17" s="10"/>
      <c r="I17" s="10"/>
      <c r="J17" s="161"/>
      <c r="K17" s="161"/>
      <c r="L17" s="10"/>
      <c r="M17" s="10"/>
      <c r="O17" s="67">
        <f>(0.02*2)*IF(COUNTBLANK(F14:F15)&lt;&gt;0,(2-COUNTBLANK(F14:F15))/2,1)</f>
        <v>0</v>
      </c>
      <c r="P17" s="16" t="str">
        <f>P3</f>
        <v>0,6</v>
      </c>
      <c r="Q17" s="16">
        <f t="shared" si="1"/>
        <v>0</v>
      </c>
      <c r="R17" s="155" t="e">
        <f t="shared" si="2"/>
        <v>#DIV/0!</v>
      </c>
      <c r="S17" s="171" t="e">
        <f t="shared" si="3"/>
        <v>#DIV/0!</v>
      </c>
      <c r="T17" s="172" t="e">
        <f>R17*PRODUCT(S5:S16)*PRODUCT(S18:S19)</f>
        <v>#DIV/0!</v>
      </c>
      <c r="U17" s="172" t="e">
        <f>R17*R18*PRODUCT(S5:S16)*S19+R17*R19*PRODUCT(S5:S16)*S18</f>
        <v>#DIV/0!</v>
      </c>
      <c r="W17" s="181" t="s">
        <v>76</v>
      </c>
      <c r="X17" s="15" t="s">
        <v>77</v>
      </c>
      <c r="Y17" s="69">
        <f>(0.02*2)*IF(COUNTBLANK(J14:J15)&lt;&gt;0,(2-COUNTBLANK(J14:J15))/2,1)</f>
        <v>0.02</v>
      </c>
      <c r="Z17" s="144" t="str">
        <f>Z3</f>
        <v>0,6</v>
      </c>
      <c r="AA17" s="19">
        <f t="shared" si="4"/>
        <v>1.2E-2</v>
      </c>
      <c r="AB17" s="155" t="e">
        <f t="shared" si="5"/>
        <v>#DIV/0!</v>
      </c>
      <c r="AC17" s="171" t="e">
        <f t="shared" si="6"/>
        <v>#DIV/0!</v>
      </c>
      <c r="AD17" s="172" t="e">
        <f>AB17*PRODUCT(AC5:AC16)*PRODUCT(AC18:AC19)</f>
        <v>#DIV/0!</v>
      </c>
      <c r="AE17" s="17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3" t="s">
        <v>78</v>
      </c>
      <c r="B18" s="167">
        <v>20</v>
      </c>
      <c r="C18" s="168">
        <v>20</v>
      </c>
      <c r="E18" s="187" t="s">
        <v>71</v>
      </c>
      <c r="F18" s="162"/>
      <c r="G18" s="162"/>
      <c r="H18" s="10"/>
      <c r="I18" s="10"/>
      <c r="J18" s="161"/>
      <c r="K18" s="161"/>
      <c r="L18" s="10"/>
      <c r="M18" s="10"/>
      <c r="O18" s="67">
        <v>0</v>
      </c>
      <c r="P18" s="142">
        <v>0.5</v>
      </c>
      <c r="Q18" s="16">
        <f t="shared" si="1"/>
        <v>0</v>
      </c>
      <c r="R18" s="155" t="e">
        <f t="shared" si="2"/>
        <v>#DIV/0!</v>
      </c>
      <c r="S18" s="171" t="e">
        <f t="shared" si="3"/>
        <v>#DIV/0!</v>
      </c>
      <c r="T18" s="172" t="e">
        <f>R18*PRODUCT(S5:S17)*PRODUCT(S19)</f>
        <v>#DIV/0!</v>
      </c>
      <c r="U18" s="172" t="e">
        <f>R18*R19*PRODUCT(S5:S17)</f>
        <v>#DIV/0!</v>
      </c>
      <c r="W18" s="181" t="s">
        <v>79</v>
      </c>
      <c r="X18" s="15" t="s">
        <v>80</v>
      </c>
      <c r="Y18" s="69">
        <v>0</v>
      </c>
      <c r="Z18" s="144">
        <v>0.5</v>
      </c>
      <c r="AA18" s="19">
        <f t="shared" si="4"/>
        <v>0</v>
      </c>
      <c r="AB18" s="155" t="e">
        <f t="shared" si="5"/>
        <v>#DIV/0!</v>
      </c>
      <c r="AC18" s="171" t="e">
        <f t="shared" si="6"/>
        <v>#DIV/0!</v>
      </c>
      <c r="AD18" s="172" t="e">
        <f>AB18*PRODUCT(AC5:AC17)*PRODUCT(AC19)</f>
        <v>#DIV/0!</v>
      </c>
      <c r="AE18" s="17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156</v>
      </c>
      <c r="L19" s="13" t="s">
        <v>156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5" t="e">
        <f t="shared" si="2"/>
        <v>#DIV/0!</v>
      </c>
      <c r="S19" s="173" t="e">
        <f t="shared" si="3"/>
        <v>#DIV/0!</v>
      </c>
      <c r="T19" s="174" t="e">
        <f>R19*PRODUCT(S5:S18)</f>
        <v>#DIV/0!</v>
      </c>
      <c r="U19" s="174">
        <v>0</v>
      </c>
      <c r="V19" s="1" t="s">
        <v>82</v>
      </c>
      <c r="W19" s="181" t="s">
        <v>83</v>
      </c>
      <c r="X19" s="15" t="s">
        <v>84</v>
      </c>
      <c r="Y19" s="69">
        <f>COUNTIF(J14:J18,"TEC")*0.06*IF(COUNTIF(F6:F13,"CAB")&lt;&gt;0,1,0)</f>
        <v>0</v>
      </c>
      <c r="Z19" s="144" t="str">
        <f>Z3</f>
        <v>0,6</v>
      </c>
      <c r="AA19" s="19">
        <f t="shared" si="4"/>
        <v>0</v>
      </c>
      <c r="AB19" s="155" t="e">
        <f t="shared" si="5"/>
        <v>#DIV/0!</v>
      </c>
      <c r="AC19" s="173" t="e">
        <f t="shared" si="6"/>
        <v>#DIV/0!</v>
      </c>
      <c r="AD19" s="174" t="e">
        <f>AB19*PRODUCT(AC5:AC18)</f>
        <v>#DIV/0!</v>
      </c>
      <c r="AE19" s="174">
        <v>0</v>
      </c>
      <c r="AF19" s="1" t="s">
        <v>82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85" t="s">
        <v>85</v>
      </c>
      <c r="B20">
        <f>IF(B17="Pres",IF(C17="Pres",2,1),IF(C17="Pres",1,0))</f>
        <v>0</v>
      </c>
      <c r="D20" s="36"/>
      <c r="O20" s="22"/>
      <c r="P20" s="22"/>
      <c r="Q20" s="22"/>
      <c r="S20" s="175" t="e">
        <f>PRODUCT(S5:S19)</f>
        <v>#DIV/0!</v>
      </c>
      <c r="T20" s="176" t="e">
        <f>SUM(T5:T19)</f>
        <v>#DIV/0!</v>
      </c>
      <c r="U20" s="176" t="e">
        <f>SUM(U5:U19)</f>
        <v>#DIV/0!</v>
      </c>
      <c r="V20" s="176" t="e">
        <f>1-S20-T20-U20</f>
        <v>#DIV/0!</v>
      </c>
      <c r="W20" s="21"/>
      <c r="X20" s="22"/>
      <c r="Y20" s="22"/>
      <c r="Z20" s="22"/>
      <c r="AA20" s="22"/>
      <c r="AB20" s="23"/>
      <c r="AC20" s="179" t="e">
        <f>PRODUCT(AC5:AC19)</f>
        <v>#DIV/0!</v>
      </c>
      <c r="AD20" s="176" t="e">
        <f>SUM(AD5:AD19)</f>
        <v>#DIV/0!</v>
      </c>
      <c r="AE20" s="176" t="e">
        <f>SUM(AE5:AE19)</f>
        <v>#DIV/0!</v>
      </c>
      <c r="AF20" s="17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85" t="s">
        <v>86</v>
      </c>
      <c r="B21" s="186">
        <f>5-B20</f>
        <v>5</v>
      </c>
      <c r="C21" s="35"/>
      <c r="D21" s="24"/>
      <c r="E21" s="24"/>
      <c r="O21" s="22"/>
      <c r="P21" s="22"/>
      <c r="Q21" s="22"/>
      <c r="S21" s="177" t="e">
        <f>1-T21-U21-V21</f>
        <v>#DIV/0!</v>
      </c>
      <c r="T21" s="178" t="e">
        <f>T20*V1</f>
        <v>#DIV/0!</v>
      </c>
      <c r="U21" s="178" t="e">
        <f>U20*V1</f>
        <v>#DIV/0!</v>
      </c>
      <c r="V21" s="178" t="e">
        <f>V20*V1</f>
        <v>#DIV/0!</v>
      </c>
      <c r="W21" s="21"/>
      <c r="X21" s="22"/>
      <c r="Y21" s="22"/>
      <c r="Z21" s="22"/>
      <c r="AA21" s="22"/>
      <c r="AB21" s="23"/>
      <c r="AC21" s="180" t="e">
        <f>1-AD21-AE21-AF21</f>
        <v>#DIV/0!</v>
      </c>
      <c r="AD21" s="178" t="e">
        <f>AD20*V1</f>
        <v>#DIV/0!</v>
      </c>
      <c r="AE21" s="178" t="e">
        <f>AE20*V1</f>
        <v>#DIV/0!</v>
      </c>
      <c r="AF21" s="178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87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x14ac:dyDescent="0.25">
      <c r="A23" s="40" t="s">
        <v>88</v>
      </c>
      <c r="B23" s="56" t="e">
        <f>((B22^2.8)/((B22^2.8)+(C22^2.8)))*B21</f>
        <v>#DIV/0!</v>
      </c>
      <c r="C23" s="57" t="e">
        <f>B21-B23</f>
        <v>#DIV/0!</v>
      </c>
      <c r="D23" s="149">
        <f>SUM(D25:D30)</f>
        <v>1</v>
      </c>
      <c r="E23" s="149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x14ac:dyDescent="0.25">
      <c r="A24" s="26" t="s">
        <v>89</v>
      </c>
      <c r="B24" s="64" t="e">
        <f>B23/B21</f>
        <v>#DIV/0!</v>
      </c>
      <c r="C24" s="65" t="e">
        <f>C23/B21</f>
        <v>#DIV/0!</v>
      </c>
      <c r="D24" s="13" t="s">
        <v>90</v>
      </c>
      <c r="E24" s="13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114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124">
        <v>0</v>
      </c>
      <c r="H25" s="125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 t="shared" ref="P25:P30" si="12">N25</f>
        <v>#DIV/0!</v>
      </c>
      <c r="Q25" s="12">
        <v>0</v>
      </c>
      <c r="R25" s="73" t="e">
        <f>P25*N25</f>
        <v>#DIV/0!</v>
      </c>
      <c r="S25" s="70">
        <v>0</v>
      </c>
      <c r="T25" s="133" t="e">
        <f>(1-$B$33)^(INT(C23*2*(1-C31)))</f>
        <v>#DIV/0!</v>
      </c>
      <c r="U25" s="138">
        <v>0</v>
      </c>
      <c r="V25" s="86" t="e">
        <f>R25*T25</f>
        <v>#DIV/0!</v>
      </c>
      <c r="W25" s="134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115</v>
      </c>
      <c r="B26" s="119" t="e">
        <f>1/(1+EXP(-3.1416*4*((B10/(B10+C9))-(3.1416/6))))</f>
        <v>#DIV/0!</v>
      </c>
      <c r="C26" s="118" t="e">
        <f>1/(1+EXP(-3.1416*4*((C10/(C10+B9))-(3.1416/6))))</f>
        <v>#DIV/0!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1</v>
      </c>
      <c r="H26" s="126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si="12"/>
        <v>#DIV/0!</v>
      </c>
      <c r="Q26" s="28">
        <v>1</v>
      </c>
      <c r="R26" s="37" t="e">
        <f>N26*P25+P26*N25</f>
        <v>#DIV/0!</v>
      </c>
      <c r="S26" s="72">
        <v>1</v>
      </c>
      <c r="T26" s="133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5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116</v>
      </c>
      <c r="B27" s="119" t="e">
        <f>1/(1+EXP(-3.1416*4*((B12/(B12+C7))-(3.1416/6))))</f>
        <v>#DIV/0!</v>
      </c>
      <c r="C27" s="118" t="e">
        <f>1/(1+EXP(-3.1416*4*((C12/(C12+B7))-(3.1416/6))))</f>
        <v>#DIV/0!</v>
      </c>
      <c r="D27" s="151">
        <f>D26</f>
        <v>0.25700000000000001</v>
      </c>
      <c r="E27" s="151">
        <f>E26</f>
        <v>0.25700000000000001</v>
      </c>
      <c r="G27" s="87">
        <v>2</v>
      </c>
      <c r="H27" s="126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3" t="e">
        <f t="shared" si="13"/>
        <v>#DIV/0!</v>
      </c>
      <c r="U27" s="93">
        <v>2</v>
      </c>
      <c r="V27" s="86" t="e">
        <f>R27*T25+T26*R26+R25*T27</f>
        <v>#DIV/0!</v>
      </c>
      <c r="W27" s="135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117</v>
      </c>
      <c r="B28" s="169">
        <v>0.9</v>
      </c>
      <c r="C28" s="170">
        <v>0.9</v>
      </c>
      <c r="D28" s="151">
        <v>8.5000000000000006E-2</v>
      </c>
      <c r="E28" s="151">
        <v>8.5000000000000006E-2</v>
      </c>
      <c r="G28" s="87">
        <v>3</v>
      </c>
      <c r="H28" s="126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3" t="e">
        <f t="shared" si="13"/>
        <v>#DIV/0!</v>
      </c>
      <c r="U28" s="93">
        <v>3</v>
      </c>
      <c r="V28" s="86" t="e">
        <f>R28*T25+R27*T26+R26*T27+R25*T28</f>
        <v>#DIV/0!</v>
      </c>
      <c r="W28" s="135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4"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118</v>
      </c>
      <c r="B29" s="119">
        <f>1/(1+EXP(-3.1416*4*((B14/(B14+C13))-(3.1416/6))))</f>
        <v>0.22523141403777475</v>
      </c>
      <c r="C29" s="118">
        <f>1/(1+EXP(-3.1416*4*((C14/(C14+B13))-(3.1416/6))))</f>
        <v>0.35989489168508015</v>
      </c>
      <c r="D29" s="151">
        <v>0.04</v>
      </c>
      <c r="E29" s="151">
        <v>0.04</v>
      </c>
      <c r="G29" s="87">
        <v>4</v>
      </c>
      <c r="H29" s="126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3" t="e">
        <f t="shared" si="13"/>
        <v>#DIV/0!</v>
      </c>
      <c r="U29" s="93">
        <v>4</v>
      </c>
      <c r="V29" s="86" t="e">
        <f>T29*R25+T28*R26+T27*R27+T26*R28+T25*R29</f>
        <v>#DIV/0!</v>
      </c>
      <c r="W29" s="135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4"/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119</v>
      </c>
      <c r="B30" s="169">
        <v>0.15</v>
      </c>
      <c r="C30" s="170">
        <v>0.15</v>
      </c>
      <c r="D30" s="151">
        <f>IF(B17="TL",0.875*B32,0.001)</f>
        <v>1E-3</v>
      </c>
      <c r="E30" s="151">
        <f>IF(C17="TL",0.875*C32,0.001)</f>
        <v>1E-3</v>
      </c>
      <c r="G30" s="87">
        <v>5</v>
      </c>
      <c r="H30" s="126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3" t="e">
        <f t="shared" si="13"/>
        <v>#DIV/0!</v>
      </c>
      <c r="U30" s="93">
        <v>5</v>
      </c>
      <c r="V30" s="86" t="e">
        <f>T30*R25+T29*R26+T28*R27+T27*R28+T26*R29+T25*R30</f>
        <v>#DIV/0!</v>
      </c>
      <c r="W30" s="135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4" t="s">
        <v>120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6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3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5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121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6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3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5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122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6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3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5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123</v>
      </c>
      <c r="B34" s="56" t="e">
        <f>B23*2</f>
        <v>#DIV/0!</v>
      </c>
      <c r="C34" s="57" t="e">
        <f>C23*2</f>
        <v>#DIV/0!</v>
      </c>
      <c r="G34" s="87">
        <v>9</v>
      </c>
      <c r="H34" s="126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3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5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88">
        <v>10</v>
      </c>
      <c r="H35" s="127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3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5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x14ac:dyDescent="0.25">
      <c r="A37" s="109" t="s">
        <v>124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125</v>
      </c>
      <c r="B38" s="107" t="e">
        <f>SUM(BJ4:BJ59)</f>
        <v>#DIV/0!</v>
      </c>
      <c r="G38" s="103" t="str">
        <f t="shared" ref="G38:AS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39" t="str">
        <f t="shared" si="19"/>
        <v>p</v>
      </c>
      <c r="U38" s="140" t="str">
        <f t="shared" si="19"/>
        <v>Total</v>
      </c>
      <c r="V38" s="141" t="str">
        <f t="shared" si="19"/>
        <v>P</v>
      </c>
      <c r="W38" s="90" t="str">
        <f t="shared" si="19"/>
        <v>E(x)</v>
      </c>
      <c r="X38" s="30" t="str">
        <f t="shared" si="19"/>
        <v>G0</v>
      </c>
      <c r="Y38" s="30" t="str">
        <f t="shared" si="19"/>
        <v>p</v>
      </c>
      <c r="Z38" s="30" t="str">
        <f t="shared" si="19"/>
        <v>G1</v>
      </c>
      <c r="AA38" s="30" t="str">
        <f t="shared" si="19"/>
        <v>p</v>
      </c>
      <c r="AB38" s="30" t="str">
        <f t="shared" si="19"/>
        <v>G2</v>
      </c>
      <c r="AC38" s="30" t="str">
        <f t="shared" si="19"/>
        <v>p</v>
      </c>
      <c r="AD38" s="30" t="str">
        <f t="shared" si="19"/>
        <v>G3</v>
      </c>
      <c r="AE38" s="30" t="str">
        <f t="shared" si="19"/>
        <v>p</v>
      </c>
      <c r="AF38" s="30" t="str">
        <f t="shared" si="19"/>
        <v>G4</v>
      </c>
      <c r="AG38" s="30" t="str">
        <f t="shared" si="19"/>
        <v>p</v>
      </c>
      <c r="AH38" s="30" t="str">
        <f t="shared" si="19"/>
        <v>G5</v>
      </c>
      <c r="AI38" s="30" t="str">
        <f t="shared" si="19"/>
        <v>p</v>
      </c>
      <c r="AJ38" s="30" t="str">
        <f t="shared" si="19"/>
        <v>G6</v>
      </c>
      <c r="AK38" s="30" t="str">
        <f t="shared" si="19"/>
        <v>p</v>
      </c>
      <c r="AL38" s="30" t="str">
        <f t="shared" si="19"/>
        <v>G7</v>
      </c>
      <c r="AM38" s="30" t="str">
        <f t="shared" si="19"/>
        <v>p</v>
      </c>
      <c r="AN38" s="30" t="str">
        <f t="shared" si="19"/>
        <v>G8</v>
      </c>
      <c r="AO38" s="30" t="str">
        <f t="shared" si="19"/>
        <v>p</v>
      </c>
      <c r="AP38" s="30" t="str">
        <f t="shared" si="19"/>
        <v>G9</v>
      </c>
      <c r="AQ38" s="30" t="str">
        <f t="shared" si="19"/>
        <v>p</v>
      </c>
      <c r="AR38" s="30" t="str">
        <f t="shared" si="19"/>
        <v>G10</v>
      </c>
      <c r="AS38" s="30" t="str">
        <f t="shared" si="19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0">BH32+1</f>
        <v>4</v>
      </c>
      <c r="BI38">
        <v>5</v>
      </c>
      <c r="BJ38" s="107" t="e">
        <f t="shared" ref="BJ38:BJ43" si="21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126</v>
      </c>
      <c r="B39" s="107" t="e">
        <f>SUM(BR4:BR47)</f>
        <v>#DIV/0!</v>
      </c>
      <c r="G39" s="128">
        <v>0</v>
      </c>
      <c r="H39" s="129" t="e">
        <f>L39*J39</f>
        <v>#DIV/0!</v>
      </c>
      <c r="I39" s="97">
        <v>0</v>
      </c>
      <c r="J39" s="98" t="e">
        <f t="shared" ref="J39:J49" si="22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 t="shared" ref="P39:P44" si="23">N39</f>
        <v>#DIV/0!</v>
      </c>
      <c r="Q39" s="12">
        <v>0</v>
      </c>
      <c r="R39" s="73" t="e">
        <f>P39*N39</f>
        <v>#DIV/0!</v>
      </c>
      <c r="S39" s="70">
        <v>0</v>
      </c>
      <c r="T39" s="133" t="e">
        <f>(1-$C$33)^(INT(B23*2*(1-B31)))</f>
        <v>#DIV/0!</v>
      </c>
      <c r="U39" s="138">
        <v>0</v>
      </c>
      <c r="V39" s="86" t="e">
        <f>R39*T39</f>
        <v>#DIV/0!</v>
      </c>
      <c r="W39" s="134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0"/>
        <v>4</v>
      </c>
      <c r="BI39">
        <v>6</v>
      </c>
      <c r="BJ39" s="107" t="e">
        <f t="shared" si="21"/>
        <v>#DIV/0!</v>
      </c>
      <c r="BP39">
        <f t="shared" ref="BP39:BP46" si="24">BP31+1</f>
        <v>9</v>
      </c>
      <c r="BQ39">
        <v>0</v>
      </c>
      <c r="BR39" s="107" t="e">
        <f t="shared" ref="BR39:BR47" si="25">$H$34*H39</f>
        <v>#DIV/0!</v>
      </c>
    </row>
    <row r="40" spans="1:70" x14ac:dyDescent="0.25">
      <c r="G40" s="91">
        <v>1</v>
      </c>
      <c r="H40" s="130" t="e">
        <f>L39*J40+L40*J39</f>
        <v>#DIV/0!</v>
      </c>
      <c r="I40" s="93">
        <v>1</v>
      </c>
      <c r="J40" s="86" t="e">
        <f t="shared" si="22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si="23"/>
        <v>#DIV/0!</v>
      </c>
      <c r="Q40" s="28">
        <v>1</v>
      </c>
      <c r="R40" s="37" t="e">
        <f>P40*N39+P39*N40</f>
        <v>#DIV/0!</v>
      </c>
      <c r="S40" s="72">
        <v>1</v>
      </c>
      <c r="T40" s="133" t="e">
        <f t="shared" ref="T40:T49" si="26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5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0"/>
        <v>4</v>
      </c>
      <c r="BI40">
        <v>7</v>
      </c>
      <c r="BJ40" s="107" t="e">
        <f t="shared" si="21"/>
        <v>#DIV/0!</v>
      </c>
      <c r="BP40">
        <f t="shared" si="24"/>
        <v>9</v>
      </c>
      <c r="BQ40">
        <v>1</v>
      </c>
      <c r="BR40" s="107" t="e">
        <f t="shared" si="25"/>
        <v>#DIV/0!</v>
      </c>
    </row>
    <row r="41" spans="1:70" x14ac:dyDescent="0.25">
      <c r="G41" s="91">
        <v>2</v>
      </c>
      <c r="H41" s="130" t="e">
        <f>L39*J41+J40*L40+J39*L41</f>
        <v>#DIV/0!</v>
      </c>
      <c r="I41" s="93">
        <v>2</v>
      </c>
      <c r="J41" s="86" t="e">
        <f t="shared" si="22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23"/>
        <v>#DIV/0!</v>
      </c>
      <c r="Q41" s="28">
        <v>2</v>
      </c>
      <c r="R41" s="37" t="e">
        <f>P41*N39+P40*N40+P39*N41</f>
        <v>#DIV/0!</v>
      </c>
      <c r="S41" s="72">
        <v>2</v>
      </c>
      <c r="T41" s="133" t="e">
        <f t="shared" si="26"/>
        <v>#DIV/0!</v>
      </c>
      <c r="U41" s="93">
        <v>2</v>
      </c>
      <c r="V41" s="86" t="e">
        <f>R41*T39+T40*R40+R39*T41</f>
        <v>#DIV/0!</v>
      </c>
      <c r="W41" s="135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0"/>
        <v>4</v>
      </c>
      <c r="BI41">
        <v>8</v>
      </c>
      <c r="BJ41" s="107" t="e">
        <f t="shared" si="21"/>
        <v>#DIV/0!</v>
      </c>
      <c r="BP41">
        <f t="shared" si="24"/>
        <v>9</v>
      </c>
      <c r="BQ41">
        <v>2</v>
      </c>
      <c r="BR41" s="107" t="e">
        <f t="shared" si="25"/>
        <v>#DIV/0!</v>
      </c>
    </row>
    <row r="42" spans="1:70" ht="15" customHeight="1" x14ac:dyDescent="0.25">
      <c r="G42" s="91">
        <v>3</v>
      </c>
      <c r="H42" s="130" t="e">
        <f>J42*L39+J41*L40+L42*J39+L41*J40</f>
        <v>#DIV/0!</v>
      </c>
      <c r="I42" s="93">
        <v>3</v>
      </c>
      <c r="J42" s="86" t="e">
        <f t="shared" si="22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23"/>
        <v>#DIV/0!</v>
      </c>
      <c r="Q42" s="28">
        <v>3</v>
      </c>
      <c r="R42" s="37" t="e">
        <f>P42*N39+P41*N40+P40*N41+P39*N42</f>
        <v>#DIV/0!</v>
      </c>
      <c r="S42" s="72">
        <v>3</v>
      </c>
      <c r="T42" s="133" t="e">
        <f t="shared" si="26"/>
        <v>#DIV/0!</v>
      </c>
      <c r="U42" s="93">
        <v>3</v>
      </c>
      <c r="V42" s="86" t="e">
        <f>R42*T39+R41*T40+R40*T41+R39*T42</f>
        <v>#DIV/0!</v>
      </c>
      <c r="W42" s="135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27">BE41+BE42</f>
        <v>210</v>
      </c>
      <c r="BH42">
        <f t="shared" si="20"/>
        <v>4</v>
      </c>
      <c r="BI42">
        <v>9</v>
      </c>
      <c r="BJ42" s="107" t="e">
        <f t="shared" si="21"/>
        <v>#DIV/0!</v>
      </c>
      <c r="BP42">
        <f t="shared" si="24"/>
        <v>9</v>
      </c>
      <c r="BQ42">
        <v>3</v>
      </c>
      <c r="BR42" s="107" t="e">
        <f t="shared" si="25"/>
        <v>#DIV/0!</v>
      </c>
    </row>
    <row r="43" spans="1:70" ht="15" customHeight="1" x14ac:dyDescent="0.25">
      <c r="G43" s="91">
        <v>4</v>
      </c>
      <c r="H43" s="130" t="e">
        <f>J43*L39+J42*L40+J41*L41+J40*L42</f>
        <v>#DIV/0!</v>
      </c>
      <c r="I43" s="93">
        <v>4</v>
      </c>
      <c r="J43" s="86" t="e">
        <f t="shared" si="22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23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3" t="e">
        <f t="shared" si="26"/>
        <v>#DIV/0!</v>
      </c>
      <c r="U43" s="93">
        <v>4</v>
      </c>
      <c r="V43" s="86" t="e">
        <f>T43*R39+T42*R40+T41*R41+T40*R42+T39*R43</f>
        <v>#DIV/0!</v>
      </c>
      <c r="W43" s="135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27"/>
        <v>252</v>
      </c>
      <c r="BH43">
        <f t="shared" si="20"/>
        <v>4</v>
      </c>
      <c r="BI43">
        <v>10</v>
      </c>
      <c r="BJ43" s="107" t="e">
        <f t="shared" si="21"/>
        <v>#DIV/0!</v>
      </c>
      <c r="BP43">
        <f t="shared" si="24"/>
        <v>9</v>
      </c>
      <c r="BQ43">
        <v>4</v>
      </c>
      <c r="BR43" s="107" t="e">
        <f t="shared" si="25"/>
        <v>#DIV/0!</v>
      </c>
    </row>
    <row r="44" spans="1:70" ht="15" customHeight="1" x14ac:dyDescent="0.25">
      <c r="G44" s="91">
        <v>5</v>
      </c>
      <c r="H44" s="130" t="e">
        <f>J44*L39+J43*L40+J42*L41+J41*L42</f>
        <v>#DIV/0!</v>
      </c>
      <c r="I44" s="93">
        <v>5</v>
      </c>
      <c r="J44" s="86" t="e">
        <f t="shared" si="22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23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3" t="e">
        <f t="shared" si="26"/>
        <v>#DIV/0!</v>
      </c>
      <c r="U44" s="93">
        <v>5</v>
      </c>
      <c r="V44" s="86" t="e">
        <f>T44*R39+T43*R40+T42*R41+T41*R42+T40*R43+T39*R44</f>
        <v>#DIV/0!</v>
      </c>
      <c r="W44" s="135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27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24"/>
        <v>9</v>
      </c>
      <c r="BQ44">
        <v>5</v>
      </c>
      <c r="BR44" s="107" t="e">
        <f t="shared" si="25"/>
        <v>#DIV/0!</v>
      </c>
    </row>
    <row r="45" spans="1:70" ht="15" customHeight="1" x14ac:dyDescent="0.25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 t="e">
        <f>J45*L39+J44*L40+J43*L41+J42*L42</f>
        <v>#DIV/0!</v>
      </c>
      <c r="I45" s="93">
        <v>6</v>
      </c>
      <c r="J45" s="86" t="e">
        <f t="shared" si="22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3" t="e">
        <f t="shared" si="26"/>
        <v>#DIV/0!</v>
      </c>
      <c r="U45" s="93">
        <v>6</v>
      </c>
      <c r="V45" s="86" t="e">
        <f>T45*R39+T44*R40+T43*R41+T42*R42+T41*R43+T40*R44+T39*R45</f>
        <v>#DIV/0!</v>
      </c>
      <c r="W45" s="135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27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24"/>
        <v>9</v>
      </c>
      <c r="BQ45">
        <v>6</v>
      </c>
      <c r="BR45" s="107" t="e">
        <f t="shared" si="25"/>
        <v>#DIV/0!</v>
      </c>
    </row>
    <row r="46" spans="1:70" ht="15" customHeight="1" x14ac:dyDescent="0.25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 t="e">
        <f>J46*L39+J45*L40+J44*L41+J43*L42</f>
        <v>#DIV/0!</v>
      </c>
      <c r="I46" s="93">
        <v>7</v>
      </c>
      <c r="J46" s="86" t="e">
        <f t="shared" si="22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3" t="e">
        <f t="shared" si="26"/>
        <v>#DIV/0!</v>
      </c>
      <c r="U46" s="93">
        <v>7</v>
      </c>
      <c r="V46" s="86" t="e">
        <f>T46*R39+T45*R40+T44*R41+T43*R42+T42*R43+T41*R44+T40*R45+T39*R46</f>
        <v>#DIV/0!</v>
      </c>
      <c r="W46" s="135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27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24"/>
        <v>9</v>
      </c>
      <c r="BQ46">
        <v>7</v>
      </c>
      <c r="BR46" s="107" t="e">
        <f t="shared" si="25"/>
        <v>#DIV/0!</v>
      </c>
    </row>
    <row r="47" spans="1:70" ht="15" customHeight="1" x14ac:dyDescent="0.25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 t="e">
        <f>J47*L39+J46*L40+J45*L41+J44*L42</f>
        <v>#DIV/0!</v>
      </c>
      <c r="I47" s="93">
        <v>8</v>
      </c>
      <c r="J47" s="86" t="e">
        <f t="shared" si="22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3" t="e">
        <f t="shared" si="26"/>
        <v>#DIV/0!</v>
      </c>
      <c r="U47" s="93">
        <v>8</v>
      </c>
      <c r="V47" s="86" t="e">
        <f>T47*R39+T46*R40+T45*R41+T44*R42+T43*R43+T42*R44+T41*R45+T40*R46+T39*R47</f>
        <v>#DIV/0!</v>
      </c>
      <c r="W47" s="135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27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25"/>
        <v>#DIV/0!</v>
      </c>
    </row>
    <row r="48" spans="1:70" ht="15" customHeight="1" x14ac:dyDescent="0.25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 t="e">
        <f>J48*L39+J47*L40+J46*L41+J45*L42</f>
        <v>#DIV/0!</v>
      </c>
      <c r="I48" s="93">
        <v>9</v>
      </c>
      <c r="J48" s="86" t="e">
        <f t="shared" si="22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3" t="e">
        <f t="shared" si="26"/>
        <v>#DIV/0!</v>
      </c>
      <c r="U48" s="93">
        <v>9</v>
      </c>
      <c r="V48" s="86" t="e">
        <f>T48*R39+T47*R40+T46*R41+T45*R42+T44*R43+T43*R44+T42*R45+T41*R46+T40*R47+T39*R48</f>
        <v>#DIV/0!</v>
      </c>
      <c r="W48" s="135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27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x14ac:dyDescent="0.25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 t="e">
        <f>J49*L39+J48*L40+J47*L41+J46*L42</f>
        <v>#DIV/0!</v>
      </c>
      <c r="I49" s="94">
        <v>10</v>
      </c>
      <c r="J49" s="89" t="e">
        <f t="shared" si="22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3" t="e">
        <f t="shared" si="26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5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x14ac:dyDescent="0.25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x14ac:dyDescent="0.25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H49">
    <cfRule type="cellIs" dxfId="41" priority="1" operator="greaterThan">
      <formula>0.15</formula>
    </cfRule>
  </conditionalFormatting>
  <conditionalFormatting sqref="H39:H49">
    <cfRule type="cellIs" dxfId="40" priority="2" operator="greaterThan">
      <formula>0.15</formula>
    </cfRule>
  </conditionalFormatting>
  <conditionalFormatting sqref="H49">
    <cfRule type="cellIs" dxfId="39" priority="3" operator="greaterThan">
      <formula>0.15</formula>
    </cfRule>
  </conditionalFormatting>
  <conditionalFormatting sqref="H39:H49">
    <cfRule type="cellIs" dxfId="38" priority="4" operator="greaterThan">
      <formula>0.15</formula>
    </cfRule>
  </conditionalFormatting>
  <conditionalFormatting sqref="H35">
    <cfRule type="cellIs" dxfId="37" priority="5" operator="greaterThan">
      <formula>0.15</formula>
    </cfRule>
  </conditionalFormatting>
  <conditionalFormatting sqref="H25:H35">
    <cfRule type="cellIs" dxfId="36" priority="6" operator="greaterThan">
      <formula>0.15</formula>
    </cfRule>
  </conditionalFormatting>
  <conditionalFormatting sqref="H35">
    <cfRule type="cellIs" dxfId="35" priority="7" operator="greaterThan">
      <formula>0.15</formula>
    </cfRule>
  </conditionalFormatting>
  <conditionalFormatting sqref="H25:H35">
    <cfRule type="cellIs" dxfId="34" priority="8" operator="greaterThan">
      <formula>0.15</formula>
    </cfRule>
  </conditionalFormatting>
  <conditionalFormatting sqref="V49">
    <cfRule type="cellIs" dxfId="33" priority="9" operator="greaterThan">
      <formula>0.15</formula>
    </cfRule>
  </conditionalFormatting>
  <conditionalFormatting sqref="V35">
    <cfRule type="cellIs" dxfId="32" priority="10" operator="greaterThan">
      <formula>0.15</formula>
    </cfRule>
  </conditionalFormatting>
  <conditionalFormatting sqref="V25:V35 V39:V49">
    <cfRule type="cellIs" dxfId="31" priority="11" operator="greaterThan">
      <formula>0.15</formula>
    </cfRule>
  </conditionalFormatting>
  <conditionalFormatting sqref="V49">
    <cfRule type="cellIs" dxfId="30" priority="12" operator="greaterThan">
      <formula>0.15</formula>
    </cfRule>
  </conditionalFormatting>
  <conditionalFormatting sqref="V35">
    <cfRule type="cellIs" dxfId="29" priority="13" operator="greaterThan">
      <formula>0.15</formula>
    </cfRule>
  </conditionalFormatting>
  <conditionalFormatting sqref="V25:V35 V39:V49">
    <cfRule type="cellIs" dxfId="28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BR59"/>
  <sheetViews>
    <sheetView topLeftCell="A4" zoomScale="80" workbookViewId="0">
      <selection activeCell="C5" sqref="C5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7.140625" customWidth="1"/>
    <col min="17" max="17" width="8.85546875" customWidth="1"/>
    <col min="19" max="19" width="7.7109375" customWidth="1"/>
    <col min="21" max="21" width="7.140625" customWidth="1"/>
    <col min="23" max="23" width="17.42578125" customWidth="1"/>
    <col min="24" max="24" width="7.1406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7.14062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5" max="35" width="8.4257812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143</v>
      </c>
      <c r="F1" s="10" t="s">
        <v>1</v>
      </c>
      <c r="G1" s="70">
        <f>IF(D3="SI",COUNTIF($F$6:$F$18,"RAP"),0)</f>
        <v>0</v>
      </c>
      <c r="H1" s="70">
        <f>G1+G2+G3</f>
        <v>0</v>
      </c>
      <c r="J1" s="11" t="s">
        <v>1</v>
      </c>
      <c r="K1" s="70">
        <f>IF(D3="SI",COUNTIF($J$6:$J$18,"RAP"),0)</f>
        <v>0</v>
      </c>
      <c r="L1" s="70">
        <f>K1+K2+K3</f>
        <v>0</v>
      </c>
      <c r="M1" s="148">
        <f>L1+H1</f>
        <v>0</v>
      </c>
      <c r="P1" s="204" t="s">
        <v>157</v>
      </c>
      <c r="Q1" s="204"/>
      <c r="R1" s="150">
        <v>-0.12364059050405626</v>
      </c>
      <c r="S1" s="151">
        <f>1+R1</f>
        <v>0.87635940949594371</v>
      </c>
      <c r="AF1">
        <f>COUNTA(J16:J18)</f>
        <v>0</v>
      </c>
    </row>
    <row r="2" spans="1:70" x14ac:dyDescent="0.25">
      <c r="A2" s="153" t="s">
        <v>146</v>
      </c>
      <c r="F2" s="10" t="s">
        <v>2</v>
      </c>
      <c r="G2" s="70">
        <f>IF(D3="SI",COUNTIF($F$6:$F$18,"TEC"),0)</f>
        <v>0</v>
      </c>
      <c r="H2" s="13"/>
      <c r="J2" s="11" t="s">
        <v>2</v>
      </c>
      <c r="K2" s="70">
        <f>IF(D3="SI",COUNTIF($J$6:$J$18,"TEC"),0)</f>
        <v>0</v>
      </c>
      <c r="L2" s="13" t="s">
        <v>155</v>
      </c>
      <c r="M2" s="147" t="str">
        <f>IF(M1&lt;&gt;0,"SI","NO")</f>
        <v>NO</v>
      </c>
      <c r="R2" s="150">
        <v>7.3959748117051499E-2</v>
      </c>
      <c r="S2" s="151">
        <f>1+R2</f>
        <v>1.0739597481170515</v>
      </c>
    </row>
    <row r="3" spans="1:70" x14ac:dyDescent="0.25">
      <c r="A3" s="146" t="s">
        <v>4</v>
      </c>
      <c r="B3" s="207" t="s">
        <v>162</v>
      </c>
      <c r="C3" s="207"/>
      <c r="D3" t="str">
        <f>IF(B3="Sol","SI",IF(B3="Lluvia","SI","NO"))</f>
        <v>NO</v>
      </c>
      <c r="F3" s="10" t="s">
        <v>6</v>
      </c>
      <c r="G3" s="70">
        <f>IF(D3="SI",COUNTIF($F$6:$F$18,"POT"),0)</f>
        <v>0</v>
      </c>
      <c r="H3" s="13"/>
      <c r="J3" s="11" t="s">
        <v>6</v>
      </c>
      <c r="K3" s="70">
        <f>IF(D3="SI",COUNTIF($J$6:$J$18,"POT"),0)</f>
        <v>0</v>
      </c>
      <c r="L3" s="13"/>
      <c r="O3" t="s">
        <v>7</v>
      </c>
      <c r="P3" s="16" t="s">
        <v>149</v>
      </c>
      <c r="Q3" t="s">
        <v>8</v>
      </c>
      <c r="R3" s="16" t="s">
        <v>150</v>
      </c>
      <c r="Y3" t="s">
        <v>7</v>
      </c>
      <c r="Z3" s="19" t="s">
        <v>149</v>
      </c>
      <c r="AA3" t="s">
        <v>8</v>
      </c>
      <c r="AB3" s="19" t="s">
        <v>150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158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159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160</v>
      </c>
      <c r="B5" s="154">
        <v>352</v>
      </c>
      <c r="C5" s="154">
        <v>352</v>
      </c>
      <c r="E5" s="50" t="s">
        <v>31</v>
      </c>
      <c r="F5" s="10" t="s">
        <v>32</v>
      </c>
      <c r="G5" s="10">
        <v>12</v>
      </c>
      <c r="H5" s="10"/>
      <c r="I5" s="10"/>
      <c r="J5" s="11" t="s">
        <v>32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 t="shared" ref="Q5:Q19" si="1">P5*O5</f>
        <v>0</v>
      </c>
      <c r="R5" s="155" t="e">
        <f t="shared" ref="R5:R19" si="2">IF($M$2="SI",Q5*$B$22/0.5*$S$1,Q5*$B$22/0.5*$S$2)</f>
        <v>#DIV/0!</v>
      </c>
      <c r="S5" s="41" t="e">
        <f t="shared" ref="S5:S19" si="3"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33</v>
      </c>
      <c r="X5" s="15" t="s">
        <v>34</v>
      </c>
      <c r="Y5" s="68">
        <f>COUNTIF(J5:J18,"IMP")*0.017</f>
        <v>0</v>
      </c>
      <c r="Z5" s="144" t="str">
        <f>Z3</f>
        <v>0,6</v>
      </c>
      <c r="AA5" s="20">
        <f t="shared" ref="AA5:AA19" si="4">Z5*Y5</f>
        <v>0</v>
      </c>
      <c r="AB5" s="155" t="e">
        <f t="shared" ref="AB5:AB19" si="5">IF($M$2="SI",AA5*$C$22/0.5*$S$1,AA5*$C$22/0.5*$S$2)</f>
        <v>#DIV/0!</v>
      </c>
      <c r="AC5" s="41" t="e">
        <f t="shared" ref="AC5:AC19" si="6"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35</v>
      </c>
      <c r="B6" s="3"/>
      <c r="C6" s="4"/>
      <c r="E6" s="50" t="s">
        <v>36</v>
      </c>
      <c r="F6" s="10"/>
      <c r="G6" s="10"/>
      <c r="H6" s="152"/>
      <c r="I6" s="10"/>
      <c r="J6" s="11"/>
      <c r="K6" s="11"/>
      <c r="L6" s="152"/>
      <c r="M6" s="10"/>
      <c r="O6" s="66">
        <f>COUNTIF(F14:F18,"IMP")*0.017</f>
        <v>0</v>
      </c>
      <c r="P6" s="16" t="str">
        <f>P3</f>
        <v>0,6</v>
      </c>
      <c r="Q6" s="17">
        <f t="shared" si="1"/>
        <v>0</v>
      </c>
      <c r="R6" s="155" t="e">
        <f t="shared" si="2"/>
        <v>#DIV/0!</v>
      </c>
      <c r="S6" s="41" t="e">
        <f t="shared" si="3"/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4" t="str">
        <f>Z3</f>
        <v>0,6</v>
      </c>
      <c r="AA6" s="20">
        <f t="shared" si="4"/>
        <v>0</v>
      </c>
      <c r="AB6" s="155" t="e">
        <f t="shared" si="5"/>
        <v>#DIV/0!</v>
      </c>
      <c r="AC6" s="41" t="e">
        <f t="shared" si="6"/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40</v>
      </c>
      <c r="B7" s="3"/>
      <c r="C7" s="4"/>
      <c r="E7" s="50" t="s">
        <v>41</v>
      </c>
      <c r="F7" s="10"/>
      <c r="G7" s="10"/>
      <c r="H7" s="152"/>
      <c r="I7" s="10"/>
      <c r="J7" s="11"/>
      <c r="K7" s="11"/>
      <c r="L7" s="152"/>
      <c r="M7" s="10"/>
      <c r="O7" s="66">
        <v>0</v>
      </c>
      <c r="P7" s="142">
        <v>0.5</v>
      </c>
      <c r="Q7" s="17">
        <f t="shared" si="1"/>
        <v>0</v>
      </c>
      <c r="R7" s="155" t="e">
        <f t="shared" si="2"/>
        <v>#DIV/0!</v>
      </c>
      <c r="S7" s="41" t="e">
        <f t="shared" si="3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152</v>
      </c>
      <c r="X7" s="15" t="s">
        <v>153</v>
      </c>
      <c r="Y7" s="68">
        <v>0</v>
      </c>
      <c r="Z7" s="144">
        <v>0.5</v>
      </c>
      <c r="AA7" s="20">
        <f t="shared" si="4"/>
        <v>0</v>
      </c>
      <c r="AB7" s="155" t="e">
        <f t="shared" si="5"/>
        <v>#DIV/0!</v>
      </c>
      <c r="AC7" s="41" t="e">
        <f t="shared" si="6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44</v>
      </c>
      <c r="B8" s="3"/>
      <c r="C8" s="4"/>
      <c r="E8" s="50" t="s">
        <v>41</v>
      </c>
      <c r="F8" s="10"/>
      <c r="G8" s="10"/>
      <c r="H8" s="152"/>
      <c r="I8" s="10"/>
      <c r="J8" s="11"/>
      <c r="K8" s="11"/>
      <c r="L8" s="152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5" t="e">
        <f t="shared" si="2"/>
        <v>#DIV/0!</v>
      </c>
      <c r="S8" s="41" t="e">
        <f t="shared" si="3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45</v>
      </c>
      <c r="X8" s="15" t="s">
        <v>46</v>
      </c>
      <c r="Y8" s="68">
        <f>COUNTIF(J6:J18,"IMP")*0.01</f>
        <v>0</v>
      </c>
      <c r="Z8" s="144" t="str">
        <f>Z3</f>
        <v>0,6</v>
      </c>
      <c r="AA8" s="20">
        <f t="shared" si="4"/>
        <v>0</v>
      </c>
      <c r="AB8" s="155" t="e">
        <f t="shared" si="5"/>
        <v>#DIV/0!</v>
      </c>
      <c r="AC8" s="41" t="e">
        <f t="shared" si="6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47</v>
      </c>
      <c r="B9" s="3"/>
      <c r="C9" s="4"/>
      <c r="E9" s="50" t="s">
        <v>41</v>
      </c>
      <c r="F9" s="10"/>
      <c r="G9" s="10"/>
      <c r="H9" s="152"/>
      <c r="I9" s="10"/>
      <c r="J9" s="11"/>
      <c r="K9" s="11"/>
      <c r="L9" s="152"/>
      <c r="M9" s="10"/>
      <c r="O9" s="66">
        <f>COUNTIF(J6:J13,"IMP")*0.025</f>
        <v>0</v>
      </c>
      <c r="P9" s="142">
        <v>0.5</v>
      </c>
      <c r="Q9" s="17">
        <f t="shared" si="1"/>
        <v>0</v>
      </c>
      <c r="R9" s="155" t="e">
        <f t="shared" si="2"/>
        <v>#DIV/0!</v>
      </c>
      <c r="S9" s="41" t="e">
        <f t="shared" si="3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48</v>
      </c>
      <c r="X9" s="15" t="s">
        <v>49</v>
      </c>
      <c r="Y9" s="68">
        <f>COUNTIF(F6:F13,"IMP")*0.025</f>
        <v>0</v>
      </c>
      <c r="Z9" s="144">
        <v>0.5</v>
      </c>
      <c r="AA9" s="20">
        <f t="shared" si="4"/>
        <v>0</v>
      </c>
      <c r="AB9" s="155" t="e">
        <f t="shared" si="5"/>
        <v>#DIV/0!</v>
      </c>
      <c r="AC9" s="41" t="e">
        <f t="shared" si="6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50</v>
      </c>
      <c r="B10" s="3"/>
      <c r="C10" s="4"/>
      <c r="E10" s="50" t="s">
        <v>36</v>
      </c>
      <c r="F10" s="10"/>
      <c r="G10" s="10"/>
      <c r="H10" s="152"/>
      <c r="I10" s="10"/>
      <c r="J10" s="11"/>
      <c r="K10" s="11"/>
      <c r="L10" s="152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5" t="e">
        <f t="shared" si="2"/>
        <v>#DIV/0!</v>
      </c>
      <c r="S10" s="41" t="e">
        <f t="shared" si="3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51</v>
      </c>
      <c r="X10" s="15" t="s">
        <v>52</v>
      </c>
      <c r="Y10" s="68">
        <f>COUNTIF(J14:J18,"RAP")*0.0785</f>
        <v>0</v>
      </c>
      <c r="Z10" s="144" t="str">
        <f>AB3</f>
        <v>0,72</v>
      </c>
      <c r="AA10" s="20">
        <f t="shared" si="4"/>
        <v>0</v>
      </c>
      <c r="AB10" s="155" t="e">
        <f t="shared" si="5"/>
        <v>#DIV/0!</v>
      </c>
      <c r="AC10" s="41" t="e">
        <f t="shared" si="6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53</v>
      </c>
      <c r="B11" s="3"/>
      <c r="C11" s="4"/>
      <c r="E11" s="50" t="s">
        <v>54</v>
      </c>
      <c r="F11" s="10"/>
      <c r="G11" s="10"/>
      <c r="H11" s="152"/>
      <c r="I11" s="10"/>
      <c r="J11" s="11"/>
      <c r="K11" s="11"/>
      <c r="L11" s="152"/>
      <c r="M11" s="10"/>
      <c r="O11" s="66">
        <f>IF(COUNTA(F16:F18)=0,0,COUNTIF(F14:F15,"RAP")*0.035)+IF(COUNTA(F17:F18)=0,0,COUNTIF(F16,"RAP")*0.035)+IF(COUNTA(F16:F17)=0,0,COUNTIF(F18,"RAP")*0.035)+IF(COUNTA(F16,F18)=0,0,COUNTIF(F17,"RAP")*0.035)</f>
        <v>0</v>
      </c>
      <c r="P11" s="16" t="str">
        <f>R3</f>
        <v>0,72</v>
      </c>
      <c r="Q11" s="17">
        <f t="shared" si="1"/>
        <v>0</v>
      </c>
      <c r="R11" s="155" t="e">
        <f t="shared" si="2"/>
        <v>#DIV/0!</v>
      </c>
      <c r="S11" s="41" t="e">
        <f t="shared" si="3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55</v>
      </c>
      <c r="X11" s="15" t="s">
        <v>56</v>
      </c>
      <c r="Y11" s="68">
        <f>IF(COUNTA(J16:J18)=0,0,COUNTIF(J14:J15,"RAP")*0.035)+IF(COUNTA(J17:J18)=0,0,COUNTIF(J16,"RAP")*0.035)+IF(COUNTA(J16:J17)=0,0,COUNTIF(J18,"RAP")*0.035)+IF(COUNTA(J16,J18)=0,0,COUNTIF(J17,"RAP")*0.035)</f>
        <v>0</v>
      </c>
      <c r="Z11" s="144" t="str">
        <f>AB3</f>
        <v>0,72</v>
      </c>
      <c r="AA11" s="20">
        <f t="shared" si="4"/>
        <v>0</v>
      </c>
      <c r="AB11" s="155" t="e">
        <f t="shared" si="5"/>
        <v>#DIV/0!</v>
      </c>
      <c r="AC11" s="41" t="e">
        <f t="shared" si="6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57</v>
      </c>
      <c r="B12" s="3"/>
      <c r="C12" s="4"/>
      <c r="E12" s="50" t="s">
        <v>54</v>
      </c>
      <c r="F12" s="10"/>
      <c r="G12" s="10"/>
      <c r="H12" s="152"/>
      <c r="I12" s="10"/>
      <c r="J12" s="11"/>
      <c r="K12" s="11"/>
      <c r="L12" s="152"/>
      <c r="M12" s="10"/>
      <c r="O12" s="67"/>
      <c r="P12" s="142">
        <v>0.5</v>
      </c>
      <c r="Q12" s="17">
        <f t="shared" si="1"/>
        <v>0</v>
      </c>
      <c r="R12" s="155" t="e">
        <f t="shared" si="2"/>
        <v>#DIV/0!</v>
      </c>
      <c r="S12" s="41" t="e">
        <f t="shared" si="3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58</v>
      </c>
      <c r="X12" s="15" t="s">
        <v>59</v>
      </c>
      <c r="Y12" s="69"/>
      <c r="Z12" s="144">
        <v>0.5</v>
      </c>
      <c r="AA12" s="20">
        <f t="shared" si="4"/>
        <v>0</v>
      </c>
      <c r="AB12" s="155" t="e">
        <f t="shared" si="5"/>
        <v>#DIV/0!</v>
      </c>
      <c r="AC12" s="41" t="e">
        <f t="shared" si="6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60</v>
      </c>
      <c r="B13" s="3">
        <v>8.25</v>
      </c>
      <c r="C13" s="4">
        <v>11</v>
      </c>
      <c r="E13" s="50" t="s">
        <v>54</v>
      </c>
      <c r="F13" s="10"/>
      <c r="G13" s="10"/>
      <c r="H13" s="152"/>
      <c r="I13" s="10"/>
      <c r="J13" s="11"/>
      <c r="K13" s="11"/>
      <c r="L13" s="152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5" t="e">
        <f t="shared" si="2"/>
        <v>#DIV/0!</v>
      </c>
      <c r="S13" s="41" t="e">
        <f t="shared" si="3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61</v>
      </c>
      <c r="X13" s="15" t="s">
        <v>62</v>
      </c>
      <c r="Y13" s="68">
        <v>9.7500000000000003E-2</v>
      </c>
      <c r="Z13" s="144" t="str">
        <f>Z3</f>
        <v>0,6</v>
      </c>
      <c r="AA13" s="20">
        <f t="shared" si="4"/>
        <v>5.8499999999999996E-2</v>
      </c>
      <c r="AB13" s="155" t="e">
        <f t="shared" si="5"/>
        <v>#DIV/0!</v>
      </c>
      <c r="AC13" s="41" t="e">
        <f t="shared" si="6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63</v>
      </c>
      <c r="B14" s="3">
        <v>7.75</v>
      </c>
      <c r="C14" s="4">
        <v>10</v>
      </c>
      <c r="E14" s="50" t="s">
        <v>64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3">
        <v>0.95</v>
      </c>
      <c r="Q14" s="17">
        <f t="shared" si="1"/>
        <v>0</v>
      </c>
      <c r="R14" s="155" t="e">
        <f t="shared" si="2"/>
        <v>#DIV/0!</v>
      </c>
      <c r="S14" s="41" t="e">
        <f t="shared" si="3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65</v>
      </c>
      <c r="X14" s="15" t="s">
        <v>66</v>
      </c>
      <c r="Y14" s="68">
        <f>COUNTIF(J6:J18,"CAB")*0.071</f>
        <v>0</v>
      </c>
      <c r="Z14" s="145">
        <v>0.95</v>
      </c>
      <c r="AA14" s="20">
        <f t="shared" si="4"/>
        <v>0</v>
      </c>
      <c r="AB14" s="155" t="e">
        <f t="shared" si="5"/>
        <v>#DIV/0!</v>
      </c>
      <c r="AC14" s="41" t="e">
        <f t="shared" si="6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67</v>
      </c>
      <c r="B15" s="52"/>
      <c r="C15" s="54"/>
      <c r="E15" s="50" t="s">
        <v>64</v>
      </c>
      <c r="F15" s="10"/>
      <c r="G15" s="10"/>
      <c r="H15" s="10"/>
      <c r="I15" s="10"/>
      <c r="J15" s="11"/>
      <c r="K15" s="11"/>
      <c r="L15" s="10"/>
      <c r="M15" s="10"/>
      <c r="O15" s="67"/>
      <c r="P15" s="142">
        <v>0.5</v>
      </c>
      <c r="Q15" s="17">
        <f t="shared" si="1"/>
        <v>0</v>
      </c>
      <c r="R15" s="155" t="e">
        <f t="shared" si="2"/>
        <v>#DIV/0!</v>
      </c>
      <c r="S15" s="41" t="e">
        <f t="shared" si="3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68</v>
      </c>
      <c r="X15" s="15" t="s">
        <v>69</v>
      </c>
      <c r="Y15" s="69"/>
      <c r="Z15" s="144">
        <v>0.5</v>
      </c>
      <c r="AA15" s="20">
        <f t="shared" si="4"/>
        <v>0</v>
      </c>
      <c r="AB15" s="155" t="e">
        <f t="shared" si="5"/>
        <v>#DIV/0!</v>
      </c>
      <c r="AC15" s="41" t="e">
        <f t="shared" si="6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70</v>
      </c>
      <c r="B16" s="52">
        <f>AVERAGE(G5:G18)</f>
        <v>12</v>
      </c>
      <c r="C16" s="54">
        <f>AVERAGE(K5:K18)</f>
        <v>12</v>
      </c>
      <c r="E16" s="50" t="s">
        <v>71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2">
        <v>0.25</v>
      </c>
      <c r="Q16" s="17">
        <f t="shared" si="1"/>
        <v>0</v>
      </c>
      <c r="R16" s="155" t="e">
        <f t="shared" si="2"/>
        <v>#DIV/0!</v>
      </c>
      <c r="S16" s="41" t="e">
        <f t="shared" si="3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72</v>
      </c>
      <c r="X16" s="15" t="s">
        <v>73</v>
      </c>
      <c r="Y16" s="68">
        <f>COUNTA(H6:H13)*0.03</f>
        <v>0</v>
      </c>
      <c r="Z16" s="144">
        <v>0.25</v>
      </c>
      <c r="AA16" s="20">
        <f t="shared" si="4"/>
        <v>0</v>
      </c>
      <c r="AB16" s="155" t="e">
        <f t="shared" si="5"/>
        <v>#DIV/0!</v>
      </c>
      <c r="AC16" s="41" t="e">
        <f t="shared" si="6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74</v>
      </c>
      <c r="B17" s="53" t="s">
        <v>75</v>
      </c>
      <c r="C17" s="55" t="s">
        <v>75</v>
      </c>
      <c r="E17" s="50" t="s">
        <v>71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(0.02*2)*IF(COUNTBLANK(F14:F15)&lt;&gt;0,(2-COUNTBLANK(F14:F15))/2,1)</f>
        <v>0</v>
      </c>
      <c r="P17" s="16" t="str">
        <f>P3</f>
        <v>0,6</v>
      </c>
      <c r="Q17" s="17">
        <f t="shared" si="1"/>
        <v>0</v>
      </c>
      <c r="R17" s="155" t="e">
        <f t="shared" si="2"/>
        <v>#DIV/0!</v>
      </c>
      <c r="S17" s="41" t="e">
        <f t="shared" si="3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76</v>
      </c>
      <c r="X17" s="15" t="s">
        <v>77</v>
      </c>
      <c r="Y17" s="68">
        <f>(0.02*2)*IF(COUNTBLANK(J14:J15)&lt;&gt;0,(2-COUNTBLANK(J14:J15))/2,1)</f>
        <v>0</v>
      </c>
      <c r="Z17" s="144" t="str">
        <f>Z3</f>
        <v>0,6</v>
      </c>
      <c r="AA17" s="20">
        <f t="shared" si="4"/>
        <v>0</v>
      </c>
      <c r="AB17" s="155" t="e">
        <f t="shared" si="5"/>
        <v>#DIV/0!</v>
      </c>
      <c r="AC17" s="41" t="e">
        <f t="shared" si="6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78</v>
      </c>
      <c r="B18" s="53">
        <v>20</v>
      </c>
      <c r="C18" s="55">
        <v>20</v>
      </c>
      <c r="E18" s="50" t="s">
        <v>71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2">
        <v>0.5</v>
      </c>
      <c r="Q18" s="17">
        <f t="shared" si="1"/>
        <v>0</v>
      </c>
      <c r="R18" s="155" t="e">
        <f t="shared" si="2"/>
        <v>#DIV/0!</v>
      </c>
      <c r="S18" s="41" t="e">
        <f t="shared" si="3"/>
        <v>#DIV/0!</v>
      </c>
      <c r="T18" s="42" t="e">
        <f>R18*PRODUCT(S5:S17)*PRODUCT(S19)</f>
        <v>#DIV/0!</v>
      </c>
      <c r="U18" s="42" t="e">
        <f>R18*R19*PRODUCT(S5:S17)</f>
        <v>#DIV/0!</v>
      </c>
      <c r="W18" s="48" t="s">
        <v>79</v>
      </c>
      <c r="X18" s="15" t="s">
        <v>80</v>
      </c>
      <c r="Y18" s="68">
        <v>0</v>
      </c>
      <c r="Z18" s="144">
        <v>0.5</v>
      </c>
      <c r="AA18" s="20">
        <f t="shared" si="4"/>
        <v>0</v>
      </c>
      <c r="AB18" s="155" t="e">
        <f t="shared" si="5"/>
        <v>#DIV/0!</v>
      </c>
      <c r="AC18" s="41" t="e">
        <f t="shared" si="6"/>
        <v>#DIV/0!</v>
      </c>
      <c r="AD18" s="42" t="e">
        <f>AB18*PRODUCT(AC5:AC17)*PRODUCT(AC19)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156</v>
      </c>
      <c r="L19" s="13" t="s">
        <v>156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5" t="e">
        <f t="shared" si="2"/>
        <v>#DIV/0!</v>
      </c>
      <c r="S19" s="43" t="e">
        <f t="shared" si="3"/>
        <v>#DIV/0!</v>
      </c>
      <c r="T19" s="44" t="e">
        <f>R19*PRODUCT(S5:S18)</f>
        <v>#DIV/0!</v>
      </c>
      <c r="U19" s="44">
        <v>0</v>
      </c>
      <c r="V19" s="1" t="s">
        <v>82</v>
      </c>
      <c r="W19" s="48" t="s">
        <v>83</v>
      </c>
      <c r="X19" s="15" t="s">
        <v>84</v>
      </c>
      <c r="Y19" s="68">
        <f>COUNTIF(J14:J18,"TEC")*0.06*IF(COUNTIF(F6:F13,"CAB")&lt;&gt;0,1,0)</f>
        <v>0</v>
      </c>
      <c r="Z19" s="144" t="str">
        <f>Z3</f>
        <v>0,6</v>
      </c>
      <c r="AA19" s="20">
        <f t="shared" si="4"/>
        <v>0</v>
      </c>
      <c r="AB19" s="155" t="e">
        <f t="shared" si="5"/>
        <v>#DIV/0!</v>
      </c>
      <c r="AC19" s="43" t="e">
        <f t="shared" si="6"/>
        <v>#DIV/0!</v>
      </c>
      <c r="AD19" s="44" t="e">
        <f>AB19*PRODUCT(AC5:AC18)</f>
        <v>#DIV/0!</v>
      </c>
      <c r="AE19" s="44">
        <v>0</v>
      </c>
      <c r="AF19" s="1" t="s">
        <v>82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85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86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x14ac:dyDescent="0.25">
      <c r="A22" s="26" t="s">
        <v>87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x14ac:dyDescent="0.25">
      <c r="A23" s="40" t="s">
        <v>88</v>
      </c>
      <c r="B23" s="56" t="e">
        <f>((B22^2.8)/((B22^2.8)+(C22^2.8)))*B21</f>
        <v>#DIV/0!</v>
      </c>
      <c r="C23" s="57" t="e">
        <f>B21-B23</f>
        <v>#DIV/0!</v>
      </c>
      <c r="D23" s="149">
        <f>SUM(D25:D30)</f>
        <v>1</v>
      </c>
      <c r="E23" s="149">
        <f>SUM(E25:E30)</f>
        <v>1</v>
      </c>
      <c r="G23" s="99" t="s">
        <v>92</v>
      </c>
      <c r="H23" s="100" t="s">
        <v>18</v>
      </c>
      <c r="I23" s="99" t="s">
        <v>93</v>
      </c>
      <c r="J23" s="101" t="s">
        <v>94</v>
      </c>
      <c r="K23" s="99" t="s">
        <v>95</v>
      </c>
      <c r="L23" s="101" t="s">
        <v>18</v>
      </c>
      <c r="M23" s="83" t="s">
        <v>96</v>
      </c>
      <c r="N23" s="27" t="s">
        <v>97</v>
      </c>
      <c r="O23" s="27" t="s">
        <v>98</v>
      </c>
      <c r="P23" s="27" t="s">
        <v>18</v>
      </c>
      <c r="Q23" s="27" t="s">
        <v>99</v>
      </c>
      <c r="R23" s="27" t="s">
        <v>18</v>
      </c>
      <c r="S23" s="27" t="s">
        <v>100</v>
      </c>
      <c r="T23" s="132" t="s">
        <v>18</v>
      </c>
      <c r="U23" s="136" t="s">
        <v>101</v>
      </c>
      <c r="V23" s="137" t="s">
        <v>97</v>
      </c>
      <c r="W23" s="83" t="s">
        <v>102</v>
      </c>
      <c r="X23" s="27" t="s">
        <v>103</v>
      </c>
      <c r="Y23" s="27" t="s">
        <v>18</v>
      </c>
      <c r="Z23" s="27" t="s">
        <v>104</v>
      </c>
      <c r="AA23" s="27" t="s">
        <v>18</v>
      </c>
      <c r="AB23" s="27" t="s">
        <v>105</v>
      </c>
      <c r="AC23" s="27" t="s">
        <v>18</v>
      </c>
      <c r="AD23" s="27" t="s">
        <v>106</v>
      </c>
      <c r="AE23" s="27" t="s">
        <v>18</v>
      </c>
      <c r="AF23" s="27" t="s">
        <v>107</v>
      </c>
      <c r="AG23" s="27" t="s">
        <v>18</v>
      </c>
      <c r="AH23" s="27" t="s">
        <v>108</v>
      </c>
      <c r="AI23" s="27" t="s">
        <v>18</v>
      </c>
      <c r="AJ23" s="27" t="s">
        <v>109</v>
      </c>
      <c r="AK23" s="27" t="s">
        <v>18</v>
      </c>
      <c r="AL23" s="27" t="s">
        <v>110</v>
      </c>
      <c r="AM23" s="27" t="s">
        <v>18</v>
      </c>
      <c r="AN23" s="27" t="s">
        <v>111</v>
      </c>
      <c r="AO23" s="27" t="s">
        <v>18</v>
      </c>
      <c r="AP23" s="27" t="s">
        <v>112</v>
      </c>
      <c r="AQ23" s="27" t="s">
        <v>18</v>
      </c>
      <c r="AR23" s="27" t="s">
        <v>113</v>
      </c>
      <c r="AS23" s="27" t="s">
        <v>18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89</v>
      </c>
      <c r="B24" s="64" t="e">
        <f>B23/B21</f>
        <v>#DIV/0!</v>
      </c>
      <c r="C24" s="65" t="e">
        <f>C23/B21</f>
        <v>#DIV/0!</v>
      </c>
      <c r="D24" s="13" t="s">
        <v>90</v>
      </c>
      <c r="E24" s="13" t="s">
        <v>91</v>
      </c>
      <c r="G24" s="124">
        <v>0</v>
      </c>
      <c r="H24" s="125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 t="shared" ref="P24:P29" si="11">N24</f>
        <v>#DIV/0!</v>
      </c>
      <c r="Q24" s="12">
        <v>0</v>
      </c>
      <c r="R24" s="73" t="e">
        <f>P24*N24</f>
        <v>#DIV/0!</v>
      </c>
      <c r="S24" s="70">
        <v>0</v>
      </c>
      <c r="T24" s="133" t="e">
        <f>(1-$B$33)^(INT(C23*2*(1-C31)))</f>
        <v>#DIV/0!</v>
      </c>
      <c r="U24" s="138">
        <v>0</v>
      </c>
      <c r="V24" s="86" t="e">
        <f>R24*T24</f>
        <v>#DIV/0!</v>
      </c>
      <c r="W24" s="134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2">$H$31*H38</f>
        <v>#DIV/0!</v>
      </c>
    </row>
    <row r="25" spans="1:70" x14ac:dyDescent="0.25">
      <c r="A25" s="26" t="s">
        <v>114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87">
        <v>1</v>
      </c>
      <c r="H25" s="126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si="11"/>
        <v>#DIV/0!</v>
      </c>
      <c r="Q25" s="28">
        <v>1</v>
      </c>
      <c r="R25" s="37" t="e">
        <f>N25*P24+P25*N24</f>
        <v>#DIV/0!</v>
      </c>
      <c r="S25" s="72">
        <v>1</v>
      </c>
      <c r="T25" s="133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5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115</v>
      </c>
      <c r="B26" s="119" t="e">
        <f>1/(1+EXP(-3.1416*4*((B10/(B10+C9))-(3.1416/6))))</f>
        <v>#DIV/0!</v>
      </c>
      <c r="C26" s="118" t="e">
        <f>1/(1+EXP(-3.1416*4*((C10/(C10+B9))-(3.1416/6))))</f>
        <v>#DIV/0!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2</v>
      </c>
      <c r="H26" s="126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1"/>
        <v>#DIV/0!</v>
      </c>
      <c r="Q26" s="28">
        <v>2</v>
      </c>
      <c r="R26" s="37" t="e">
        <f>P24*N26+P25*N25+P26*N24</f>
        <v>#DIV/0!</v>
      </c>
      <c r="S26" s="72">
        <v>2</v>
      </c>
      <c r="T26" s="133" t="e">
        <f t="shared" si="13"/>
        <v>#DIV/0!</v>
      </c>
      <c r="U26" s="93">
        <v>2</v>
      </c>
      <c r="V26" s="86" t="e">
        <f>R26*T24+T25*R25+R24*T26</f>
        <v>#DIV/0!</v>
      </c>
      <c r="W26" s="135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116</v>
      </c>
      <c r="B27" s="119" t="e">
        <f>1/(1+EXP(-3.1416*4*((B12/(B12+C7))-(3.1416/6))))</f>
        <v>#DIV/0!</v>
      </c>
      <c r="C27" s="118" t="e">
        <f>1/(1+EXP(-3.1416*4*((C12/(C12+B7))-(3.1416/6))))</f>
        <v>#DIV/0!</v>
      </c>
      <c r="D27" s="151">
        <f>D26</f>
        <v>0.25700000000000001</v>
      </c>
      <c r="E27" s="151">
        <f>E26</f>
        <v>0.25700000000000001</v>
      </c>
      <c r="G27" s="87">
        <v>3</v>
      </c>
      <c r="H27" s="126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1"/>
        <v>#DIV/0!</v>
      </c>
      <c r="Q27" s="28">
        <v>3</v>
      </c>
      <c r="R27" s="37" t="e">
        <f>P24*N27+P25*N26+P26*N25+P27*N24</f>
        <v>#DIV/0!</v>
      </c>
      <c r="S27" s="72">
        <v>3</v>
      </c>
      <c r="T27" s="133" t="e">
        <f t="shared" si="13"/>
        <v>#DIV/0!</v>
      </c>
      <c r="U27" s="93">
        <v>3</v>
      </c>
      <c r="V27" s="86" t="e">
        <f>R27*T24+R26*T25+R25*T26+R24*T27</f>
        <v>#DIV/0!</v>
      </c>
      <c r="W27" s="135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117</v>
      </c>
      <c r="B28" s="120">
        <v>0.9</v>
      </c>
      <c r="C28" s="121">
        <v>0.9</v>
      </c>
      <c r="D28" s="151">
        <v>8.5000000000000006E-2</v>
      </c>
      <c r="E28" s="151">
        <v>8.5000000000000006E-2</v>
      </c>
      <c r="G28" s="87">
        <v>4</v>
      </c>
      <c r="H28" s="126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1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3" t="e">
        <f t="shared" si="13"/>
        <v>#DIV/0!</v>
      </c>
      <c r="U28" s="93">
        <v>4</v>
      </c>
      <c r="V28" s="86" t="e">
        <f>T28*R24+T27*R25+T26*R26+T25*R27+T24*R28</f>
        <v>#DIV/0!</v>
      </c>
      <c r="W28" s="135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4"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118</v>
      </c>
      <c r="B29" s="119">
        <f>1/(1+EXP(-3.1416*4*((B14/(B14+C13))-(3.1416/6))))</f>
        <v>0.20010231099857245</v>
      </c>
      <c r="C29" s="118">
        <f>1/(1+EXP(-3.1416*4*((C14/(C14+B13))-(3.1416/6))))</f>
        <v>0.575891899079775</v>
      </c>
      <c r="D29" s="151">
        <v>0.04</v>
      </c>
      <c r="E29" s="151">
        <v>0.04</v>
      </c>
      <c r="G29" s="87">
        <v>5</v>
      </c>
      <c r="H29" s="126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1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3" t="e">
        <f t="shared" si="13"/>
        <v>#DIV/0!</v>
      </c>
      <c r="U29" s="93">
        <v>5</v>
      </c>
      <c r="V29" s="86" t="e">
        <f>T29*R24+T28*R25+T27*R26+T26*R27+T25*R28+T24*R29</f>
        <v>#DIV/0!</v>
      </c>
      <c r="W29" s="135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4"/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119</v>
      </c>
      <c r="B30" s="120">
        <v>0.15</v>
      </c>
      <c r="C30" s="121">
        <v>0.15</v>
      </c>
      <c r="D30" s="151">
        <f>IF(B17="TL",0.875*B32,0.001)</f>
        <v>1E-3</v>
      </c>
      <c r="E30" s="151">
        <f>IF(C17="TL",0.875*C32,0.001)</f>
        <v>1E-3</v>
      </c>
      <c r="G30" s="87">
        <v>6</v>
      </c>
      <c r="H30" s="126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3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5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51" t="s">
        <v>120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6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3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5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121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6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3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5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122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6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3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5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123</v>
      </c>
      <c r="B34" s="56" t="e">
        <f>B23*2</f>
        <v>#DIV/0!</v>
      </c>
      <c r="C34" s="57" t="e">
        <f>C23*2</f>
        <v>#DIV/0!</v>
      </c>
      <c r="G34" s="88">
        <v>10</v>
      </c>
      <c r="H34" s="127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3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5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x14ac:dyDescent="0.25">
      <c r="A37" s="109" t="s">
        <v>124</v>
      </c>
      <c r="B37" s="107" t="e">
        <f>SUM(BN4:BN14)</f>
        <v>#DIV/0!</v>
      </c>
      <c r="G37" s="103" t="str">
        <f t="shared" ref="G37:AS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39" t="str">
        <f t="shared" si="19"/>
        <v>p</v>
      </c>
      <c r="U37" s="140" t="str">
        <f t="shared" si="19"/>
        <v>Total</v>
      </c>
      <c r="V37" s="141" t="str">
        <f t="shared" si="19"/>
        <v>P</v>
      </c>
      <c r="W37" s="90" t="str">
        <f t="shared" si="19"/>
        <v>E(x)</v>
      </c>
      <c r="X37" s="30" t="str">
        <f t="shared" si="19"/>
        <v>G0</v>
      </c>
      <c r="Y37" s="30" t="str">
        <f t="shared" si="19"/>
        <v>p</v>
      </c>
      <c r="Z37" s="30" t="str">
        <f t="shared" si="19"/>
        <v>G1</v>
      </c>
      <c r="AA37" s="30" t="str">
        <f t="shared" si="19"/>
        <v>p</v>
      </c>
      <c r="AB37" s="30" t="str">
        <f t="shared" si="19"/>
        <v>G2</v>
      </c>
      <c r="AC37" s="30" t="str">
        <f t="shared" si="19"/>
        <v>p</v>
      </c>
      <c r="AD37" s="30" t="str">
        <f t="shared" si="19"/>
        <v>G3</v>
      </c>
      <c r="AE37" s="30" t="str">
        <f t="shared" si="19"/>
        <v>p</v>
      </c>
      <c r="AF37" s="30" t="str">
        <f t="shared" si="19"/>
        <v>G4</v>
      </c>
      <c r="AG37" s="30" t="str">
        <f t="shared" si="19"/>
        <v>p</v>
      </c>
      <c r="AH37" s="30" t="str">
        <f t="shared" si="19"/>
        <v>G5</v>
      </c>
      <c r="AI37" s="30" t="str">
        <f t="shared" si="19"/>
        <v>p</v>
      </c>
      <c r="AJ37" s="30" t="str">
        <f t="shared" si="19"/>
        <v>G6</v>
      </c>
      <c r="AK37" s="30" t="str">
        <f t="shared" si="19"/>
        <v>p</v>
      </c>
      <c r="AL37" s="30" t="str">
        <f t="shared" si="19"/>
        <v>G7</v>
      </c>
      <c r="AM37" s="30" t="str">
        <f t="shared" si="19"/>
        <v>p</v>
      </c>
      <c r="AN37" s="30" t="str">
        <f t="shared" si="19"/>
        <v>G8</v>
      </c>
      <c r="AO37" s="30" t="str">
        <f t="shared" si="19"/>
        <v>p</v>
      </c>
      <c r="AP37" s="30" t="str">
        <f t="shared" si="19"/>
        <v>G9</v>
      </c>
      <c r="AQ37" s="30" t="str">
        <f t="shared" si="19"/>
        <v>p</v>
      </c>
      <c r="AR37" s="30" t="str">
        <f t="shared" si="19"/>
        <v>G10</v>
      </c>
      <c r="AS37" s="30" t="str">
        <f t="shared" si="19"/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125</v>
      </c>
      <c r="B38" s="107" t="e">
        <f>SUM(BJ4:BJ59)</f>
        <v>#DIV/0!</v>
      </c>
      <c r="G38" s="128">
        <v>0</v>
      </c>
      <c r="H38" s="129" t="e">
        <f>L38*J38</f>
        <v>#DIV/0!</v>
      </c>
      <c r="I38" s="97">
        <v>0</v>
      </c>
      <c r="J38" s="98" t="e">
        <f t="shared" ref="J38:J48" si="20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 t="shared" ref="P38:P43" si="21">N38</f>
        <v>#DIV/0!</v>
      </c>
      <c r="Q38" s="12">
        <v>0</v>
      </c>
      <c r="R38" s="73" t="e">
        <f>P38*N38</f>
        <v>#DIV/0!</v>
      </c>
      <c r="S38" s="70">
        <v>0</v>
      </c>
      <c r="T38" s="133" t="e">
        <f>(1-$C$33)^(INT(B23*2*(1-B31)))</f>
        <v>#DIV/0!</v>
      </c>
      <c r="U38" s="138">
        <v>0</v>
      </c>
      <c r="V38" s="86" t="e">
        <f>R38*T38</f>
        <v>#DIV/0!</v>
      </c>
      <c r="W38" s="134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2">BH32+1</f>
        <v>4</v>
      </c>
      <c r="BI38">
        <v>5</v>
      </c>
      <c r="BJ38" s="107" t="e">
        <f t="shared" ref="BJ38:BJ43" si="2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126</v>
      </c>
      <c r="B39" s="107" t="e">
        <f>SUM(BR4:BR47)</f>
        <v>#DIV/0!</v>
      </c>
      <c r="G39" s="91">
        <v>1</v>
      </c>
      <c r="H39" s="130" t="e">
        <f>L38*J39+L39*J38</f>
        <v>#DIV/0!</v>
      </c>
      <c r="I39" s="93">
        <v>1</v>
      </c>
      <c r="J39" s="86" t="e">
        <f t="shared" si="20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si="21"/>
        <v>#DIV/0!</v>
      </c>
      <c r="Q39" s="28">
        <v>1</v>
      </c>
      <c r="R39" s="37" t="e">
        <f>P39*N38+P38*N39</f>
        <v>#DIV/0!</v>
      </c>
      <c r="S39" s="72">
        <v>1</v>
      </c>
      <c r="T39" s="133" t="e">
        <f t="shared" ref="T39:T48" si="24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5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2"/>
        <v>4</v>
      </c>
      <c r="BI39">
        <v>6</v>
      </c>
      <c r="BJ39" s="107" t="e">
        <f t="shared" si="23"/>
        <v>#DIV/0!</v>
      </c>
      <c r="BP39">
        <f t="shared" ref="BP39:BP46" si="25">BP31+1</f>
        <v>9</v>
      </c>
      <c r="BQ39">
        <v>0</v>
      </c>
      <c r="BR39" s="107" t="e">
        <f t="shared" ref="BR39:BR47" si="26">$H$33*H38</f>
        <v>#DIV/0!</v>
      </c>
    </row>
    <row r="40" spans="1:70" x14ac:dyDescent="0.25">
      <c r="G40" s="91">
        <v>2</v>
      </c>
      <c r="H40" s="130" t="e">
        <f>L38*J40+J39*L39+J38*L40</f>
        <v>#DIV/0!</v>
      </c>
      <c r="I40" s="93">
        <v>2</v>
      </c>
      <c r="J40" s="86" t="e">
        <f t="shared" si="20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21"/>
        <v>#DIV/0!</v>
      </c>
      <c r="Q40" s="28">
        <v>2</v>
      </c>
      <c r="R40" s="37" t="e">
        <f>P40*N38+P39*N39+P38*N40</f>
        <v>#DIV/0!</v>
      </c>
      <c r="S40" s="72">
        <v>2</v>
      </c>
      <c r="T40" s="133" t="e">
        <f t="shared" si="24"/>
        <v>#DIV/0!</v>
      </c>
      <c r="U40" s="93">
        <v>2</v>
      </c>
      <c r="V40" s="86" t="e">
        <f>R40*T38+T39*R39+R38*T40</f>
        <v>#DIV/0!</v>
      </c>
      <c r="W40" s="135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2"/>
        <v>4</v>
      </c>
      <c r="BI40">
        <v>7</v>
      </c>
      <c r="BJ40" s="107" t="e">
        <f t="shared" si="23"/>
        <v>#DIV/0!</v>
      </c>
      <c r="BP40">
        <f t="shared" si="25"/>
        <v>9</v>
      </c>
      <c r="BQ40">
        <v>1</v>
      </c>
      <c r="BR40" s="107" t="e">
        <f t="shared" si="26"/>
        <v>#DIV/0!</v>
      </c>
    </row>
    <row r="41" spans="1:70" x14ac:dyDescent="0.25">
      <c r="G41" s="91">
        <v>3</v>
      </c>
      <c r="H41" s="130" t="e">
        <f>J41*L38+J40*L39+L41*J38+L40*J39</f>
        <v>#DIV/0!</v>
      </c>
      <c r="I41" s="93">
        <v>3</v>
      </c>
      <c r="J41" s="86" t="e">
        <f t="shared" si="20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21"/>
        <v>#DIV/0!</v>
      </c>
      <c r="Q41" s="28">
        <v>3</v>
      </c>
      <c r="R41" s="37" t="e">
        <f>P41*N38+P40*N39+P39*N40+P38*N41</f>
        <v>#DIV/0!</v>
      </c>
      <c r="S41" s="72">
        <v>3</v>
      </c>
      <c r="T41" s="133" t="e">
        <f t="shared" si="24"/>
        <v>#DIV/0!</v>
      </c>
      <c r="U41" s="93">
        <v>3</v>
      </c>
      <c r="V41" s="86" t="e">
        <f>R41*T38+R40*T39+R39*T40+R38*T41</f>
        <v>#DIV/0!</v>
      </c>
      <c r="W41" s="135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2"/>
        <v>4</v>
      </c>
      <c r="BI41">
        <v>8</v>
      </c>
      <c r="BJ41" s="107" t="e">
        <f t="shared" si="23"/>
        <v>#DIV/0!</v>
      </c>
      <c r="BP41">
        <f t="shared" si="25"/>
        <v>9</v>
      </c>
      <c r="BQ41">
        <v>2</v>
      </c>
      <c r="BR41" s="107" t="e">
        <f t="shared" si="26"/>
        <v>#DIV/0!</v>
      </c>
    </row>
    <row r="42" spans="1:70" ht="15" customHeight="1" x14ac:dyDescent="0.25">
      <c r="G42" s="91">
        <v>4</v>
      </c>
      <c r="H42" s="130" t="e">
        <f>J42*L38+J41*L39+J40*L40+J39*L41</f>
        <v>#DIV/0!</v>
      </c>
      <c r="I42" s="93">
        <v>4</v>
      </c>
      <c r="J42" s="86" t="e">
        <f t="shared" si="20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21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3" t="e">
        <f t="shared" si="24"/>
        <v>#DIV/0!</v>
      </c>
      <c r="U42" s="93">
        <v>4</v>
      </c>
      <c r="V42" s="86" t="e">
        <f>T42*R38+T41*R39+T40*R40+T39*R41+T38*R42</f>
        <v>#DIV/0!</v>
      </c>
      <c r="W42" s="135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27">BE41+BE42</f>
        <v>210</v>
      </c>
      <c r="BH42">
        <f t="shared" si="22"/>
        <v>4</v>
      </c>
      <c r="BI42">
        <v>9</v>
      </c>
      <c r="BJ42" s="107" t="e">
        <f t="shared" si="23"/>
        <v>#DIV/0!</v>
      </c>
      <c r="BP42">
        <f t="shared" si="25"/>
        <v>9</v>
      </c>
      <c r="BQ42">
        <v>3</v>
      </c>
      <c r="BR42" s="107" t="e">
        <f t="shared" si="26"/>
        <v>#DIV/0!</v>
      </c>
    </row>
    <row r="43" spans="1:70" ht="15" customHeight="1" x14ac:dyDescent="0.25">
      <c r="G43" s="91">
        <v>5</v>
      </c>
      <c r="H43" s="130" t="e">
        <f>J43*L38+J42*L39+J41*L40+J40*L41</f>
        <v>#DIV/0!</v>
      </c>
      <c r="I43" s="93">
        <v>5</v>
      </c>
      <c r="J43" s="86" t="e">
        <f t="shared" si="20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21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3" t="e">
        <f t="shared" si="24"/>
        <v>#DIV/0!</v>
      </c>
      <c r="U43" s="93">
        <v>5</v>
      </c>
      <c r="V43" s="86" t="e">
        <f>T43*R38+T42*R39+T41*R40+T40*R41+T39*R42+T38*R43</f>
        <v>#DIV/0!</v>
      </c>
      <c r="W43" s="135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27"/>
        <v>252</v>
      </c>
      <c r="BH43">
        <f t="shared" si="22"/>
        <v>4</v>
      </c>
      <c r="BI43">
        <v>10</v>
      </c>
      <c r="BJ43" s="107" t="e">
        <f t="shared" si="23"/>
        <v>#DIV/0!</v>
      </c>
      <c r="BP43">
        <f t="shared" si="25"/>
        <v>9</v>
      </c>
      <c r="BQ43">
        <v>4</v>
      </c>
      <c r="BR43" s="107" t="e">
        <f t="shared" si="26"/>
        <v>#DIV/0!</v>
      </c>
    </row>
    <row r="44" spans="1:70" ht="15" customHeight="1" x14ac:dyDescent="0.25">
      <c r="G44" s="91">
        <v>6</v>
      </c>
      <c r="H44" s="130" t="e">
        <f>J44*L38+J43*L39+J42*L40+J41*L41</f>
        <v>#DIV/0!</v>
      </c>
      <c r="I44" s="93">
        <v>6</v>
      </c>
      <c r="J44" s="86" t="e">
        <f t="shared" si="20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3" t="e">
        <f t="shared" si="24"/>
        <v>#DIV/0!</v>
      </c>
      <c r="U44" s="93">
        <v>6</v>
      </c>
      <c r="V44" s="86" t="e">
        <f>T44*R38+T43*R39+T42*R40+T41*R41+T40*R42+T39*R43+T38*R44</f>
        <v>#DIV/0!</v>
      </c>
      <c r="W44" s="135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27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25"/>
        <v>9</v>
      </c>
      <c r="BQ44">
        <v>5</v>
      </c>
      <c r="BR44" s="107" t="e">
        <f t="shared" si="26"/>
        <v>#DIV/0!</v>
      </c>
    </row>
    <row r="45" spans="1:70" ht="15" customHeight="1" x14ac:dyDescent="0.25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7</v>
      </c>
      <c r="H45" s="130" t="e">
        <f>J45*L38+J44*L39+J43*L40+J42*L41</f>
        <v>#DIV/0!</v>
      </c>
      <c r="I45" s="93">
        <v>7</v>
      </c>
      <c r="J45" s="86" t="e">
        <f t="shared" si="20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3" t="e">
        <f t="shared" si="24"/>
        <v>#DIV/0!</v>
      </c>
      <c r="U45" s="93">
        <v>7</v>
      </c>
      <c r="V45" s="86" t="e">
        <f>T45*R38+T44*R39+T43*R40+T42*R41+T41*R42+T40*R43+T39*R44+T38*R45</f>
        <v>#DIV/0!</v>
      </c>
      <c r="W45" s="135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27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25"/>
        <v>9</v>
      </c>
      <c r="BQ45">
        <v>6</v>
      </c>
      <c r="BR45" s="107" t="e">
        <f t="shared" si="26"/>
        <v>#DIV/0!</v>
      </c>
    </row>
    <row r="46" spans="1:70" ht="15" customHeight="1" x14ac:dyDescent="0.25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8</v>
      </c>
      <c r="H46" s="130" t="e">
        <f>J46*L38+J45*L39+J44*L40+J43*L41</f>
        <v>#DIV/0!</v>
      </c>
      <c r="I46" s="93">
        <v>8</v>
      </c>
      <c r="J46" s="86" t="e">
        <f t="shared" si="20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3" t="e">
        <f t="shared" si="24"/>
        <v>#DIV/0!</v>
      </c>
      <c r="U46" s="93">
        <v>8</v>
      </c>
      <c r="V46" s="86" t="e">
        <f>T46*R38+T45*R39+T44*R40+T43*R41+T42*R42+T41*R43+T40*R44+T39*R45+T38*R46</f>
        <v>#DIV/0!</v>
      </c>
      <c r="W46" s="135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27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25"/>
        <v>9</v>
      </c>
      <c r="BQ46">
        <v>7</v>
      </c>
      <c r="BR46" s="107" t="e">
        <f t="shared" si="26"/>
        <v>#DIV/0!</v>
      </c>
    </row>
    <row r="47" spans="1:70" ht="15" customHeight="1" x14ac:dyDescent="0.25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9</v>
      </c>
      <c r="H47" s="130" t="e">
        <f>J47*L38+J46*L39+J45*L40+J44*L41</f>
        <v>#DIV/0!</v>
      </c>
      <c r="I47" s="93">
        <v>9</v>
      </c>
      <c r="J47" s="86" t="e">
        <f t="shared" si="20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3" t="e">
        <f t="shared" si="24"/>
        <v>#DIV/0!</v>
      </c>
      <c r="U47" s="93">
        <v>9</v>
      </c>
      <c r="V47" s="86" t="e">
        <f>T47*R38+T46*R39+T45*R40+T44*R41+T43*R42+T42*R43+T41*R44+T40*R45+T39*R46+T38*R47</f>
        <v>#DIV/0!</v>
      </c>
      <c r="W47" s="135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27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26"/>
        <v>#DIV/0!</v>
      </c>
    </row>
    <row r="48" spans="1:70" ht="15" customHeight="1" x14ac:dyDescent="0.25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2">
        <v>10</v>
      </c>
      <c r="H48" s="131" t="e">
        <f>J48*L38+J47*L39+J46*L40+J45*L41</f>
        <v>#DIV/0!</v>
      </c>
      <c r="I48" s="94">
        <v>10</v>
      </c>
      <c r="J48" s="89" t="e">
        <f t="shared" si="20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3" t="e">
        <f t="shared" si="24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5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27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x14ac:dyDescent="0.25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x14ac:dyDescent="0.25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BH50">
        <f>BH45+1</f>
        <v>6</v>
      </c>
      <c r="BI50">
        <v>7</v>
      </c>
      <c r="BJ50" s="107" t="e">
        <f>$H$30*H45</f>
        <v>#DIV/0!</v>
      </c>
    </row>
    <row r="51" spans="1:62" x14ac:dyDescent="0.25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H48">
    <cfRule type="cellIs" dxfId="27" priority="1" operator="greaterThan">
      <formula>0.15</formula>
    </cfRule>
  </conditionalFormatting>
  <conditionalFormatting sqref="H38:H48">
    <cfRule type="cellIs" dxfId="26" priority="2" operator="greaterThan">
      <formula>0.15</formula>
    </cfRule>
  </conditionalFormatting>
  <conditionalFormatting sqref="H48">
    <cfRule type="cellIs" dxfId="25" priority="3" operator="greaterThan">
      <formula>0.15</formula>
    </cfRule>
  </conditionalFormatting>
  <conditionalFormatting sqref="H38:H48">
    <cfRule type="cellIs" dxfId="24" priority="4" operator="greaterThan">
      <formula>0.15</formula>
    </cfRule>
  </conditionalFormatting>
  <conditionalFormatting sqref="H34">
    <cfRule type="cellIs" dxfId="23" priority="5" operator="greaterThan">
      <formula>0.15</formula>
    </cfRule>
  </conditionalFormatting>
  <conditionalFormatting sqref="H24:H34">
    <cfRule type="cellIs" dxfId="22" priority="6" operator="greaterThan">
      <formula>0.15</formula>
    </cfRule>
  </conditionalFormatting>
  <conditionalFormatting sqref="H34">
    <cfRule type="cellIs" dxfId="21" priority="7" operator="greaterThan">
      <formula>0.15</formula>
    </cfRule>
  </conditionalFormatting>
  <conditionalFormatting sqref="H24:H34">
    <cfRule type="cellIs" dxfId="20" priority="8" operator="greaterThan">
      <formula>0.15</formula>
    </cfRule>
  </conditionalFormatting>
  <conditionalFormatting sqref="V48">
    <cfRule type="cellIs" dxfId="19" priority="9" operator="greaterThan">
      <formula>0.15</formula>
    </cfRule>
  </conditionalFormatting>
  <conditionalFormatting sqref="V34">
    <cfRule type="cellIs" dxfId="18" priority="10" operator="greaterThan">
      <formula>0.15</formula>
    </cfRule>
  </conditionalFormatting>
  <conditionalFormatting sqref="V24:V34 V38:V48">
    <cfRule type="cellIs" dxfId="17" priority="11" operator="greaterThan">
      <formula>0.15</formula>
    </cfRule>
  </conditionalFormatting>
  <conditionalFormatting sqref="V48">
    <cfRule type="cellIs" dxfId="16" priority="12" operator="greaterThan">
      <formula>0.15</formula>
    </cfRule>
  </conditionalFormatting>
  <conditionalFormatting sqref="V34">
    <cfRule type="cellIs" dxfId="15" priority="13" operator="greaterThan">
      <formula>0.15</formula>
    </cfRule>
  </conditionalFormatting>
  <conditionalFormatting sqref="V24:V34 V38:V48">
    <cfRule type="cellIs" dxfId="14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Obiwan-AVENTURA</vt:lpstr>
      <vt:lpstr>SIMULADOR_v3</vt:lpstr>
      <vt:lpstr>SIMULADOR&gt;22-12-17_v2</vt:lpstr>
      <vt:lpstr>SIMULADOR&gt;22-12-17</vt:lpstr>
      <vt:lpstr>SIMULADOR</vt:lpstr>
      <vt:lpstr>SIMULADOR_sinJC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2006-09-16T00:00:00Z</dcterms:created>
  <dcterms:modified xsi:type="dcterms:W3CDTF">2020-08-04T07:13:38Z</dcterms:modified>
</cp:coreProperties>
</file>