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CC2BD7F4-17BE-4DBE-A697-FB5B17AE1B4F}" xr6:coauthVersionLast="44" xr6:coauthVersionMax="44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" sheetId="6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Delantero" sheetId="15" r:id="rId15"/>
    <sheet name="PorteroTitular" sheetId="16" r:id="rId16"/>
    <sheet name="PorteroSuplente" sheetId="17" r:id="rId17"/>
  </sheets>
  <externalReferences>
    <externalReference r:id="rId18"/>
  </externalReferences>
  <definedNames>
    <definedName name="_xlnm._FilterDatabase" localSheetId="8" hidden="1">EstudioConversion!$A$1:$H$159</definedName>
  </definedNames>
  <calcPr calcId="191029"/>
  <pivotCaches>
    <pivotCache cacheId="3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A12" i="2" l="1"/>
  <c r="AC14" i="2"/>
  <c r="H185" i="9" l="1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Y16" i="2" l="1"/>
  <c r="Y15" i="2"/>
  <c r="Y14" i="2"/>
  <c r="Y7" i="2"/>
  <c r="Y10" i="2"/>
  <c r="Y8" i="2"/>
  <c r="Y6" i="2"/>
  <c r="Y11" i="2"/>
  <c r="Y13" i="2"/>
  <c r="Y12" i="2"/>
  <c r="Y4" i="2"/>
  <c r="AE19" i="2" l="1"/>
  <c r="U19" i="2" l="1"/>
  <c r="AF25" i="15" l="1"/>
  <c r="AI25" i="15" s="1"/>
  <c r="AG25" i="15"/>
  <c r="AJ25" i="15" s="1"/>
  <c r="AH25" i="15"/>
  <c r="AK25" i="15" s="1"/>
  <c r="P25" i="15"/>
  <c r="Q25" i="15"/>
  <c r="R25" i="15"/>
  <c r="T25" i="15"/>
  <c r="V25" i="15" s="1"/>
  <c r="U25" i="15"/>
  <c r="X25" i="15"/>
  <c r="Z25" i="15" s="1"/>
  <c r="Y25" i="15"/>
  <c r="O25" i="15"/>
  <c r="S25" i="15"/>
  <c r="W25" i="15"/>
  <c r="AE20" i="2" l="1"/>
  <c r="AB20" i="2"/>
  <c r="Z20" i="2"/>
  <c r="AB16" i="2"/>
  <c r="Z16" i="2"/>
  <c r="AB15" i="2"/>
  <c r="Z15" i="2"/>
  <c r="AA14" i="2"/>
  <c r="Z14" i="2"/>
  <c r="AB9" i="2"/>
  <c r="AA9" i="2"/>
  <c r="Z9" i="2"/>
  <c r="AB7" i="2"/>
  <c r="AA7" i="2"/>
  <c r="AB10" i="2"/>
  <c r="Z10" i="2"/>
  <c r="AB8" i="2"/>
  <c r="AA8" i="2"/>
  <c r="AB6" i="2"/>
  <c r="AA6" i="2"/>
  <c r="AB11" i="2" l="1"/>
  <c r="AA11" i="2"/>
  <c r="AB13" i="2"/>
  <c r="AA13" i="2"/>
  <c r="Z13" i="2"/>
  <c r="AB12" i="2"/>
  <c r="Z12" i="2"/>
  <c r="AF19" i="15"/>
  <c r="AI19" i="15" s="1"/>
  <c r="AG19" i="15"/>
  <c r="AJ19" i="15" s="1"/>
  <c r="AH19" i="15"/>
  <c r="AK19" i="15" s="1"/>
  <c r="P19" i="15"/>
  <c r="Q19" i="15"/>
  <c r="R19" i="15"/>
  <c r="T19" i="15"/>
  <c r="V19" i="15" s="1"/>
  <c r="U19" i="15"/>
  <c r="X19" i="15"/>
  <c r="Z19" i="15" s="1"/>
  <c r="Y19" i="15"/>
  <c r="O19" i="15"/>
  <c r="S19" i="15"/>
  <c r="W19" i="15"/>
  <c r="AF23" i="15" l="1"/>
  <c r="AI23" i="15" s="1"/>
  <c r="AG23" i="15"/>
  <c r="AJ23" i="15" s="1"/>
  <c r="AH23" i="15"/>
  <c r="AK23" i="15" s="1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AF9" i="15"/>
  <c r="AI9" i="15" s="1"/>
  <c r="AG9" i="15"/>
  <c r="AJ9" i="15" s="1"/>
  <c r="AH9" i="15"/>
  <c r="AK9" i="15" s="1"/>
  <c r="P9" i="15"/>
  <c r="Q9" i="15"/>
  <c r="R9" i="15"/>
  <c r="T9" i="15"/>
  <c r="V9" i="15" s="1"/>
  <c r="U9" i="15"/>
  <c r="X9" i="15"/>
  <c r="Z9" i="15" s="1"/>
  <c r="Y9" i="15"/>
  <c r="O9" i="15"/>
  <c r="S9" i="15"/>
  <c r="W9" i="15"/>
  <c r="AF5" i="15"/>
  <c r="AI5" i="15" s="1"/>
  <c r="AG5" i="15"/>
  <c r="AJ5" i="15" s="1"/>
  <c r="AH5" i="15"/>
  <c r="AK5" i="15" s="1"/>
  <c r="P5" i="15"/>
  <c r="Q5" i="15"/>
  <c r="R5" i="15"/>
  <c r="T5" i="15"/>
  <c r="V5" i="15" s="1"/>
  <c r="U5" i="15"/>
  <c r="X5" i="15"/>
  <c r="Z5" i="15" s="1"/>
  <c r="Y5" i="15"/>
  <c r="O5" i="15"/>
  <c r="S5" i="15"/>
  <c r="W5" i="15"/>
  <c r="AF8" i="15"/>
  <c r="AI8" i="15" s="1"/>
  <c r="AG8" i="15"/>
  <c r="AJ8" i="15" s="1"/>
  <c r="AH8" i="15"/>
  <c r="AK8" i="15" s="1"/>
  <c r="P8" i="15"/>
  <c r="Q8" i="15"/>
  <c r="R8" i="15"/>
  <c r="T8" i="15"/>
  <c r="V8" i="15" s="1"/>
  <c r="U8" i="15"/>
  <c r="X8" i="15"/>
  <c r="Z8" i="15" s="1"/>
  <c r="Y8" i="15"/>
  <c r="O8" i="15"/>
  <c r="S8" i="15"/>
  <c r="W8" i="15"/>
  <c r="AF10" i="15"/>
  <c r="AI10" i="15" s="1"/>
  <c r="AG10" i="15"/>
  <c r="AJ10" i="15" s="1"/>
  <c r="AH10" i="15"/>
  <c r="AK10" i="15" s="1"/>
  <c r="P10" i="15"/>
  <c r="Q10" i="15"/>
  <c r="R10" i="15"/>
  <c r="T10" i="15"/>
  <c r="V10" i="15" s="1"/>
  <c r="U10" i="15"/>
  <c r="X10" i="15"/>
  <c r="Z10" i="15" s="1"/>
  <c r="Y10" i="15"/>
  <c r="O10" i="15"/>
  <c r="S10" i="15"/>
  <c r="W10" i="15"/>
  <c r="AF14" i="15"/>
  <c r="AI14" i="15" s="1"/>
  <c r="AG14" i="15"/>
  <c r="AJ14" i="15" s="1"/>
  <c r="AH14" i="15"/>
  <c r="AK14" i="15" s="1"/>
  <c r="P14" i="15"/>
  <c r="Q14" i="15"/>
  <c r="R14" i="15"/>
  <c r="T14" i="15"/>
  <c r="V14" i="15" s="1"/>
  <c r="U14" i="15"/>
  <c r="X14" i="15"/>
  <c r="Z14" i="15" s="1"/>
  <c r="Y14" i="15"/>
  <c r="O14" i="15"/>
  <c r="S14" i="15"/>
  <c r="W14" i="15"/>
  <c r="AF27" i="15"/>
  <c r="AI27" i="15" s="1"/>
  <c r="AG27" i="15"/>
  <c r="AJ27" i="15" s="1"/>
  <c r="AH27" i="15"/>
  <c r="AK27" i="15" s="1"/>
  <c r="P27" i="15"/>
  <c r="Q27" i="15"/>
  <c r="R27" i="15"/>
  <c r="T27" i="15"/>
  <c r="V27" i="15" s="1"/>
  <c r="U27" i="15"/>
  <c r="X27" i="15"/>
  <c r="Z27" i="15" s="1"/>
  <c r="Y27" i="15"/>
  <c r="O27" i="15"/>
  <c r="S27" i="15"/>
  <c r="W27" i="15"/>
  <c r="AF7" i="15"/>
  <c r="AI7" i="15" s="1"/>
  <c r="AG7" i="15"/>
  <c r="AJ7" i="15" s="1"/>
  <c r="AH7" i="15"/>
  <c r="AK7" i="15" s="1"/>
  <c r="O7" i="15"/>
  <c r="P7" i="15"/>
  <c r="Q7" i="15"/>
  <c r="R7" i="15"/>
  <c r="S7" i="15"/>
  <c r="T7" i="15"/>
  <c r="V7" i="15" s="1"/>
  <c r="U7" i="15"/>
  <c r="W7" i="15"/>
  <c r="X7" i="15"/>
  <c r="Z7" i="15" s="1"/>
  <c r="Y7" i="15"/>
  <c r="A4" i="13" l="1"/>
  <c r="B4" i="13"/>
  <c r="D4" i="13"/>
  <c r="E4" i="13"/>
  <c r="F4" i="13"/>
  <c r="G4" i="13" s="1"/>
  <c r="J4" i="13"/>
  <c r="K4" i="13"/>
  <c r="L4" i="13"/>
  <c r="M4" i="13"/>
  <c r="N4" i="13"/>
  <c r="O4" i="13"/>
  <c r="R4" i="13" s="1"/>
  <c r="P4" i="13"/>
  <c r="Q4" i="13"/>
  <c r="T4" i="13" s="1"/>
  <c r="S4" i="13"/>
  <c r="A5" i="13"/>
  <c r="B5" i="13"/>
  <c r="D5" i="13"/>
  <c r="E5" i="13"/>
  <c r="F5" i="13"/>
  <c r="G5" i="13" s="1"/>
  <c r="H5" i="13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H6" i="13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H7" i="13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L8" i="13"/>
  <c r="M8" i="13"/>
  <c r="N8" i="13"/>
  <c r="O8" i="13"/>
  <c r="R8" i="13" s="1"/>
  <c r="P8" i="13"/>
  <c r="Q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Q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P10" i="13"/>
  <c r="Q10" i="13"/>
  <c r="S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P11" i="13"/>
  <c r="S11" i="13" s="1"/>
  <c r="Q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P12" i="13"/>
  <c r="Q12" i="13"/>
  <c r="R12" i="13"/>
  <c r="S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O13" i="13"/>
  <c r="P13" i="13"/>
  <c r="Q13" i="13"/>
  <c r="AN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S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S17" i="13"/>
  <c r="T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R18" i="13" s="1"/>
  <c r="P18" i="13"/>
  <c r="Q18" i="13"/>
  <c r="A19" i="13"/>
  <c r="B19" i="13"/>
  <c r="D19" i="13"/>
  <c r="E19" i="13"/>
  <c r="F19" i="13"/>
  <c r="H19" i="13" s="1"/>
  <c r="G19" i="13"/>
  <c r="J19" i="13"/>
  <c r="K19" i="13"/>
  <c r="L19" i="13"/>
  <c r="M19" i="13"/>
  <c r="N19" i="13"/>
  <c r="O19" i="13"/>
  <c r="P19" i="13"/>
  <c r="S19" i="13" s="1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T13" i="13" l="1"/>
  <c r="X13" i="13"/>
  <c r="V13" i="13"/>
  <c r="R7" i="13"/>
  <c r="T12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B13" i="13"/>
  <c r="CD13" i="13" s="1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BH13" i="13"/>
  <c r="BM13" i="13"/>
  <c r="AT13" i="13"/>
  <c r="AV13" i="13" s="1"/>
  <c r="BV13" i="13"/>
  <c r="R13" i="13"/>
  <c r="AO13" i="13" s="1"/>
  <c r="BW13" i="13"/>
  <c r="BL13" i="13"/>
  <c r="BY13" i="13"/>
  <c r="CA13" i="13" s="1"/>
  <c r="T15" i="13"/>
  <c r="R19" i="13"/>
  <c r="R16" i="13"/>
  <c r="BZ13" i="13"/>
  <c r="BF13" i="13"/>
  <c r="G17" i="13"/>
  <c r="H17" i="13"/>
  <c r="T10" i="13"/>
  <c r="T5" i="13"/>
  <c r="S15" i="13"/>
  <c r="BR13" i="13"/>
  <c r="R6" i="13"/>
  <c r="T6" i="13"/>
  <c r="T16" i="13"/>
  <c r="T19" i="13"/>
  <c r="R15" i="13"/>
  <c r="BQ13" i="13"/>
  <c r="BA13" i="13"/>
  <c r="BC13" i="13" s="1"/>
  <c r="T11" i="13"/>
  <c r="T14" i="13"/>
  <c r="S9" i="13"/>
  <c r="T9" i="13"/>
  <c r="R17" i="13"/>
  <c r="BB13" i="13"/>
  <c r="S13" i="13"/>
  <c r="AU13" i="13"/>
  <c r="CC13" i="13"/>
  <c r="S5" i="13"/>
  <c r="T7" i="13"/>
  <c r="S7" i="13"/>
  <c r="G12" i="13"/>
  <c r="S8" i="13"/>
  <c r="Z13" i="13"/>
  <c r="AB13" i="13" s="1"/>
  <c r="AI13" i="13"/>
  <c r="BS13" i="13"/>
  <c r="AL13" i="13"/>
  <c r="BD13" i="13"/>
  <c r="W13" i="13"/>
  <c r="Y13" i="13" s="1"/>
  <c r="AX13" i="13"/>
  <c r="BG13" i="13"/>
  <c r="H10" i="13"/>
  <c r="R10" i="13"/>
  <c r="T8" i="13"/>
  <c r="R11" i="13"/>
  <c r="G11" i="13"/>
  <c r="S6" i="13"/>
  <c r="R5" i="13"/>
  <c r="H4" i="13"/>
  <c r="N12" i="9" l="1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R13" i="7"/>
  <c r="S13" i="7"/>
  <c r="O13" i="7"/>
  <c r="R12" i="7"/>
  <c r="S12" i="7"/>
  <c r="O12" i="7"/>
  <c r="Q11" i="7"/>
  <c r="R11" i="7"/>
  <c r="S11" i="7"/>
  <c r="O11" i="7"/>
  <c r="R10" i="7"/>
  <c r="S10" i="7"/>
  <c r="O10" i="7"/>
  <c r="Q3" i="7"/>
  <c r="R3" i="7"/>
  <c r="S3" i="7"/>
  <c r="R5" i="7"/>
  <c r="S5" i="7"/>
  <c r="R6" i="7"/>
  <c r="S6" i="7"/>
  <c r="R7" i="7"/>
  <c r="S7" i="7"/>
  <c r="R8" i="7"/>
  <c r="S8" i="7"/>
  <c r="R9" i="7"/>
  <c r="S9" i="7"/>
  <c r="O9" i="7"/>
  <c r="O8" i="7"/>
  <c r="O7" i="7"/>
  <c r="O6" i="7"/>
  <c r="P3" i="7"/>
  <c r="O3" i="7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 s="1"/>
  <c r="G6" i="7"/>
  <c r="H6" i="7"/>
  <c r="A7" i="7"/>
  <c r="B7" i="7"/>
  <c r="C7" i="7"/>
  <c r="D7" i="7"/>
  <c r="E7" i="7" s="1"/>
  <c r="G7" i="7"/>
  <c r="H7" i="7" s="1"/>
  <c r="A8" i="7"/>
  <c r="B8" i="7"/>
  <c r="C8" i="7"/>
  <c r="D8" i="7"/>
  <c r="E8" i="7"/>
  <c r="F8" i="7" s="1"/>
  <c r="G8" i="7"/>
  <c r="H8" i="7" s="1"/>
  <c r="I8" i="7"/>
  <c r="A9" i="7"/>
  <c r="B9" i="7"/>
  <c r="C9" i="7"/>
  <c r="D9" i="7"/>
  <c r="E9" i="7"/>
  <c r="F9" i="7" s="1"/>
  <c r="Q13" i="7" s="1"/>
  <c r="G9" i="7"/>
  <c r="H9" i="7" s="1"/>
  <c r="A10" i="7"/>
  <c r="B10" i="7"/>
  <c r="C10" i="7"/>
  <c r="D10" i="7"/>
  <c r="E10" i="7" s="1"/>
  <c r="G10" i="7"/>
  <c r="H10" i="7" s="1"/>
  <c r="A11" i="7"/>
  <c r="B11" i="7"/>
  <c r="C11" i="7"/>
  <c r="D11" i="7"/>
  <c r="E11" i="7"/>
  <c r="F11" i="7" s="1"/>
  <c r="Q9" i="7" s="1"/>
  <c r="G11" i="7"/>
  <c r="H11" i="7" s="1"/>
  <c r="A12" i="7"/>
  <c r="B12" i="7"/>
  <c r="C12" i="7"/>
  <c r="D12" i="7"/>
  <c r="E12" i="7"/>
  <c r="F12" i="7" s="1"/>
  <c r="G12" i="7"/>
  <c r="H12" i="7" s="1"/>
  <c r="A13" i="7"/>
  <c r="B13" i="7"/>
  <c r="C13" i="7"/>
  <c r="G13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D15" i="7"/>
  <c r="E15" i="7" s="1"/>
  <c r="G15" i="7"/>
  <c r="H15" i="7" s="1"/>
  <c r="A16" i="7"/>
  <c r="B16" i="7"/>
  <c r="C16" i="7"/>
  <c r="D16" i="7"/>
  <c r="E16" i="7"/>
  <c r="F16" i="7" s="1"/>
  <c r="Q6" i="7" s="1"/>
  <c r="G16" i="7"/>
  <c r="H16" i="7" s="1"/>
  <c r="A17" i="7"/>
  <c r="B17" i="7"/>
  <c r="C17" i="7"/>
  <c r="G17" i="7" s="1"/>
  <c r="D17" i="7"/>
  <c r="E17" i="7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D19" i="7"/>
  <c r="E19" i="7" s="1"/>
  <c r="G19" i="7"/>
  <c r="H19" i="7" s="1"/>
  <c r="P10" i="7" l="1"/>
  <c r="F15" i="7"/>
  <c r="I15" i="7"/>
  <c r="J8" i="7"/>
  <c r="P11" i="7"/>
  <c r="F6" i="7"/>
  <c r="I6" i="7"/>
  <c r="J6" i="7"/>
  <c r="P13" i="7"/>
  <c r="I9" i="7"/>
  <c r="P12" i="7"/>
  <c r="F7" i="7"/>
  <c r="Q12" i="7" s="1"/>
  <c r="J7" i="7"/>
  <c r="F10" i="7"/>
  <c r="Q8" i="7" s="1"/>
  <c r="P8" i="7"/>
  <c r="J10" i="7"/>
  <c r="I11" i="7"/>
  <c r="P9" i="7"/>
  <c r="J11" i="7"/>
  <c r="F19" i="7"/>
  <c r="I19" i="7"/>
  <c r="J19" i="7"/>
  <c r="J16" i="7"/>
  <c r="P6" i="7"/>
  <c r="F13" i="7"/>
  <c r="Q7" i="7" s="1"/>
  <c r="P7" i="7"/>
  <c r="F18" i="7"/>
  <c r="Q4" i="7" s="1"/>
  <c r="P4" i="7"/>
  <c r="I17" i="7"/>
  <c r="H17" i="7"/>
  <c r="J17" i="7" s="1"/>
  <c r="J15" i="7"/>
  <c r="H14" i="7"/>
  <c r="J14" i="7" s="1"/>
  <c r="I14" i="7"/>
  <c r="J12" i="7"/>
  <c r="I13" i="7"/>
  <c r="H13" i="7"/>
  <c r="H4" i="7"/>
  <c r="J4" i="7" s="1"/>
  <c r="I4" i="7"/>
  <c r="H18" i="7"/>
  <c r="I18" i="7"/>
  <c r="H5" i="7"/>
  <c r="J5" i="7" s="1"/>
  <c r="I5" i="7"/>
  <c r="J9" i="7"/>
  <c r="I16" i="7"/>
  <c r="I12" i="7"/>
  <c r="I7" i="7"/>
  <c r="I10" i="7"/>
  <c r="AA15" i="2"/>
  <c r="J13" i="7" l="1"/>
  <c r="J18" i="7"/>
  <c r="S4" i="7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31" i="15"/>
  <c r="AK31" i="15" s="1"/>
  <c r="AG31" i="15"/>
  <c r="AJ31" i="15" s="1"/>
  <c r="AF31" i="15"/>
  <c r="AI31" i="15" s="1"/>
  <c r="Y31" i="15"/>
  <c r="X31" i="15"/>
  <c r="Z31" i="15" s="1"/>
  <c r="W31" i="15"/>
  <c r="U31" i="15"/>
  <c r="T31" i="15"/>
  <c r="V31" i="15" s="1"/>
  <c r="S31" i="15"/>
  <c r="R31" i="15"/>
  <c r="Q31" i="15"/>
  <c r="P31" i="15"/>
  <c r="O31" i="15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18" i="15"/>
  <c r="AK18" i="15" s="1"/>
  <c r="AG18" i="15"/>
  <c r="AJ18" i="15" s="1"/>
  <c r="AF18" i="15"/>
  <c r="AI18" i="15" s="1"/>
  <c r="Y18" i="15"/>
  <c r="X18" i="15"/>
  <c r="Z18" i="15" s="1"/>
  <c r="W18" i="15"/>
  <c r="U18" i="15"/>
  <c r="T18" i="15"/>
  <c r="V18" i="15" s="1"/>
  <c r="S18" i="15"/>
  <c r="R18" i="15"/>
  <c r="Q18" i="15"/>
  <c r="P18" i="15"/>
  <c r="O18" i="15"/>
  <c r="AH26" i="15"/>
  <c r="AK26" i="15" s="1"/>
  <c r="AG26" i="15"/>
  <c r="AJ26" i="15" s="1"/>
  <c r="AB26" i="15"/>
  <c r="AF26" i="15" s="1"/>
  <c r="AI26" i="15" s="1"/>
  <c r="Y26" i="15"/>
  <c r="X26" i="15"/>
  <c r="Z26" i="15" s="1"/>
  <c r="W26" i="15"/>
  <c r="U26" i="15"/>
  <c r="T26" i="15"/>
  <c r="V26" i="15" s="1"/>
  <c r="S26" i="15"/>
  <c r="R26" i="15"/>
  <c r="Q26" i="15"/>
  <c r="P26" i="15"/>
  <c r="O26" i="15"/>
  <c r="AH16" i="15"/>
  <c r="AK16" i="15" s="1"/>
  <c r="AG16" i="15"/>
  <c r="AJ16" i="15" s="1"/>
  <c r="AF16" i="15"/>
  <c r="AI16" i="15" s="1"/>
  <c r="Y16" i="15"/>
  <c r="X16" i="15"/>
  <c r="Z16" i="15" s="1"/>
  <c r="W16" i="15"/>
  <c r="U16" i="15"/>
  <c r="T16" i="15"/>
  <c r="V16" i="15" s="1"/>
  <c r="S16" i="15"/>
  <c r="R16" i="15"/>
  <c r="Q16" i="15"/>
  <c r="P16" i="15"/>
  <c r="O16" i="15"/>
  <c r="AB29" i="15"/>
  <c r="AH29" i="15" s="1"/>
  <c r="AK29" i="15" s="1"/>
  <c r="Y29" i="15"/>
  <c r="X29" i="15"/>
  <c r="Z29" i="15" s="1"/>
  <c r="W29" i="15"/>
  <c r="U29" i="15"/>
  <c r="T29" i="15"/>
  <c r="V29" i="15" s="1"/>
  <c r="S29" i="15"/>
  <c r="R29" i="15"/>
  <c r="Q29" i="15"/>
  <c r="P29" i="15"/>
  <c r="O29" i="15"/>
  <c r="AH20" i="15"/>
  <c r="AK20" i="15" s="1"/>
  <c r="AG20" i="15"/>
  <c r="AJ20" i="15" s="1"/>
  <c r="AF20" i="15"/>
  <c r="AI20" i="15" s="1"/>
  <c r="Y20" i="15"/>
  <c r="X20" i="15"/>
  <c r="Z20" i="15" s="1"/>
  <c r="W20" i="15"/>
  <c r="U20" i="15"/>
  <c r="T20" i="15"/>
  <c r="V20" i="15" s="1"/>
  <c r="S20" i="15"/>
  <c r="R20" i="15"/>
  <c r="Q20" i="15"/>
  <c r="P20" i="15"/>
  <c r="O20" i="15"/>
  <c r="AH22" i="15"/>
  <c r="AK22" i="15" s="1"/>
  <c r="AG22" i="15"/>
  <c r="AJ22" i="15" s="1"/>
  <c r="AF22" i="15"/>
  <c r="AI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B15" i="15"/>
  <c r="AH15" i="15" s="1"/>
  <c r="AK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30" i="15"/>
  <c r="AK30" i="15" s="1"/>
  <c r="AG30" i="15"/>
  <c r="AJ30" i="15" s="1"/>
  <c r="AF30" i="15"/>
  <c r="AI30" i="15" s="1"/>
  <c r="Y30" i="15"/>
  <c r="X30" i="15"/>
  <c r="Z30" i="15" s="1"/>
  <c r="W30" i="15"/>
  <c r="U30" i="15"/>
  <c r="T30" i="15"/>
  <c r="V30" i="15" s="1"/>
  <c r="S30" i="15"/>
  <c r="R30" i="15"/>
  <c r="Q30" i="15"/>
  <c r="P30" i="15"/>
  <c r="O30" i="15"/>
  <c r="AH28" i="15"/>
  <c r="AK28" i="15" s="1"/>
  <c r="AG28" i="15"/>
  <c r="AJ28" i="15" s="1"/>
  <c r="AF28" i="15"/>
  <c r="AI28" i="15" s="1"/>
  <c r="Y28" i="15"/>
  <c r="X28" i="15"/>
  <c r="Z28" i="15" s="1"/>
  <c r="W28" i="15"/>
  <c r="U28" i="15"/>
  <c r="T28" i="15"/>
  <c r="V28" i="15" s="1"/>
  <c r="S28" i="15"/>
  <c r="R28" i="15"/>
  <c r="Q28" i="15"/>
  <c r="P28" i="15"/>
  <c r="O28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H12" i="15"/>
  <c r="AK12" i="15" s="1"/>
  <c r="AG12" i="15"/>
  <c r="AJ12" i="15" s="1"/>
  <c r="AF12" i="15"/>
  <c r="AI12" i="15" s="1"/>
  <c r="Y12" i="15"/>
  <c r="X12" i="15"/>
  <c r="Z12" i="15" s="1"/>
  <c r="W12" i="15"/>
  <c r="U12" i="15"/>
  <c r="T12" i="15"/>
  <c r="V12" i="15" s="1"/>
  <c r="S12" i="15"/>
  <c r="R12" i="15"/>
  <c r="Q12" i="15"/>
  <c r="P12" i="15"/>
  <c r="O12" i="15"/>
  <c r="AB3" i="15"/>
  <c r="Y3" i="15"/>
  <c r="X3" i="15"/>
  <c r="Z3" i="15" s="1"/>
  <c r="W3" i="15"/>
  <c r="U3" i="15"/>
  <c r="T3" i="15"/>
  <c r="V3" i="15" s="1"/>
  <c r="S3" i="15"/>
  <c r="R3" i="15"/>
  <c r="Q3" i="15"/>
  <c r="P3" i="15"/>
  <c r="O3" i="15"/>
  <c r="AH4" i="15"/>
  <c r="AK4" i="15" s="1"/>
  <c r="AG4" i="15"/>
  <c r="AJ4" i="15" s="1"/>
  <c r="AF4" i="15"/>
  <c r="AI4" i="15" s="1"/>
  <c r="AB4" i="15"/>
  <c r="Y4" i="15"/>
  <c r="X4" i="15"/>
  <c r="Z4" i="15" s="1"/>
  <c r="W4" i="15"/>
  <c r="U4" i="15"/>
  <c r="T4" i="15"/>
  <c r="V4" i="15" s="1"/>
  <c r="S4" i="15"/>
  <c r="R4" i="15"/>
  <c r="Q4" i="15"/>
  <c r="P4" i="15"/>
  <c r="O4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K21" i="10"/>
  <c r="B21" i="10"/>
  <c r="B25" i="10" s="1"/>
  <c r="B29" i="10" s="1"/>
  <c r="AK19" i="10"/>
  <c r="B19" i="10"/>
  <c r="B23" i="10" s="1"/>
  <c r="B27" i="10" s="1"/>
  <c r="AK18" i="10"/>
  <c r="B18" i="10"/>
  <c r="C16" i="10"/>
  <c r="C19" i="10" s="1"/>
  <c r="C23" i="10" s="1"/>
  <c r="Q13" i="10"/>
  <c r="L7" i="10" s="1"/>
  <c r="O13" i="10"/>
  <c r="N13" i="10"/>
  <c r="I13" i="10"/>
  <c r="P12" i="10"/>
  <c r="E12" i="10"/>
  <c r="P11" i="10"/>
  <c r="E11" i="10"/>
  <c r="P10" i="10"/>
  <c r="E10" i="10"/>
  <c r="C10" i="10"/>
  <c r="P9" i="10"/>
  <c r="H9" i="10"/>
  <c r="I11" i="10" s="1"/>
  <c r="E9" i="10"/>
  <c r="P8" i="10"/>
  <c r="J8" i="10"/>
  <c r="C8" i="10"/>
  <c r="P7" i="10"/>
  <c r="K7" i="10"/>
  <c r="J7" i="10"/>
  <c r="I7" i="10"/>
  <c r="G7" i="10"/>
  <c r="E7" i="10"/>
  <c r="B12" i="10" s="1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K8" i="10" s="1"/>
  <c r="J4" i="10"/>
  <c r="I4" i="10"/>
  <c r="G4" i="10"/>
  <c r="B30" i="10" s="1"/>
  <c r="C30" i="10" s="1"/>
  <c r="E4" i="10"/>
  <c r="P3" i="10"/>
  <c r="C3" i="10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O2" i="8"/>
  <c r="H2" i="8"/>
  <c r="H13" i="8" s="1"/>
  <c r="O13" i="8" s="1"/>
  <c r="A2" i="8"/>
  <c r="K1" i="8"/>
  <c r="R1" i="8" s="1"/>
  <c r="P18" i="7"/>
  <c r="E3" i="7"/>
  <c r="D3" i="7"/>
  <c r="C3" i="7"/>
  <c r="G3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F30" i="5"/>
  <c r="AE30" i="5"/>
  <c r="N30" i="5"/>
  <c r="J30" i="5"/>
  <c r="AD30" i="5" s="1"/>
  <c r="AH29" i="5"/>
  <c r="AE29" i="5"/>
  <c r="AD29" i="5"/>
  <c r="AA29" i="5"/>
  <c r="U29" i="5"/>
  <c r="AO29" i="5" s="1"/>
  <c r="AM28" i="5"/>
  <c r="AH28" i="5"/>
  <c r="AE28" i="5"/>
  <c r="AD28" i="5"/>
  <c r="Y28" i="5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T26" i="5"/>
  <c r="AN26" i="5" s="1"/>
  <c r="P26" i="5"/>
  <c r="AJ26" i="5" s="1"/>
  <c r="O26" i="5"/>
  <c r="D26" i="5"/>
  <c r="AH25" i="5"/>
  <c r="AE25" i="5"/>
  <c r="AD25" i="5"/>
  <c r="T25" i="5"/>
  <c r="AN25" i="5" s="1"/>
  <c r="J25" i="5"/>
  <c r="H25" i="5"/>
  <c r="AB25" i="5" s="1"/>
  <c r="AO24" i="5"/>
  <c r="AH24" i="5"/>
  <c r="AE24" i="5"/>
  <c r="AD24" i="5"/>
  <c r="N24" i="5"/>
  <c r="J24" i="5"/>
  <c r="AS23" i="5"/>
  <c r="AH23" i="5"/>
  <c r="AE23" i="5"/>
  <c r="N23" i="5"/>
  <c r="AS22" i="5"/>
  <c r="AH22" i="5"/>
  <c r="AE22" i="5"/>
  <c r="O22" i="5"/>
  <c r="AI22" i="5" s="1"/>
  <c r="D22" i="5"/>
  <c r="AH21" i="5"/>
  <c r="AE21" i="5"/>
  <c r="D21" i="5"/>
  <c r="AH20" i="5"/>
  <c r="AH16" i="5" s="1"/>
  <c r="N20" i="5"/>
  <c r="D20" i="5"/>
  <c r="AH19" i="5"/>
  <c r="AE19" i="5"/>
  <c r="Q19" i="5"/>
  <c r="AK19" i="5" s="1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AF15" i="5"/>
  <c r="L30" i="5" s="1"/>
  <c r="AD15" i="5"/>
  <c r="AB15" i="5"/>
  <c r="H30" i="5" s="1"/>
  <c r="AB30" i="5" s="1"/>
  <c r="V15" i="5"/>
  <c r="N15" i="5"/>
  <c r="M15" i="5"/>
  <c r="AG15" i="5" s="1"/>
  <c r="M30" i="5" s="1"/>
  <c r="L15" i="5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E12" i="2" s="1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AA13" i="5"/>
  <c r="G28" i="5" s="1"/>
  <c r="AA28" i="5" s="1"/>
  <c r="V13" i="5"/>
  <c r="AE14" i="2" s="1"/>
  <c r="N13" i="5"/>
  <c r="M13" i="5"/>
  <c r="AG13" i="5" s="1"/>
  <c r="M28" i="5" s="1"/>
  <c r="I13" i="5"/>
  <c r="AC13" i="5" s="1"/>
  <c r="I28" i="5" s="1"/>
  <c r="AC28" i="5" s="1"/>
  <c r="G13" i="5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AE16" i="2" s="1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Y26" i="5" s="1"/>
  <c r="AO10" i="5"/>
  <c r="U25" i="5" s="1"/>
  <c r="AO25" i="5" s="1"/>
  <c r="AN10" i="5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G9" i="5"/>
  <c r="M24" i="5" s="1"/>
  <c r="AC9" i="5"/>
  <c r="I24" i="5" s="1"/>
  <c r="AC24" i="5" s="1"/>
  <c r="AB9" i="5"/>
  <c r="H24" i="5" s="1"/>
  <c r="AB24" i="5" s="1"/>
  <c r="V9" i="5"/>
  <c r="AE11" i="2" s="1"/>
  <c r="N9" i="5"/>
  <c r="M9" i="5"/>
  <c r="I9" i="5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Y8" i="5"/>
  <c r="E23" i="5" s="1"/>
  <c r="Y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H7" i="5"/>
  <c r="N22" i="5" s="1"/>
  <c r="AF7" i="5"/>
  <c r="L22" i="5" s="1"/>
  <c r="AF22" i="5" s="1"/>
  <c r="AB7" i="5"/>
  <c r="H22" i="5" s="1"/>
  <c r="AB22" i="5" s="1"/>
  <c r="V7" i="5"/>
  <c r="N7" i="5"/>
  <c r="L7" i="5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G6" i="5"/>
  <c r="M21" i="5" s="1"/>
  <c r="AC6" i="5"/>
  <c r="I21" i="5" s="1"/>
  <c r="AC21" i="5" s="1"/>
  <c r="AB6" i="5"/>
  <c r="H21" i="5" s="1"/>
  <c r="AB21" i="5" s="1"/>
  <c r="AA6" i="5"/>
  <c r="G21" i="5" s="1"/>
  <c r="AA21" i="5" s="1"/>
  <c r="V6" i="5"/>
  <c r="N6" i="5"/>
  <c r="M6" i="5"/>
  <c r="L6" i="5"/>
  <c r="AF6" i="5" s="1"/>
  <c r="L21" i="5" s="1"/>
  <c r="AF21" i="5" s="1"/>
  <c r="J6" i="5"/>
  <c r="AD6" i="5" s="1"/>
  <c r="J21" i="5" s="1"/>
  <c r="AD21" i="5" s="1"/>
  <c r="I6" i="5"/>
  <c r="G6" i="5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G5" i="5"/>
  <c r="M20" i="5" s="1"/>
  <c r="AD5" i="5"/>
  <c r="J20" i="5" s="1"/>
  <c r="AD20" i="5" s="1"/>
  <c r="AB5" i="5"/>
  <c r="H20" i="5" s="1"/>
  <c r="AB20" i="5" s="1"/>
  <c r="AA5" i="5"/>
  <c r="G20" i="5" s="1"/>
  <c r="AA20" i="5" s="1"/>
  <c r="V5" i="5"/>
  <c r="AE8" i="2" s="1"/>
  <c r="AM5" i="5"/>
  <c r="S20" i="5" s="1"/>
  <c r="AM20" i="5" s="1"/>
  <c r="N5" i="5"/>
  <c r="M5" i="5"/>
  <c r="L5" i="5"/>
  <c r="AF5" i="5" s="1"/>
  <c r="L20" i="5" s="1"/>
  <c r="AF20" i="5" s="1"/>
  <c r="I5" i="5"/>
  <c r="AC5" i="5" s="1"/>
  <c r="I20" i="5" s="1"/>
  <c r="AC20" i="5" s="1"/>
  <c r="H5" i="5"/>
  <c r="G5" i="5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C3" i="5"/>
  <c r="I18" i="5" s="1"/>
  <c r="AC18" i="5" s="1"/>
  <c r="AB3" i="5"/>
  <c r="H18" i="5" s="1"/>
  <c r="AB18" i="5" s="1"/>
  <c r="V3" i="5"/>
  <c r="AE4" i="2" s="1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S20" i="2"/>
  <c r="W20" i="2"/>
  <c r="U20" i="2"/>
  <c r="S20" i="2"/>
  <c r="R20" i="2"/>
  <c r="P20" i="2"/>
  <c r="N20" i="2"/>
  <c r="I19" i="13" s="1"/>
  <c r="L20" i="2"/>
  <c r="K20" i="2"/>
  <c r="J20" i="2"/>
  <c r="AS19" i="2"/>
  <c r="W19" i="2"/>
  <c r="S19" i="2"/>
  <c r="R19" i="2"/>
  <c r="P19" i="2"/>
  <c r="N19" i="2"/>
  <c r="I18" i="13" s="1"/>
  <c r="L19" i="2"/>
  <c r="K19" i="2"/>
  <c r="J19" i="2"/>
  <c r="AS18" i="2"/>
  <c r="AE18" i="2"/>
  <c r="W18" i="2"/>
  <c r="U18" i="2"/>
  <c r="S18" i="2"/>
  <c r="R18" i="2"/>
  <c r="P18" i="2"/>
  <c r="N18" i="2"/>
  <c r="I17" i="13" s="1"/>
  <c r="L18" i="2"/>
  <c r="K18" i="2"/>
  <c r="J18" i="2"/>
  <c r="AS17" i="2"/>
  <c r="AE17" i="2"/>
  <c r="W17" i="2"/>
  <c r="U17" i="2"/>
  <c r="S17" i="2"/>
  <c r="R17" i="2"/>
  <c r="P17" i="2"/>
  <c r="N17" i="2"/>
  <c r="I16" i="13" s="1"/>
  <c r="L17" i="2"/>
  <c r="K17" i="2"/>
  <c r="J17" i="2"/>
  <c r="AS16" i="2"/>
  <c r="K11" i="5"/>
  <c r="AE11" i="5" s="1"/>
  <c r="K26" i="5" s="1"/>
  <c r="H11" i="5"/>
  <c r="AB11" i="5" s="1"/>
  <c r="H26" i="5" s="1"/>
  <c r="AB26" i="5" s="1"/>
  <c r="W16" i="2"/>
  <c r="U16" i="2"/>
  <c r="S16" i="2"/>
  <c r="R16" i="2"/>
  <c r="P16" i="2"/>
  <c r="N16" i="2"/>
  <c r="I15" i="13" s="1"/>
  <c r="L16" i="2"/>
  <c r="K16" i="2"/>
  <c r="J16" i="2"/>
  <c r="AS15" i="2"/>
  <c r="AE15" i="2"/>
  <c r="W15" i="2"/>
  <c r="U15" i="2"/>
  <c r="S15" i="2"/>
  <c r="R15" i="2"/>
  <c r="P15" i="2"/>
  <c r="N15" i="2"/>
  <c r="I14" i="13" s="1"/>
  <c r="L15" i="2"/>
  <c r="K15" i="2"/>
  <c r="J15" i="2"/>
  <c r="AS14" i="2"/>
  <c r="AO14" i="2"/>
  <c r="AN14" i="2"/>
  <c r="AM14" i="2"/>
  <c r="AL14" i="2"/>
  <c r="AK14" i="2"/>
  <c r="AB14" i="2"/>
  <c r="J13" i="5"/>
  <c r="W14" i="2"/>
  <c r="U14" i="2"/>
  <c r="S14" i="2"/>
  <c r="R14" i="2"/>
  <c r="P14" i="2"/>
  <c r="L14" i="2"/>
  <c r="K14" i="2"/>
  <c r="J14" i="2"/>
  <c r="AI14" i="2" s="1"/>
  <c r="AS13" i="2"/>
  <c r="AE13" i="2"/>
  <c r="AD13" i="2"/>
  <c r="AC13" i="2"/>
  <c r="K10" i="5"/>
  <c r="AE10" i="5" s="1"/>
  <c r="K25" i="5" s="1"/>
  <c r="J10" i="5"/>
  <c r="W13" i="2"/>
  <c r="U13" i="2"/>
  <c r="S13" i="2"/>
  <c r="R13" i="2"/>
  <c r="P13" i="2"/>
  <c r="N13" i="2"/>
  <c r="I12" i="13" s="1"/>
  <c r="L13" i="2"/>
  <c r="K13" i="2"/>
  <c r="J13" i="2"/>
  <c r="AS12" i="2"/>
  <c r="AD12" i="2"/>
  <c r="AC12" i="2"/>
  <c r="J14" i="5"/>
  <c r="W12" i="2"/>
  <c r="U12" i="2"/>
  <c r="S12" i="2"/>
  <c r="R12" i="2"/>
  <c r="P12" i="2"/>
  <c r="N12" i="2"/>
  <c r="I11" i="13" s="1"/>
  <c r="L12" i="2"/>
  <c r="K12" i="2"/>
  <c r="J12" i="2"/>
  <c r="AS11" i="2"/>
  <c r="AC11" i="2"/>
  <c r="K9" i="5"/>
  <c r="AE9" i="5" s="1"/>
  <c r="K24" i="5" s="1"/>
  <c r="H9" i="5"/>
  <c r="W11" i="2"/>
  <c r="U11" i="2"/>
  <c r="S11" i="2"/>
  <c r="R11" i="2"/>
  <c r="P11" i="2"/>
  <c r="N11" i="2"/>
  <c r="I10" i="13" s="1"/>
  <c r="L11" i="2"/>
  <c r="K11" i="2"/>
  <c r="J11" i="2"/>
  <c r="AS10" i="2"/>
  <c r="AE10" i="2"/>
  <c r="AD10" i="2"/>
  <c r="K8" i="5"/>
  <c r="AE8" i="5" s="1"/>
  <c r="K23" i="5" s="1"/>
  <c r="W10" i="2"/>
  <c r="U10" i="2"/>
  <c r="S10" i="2"/>
  <c r="R10" i="2"/>
  <c r="P10" i="2"/>
  <c r="N10" i="2"/>
  <c r="I9" i="13" s="1"/>
  <c r="L10" i="2"/>
  <c r="K10" i="2"/>
  <c r="J10" i="2"/>
  <c r="AS9" i="2"/>
  <c r="AE9" i="2"/>
  <c r="AD9" i="2"/>
  <c r="K7" i="5"/>
  <c r="AE7" i="5" s="1"/>
  <c r="K22" i="5" s="1"/>
  <c r="Y9" i="2"/>
  <c r="W9" i="2"/>
  <c r="U9" i="2"/>
  <c r="S9" i="2"/>
  <c r="R9" i="2"/>
  <c r="P9" i="2"/>
  <c r="N9" i="2"/>
  <c r="I8" i="13" s="1"/>
  <c r="L9" i="2"/>
  <c r="K9" i="2"/>
  <c r="J9" i="2"/>
  <c r="AS8" i="2"/>
  <c r="J5" i="5"/>
  <c r="W8" i="2"/>
  <c r="U8" i="2"/>
  <c r="S8" i="2"/>
  <c r="R8" i="2"/>
  <c r="P8" i="2"/>
  <c r="N8" i="2"/>
  <c r="I7" i="13" s="1"/>
  <c r="L8" i="2"/>
  <c r="K8" i="2"/>
  <c r="J8" i="2"/>
  <c r="AS7" i="2"/>
  <c r="AE7" i="2"/>
  <c r="H6" i="5"/>
  <c r="W7" i="2"/>
  <c r="U7" i="2"/>
  <c r="S7" i="2"/>
  <c r="R7" i="2"/>
  <c r="P7" i="2"/>
  <c r="N7" i="2"/>
  <c r="I6" i="13" s="1"/>
  <c r="L7" i="2"/>
  <c r="K7" i="2"/>
  <c r="J7" i="2"/>
  <c r="AS6" i="2"/>
  <c r="AD6" i="2"/>
  <c r="AD2" i="2" s="1"/>
  <c r="K4" i="5"/>
  <c r="AE4" i="5" s="1"/>
  <c r="K19" i="5" s="1"/>
  <c r="J4" i="5"/>
  <c r="W6" i="2"/>
  <c r="U6" i="2"/>
  <c r="S6" i="2"/>
  <c r="R6" i="2"/>
  <c r="P6" i="2"/>
  <c r="N6" i="2"/>
  <c r="I5" i="13" s="1"/>
  <c r="L6" i="2"/>
  <c r="K6" i="2"/>
  <c r="J6" i="2"/>
  <c r="AS5" i="2"/>
  <c r="AE5" i="2"/>
  <c r="Y5" i="2"/>
  <c r="W5" i="2"/>
  <c r="U5" i="2"/>
  <c r="S5" i="2"/>
  <c r="R5" i="2"/>
  <c r="P5" i="2"/>
  <c r="N5" i="2"/>
  <c r="I4" i="13" s="1"/>
  <c r="L5" i="2"/>
  <c r="K5" i="2"/>
  <c r="J5" i="2"/>
  <c r="AS4" i="2"/>
  <c r="W4" i="2"/>
  <c r="U4" i="2"/>
  <c r="S4" i="2"/>
  <c r="R4" i="2"/>
  <c r="P4" i="2"/>
  <c r="N4" i="2"/>
  <c r="AM4" i="2" s="1"/>
  <c r="L4" i="2"/>
  <c r="K4" i="2"/>
  <c r="J4" i="2"/>
  <c r="AG2" i="2"/>
  <c r="V2" i="2"/>
  <c r="T2" i="2"/>
  <c r="Q2" i="2"/>
  <c r="O2" i="2"/>
  <c r="I2" i="2"/>
  <c r="D2" i="2"/>
  <c r="F12" i="2" s="1"/>
  <c r="F16" i="2" l="1"/>
  <c r="D16" i="10"/>
  <c r="C21" i="10"/>
  <c r="C25" i="10" s="1"/>
  <c r="AP6" i="5"/>
  <c r="G3" i="13"/>
  <c r="F19" i="2"/>
  <c r="C18" i="13" s="1"/>
  <c r="F18" i="2"/>
  <c r="C17" i="13" s="1"/>
  <c r="AJ14" i="2"/>
  <c r="B12" i="8"/>
  <c r="C12" i="8"/>
  <c r="D12" i="8" s="1"/>
  <c r="AP7" i="5"/>
  <c r="AP5" i="5"/>
  <c r="R20" i="5"/>
  <c r="AL20" i="5" s="1"/>
  <c r="AP10" i="5"/>
  <c r="AF15" i="15"/>
  <c r="AI15" i="15" s="1"/>
  <c r="AF29" i="15"/>
  <c r="AI29" i="15" s="1"/>
  <c r="AG15" i="15"/>
  <c r="AJ15" i="15" s="1"/>
  <c r="AG29" i="15"/>
  <c r="AJ29" i="15" s="1"/>
  <c r="F15" i="2"/>
  <c r="C14" i="13" s="1"/>
  <c r="F7" i="2"/>
  <c r="C6" i="13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V14" i="13"/>
  <c r="CC14" i="13"/>
  <c r="BP14" i="13"/>
  <c r="AN14" i="13"/>
  <c r="BR14" i="13"/>
  <c r="BB14" i="13"/>
  <c r="BH14" i="13"/>
  <c r="BX14" i="13"/>
  <c r="BF14" i="13"/>
  <c r="U14" i="13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O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V5" i="13"/>
  <c r="AT5" i="13"/>
  <c r="AV5" i="13" s="1"/>
  <c r="BH5" i="13"/>
  <c r="BX5" i="13"/>
  <c r="BA5" i="13"/>
  <c r="BC5" i="13" s="1"/>
  <c r="BP5" i="13"/>
  <c r="AJ5" i="13"/>
  <c r="BV5" i="13"/>
  <c r="BR5" i="13"/>
  <c r="U5" i="13"/>
  <c r="AN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N20" i="2"/>
  <c r="C18" i="8"/>
  <c r="B18" i="8"/>
  <c r="AO16" i="2"/>
  <c r="B14" i="8"/>
  <c r="C14" i="8"/>
  <c r="AH5" i="2"/>
  <c r="C3" i="8"/>
  <c r="B3" i="8"/>
  <c r="AK12" i="2"/>
  <c r="C10" i="8"/>
  <c r="J4" i="8" s="1"/>
  <c r="B10" i="8"/>
  <c r="I4" i="8" s="1"/>
  <c r="C11" i="8"/>
  <c r="B11" i="8"/>
  <c r="AO8" i="2"/>
  <c r="B6" i="8"/>
  <c r="I2" i="8" s="1"/>
  <c r="C6" i="8"/>
  <c r="B16" i="8"/>
  <c r="C16" i="8"/>
  <c r="B5" i="8"/>
  <c r="C5" i="8"/>
  <c r="B9" i="8"/>
  <c r="C9" i="8"/>
  <c r="AH19" i="2"/>
  <c r="B17" i="8"/>
  <c r="C17" i="8"/>
  <c r="AN15" i="2"/>
  <c r="B13" i="8"/>
  <c r="C13" i="8"/>
  <c r="C4" i="8"/>
  <c r="B4" i="8"/>
  <c r="I6" i="8" s="1"/>
  <c r="I17" i="8" s="1"/>
  <c r="C8" i="8"/>
  <c r="B8" i="8"/>
  <c r="I5" i="8" s="1"/>
  <c r="AK17" i="2"/>
  <c r="C15" i="8"/>
  <c r="B15" i="8"/>
  <c r="F13" i="2"/>
  <c r="C12" i="13" s="1"/>
  <c r="F14" i="2"/>
  <c r="C13" i="13" s="1"/>
  <c r="N1" i="5"/>
  <c r="F20" i="2"/>
  <c r="C19" i="13" s="1"/>
  <c r="F11" i="2"/>
  <c r="C10" i="13" s="1"/>
  <c r="P19" i="7"/>
  <c r="P20" i="7" s="1"/>
  <c r="F8" i="2"/>
  <c r="C7" i="13" s="1"/>
  <c r="F9" i="2"/>
  <c r="C8" i="13" s="1"/>
  <c r="F5" i="2"/>
  <c r="C4" i="13" s="1"/>
  <c r="F6" i="2"/>
  <c r="C5" i="13" s="1"/>
  <c r="W2" i="2"/>
  <c r="U2" i="2"/>
  <c r="H4" i="17"/>
  <c r="C8" i="3"/>
  <c r="C13" i="3"/>
  <c r="R2" i="2"/>
  <c r="H3" i="17"/>
  <c r="S2" i="2"/>
  <c r="AL15" i="2"/>
  <c r="AH15" i="2"/>
  <c r="F17" i="2"/>
  <c r="C16" i="13" s="1"/>
  <c r="F4" i="2"/>
  <c r="AJ9" i="2"/>
  <c r="AN16" i="2"/>
  <c r="AL19" i="2"/>
  <c r="AM13" i="2"/>
  <c r="AO19" i="2"/>
  <c r="C27" i="3"/>
  <c r="AJ15" i="2"/>
  <c r="AK16" i="2"/>
  <c r="AK15" i="2"/>
  <c r="AL16" i="2"/>
  <c r="AN17" i="2"/>
  <c r="AJ10" i="2"/>
  <c r="AO17" i="2"/>
  <c r="AM19" i="2"/>
  <c r="AM20" i="2"/>
  <c r="AH6" i="2"/>
  <c r="AO12" i="2"/>
  <c r="AM15" i="2"/>
  <c r="AM16" i="2"/>
  <c r="AN19" i="2"/>
  <c r="AM12" i="2"/>
  <c r="AO9" i="2"/>
  <c r="AI12" i="2"/>
  <c r="AK13" i="2"/>
  <c r="AI17" i="2"/>
  <c r="AJ20" i="2"/>
  <c r="AO5" i="2"/>
  <c r="AI6" i="2"/>
  <c r="AN10" i="2"/>
  <c r="AL6" i="2"/>
  <c r="AN4" i="2"/>
  <c r="AJ8" i="2"/>
  <c r="AO4" i="2"/>
  <c r="AJ6" i="2"/>
  <c r="AI13" i="2"/>
  <c r="AJ19" i="2"/>
  <c r="AH17" i="2"/>
  <c r="V19" i="5"/>
  <c r="AJ19" i="5"/>
  <c r="N26" i="5"/>
  <c r="AH1" i="5"/>
  <c r="AP20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AN6" i="2"/>
  <c r="I7" i="14"/>
  <c r="AN7" i="2"/>
  <c r="AN8" i="2"/>
  <c r="H21" i="14"/>
  <c r="M3" i="17"/>
  <c r="J3" i="16"/>
  <c r="F4" i="14"/>
  <c r="L3" i="13"/>
  <c r="B2" i="8"/>
  <c r="AO6" i="2"/>
  <c r="AO7" i="2"/>
  <c r="AO10" i="2"/>
  <c r="J11" i="14"/>
  <c r="AN11" i="2"/>
  <c r="I12" i="14"/>
  <c r="K14" i="5"/>
  <c r="AE14" i="5" s="1"/>
  <c r="K29" i="5" s="1"/>
  <c r="AL12" i="2"/>
  <c r="F13" i="14"/>
  <c r="AJ13" i="2"/>
  <c r="AJ18" i="2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6" i="2" s="1"/>
  <c r="AE2" i="2" s="1"/>
  <c r="E44" i="6"/>
  <c r="M58" i="6"/>
  <c r="P5" i="7"/>
  <c r="F3" i="7"/>
  <c r="Q5" i="7" s="1"/>
  <c r="B13" i="10"/>
  <c r="B10" i="10" s="1"/>
  <c r="I8" i="14"/>
  <c r="K9" i="14"/>
  <c r="J4" i="17"/>
  <c r="S4" i="17" s="1"/>
  <c r="F4" i="16"/>
  <c r="AH7" i="2"/>
  <c r="AH9" i="2"/>
  <c r="AO11" i="2"/>
  <c r="K5" i="5"/>
  <c r="AE5" i="5" s="1"/>
  <c r="K20" i="5" s="1"/>
  <c r="H7" i="5"/>
  <c r="M10" i="5"/>
  <c r="AG10" i="5" s="1"/>
  <c r="M25" i="5" s="1"/>
  <c r="V25" i="5"/>
  <c r="AP13" i="5"/>
  <c r="V18" i="5"/>
  <c r="V20" i="5"/>
  <c r="E15" i="6"/>
  <c r="AK20" i="10"/>
  <c r="B20" i="10"/>
  <c r="B24" i="10" s="1"/>
  <c r="B28" i="10" s="1"/>
  <c r="AI4" i="2"/>
  <c r="AK5" i="2"/>
  <c r="AJ7" i="2"/>
  <c r="F10" i="2"/>
  <c r="C9" i="13" s="1"/>
  <c r="AI11" i="2"/>
  <c r="J13" i="14"/>
  <c r="L10" i="5"/>
  <c r="AF10" i="5" s="1"/>
  <c r="L25" i="5" s="1"/>
  <c r="AF25" i="5" s="1"/>
  <c r="I14" i="14"/>
  <c r="K13" i="5"/>
  <c r="AE13" i="5" s="1"/>
  <c r="K28" i="5" s="1"/>
  <c r="H15" i="14"/>
  <c r="AJ17" i="2"/>
  <c r="AM18" i="2"/>
  <c r="AI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O20" i="2"/>
  <c r="AH4" i="2"/>
  <c r="AI8" i="2"/>
  <c r="AI9" i="2"/>
  <c r="AI10" i="2"/>
  <c r="K12" i="14"/>
  <c r="M14" i="5"/>
  <c r="AG14" i="5" s="1"/>
  <c r="M29" i="5" s="1"/>
  <c r="I13" i="14"/>
  <c r="AL13" i="2"/>
  <c r="H14" i="14"/>
  <c r="AH20" i="2"/>
  <c r="AJ4" i="2"/>
  <c r="AL5" i="2"/>
  <c r="F6" i="14"/>
  <c r="AK6" i="2"/>
  <c r="AK7" i="2"/>
  <c r="AK8" i="2"/>
  <c r="AK9" i="2"/>
  <c r="AK10" i="2"/>
  <c r="AJ11" i="2"/>
  <c r="C11" i="13"/>
  <c r="AH12" i="2"/>
  <c r="K13" i="14"/>
  <c r="AN13" i="2"/>
  <c r="J14" i="14"/>
  <c r="L13" i="5"/>
  <c r="AF13" i="5" s="1"/>
  <c r="L28" i="5" s="1"/>
  <c r="AF28" i="5" s="1"/>
  <c r="AO15" i="2"/>
  <c r="AH16" i="2"/>
  <c r="AN18" i="2"/>
  <c r="AI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M11" i="2"/>
  <c r="H12" i="14"/>
  <c r="C15" i="13"/>
  <c r="AI5" i="2"/>
  <c r="F14" i="14"/>
  <c r="H13" i="5"/>
  <c r="AK18" i="2"/>
  <c r="J3" i="17"/>
  <c r="T3" i="17" s="1"/>
  <c r="F3" i="16"/>
  <c r="I3" i="13"/>
  <c r="BB3" i="13" s="1"/>
  <c r="C2" i="8"/>
  <c r="AL18" i="2"/>
  <c r="AL7" i="2"/>
  <c r="F8" i="14"/>
  <c r="AL8" i="2"/>
  <c r="F9" i="14"/>
  <c r="AL9" i="2"/>
  <c r="F10" i="14"/>
  <c r="AL10" i="2"/>
  <c r="F11" i="14"/>
  <c r="AK11" i="2"/>
  <c r="AO13" i="2"/>
  <c r="AI16" i="2"/>
  <c r="AL17" i="2"/>
  <c r="AO18" i="2"/>
  <c r="AK20" i="2"/>
  <c r="AP3" i="5"/>
  <c r="O21" i="5"/>
  <c r="V26" i="5"/>
  <c r="AI26" i="5"/>
  <c r="AP26" i="5" s="1"/>
  <c r="M50" i="6"/>
  <c r="R52" i="6"/>
  <c r="Q53" i="6"/>
  <c r="K6" i="14"/>
  <c r="AN9" i="2"/>
  <c r="K10" i="14"/>
  <c r="AI18" i="2"/>
  <c r="N2" i="2"/>
  <c r="AH8" i="2"/>
  <c r="AH10" i="2"/>
  <c r="J12" i="14"/>
  <c r="L14" i="5"/>
  <c r="AF14" i="5" s="1"/>
  <c r="L29" i="5" s="1"/>
  <c r="AF29" i="5" s="1"/>
  <c r="AJ5" i="2"/>
  <c r="AI7" i="2"/>
  <c r="AH11" i="2"/>
  <c r="AN12" i="2"/>
  <c r="F15" i="14"/>
  <c r="H15" i="5"/>
  <c r="AK4" i="2"/>
  <c r="AM5" i="2"/>
  <c r="H6" i="14"/>
  <c r="F7" i="14"/>
  <c r="AL4" i="2"/>
  <c r="M4" i="17"/>
  <c r="J4" i="16"/>
  <c r="F5" i="14"/>
  <c r="AN5" i="2"/>
  <c r="I6" i="14"/>
  <c r="AM6" i="2"/>
  <c r="H7" i="14"/>
  <c r="AM7" i="2"/>
  <c r="H8" i="14"/>
  <c r="AM8" i="2"/>
  <c r="I9" i="14"/>
  <c r="AM9" i="2"/>
  <c r="I10" i="14"/>
  <c r="AM10" i="2"/>
  <c r="H11" i="14"/>
  <c r="AL11" i="2"/>
  <c r="F12" i="14"/>
  <c r="H14" i="5"/>
  <c r="AJ12" i="2"/>
  <c r="AH13" i="2"/>
  <c r="AH14" i="2"/>
  <c r="AI15" i="2"/>
  <c r="AJ16" i="2"/>
  <c r="AM17" i="2"/>
  <c r="AH18" i="2"/>
  <c r="AK19" i="2"/>
  <c r="AL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N44" i="6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B22" i="10"/>
  <c r="B26" i="10" s="1"/>
  <c r="B31" i="10" s="1"/>
  <c r="B32" i="10" s="1"/>
  <c r="C18" i="10"/>
  <c r="U65" i="11"/>
  <c r="U67" i="11"/>
  <c r="D18" i="10"/>
  <c r="D20" i="10"/>
  <c r="D24" i="10" s="1"/>
  <c r="D28" i="10" s="1"/>
  <c r="U73" i="11"/>
  <c r="U75" i="11"/>
  <c r="N13" i="14"/>
  <c r="S13" i="14"/>
  <c r="R13" i="14"/>
  <c r="Q13" i="14"/>
  <c r="O13" i="14"/>
  <c r="U13" i="14" s="1"/>
  <c r="M13" i="14"/>
  <c r="T13" i="14"/>
  <c r="AH3" i="15"/>
  <c r="AK3" i="15" s="1"/>
  <c r="AG3" i="15"/>
  <c r="AJ3" i="15" s="1"/>
  <c r="AF3" i="15"/>
  <c r="AI3" i="15" s="1"/>
  <c r="Q14" i="14"/>
  <c r="O14" i="14"/>
  <c r="N14" i="14"/>
  <c r="M14" i="14"/>
  <c r="T14" i="14"/>
  <c r="S14" i="14"/>
  <c r="U15" i="14"/>
  <c r="Q12" i="14"/>
  <c r="U12" i="14" s="1"/>
  <c r="T12" i="14"/>
  <c r="Q11" i="14"/>
  <c r="U11" i="14" s="1"/>
  <c r="M12" i="14"/>
  <c r="E16" i="10" l="1"/>
  <c r="D19" i="10"/>
  <c r="D23" i="10" s="1"/>
  <c r="D27" i="10" s="1"/>
  <c r="D21" i="10"/>
  <c r="D25" i="10" s="1"/>
  <c r="D29" i="10" s="1"/>
  <c r="E12" i="8"/>
  <c r="F12" i="8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7" i="2"/>
  <c r="D17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C32" i="10"/>
  <c r="B33" i="10"/>
  <c r="Q14" i="7"/>
  <c r="Q16" i="7"/>
  <c r="Q17" i="7" s="1"/>
  <c r="D19" i="14"/>
  <c r="C18" i="2"/>
  <c r="H69" i="6"/>
  <c r="Q3" i="16"/>
  <c r="Q18" i="7"/>
  <c r="Q19" i="7" s="1"/>
  <c r="Q20" i="7" s="1"/>
  <c r="M59" i="6"/>
  <c r="D6" i="14"/>
  <c r="C6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3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D12" i="14"/>
  <c r="C12" i="2"/>
  <c r="F14" i="5"/>
  <c r="Z14" i="5" s="1"/>
  <c r="F29" i="5" s="1"/>
  <c r="Z29" i="5" s="1"/>
  <c r="S43" i="6"/>
  <c r="T43" i="6" s="1"/>
  <c r="D11" i="14"/>
  <c r="C11" i="2"/>
  <c r="F9" i="5"/>
  <c r="Z9" i="5" s="1"/>
  <c r="F24" i="5" s="1"/>
  <c r="Z24" i="5" s="1"/>
  <c r="M18" i="6"/>
  <c r="D15" i="14"/>
  <c r="F15" i="5"/>
  <c r="Z15" i="5" s="1"/>
  <c r="F30" i="5" s="1"/>
  <c r="Z30" i="5" s="1"/>
  <c r="C15" i="2"/>
  <c r="J3" i="7"/>
  <c r="J3" i="8"/>
  <c r="U14" i="14"/>
  <c r="F30" i="10"/>
  <c r="G30" i="10" s="1"/>
  <c r="E31" i="10"/>
  <c r="P64" i="6"/>
  <c r="Q55" i="6"/>
  <c r="M63" i="6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10" i="2"/>
  <c r="D14" i="14"/>
  <c r="F13" i="5"/>
  <c r="Z13" i="5" s="1"/>
  <c r="F28" i="5" s="1"/>
  <c r="Z28" i="5" s="1"/>
  <c r="C14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9" i="2"/>
  <c r="F7" i="5"/>
  <c r="Z7" i="5" s="1"/>
  <c r="F22" i="5" s="1"/>
  <c r="Z22" i="5" s="1"/>
  <c r="M13" i="6"/>
  <c r="P4" i="16"/>
  <c r="E52" i="6"/>
  <c r="E66" i="6"/>
  <c r="H31" i="6"/>
  <c r="D7" i="14"/>
  <c r="C7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6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8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E19" i="10" l="1"/>
  <c r="E23" i="10" s="1"/>
  <c r="E21" i="10"/>
  <c r="E25" i="10" s="1"/>
  <c r="F16" i="10"/>
  <c r="E20" i="10"/>
  <c r="E24" i="10" s="1"/>
  <c r="E18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Q3" i="8"/>
  <c r="R3" i="8" s="1"/>
  <c r="J14" i="8"/>
  <c r="K3" i="8"/>
  <c r="Q4" i="8"/>
  <c r="R4" i="8" s="1"/>
  <c r="J15" i="8"/>
  <c r="K4" i="8"/>
  <c r="E17" i="10" l="1"/>
  <c r="E22" i="10"/>
  <c r="F18" i="10"/>
  <c r="F21" i="10"/>
  <c r="F25" i="10" s="1"/>
  <c r="F29" i="10" s="1"/>
  <c r="F19" i="10"/>
  <c r="F23" i="10" s="1"/>
  <c r="F27" i="10" s="1"/>
  <c r="F20" i="10"/>
  <c r="F24" i="10" s="1"/>
  <c r="F28" i="10" s="1"/>
  <c r="G16" i="10"/>
  <c r="K15" i="8"/>
  <c r="Q15" i="8"/>
  <c r="R15" i="8" s="1"/>
  <c r="R25" i="6"/>
  <c r="S15" i="6"/>
  <c r="K13" i="8"/>
  <c r="Q13" i="8"/>
  <c r="R13" i="8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G18" i="10" l="1"/>
  <c r="H16" i="10"/>
  <c r="G21" i="10"/>
  <c r="G25" i="10" s="1"/>
  <c r="G19" i="10"/>
  <c r="G23" i="10" s="1"/>
  <c r="G20" i="10"/>
  <c r="G24" i="10" s="1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I16" i="10" l="1"/>
  <c r="H20" i="10"/>
  <c r="H24" i="10" s="1"/>
  <c r="H28" i="10" s="1"/>
  <c r="H21" i="10"/>
  <c r="H25" i="10" s="1"/>
  <c r="H29" i="10" s="1"/>
  <c r="H19" i="10"/>
  <c r="H23" i="10" s="1"/>
  <c r="H27" i="10" s="1"/>
  <c r="H18" i="10"/>
  <c r="G17" i="10"/>
  <c r="G22" i="10"/>
  <c r="M17" i="8"/>
  <c r="M14" i="8"/>
  <c r="T14" i="8" s="1"/>
  <c r="M16" i="8"/>
  <c r="T16" i="8" s="1"/>
  <c r="U15" i="6"/>
  <c r="T25" i="6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M15" i="8"/>
  <c r="T15" i="8" s="1"/>
  <c r="L14" i="8"/>
  <c r="S14" i="8" s="1"/>
  <c r="W43" i="6"/>
  <c r="X43" i="6" s="1"/>
  <c r="H17" i="10" l="1"/>
  <c r="H22" i="10"/>
  <c r="H26" i="10" s="1"/>
  <c r="H31" i="10" s="1"/>
  <c r="I21" i="10"/>
  <c r="I25" i="10" s="1"/>
  <c r="I19" i="10"/>
  <c r="I23" i="10" s="1"/>
  <c r="I20" i="10"/>
  <c r="I24" i="10" s="1"/>
  <c r="I18" i="10"/>
  <c r="J16" i="10"/>
  <c r="U14" i="6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H32" i="10"/>
  <c r="G33" i="10"/>
  <c r="U25" i="6"/>
  <c r="V15" i="6"/>
  <c r="T13" i="8"/>
  <c r="T18" i="8" s="1"/>
  <c r="M18" i="8"/>
  <c r="J20" i="10" l="1"/>
  <c r="J24" i="10" s="1"/>
  <c r="J28" i="10" s="1"/>
  <c r="J19" i="10"/>
  <c r="J23" i="10" s="1"/>
  <c r="J27" i="10" s="1"/>
  <c r="J18" i="10"/>
  <c r="J21" i="10"/>
  <c r="J25" i="10" s="1"/>
  <c r="J29" i="10" s="1"/>
  <c r="K16" i="10"/>
  <c r="I22" i="10"/>
  <c r="I17" i="10"/>
  <c r="Y52" i="6"/>
  <c r="X53" i="6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L16" i="10" l="1"/>
  <c r="K20" i="10"/>
  <c r="K24" i="10" s="1"/>
  <c r="K18" i="10"/>
  <c r="K21" i="10"/>
  <c r="K25" i="10" s="1"/>
  <c r="K19" i="10"/>
  <c r="K23" i="10" s="1"/>
  <c r="J17" i="10"/>
  <c r="J22" i="10"/>
  <c r="J26" i="10" s="1"/>
  <c r="J31" i="10" s="1"/>
  <c r="J32" i="10" s="1"/>
  <c r="V80" i="6"/>
  <c r="W44" i="6"/>
  <c r="W14" i="6"/>
  <c r="X10" i="6"/>
  <c r="I33" i="10"/>
  <c r="W64" i="6"/>
  <c r="X55" i="6"/>
  <c r="W25" i="6"/>
  <c r="X15" i="6"/>
  <c r="T30" i="10"/>
  <c r="U30" i="10" s="1"/>
  <c r="S31" i="10"/>
  <c r="Z52" i="6"/>
  <c r="Y53" i="6"/>
  <c r="K22" i="10" l="1"/>
  <c r="K17" i="10"/>
  <c r="M16" i="10"/>
  <c r="L20" i="10"/>
  <c r="L24" i="10" s="1"/>
  <c r="L28" i="10" s="1"/>
  <c r="L18" i="10"/>
  <c r="L19" i="10"/>
  <c r="L23" i="10" s="1"/>
  <c r="L27" i="10" s="1"/>
  <c r="L21" i="10"/>
  <c r="L25" i="10" s="1"/>
  <c r="L29" i="10" s="1"/>
  <c r="U31" i="10"/>
  <c r="V30" i="10"/>
  <c r="W30" i="10" s="1"/>
  <c r="Z53" i="6"/>
  <c r="AA52" i="6"/>
  <c r="X25" i="6"/>
  <c r="Y15" i="6"/>
  <c r="AA43" i="6"/>
  <c r="AB43" i="6" s="1"/>
  <c r="X14" i="6"/>
  <c r="Y10" i="6"/>
  <c r="X64" i="6"/>
  <c r="Y55" i="6"/>
  <c r="W65" i="6"/>
  <c r="X44" i="6" s="1"/>
  <c r="K32" i="10"/>
  <c r="J33" i="10"/>
  <c r="L22" i="10" l="1"/>
  <c r="L26" i="10" s="1"/>
  <c r="L31" i="10" s="1"/>
  <c r="L17" i="10"/>
  <c r="M20" i="10"/>
  <c r="M24" i="10" s="1"/>
  <c r="M18" i="10"/>
  <c r="M19" i="10"/>
  <c r="M23" i="10" s="1"/>
  <c r="N16" i="10"/>
  <c r="M21" i="10"/>
  <c r="M25" i="10" s="1"/>
  <c r="Z55" i="6"/>
  <c r="Y64" i="6"/>
  <c r="Y25" i="6"/>
  <c r="Z15" i="6"/>
  <c r="AA53" i="6"/>
  <c r="AB52" i="6"/>
  <c r="X65" i="6"/>
  <c r="Y44" i="6" s="1"/>
  <c r="Y65" i="6" s="1"/>
  <c r="Z44" i="6" s="1"/>
  <c r="K33" i="10"/>
  <c r="L32" i="10"/>
  <c r="W31" i="10"/>
  <c r="X30" i="10"/>
  <c r="Y30" i="10" s="1"/>
  <c r="Y14" i="6"/>
  <c r="Z10" i="6"/>
  <c r="O16" i="10" l="1"/>
  <c r="N20" i="10"/>
  <c r="N24" i="10" s="1"/>
  <c r="N28" i="10" s="1"/>
  <c r="N19" i="10"/>
  <c r="N23" i="10" s="1"/>
  <c r="N27" i="10" s="1"/>
  <c r="N21" i="10"/>
  <c r="N25" i="10" s="1"/>
  <c r="N29" i="10" s="1"/>
  <c r="N18" i="10"/>
  <c r="M17" i="10"/>
  <c r="M22" i="10"/>
  <c r="Z14" i="6"/>
  <c r="AA10" i="6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AC43" i="6"/>
  <c r="N22" i="10" l="1"/>
  <c r="N26" i="10" s="1"/>
  <c r="N31" i="10" s="1"/>
  <c r="N17" i="10"/>
  <c r="O21" i="10"/>
  <c r="O25" i="10" s="1"/>
  <c r="O20" i="10"/>
  <c r="O24" i="10" s="1"/>
  <c r="O19" i="10"/>
  <c r="O23" i="10" s="1"/>
  <c r="O18" i="10"/>
  <c r="P16" i="10"/>
  <c r="AA25" i="6"/>
  <c r="AB15" i="6"/>
  <c r="AA14" i="6"/>
  <c r="AB10" i="6"/>
  <c r="AC53" i="6"/>
  <c r="AD52" i="6"/>
  <c r="M33" i="10"/>
  <c r="N32" i="10"/>
  <c r="AD43" i="6"/>
  <c r="AB30" i="10"/>
  <c r="AC30" i="10" s="1"/>
  <c r="AA31" i="10"/>
  <c r="AA64" i="6"/>
  <c r="AA65" i="6" s="1"/>
  <c r="AB44" i="6" s="1"/>
  <c r="AB55" i="6"/>
  <c r="P19" i="10" l="1"/>
  <c r="P23" i="10" s="1"/>
  <c r="P27" i="10" s="1"/>
  <c r="Q16" i="10"/>
  <c r="P20" i="10"/>
  <c r="P24" i="10" s="1"/>
  <c r="P28" i="10" s="1"/>
  <c r="P21" i="10"/>
  <c r="P25" i="10" s="1"/>
  <c r="P29" i="10" s="1"/>
  <c r="P18" i="10"/>
  <c r="O17" i="10"/>
  <c r="O22" i="10"/>
  <c r="AB64" i="6"/>
  <c r="AB65" i="6" s="1"/>
  <c r="AC44" i="6" s="1"/>
  <c r="AC55" i="6"/>
  <c r="AB14" i="6"/>
  <c r="AC10" i="6"/>
  <c r="AD30" i="10"/>
  <c r="AC31" i="10"/>
  <c r="AC15" i="6"/>
  <c r="AB25" i="6"/>
  <c r="AD53" i="6"/>
  <c r="M53" i="6" s="1"/>
  <c r="M52" i="6"/>
  <c r="M4" i="6"/>
  <c r="N4" i="6" s="1"/>
  <c r="N33" i="10"/>
  <c r="O32" i="10"/>
  <c r="P17" i="10" l="1"/>
  <c r="P22" i="10"/>
  <c r="P26" i="10" s="1"/>
  <c r="P31" i="10" s="1"/>
  <c r="Q20" i="10"/>
  <c r="Q24" i="10" s="1"/>
  <c r="Q18" i="10"/>
  <c r="Q19" i="10"/>
  <c r="Q23" i="10" s="1"/>
  <c r="Q21" i="10"/>
  <c r="Q25" i="10" s="1"/>
  <c r="R16" i="10"/>
  <c r="B51" i="6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AC64" i="6"/>
  <c r="AC65" i="6" s="1"/>
  <c r="AD44" i="6" s="1"/>
  <c r="AD5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Q22" i="10" l="1"/>
  <c r="Q17" i="10"/>
  <c r="R19" i="10"/>
  <c r="R23" i="10" s="1"/>
  <c r="R27" i="10" s="1"/>
  <c r="R18" i="10"/>
  <c r="R21" i="10"/>
  <c r="R25" i="10" s="1"/>
  <c r="R29" i="10" s="1"/>
  <c r="S16" i="10"/>
  <c r="R20" i="10"/>
  <c r="R24" i="10" s="1"/>
  <c r="R28" i="10" s="1"/>
  <c r="B53" i="6"/>
  <c r="AD64" i="6"/>
  <c r="M64" i="6" s="1"/>
  <c r="M55" i="6"/>
  <c r="E10" i="6"/>
  <c r="B10" i="6"/>
  <c r="B14" i="6" s="1"/>
  <c r="E34" i="6"/>
  <c r="E63" i="6"/>
  <c r="E49" i="6"/>
  <c r="H27" i="6"/>
  <c r="B24" i="6"/>
  <c r="Q32" i="10"/>
  <c r="P33" i="10"/>
  <c r="S20" i="10" l="1"/>
  <c r="S24" i="10" s="1"/>
  <c r="S18" i="10"/>
  <c r="S21" i="10"/>
  <c r="S25" i="10" s="1"/>
  <c r="S19" i="10"/>
  <c r="S23" i="10" s="1"/>
  <c r="T16" i="10"/>
  <c r="R22" i="10"/>
  <c r="R26" i="10" s="1"/>
  <c r="R31" i="10" s="1"/>
  <c r="R32" i="10" s="1"/>
  <c r="R17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F63" i="6"/>
  <c r="E29" i="6"/>
  <c r="H26" i="6"/>
  <c r="E74" i="6"/>
  <c r="AD65" i="6"/>
  <c r="M5" i="6" s="1"/>
  <c r="T21" i="10" l="1"/>
  <c r="T25" i="10" s="1"/>
  <c r="T29" i="10" s="1"/>
  <c r="U16" i="10"/>
  <c r="T20" i="10"/>
  <c r="T24" i="10" s="1"/>
  <c r="T28" i="10" s="1"/>
  <c r="T19" i="10"/>
  <c r="T23" i="10" s="1"/>
  <c r="T27" i="10" s="1"/>
  <c r="T18" i="10"/>
  <c r="S17" i="10"/>
  <c r="S22" i="10"/>
  <c r="F58" i="6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N5" i="6"/>
  <c r="M26" i="6"/>
  <c r="S32" i="10"/>
  <c r="R33" i="10"/>
  <c r="H16" i="6"/>
  <c r="H65" i="6"/>
  <c r="F49" i="6"/>
  <c r="B72" i="6"/>
  <c r="T22" i="10" l="1"/>
  <c r="T26" i="10" s="1"/>
  <c r="T31" i="10" s="1"/>
  <c r="T17" i="10"/>
  <c r="U19" i="10"/>
  <c r="U23" i="10" s="1"/>
  <c r="U21" i="10"/>
  <c r="U25" i="10" s="1"/>
  <c r="U18" i="10"/>
  <c r="U20" i="10"/>
  <c r="U24" i="10" s="1"/>
  <c r="V16" i="10"/>
  <c r="E25" i="6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H55" i="6"/>
  <c r="H10" i="6"/>
  <c r="S33" i="10"/>
  <c r="T32" i="10"/>
  <c r="V19" i="10" l="1"/>
  <c r="V23" i="10" s="1"/>
  <c r="V27" i="10" s="1"/>
  <c r="V20" i="10"/>
  <c r="V24" i="10" s="1"/>
  <c r="V28" i="10" s="1"/>
  <c r="W16" i="10"/>
  <c r="V18" i="10"/>
  <c r="V21" i="10"/>
  <c r="V25" i="10" s="1"/>
  <c r="V29" i="10" s="1"/>
  <c r="U17" i="10"/>
  <c r="U22" i="10"/>
  <c r="H35" i="6"/>
  <c r="H49" i="6"/>
  <c r="T33" i="10"/>
  <c r="U32" i="10"/>
  <c r="E24" i="6"/>
  <c r="V17" i="10" l="1"/>
  <c r="V22" i="10"/>
  <c r="V26" i="10" s="1"/>
  <c r="V31" i="10" s="1"/>
  <c r="W20" i="10"/>
  <c r="W24" i="10" s="1"/>
  <c r="W18" i="10"/>
  <c r="X16" i="10"/>
  <c r="W21" i="10"/>
  <c r="W25" i="10" s="1"/>
  <c r="W19" i="10"/>
  <c r="W23" i="10" s="1"/>
  <c r="U33" i="10"/>
  <c r="V32" i="10"/>
  <c r="E35" i="6"/>
  <c r="F24" i="6" s="1"/>
  <c r="H74" i="6"/>
  <c r="I49" i="6" s="1"/>
  <c r="X19" i="10" l="1"/>
  <c r="X23" i="10" s="1"/>
  <c r="X27" i="10" s="1"/>
  <c r="X18" i="10"/>
  <c r="Y16" i="10"/>
  <c r="X21" i="10"/>
  <c r="X25" i="10" s="1"/>
  <c r="X29" i="10" s="1"/>
  <c r="X20" i="10"/>
  <c r="X24" i="10" s="1"/>
  <c r="X28" i="10" s="1"/>
  <c r="W22" i="10"/>
  <c r="W17" i="10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Y21" i="10" l="1"/>
  <c r="Y25" i="10" s="1"/>
  <c r="Y19" i="10"/>
  <c r="Y23" i="10" s="1"/>
  <c r="Z16" i="10"/>
  <c r="Y18" i="10"/>
  <c r="Y20" i="10"/>
  <c r="Y24" i="10" s="1"/>
  <c r="X22" i="10"/>
  <c r="X26" i="10" s="1"/>
  <c r="X31" i="10" s="1"/>
  <c r="X32" i="10" s="1"/>
  <c r="X17" i="10"/>
  <c r="W33" i="10"/>
  <c r="Y22" i="10" l="1"/>
  <c r="Y17" i="10"/>
  <c r="Z18" i="10"/>
  <c r="Z21" i="10"/>
  <c r="Z25" i="10" s="1"/>
  <c r="Z29" i="10" s="1"/>
  <c r="AA16" i="10"/>
  <c r="Z20" i="10"/>
  <c r="Z24" i="10" s="1"/>
  <c r="Z28" i="10" s="1"/>
  <c r="Z19" i="10"/>
  <c r="Z23" i="10" s="1"/>
  <c r="Z27" i="10" s="1"/>
  <c r="Y32" i="10"/>
  <c r="X33" i="10"/>
  <c r="AB16" i="10" l="1"/>
  <c r="AA20" i="10"/>
  <c r="AA24" i="10" s="1"/>
  <c r="AA18" i="10"/>
  <c r="AA19" i="10"/>
  <c r="AA23" i="10" s="1"/>
  <c r="AA21" i="10"/>
  <c r="AA25" i="10" s="1"/>
  <c r="Z22" i="10"/>
  <c r="Z26" i="10" s="1"/>
  <c r="Z31" i="10" s="1"/>
  <c r="Z32" i="10" s="1"/>
  <c r="Z17" i="10"/>
  <c r="Y33" i="10"/>
  <c r="AA17" i="10" l="1"/>
  <c r="AA22" i="10"/>
  <c r="AC16" i="10"/>
  <c r="AB20" i="10"/>
  <c r="AB24" i="10" s="1"/>
  <c r="AB28" i="10" s="1"/>
  <c r="AB19" i="10"/>
  <c r="AB23" i="10" s="1"/>
  <c r="AB27" i="10" s="1"/>
  <c r="AB18" i="10"/>
  <c r="AB21" i="10"/>
  <c r="AB25" i="10" s="1"/>
  <c r="AB29" i="10" s="1"/>
  <c r="AA32" i="10"/>
  <c r="Z33" i="10"/>
  <c r="AB17" i="10" l="1"/>
  <c r="AB22" i="10"/>
  <c r="AB26" i="10" s="1"/>
  <c r="AB31" i="10" s="1"/>
  <c r="AB32" i="10" s="1"/>
  <c r="AC18" i="10"/>
  <c r="AC21" i="10"/>
  <c r="AC25" i="10" s="1"/>
  <c r="AD16" i="10"/>
  <c r="AC19" i="10"/>
  <c r="AC23" i="10" s="1"/>
  <c r="AC20" i="10"/>
  <c r="AC24" i="10" s="1"/>
  <c r="AA33" i="10"/>
  <c r="AD19" i="10" l="1"/>
  <c r="AD23" i="10" s="1"/>
  <c r="AD27" i="10" s="1"/>
  <c r="AE16" i="10"/>
  <c r="AD21" i="10"/>
  <c r="AD25" i="10" s="1"/>
  <c r="AD29" i="10" s="1"/>
  <c r="AD18" i="10"/>
  <c r="AD20" i="10"/>
  <c r="AD24" i="10" s="1"/>
  <c r="AD28" i="10" s="1"/>
  <c r="AC22" i="10"/>
  <c r="AC17" i="10"/>
  <c r="AB33" i="10"/>
  <c r="AC32" i="10"/>
  <c r="AE21" i="10" l="1"/>
  <c r="AE19" i="10"/>
  <c r="AE18" i="10"/>
  <c r="AE20" i="10"/>
  <c r="AF16" i="10"/>
  <c r="AD17" i="10"/>
  <c r="AD22" i="10"/>
  <c r="AD26" i="10" s="1"/>
  <c r="AD31" i="10" s="1"/>
  <c r="AD32" i="10" s="1"/>
  <c r="AD33" i="10" s="1"/>
  <c r="AC33" i="10"/>
  <c r="AF21" i="10" l="1"/>
  <c r="AF19" i="10"/>
  <c r="AF18" i="10"/>
  <c r="AG16" i="10"/>
  <c r="AF20" i="10"/>
  <c r="AG19" i="10" l="1"/>
  <c r="AH16" i="10"/>
  <c r="AG21" i="10"/>
  <c r="AG20" i="10"/>
  <c r="AG18" i="10"/>
  <c r="AI16" i="10" l="1"/>
  <c r="AH20" i="10"/>
  <c r="AH18" i="10"/>
  <c r="AH21" i="10"/>
  <c r="AH19" i="10"/>
  <c r="AI21" i="10" l="1"/>
  <c r="AI19" i="10"/>
  <c r="AJ16" i="10"/>
  <c r="AI20" i="10"/>
  <c r="AI18" i="10"/>
  <c r="AJ21" i="10" l="1"/>
  <c r="AJ20" i="10"/>
  <c r="AJ18" i="10"/>
  <c r="AJ1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tc={4D722616-FA5A-4CDA-A038-48E07680C431}</author>
    <author>tc={C223E997-198D-48E4-8AA7-77CD21FADA50}</author>
    <author>tc={661AE06C-6699-47B1-9517-EA3D2635C276}</author>
    <author>tc={D132555C-CE98-4551-B6A5-A71A14C3BDA9}</author>
    <author>tc={F98AA9EF-5A8B-4A1B-97A5-F14070E4929D}</author>
  </authors>
  <commentList>
    <comment ref="AE3" authorId="0" shapeId="0" xr:uid="{4D722616-FA5A-4CDA-A038-48E07680C4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Comprartiva a 2000, se vende 3142 xDDD</t>
      </text>
    </comment>
    <comment ref="AA7" authorId="1" shapeId="0" xr:uid="{C223E997-198D-48E4-8AA7-77CD21FADA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4150</t>
      </text>
    </comment>
    <comment ref="AA8" authorId="2" shapeId="0" xr:uid="{661AE06C-6699-47B1-9517-EA3D2635C2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7500</t>
      </text>
    </comment>
    <comment ref="AA9" authorId="3" shapeId="0" xr:uid="{D132555C-CE98-4551-B6A5-A71A14C3BD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7100</t>
      </text>
    </comment>
    <comment ref="AA14" authorId="4" shapeId="0" xr:uid="{F98AA9EF-5A8B-4A1B-97A5-F14070E492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6200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<sst xmlns="http://schemas.openxmlformats.org/spreadsheetml/2006/main" count="2084" uniqueCount="1006">
  <si>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</si>
  <si>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</si>
  <si>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</si>
  <si>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</si>
  <si>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</si>
  <si>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</si>
  <si>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</si>
  <si>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</si>
  <si>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</si>
  <si>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</si>
  <si>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</si>
  <si>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</si>
  <si>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</si>
  <si>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</si>
  <si>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</si>
  <si>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</si>
  <si>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</si>
  <si>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</si>
  <si>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</si>
  <si>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</si>
  <si>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</si>
  <si>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</si>
  <si>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</si>
  <si>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</si>
  <si>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</si>
  <si>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</si>
  <si>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</si>
  <si>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</si>
  <si>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</si>
  <si>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</si>
  <si>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</si>
  <si>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</si>
  <si>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</si>
  <si>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</si>
  <si>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</si>
  <si>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</si>
  <si>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</si>
  <si>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</si>
  <si>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</si>
  <si>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</si>
  <si>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</si>
  <si>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</si>
  <si>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</si>
  <si>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</si>
  <si>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</si>
  <si>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</si>
  <si>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</si>
  <si>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</si>
  <si>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</si>
  <si>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</si>
  <si>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</si>
  <si>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</si>
  <si>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</si>
  <si>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</si>
  <si>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</si>
  <si>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</si>
  <si>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</si>
  <si>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</si>
  <si>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</si>
  <si>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</si>
  <si>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</si>
  <si>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</si>
  <si>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</si>
  <si>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</si>
  <si>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</si>
  <si>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</si>
  <si>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</si>
  <si>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</si>
  <si>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</si>
  <si>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</si>
  <si>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</si>
  <si>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</si>
  <si>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</si>
  <si>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</si>
  <si>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</si>
  <si>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</si>
  <si>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</si>
  <si>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</si>
  <si>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</si>
  <si>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</si>
  <si>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</si>
  <si>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</si>
  <si>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</si>
  <si>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</si>
  <si>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</si>
  <si>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</si>
  <si>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</si>
  <si>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</si>
  <si>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</si>
  <si>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</si>
  <si>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</si>
  <si>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</si>
  <si>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</si>
  <si>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</si>
  <si>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</si>
  <si>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</si>
  <si>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</si>
  <si>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</si>
  <si>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</si>
  <si>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</si>
  <si>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</si>
  <si>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</si>
  <si>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</si>
  <si>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</si>
  <si>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</si>
  <si>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</si>
  <si>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</si>
  <si>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</si>
  <si>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</si>
  <si>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</si>
  <si>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</si>
  <si>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</si>
  <si>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</si>
  <si>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</si>
  <si>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</si>
  <si>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</si>
  <si>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</si>
  <si>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</si>
  <si>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</si>
  <si>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</si>
  <si>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</si>
  <si>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</si>
  <si>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</si>
  <si>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</si>
  <si>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</si>
  <si>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</si>
  <si>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</si>
  <si>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</si>
  <si>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</si>
  <si>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</si>
  <si>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</si>
  <si>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</si>
  <si>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</si>
  <si>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</si>
  <si>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</si>
  <si>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</si>
  <si>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</si>
  <si>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</si>
  <si>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</si>
  <si>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Pot28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</si>
  <si>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</si>
  <si>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</si>
  <si>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</si>
  <si>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</si>
  <si>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</si>
  <si>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</si>
  <si>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</si>
  <si>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</si>
  <si>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</si>
  <si>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</si>
  <si>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</si>
  <si>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</si>
  <si>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</si>
  <si>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</si>
  <si>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</si>
  <si>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</si>
  <si>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</si>
  <si>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</si>
  <si>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Miguel Fernández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</si>
  <si>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</si>
  <si>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</si>
  <si>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</si>
  <si>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</si>
  <si>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</si>
  <si>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</si>
  <si>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</si>
  <si>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</si>
  <si>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</si>
  <si>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</si>
  <si>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</si>
  <si>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</si>
  <si>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</si>
  <si>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</si>
  <si>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</si>
  <si>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</si>
  <si>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</si>
  <si>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</si>
  <si>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Ryan Clarke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</si>
  <si>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</si>
  <si>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</si>
  <si>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</si>
  <si>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</si>
  <si>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</si>
  <si>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</si>
  <si>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</si>
  <si>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</si>
  <si>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</si>
  <si>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</si>
  <si>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</si>
  <si>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</si>
  <si>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</si>
  <si>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</si>
  <si>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</si>
  <si>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</si>
  <si>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</si>
  <si>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</si>
  <si>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</si>
  <si>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</si>
  <si>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</si>
  <si>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</si>
  <si>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</si>
  <si>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</si>
  <si>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</si>
  <si>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</si>
  <si>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</si>
  <si>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</si>
  <si>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</si>
  <si>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</si>
  <si>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</si>
  <si>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</si>
  <si>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</si>
  <si>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</si>
  <si>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</si>
  <si>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</si>
  <si>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</si>
  <si>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</si>
  <si>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</si>
  <si>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</si>
  <si>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</si>
  <si>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</si>
  <si>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</si>
  <si>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</si>
  <si>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</si>
  <si>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</si>
  <si>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</si>
  <si>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</si>
  <si>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</si>
  <si>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</si>
  <si>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</si>
  <si>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</si>
  <si>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</si>
  <si>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</si>
  <si>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</si>
  <si>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</si>
  <si>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</si>
  <si>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</si>
  <si>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</si>
  <si>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</si>
  <si>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</si>
  <si>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</si>
  <si>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</si>
  <si>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</si>
  <si>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</si>
  <si>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</si>
  <si>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</si>
  <si>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</si>
  <si>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</si>
  <si>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</si>
  <si>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</si>
  <si>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</si>
  <si>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</si>
  <si>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</si>
  <si>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</si>
  <si>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</si>
  <si>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</si>
  <si>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</si>
  <si>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</si>
  <si>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</si>
  <si>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</si>
  <si>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</si>
  <si>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</si>
  <si>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</si>
  <si>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</si>
  <si>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</si>
  <si>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</si>
  <si>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</si>
  <si>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</si>
  <si>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</si>
  <si>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</si>
  <si>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</si>
  <si>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</si>
  <si>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</si>
  <si>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</si>
  <si>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</si>
  <si>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</si>
  <si>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</si>
  <si>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</si>
  <si>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</si>
  <si>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</si>
  <si>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</si>
  <si>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</si>
  <si>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</si>
  <si>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</si>
  <si>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</si>
  <si>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</si>
  <si>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</si>
  <si>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</si>
  <si>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</si>
  <si>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</si>
  <si>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</si>
  <si>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</si>
  <si>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</si>
  <si>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</si>
  <si>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</si>
  <si>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</si>
  <si>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</si>
  <si>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</si>
  <si>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</si>
  <si>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</si>
  <si>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</si>
  <si>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</si>
  <si>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</si>
  <si>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</si>
  <si>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</si>
  <si>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</si>
  <si>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</si>
  <si>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</si>
  <si>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</si>
  <si>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</si>
  <si>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</si>
  <si>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</si>
  <si>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</si>
  <si>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</si>
  <si>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</si>
  <si>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</si>
  <si>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</si>
  <si>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</si>
  <si>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</si>
  <si>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</si>
  <si>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</si>
  <si>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</si>
  <si>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</si>
  <si>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</si>
  <si>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</si>
  <si>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</si>
  <si>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</si>
  <si>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</si>
  <si>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</si>
  <si>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</si>
  <si>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</si>
  <si>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</si>
  <si>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</si>
  <si>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</si>
  <si>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</si>
  <si>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</si>
  <si>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</si>
  <si>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</si>
  <si>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</si>
  <si>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</si>
  <si>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</si>
  <si>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</si>
  <si>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</si>
  <si>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</si>
  <si>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</si>
  <si>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</si>
  <si>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</si>
  <si>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</si>
  <si>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</si>
  <si>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</si>
  <si>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</si>
  <si>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</si>
  <si>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</si>
  <si>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</si>
  <si>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</si>
  <si>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</si>
  <si>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</si>
  <si>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</si>
  <si>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</si>
  <si>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</si>
  <si>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</si>
  <si>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</si>
  <si>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</si>
  <si>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</si>
  <si>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</si>
  <si>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</si>
  <si>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</si>
  <si>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</si>
  <si>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</si>
  <si>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</si>
  <si>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</si>
  <si>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</si>
  <si>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</si>
  <si>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</si>
  <si>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</si>
  <si>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</si>
  <si>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</si>
  <si>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</si>
  <si>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</si>
  <si>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</si>
  <si>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</si>
  <si>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</si>
  <si>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</si>
  <si>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</si>
  <si>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</si>
  <si>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</si>
  <si>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</si>
  <si>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</si>
  <si>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</si>
  <si>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</si>
  <si>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</si>
  <si>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</si>
  <si>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</si>
  <si>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</si>
  <si>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</si>
  <si>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</si>
  <si>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</si>
  <si>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</si>
  <si>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</si>
  <si>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</si>
  <si>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</si>
  <si>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</si>
  <si>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</si>
  <si>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</si>
  <si>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</si>
  <si>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</si>
  <si>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</si>
  <si>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</si>
  <si>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</si>
  <si>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</si>
  <si>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</si>
  <si>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</si>
  <si>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</si>
  <si>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</si>
  <si>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</si>
  <si>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</si>
  <si>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</si>
  <si>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</si>
  <si>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</si>
  <si>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</si>
  <si>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</si>
  <si>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</si>
  <si>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</si>
  <si>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</si>
  <si>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</si>
  <si>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</si>
  <si>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</si>
  <si>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</si>
  <si>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</si>
  <si>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</si>
  <si>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</si>
  <si>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</si>
  <si>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</si>
  <si>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</si>
  <si>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</si>
  <si>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</si>
  <si>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</si>
  <si>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</si>
  <si>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</si>
  <si>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</si>
  <si>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</si>
  <si>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</si>
  <si>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</si>
  <si>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</si>
  <si>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</si>
  <si>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</si>
  <si>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</si>
  <si>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</si>
  <si>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</si>
  <si>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</si>
  <si>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</si>
  <si>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</si>
  <si>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</si>
  <si>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</si>
  <si>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</si>
  <si>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</si>
  <si>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</si>
  <si>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</si>
  <si>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</si>
  <si>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</si>
  <si>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</si>
  <si>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</si>
  <si>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</si>
  <si>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</si>
  <si>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</si>
  <si>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</si>
  <si>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</si>
  <si>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</si>
  <si>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</si>
  <si>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</si>
  <si>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</si>
  <si>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</si>
  <si>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</si>
  <si>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</si>
  <si>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</si>
  <si>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</si>
  <si>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</si>
  <si>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</si>
  <si>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</si>
  <si>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</si>
  <si>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</si>
  <si>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</si>
  <si>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</si>
  <si>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</si>
  <si>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</si>
  <si>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</si>
  <si>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</si>
  <si>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</si>
  <si>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</si>
  <si>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</si>
  <si>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</si>
  <si>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</si>
  <si>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</si>
  <si>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</si>
  <si>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</si>
  <si>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</si>
  <si>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</si>
  <si>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</si>
  <si>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</si>
  <si>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</si>
  <si>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</si>
  <si>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</si>
  <si>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</si>
  <si>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</si>
  <si>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</si>
  <si>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</si>
  <si>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</si>
  <si>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</si>
  <si>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</si>
  <si>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</si>
  <si>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</si>
  <si>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</si>
  <si>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</si>
  <si>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</si>
  <si>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</si>
  <si>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</si>
  <si>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</si>
  <si>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</si>
  <si>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</si>
  <si>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</si>
  <si>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</si>
  <si>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</si>
  <si>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</si>
  <si>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</si>
  <si>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</si>
  <si>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</si>
  <si>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</si>
  <si>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</si>
  <si>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</si>
  <si>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</si>
  <si>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</si>
  <si>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</si>
  <si>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</si>
  <si>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</si>
  <si>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</si>
  <si>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</si>
  <si>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</si>
  <si>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</si>
  <si>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</si>
  <si>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</si>
  <si>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</si>
  <si>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</si>
  <si>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</si>
  <si>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</si>
  <si>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</si>
  <si>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</si>
  <si>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</si>
  <si>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</si>
  <si>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</si>
  <si>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</si>
  <si>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</si>
  <si>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</si>
  <si>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</si>
  <si>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</si>
  <si>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</si>
  <si>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</si>
  <si>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</si>
  <si>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</si>
  <si>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</si>
  <si>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</si>
  <si>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</si>
  <si>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</si>
  <si>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</si>
  <si>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</si>
  <si>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</si>
  <si>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</si>
  <si>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</si>
  <si>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</si>
  <si>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</si>
  <si>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</si>
  <si>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</si>
  <si>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</si>
  <si>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</si>
  <si>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</si>
  <si>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</si>
  <si>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</si>
  <si>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</si>
  <si>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</si>
  <si>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</si>
  <si>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</si>
  <si>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</si>
  <si>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</si>
  <si>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</si>
  <si>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</si>
  <si>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</si>
  <si>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</si>
  <si>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</si>
  <si>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</si>
  <si>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</si>
  <si>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</si>
  <si>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</si>
  <si>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</si>
  <si>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</si>
  <si>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</si>
  <si>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</si>
  <si>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</si>
  <si>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</si>
  <si>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</si>
  <si>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</si>
  <si>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</si>
  <si>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</si>
  <si>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</si>
  <si>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</si>
  <si>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</si>
  <si>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</si>
  <si>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</si>
  <si>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</si>
  <si>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</si>
  <si>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</si>
  <si>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</si>
  <si>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</si>
  <si>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</si>
  <si>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</si>
  <si>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</si>
  <si>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</si>
  <si>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</si>
  <si>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</si>
  <si>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</si>
  <si>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</si>
  <si>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</si>
  <si>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</si>
  <si>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</si>
  <si>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</si>
  <si>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</si>
  <si>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</si>
  <si>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</si>
  <si>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</si>
  <si>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</si>
  <si>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</si>
  <si>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</si>
  <si>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</si>
  <si>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</si>
  <si>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</si>
  <si>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</si>
  <si>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</si>
  <si>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</si>
  <si>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</si>
  <si>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</si>
  <si>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</si>
  <si>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</si>
  <si>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</si>
  <si>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</si>
  <si>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</si>
  <si>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</si>
  <si>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</si>
  <si>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</si>
  <si>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</si>
  <si>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</si>
  <si>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</si>
  <si>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</si>
  <si>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</si>
  <si>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</si>
  <si>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</si>
  <si>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</si>
  <si>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</si>
  <si>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</si>
  <si>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</si>
  <si>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</si>
  <si>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</si>
  <si>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</si>
  <si>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</si>
  <si>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</si>
  <si>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</si>
  <si>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</si>
  <si>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</si>
  <si>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</si>
  <si>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</si>
  <si>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</si>
  <si>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</si>
  <si>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</si>
  <si>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</si>
  <si>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</si>
  <si>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</si>
  <si>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</si>
  <si>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</si>
  <si>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</si>
  <si>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</si>
  <si>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</si>
  <si>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</si>
  <si>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</si>
  <si>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</si>
  <si>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</si>
  <si>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</si>
  <si>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</si>
  <si>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</si>
  <si>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</si>
  <si>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</si>
  <si>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</si>
  <si>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</si>
  <si>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</si>
  <si>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</si>
  <si>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</si>
  <si>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</si>
  <si>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</si>
  <si>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</si>
  <si>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</si>
  <si>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</si>
  <si>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</si>
  <si>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</si>
  <si>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</si>
  <si>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</si>
  <si>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</si>
  <si>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</si>
  <si>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</si>
  <si>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</si>
  <si>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</si>
  <si>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</si>
  <si>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</si>
  <si>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</si>
  <si>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</si>
  <si>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</si>
  <si>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</si>
  <si>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</si>
  <si>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</si>
  <si>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</si>
  <si>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</si>
  <si>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</si>
  <si>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</si>
  <si>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</si>
  <si>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</si>
  <si>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</si>
  <si>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</si>
  <si>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</si>
  <si>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</si>
  <si>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</si>
  <si>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</si>
  <si>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</si>
  <si>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</si>
  <si>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</si>
  <si>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</si>
  <si>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</si>
  <si>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</si>
  <si>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</si>
  <si>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</si>
  <si>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</si>
  <si>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</si>
  <si>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</si>
  <si>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</si>
  <si>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</si>
  <si>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</si>
  <si>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</si>
  <si>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</si>
  <si>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</si>
  <si>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</si>
  <si>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</si>
  <si>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</si>
  <si>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</si>
  <si>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</si>
  <si>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</si>
  <si>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</si>
  <si>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</si>
  <si>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</si>
  <si>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</si>
  <si>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</si>
  <si>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</si>
  <si>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</si>
  <si>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</si>
  <si>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</si>
  <si>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</si>
  <si>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</si>
  <si>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</si>
  <si>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</si>
  <si>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</si>
  <si>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</si>
  <si>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</si>
  <si>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</si>
  <si>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</si>
  <si>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</si>
  <si>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</si>
  <si>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</si>
  <si>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</si>
  <si>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</si>
  <si>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</si>
  <si>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</si>
  <si>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</si>
  <si>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</si>
  <si>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</si>
  <si>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</si>
  <si>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</si>
  <si>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</si>
  <si>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</si>
  <si>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</si>
  <si>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</si>
  <si>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</si>
  <si>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</si>
  <si>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</si>
  <si>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</si>
  <si>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</si>
  <si>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</si>
  <si>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</si>
  <si>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</si>
  <si>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</si>
  <si>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</si>
  <si>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</si>
  <si>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</si>
  <si>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</si>
  <si>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</si>
  <si>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</si>
  <si>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</si>
  <si>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</si>
  <si>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</si>
  <si>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</si>
  <si>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</si>
  <si>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</si>
  <si>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</si>
  <si>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</si>
  <si>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</si>
  <si>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</si>
  <si>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</si>
  <si>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</si>
  <si>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</si>
  <si>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</si>
  <si>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</si>
  <si>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</si>
  <si>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</si>
  <si>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</si>
  <si>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</si>
  <si>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</si>
  <si>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</si>
  <si>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</si>
  <si>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</si>
  <si>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</si>
  <si>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</si>
  <si>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</si>
  <si>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</si>
  <si>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</si>
  <si>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</si>
  <si>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</si>
  <si>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</si>
  <si>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</si>
  <si>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</si>
  <si>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</si>
  <si>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</si>
  <si>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</si>
  <si>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</si>
  <si>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</si>
  <si>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</si>
  <si>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</si>
  <si>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</si>
  <si>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</si>
  <si>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</si>
  <si>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</si>
  <si>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</si>
  <si>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</si>
  <si>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</si>
  <si>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</si>
  <si>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</si>
  <si>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</si>
  <si>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</si>
  <si>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</si>
  <si>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</si>
  <si>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</si>
  <si>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</si>
  <si>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</si>
  <si>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</si>
  <si>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</si>
  <si>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</si>
  <si>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</si>
  <si>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</si>
  <si>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</si>
  <si>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</si>
  <si>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</si>
  <si>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</si>
  <si>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</si>
  <si>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</si>
  <si>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</si>
  <si>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</si>
  <si>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</si>
  <si>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</si>
  <si>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</si>
  <si>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</si>
  <si>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</si>
  <si>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</si>
  <si>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</si>
  <si>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</si>
  <si>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</si>
  <si>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</si>
  <si>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</si>
  <si>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</si>
  <si>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</si>
  <si>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</si>
  <si>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</si>
  <si>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</si>
  <si>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</si>
  <si>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</si>
  <si>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Hannes Seewald</t>
  </si>
  <si>
    <t>Matteo Grammatico</t>
  </si>
  <si>
    <t>Nathan Pierret</t>
  </si>
  <si>
    <t>Said Azizi Khairul Aiman</t>
  </si>
  <si>
    <t>Raffael Mosberger</t>
  </si>
  <si>
    <t>Tim van Tol</t>
  </si>
  <si>
    <t>Kautik Patil</t>
  </si>
  <si>
    <t>Ernie Barclay</t>
  </si>
  <si>
    <t>Quentin Veillon</t>
  </si>
  <si>
    <t>Hugo Cosatabella</t>
  </si>
  <si>
    <t>Juan Jesús Patiño</t>
  </si>
  <si>
    <t>Tautginas Tydikas</t>
  </si>
  <si>
    <t>Ludovico Galfrè</t>
  </si>
  <si>
    <t>Hanno Pajur</t>
  </si>
  <si>
    <t>Sean Zahren</t>
  </si>
  <si>
    <t>Marian Tyka</t>
  </si>
  <si>
    <t>Artur Putilin</t>
  </si>
  <si>
    <t>Caetano João Nogueira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</si>
  <si>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</si>
  <si>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</si>
  <si>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</si>
  <si>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</si>
  <si>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</si>
  <si>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</si>
  <si>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</si>
  <si>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</si>
  <si>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</si>
  <si>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</si>
  <si>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</si>
  <si>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</si>
  <si>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</si>
  <si>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</si>
  <si>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</si>
  <si>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</si>
  <si>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</si>
  <si>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</si>
  <si>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</si>
  <si>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</si>
  <si>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</si>
  <si>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</si>
  <si>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</si>
  <si>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</si>
  <si>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</si>
  <si>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</si>
  <si>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</si>
  <si>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</si>
  <si>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</si>
  <si>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</si>
  <si>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</si>
  <si>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</si>
  <si>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</si>
  <si>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</si>
  <si>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</si>
  <si>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</si>
  <si>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</si>
  <si>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</si>
  <si>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</si>
  <si>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</si>
  <si>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</si>
  <si>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</si>
  <si>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</si>
  <si>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</si>
  <si>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</si>
  <si>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</si>
  <si>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</si>
  <si>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</si>
  <si>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</si>
  <si>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</si>
  <si>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</si>
  <si>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</si>
  <si>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</si>
  <si>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</si>
  <si>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</si>
  <si>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</si>
  <si>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</si>
  <si>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</si>
  <si>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</si>
  <si>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</si>
  <si>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</si>
  <si>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</si>
  <si>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</si>
  <si>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</si>
  <si>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</si>
  <si>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</si>
  <si>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</si>
  <si>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</si>
  <si>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</si>
  <si>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</si>
  <si>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Guarion Gandini</t>
  </si>
  <si>
    <t>Nicolae Goncea</t>
  </si>
  <si>
    <t>Janos Toth</t>
  </si>
  <si>
    <t>Meraj Siddiqui</t>
  </si>
  <si>
    <t>Neven Terze</t>
  </si>
  <si>
    <t>Kian Alavi</t>
  </si>
  <si>
    <t>Bailon Zenteno</t>
  </si>
  <si>
    <t>Cesar Iven</t>
  </si>
  <si>
    <t>Arto Alakangas</t>
  </si>
  <si>
    <t>Globi Robb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</si>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</sst>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  <numFmt numFmtId="179" formatCode="[$-C0A]d\-mmm\-yy;@"/>
  </numFmts>
  <fonts count="61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1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rgb="FFFFFFFF"/>
      </patternFill>
    </fill>
  </fills>
  <borders count="1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495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7" fillId="79" borderId="144" xfId="0" applyFont="1" applyFill="1" applyBorder="1"/>
    <xf numFmtId="0" fontId="0" fillId="144" borderId="0" xfId="0" applyFill="1"/>
    <xf numFmtId="0" fontId="7" fillId="145" borderId="67" xfId="0" applyFont="1" applyFill="1" applyBorder="1"/>
    <xf numFmtId="0" fontId="0" fillId="0" borderId="0" xfId="0" applyFill="1"/>
    <xf numFmtId="0" fontId="0" fillId="131" borderId="87" xfId="0" applyFill="1" applyBorder="1"/>
    <xf numFmtId="0" fontId="7" fillId="146" borderId="144" xfId="0" applyFont="1" applyFill="1" applyBorder="1"/>
    <xf numFmtId="179" fontId="0" fillId="0" borderId="0" xfId="0" applyNumberFormat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174" fontId="45" fillId="69" borderId="77" xfId="0" applyNumberFormat="1" applyFont="1" applyFill="1" applyBorder="1" applyAlignment="1">
      <alignment horizontal="center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8</xdr:col>
      <xdr:colOff>685800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A4E1B-5805-4AB7-9620-CCFD80CE8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54" t="21356" r="51939" b="53213"/>
        <a:stretch/>
      </xdr:blipFill>
      <xdr:spPr>
        <a:xfrm>
          <a:off x="142875" y="152400"/>
          <a:ext cx="6257925" cy="3686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ORTA Isaac" id="{9D6A3A77-FC87-4EC6-94CD-E94E7D8999A4}" userId="S::i-porta@bruneau.es::dea48508-bb25-4e70-b4e7-11595d3af8b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35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0-08-25T13:36:50.70" personId="{9D6A3A77-FC87-4EC6-94CD-E94E7D8999A4}" id="{4D722616-FA5A-4CDA-A038-48E07680C431}">
    <text>Comprartiva a 2000, se vende 3142 xDDD</text>
  </threadedComment>
  <threadedComment ref="AA7" dT="2020-08-24T14:00:51.80" personId="{9D6A3A77-FC87-4EC6-94CD-E94E7D8999A4}" id="{C223E997-198D-48E4-8AA7-77CD21FADA50}">
    <text>4150</text>
  </threadedComment>
  <threadedComment ref="AA8" dT="2020-08-24T09:50:57.99" personId="{9D6A3A77-FC87-4EC6-94CD-E94E7D8999A4}" id="{661AE06C-6699-47B1-9517-EA3D2635C276}">
    <text>7500</text>
  </threadedComment>
  <threadedComment ref="AA9" dT="2020-08-24T09:50:22.42" personId="{9D6A3A77-FC87-4EC6-94CD-E94E7D8999A4}" id="{D132555C-CE98-4551-B6A5-A71A14C3BDA9}">
    <text>7100</text>
  </threadedComment>
  <threadedComment ref="AA14" dT="2020-08-24T09:52:52.10" personId="{9D6A3A77-FC87-4EC6-94CD-E94E7D8999A4}" id="{F98AA9EF-5A8B-4A1B-97A5-F14070E4929D}">
    <text>6200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1"/>
  <sheetViews>
    <sheetView workbookViewId="0">
      <selection activeCell="L3" sqref="L3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465" t="s">
        <v>2</v>
      </c>
      <c r="H1" s="465"/>
      <c r="J1" s="94" t="s">
        <v>1</v>
      </c>
      <c r="K1" s="465" t="s">
        <v>3</v>
      </c>
      <c r="L1" s="465"/>
      <c r="N1" s="94" t="s">
        <v>1</v>
      </c>
      <c r="O1" s="465" t="s">
        <v>4</v>
      </c>
      <c r="P1" s="465"/>
    </row>
    <row r="2" spans="1:16" x14ac:dyDescent="0.25">
      <c r="A2" s="443">
        <v>44082</v>
      </c>
      <c r="F2" s="43">
        <v>1</v>
      </c>
      <c r="G2" s="93" t="s">
        <v>5</v>
      </c>
      <c r="H2" s="42" t="s">
        <v>6</v>
      </c>
      <c r="J2" s="43">
        <v>1</v>
      </c>
      <c r="K2" s="93" t="s">
        <v>7</v>
      </c>
      <c r="L2" s="42">
        <v>175</v>
      </c>
      <c r="N2" s="43">
        <v>1</v>
      </c>
      <c r="O2" s="353" t="s">
        <v>31</v>
      </c>
      <c r="P2" s="42">
        <v>78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14</v>
      </c>
      <c r="L3" s="42">
        <v>168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93" t="s">
        <v>12</v>
      </c>
      <c r="L4" s="42">
        <v>155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3</v>
      </c>
      <c r="K5" s="353" t="s">
        <v>34</v>
      </c>
      <c r="L5" s="42">
        <v>155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20</v>
      </c>
      <c r="L6" s="42">
        <v>152</v>
      </c>
      <c r="N6" s="43">
        <v>5</v>
      </c>
      <c r="O6" s="93" t="s">
        <v>5</v>
      </c>
      <c r="P6" s="42">
        <v>42</v>
      </c>
    </row>
    <row r="7" spans="1:16" x14ac:dyDescent="0.25">
      <c r="F7" s="43">
        <v>6</v>
      </c>
      <c r="G7" s="93" t="s">
        <v>18</v>
      </c>
      <c r="H7" s="42" t="s">
        <v>32</v>
      </c>
      <c r="J7" s="43">
        <v>6</v>
      </c>
      <c r="K7" s="353" t="s">
        <v>26</v>
      </c>
      <c r="L7" s="42">
        <v>148</v>
      </c>
      <c r="N7" s="43">
        <v>6</v>
      </c>
      <c r="O7" s="353" t="s">
        <v>26</v>
      </c>
      <c r="P7" s="42">
        <v>30</v>
      </c>
    </row>
    <row r="8" spans="1:16" x14ac:dyDescent="0.25">
      <c r="A8" s="94" t="s">
        <v>1</v>
      </c>
      <c r="B8" s="465" t="s">
        <v>35</v>
      </c>
      <c r="C8" s="465"/>
      <c r="F8" s="43">
        <v>6</v>
      </c>
      <c r="G8" s="353" t="s">
        <v>917</v>
      </c>
      <c r="H8" s="42" t="s">
        <v>32</v>
      </c>
      <c r="J8" s="43">
        <v>7</v>
      </c>
      <c r="K8" s="93" t="s">
        <v>18</v>
      </c>
      <c r="L8" s="42">
        <v>145</v>
      </c>
      <c r="N8" s="43">
        <v>7</v>
      </c>
      <c r="O8" s="93" t="s">
        <v>33</v>
      </c>
      <c r="P8" s="42">
        <v>29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93" t="s">
        <v>24</v>
      </c>
      <c r="L9" s="42">
        <v>144</v>
      </c>
      <c r="N9" s="43">
        <v>8</v>
      </c>
      <c r="O9" s="93" t="s">
        <v>16</v>
      </c>
      <c r="P9" s="42">
        <v>27</v>
      </c>
    </row>
    <row r="10" spans="1:16" x14ac:dyDescent="0.25">
      <c r="A10" s="43">
        <v>2</v>
      </c>
      <c r="B10" s="353" t="s">
        <v>9</v>
      </c>
      <c r="C10" s="42">
        <v>41</v>
      </c>
      <c r="F10" s="43">
        <v>9</v>
      </c>
      <c r="G10" s="93" t="s">
        <v>39</v>
      </c>
      <c r="H10" s="42" t="s">
        <v>40</v>
      </c>
      <c r="J10" s="43">
        <v>9</v>
      </c>
      <c r="K10" s="353" t="s">
        <v>31</v>
      </c>
      <c r="L10" s="42">
        <v>143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9</v>
      </c>
      <c r="G11" s="93" t="s">
        <v>43</v>
      </c>
      <c r="H11" s="42" t="s">
        <v>40</v>
      </c>
      <c r="J11" s="43">
        <v>10</v>
      </c>
      <c r="K11" s="93" t="s">
        <v>5</v>
      </c>
      <c r="L11" s="42">
        <v>141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9</v>
      </c>
      <c r="G12" s="93" t="s">
        <v>46</v>
      </c>
      <c r="H12" s="42" t="s">
        <v>40</v>
      </c>
      <c r="J12" s="43">
        <v>11</v>
      </c>
      <c r="K12" s="93" t="s">
        <v>13</v>
      </c>
      <c r="L12" s="42">
        <v>140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9</v>
      </c>
      <c r="G13" s="93" t="s">
        <v>50</v>
      </c>
      <c r="H13" s="42" t="s">
        <v>40</v>
      </c>
      <c r="J13" s="43">
        <v>12</v>
      </c>
      <c r="K13" s="93" t="s">
        <v>38</v>
      </c>
      <c r="L13" s="42">
        <v>135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9</v>
      </c>
      <c r="G14" s="353" t="s">
        <v>9</v>
      </c>
      <c r="H14" s="42" t="s">
        <v>40</v>
      </c>
      <c r="J14" s="43">
        <v>13</v>
      </c>
      <c r="K14" s="353" t="s">
        <v>9</v>
      </c>
      <c r="L14" s="42">
        <v>124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9</v>
      </c>
      <c r="G15" s="444" t="s">
        <v>181</v>
      </c>
      <c r="H15" s="42" t="s">
        <v>40</v>
      </c>
      <c r="J15" s="43">
        <v>14</v>
      </c>
      <c r="K15" s="93" t="s">
        <v>39</v>
      </c>
      <c r="L15" s="42">
        <v>111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9</v>
      </c>
      <c r="F16" s="43">
        <v>15</v>
      </c>
      <c r="G16" s="93" t="s">
        <v>53</v>
      </c>
      <c r="H16" s="42" t="s">
        <v>54</v>
      </c>
      <c r="J16" s="43">
        <v>15</v>
      </c>
      <c r="K16" s="93" t="s">
        <v>47</v>
      </c>
      <c r="L16" s="42">
        <v>105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15</v>
      </c>
      <c r="G17" s="93" t="s">
        <v>57</v>
      </c>
      <c r="H17" s="42" t="s">
        <v>54</v>
      </c>
      <c r="J17" s="43">
        <v>16</v>
      </c>
      <c r="K17" s="353" t="s">
        <v>49</v>
      </c>
      <c r="L17" s="42">
        <v>96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15</v>
      </c>
      <c r="G18" s="93" t="s">
        <v>61</v>
      </c>
      <c r="H18" s="42" t="s">
        <v>54</v>
      </c>
      <c r="J18" s="43">
        <v>17</v>
      </c>
      <c r="K18" s="93" t="s">
        <v>42</v>
      </c>
      <c r="L18" s="42">
        <v>93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15</v>
      </c>
      <c r="G19" s="93" t="s">
        <v>63</v>
      </c>
      <c r="H19" s="42" t="s">
        <v>54</v>
      </c>
      <c r="J19" s="43">
        <v>17</v>
      </c>
      <c r="K19" s="353" t="s">
        <v>68</v>
      </c>
      <c r="L19" s="42">
        <v>93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15</v>
      </c>
      <c r="G20" s="93" t="s">
        <v>7</v>
      </c>
      <c r="H20" s="42" t="s">
        <v>54</v>
      </c>
      <c r="J20" s="43">
        <v>19</v>
      </c>
      <c r="K20" s="353" t="s">
        <v>27</v>
      </c>
      <c r="L20" s="42">
        <v>86</v>
      </c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15</v>
      </c>
      <c r="G21" s="93" t="s">
        <v>182</v>
      </c>
      <c r="H21" s="42" t="s">
        <v>54</v>
      </c>
      <c r="J21" s="43">
        <v>20</v>
      </c>
      <c r="K21" s="353" t="s">
        <v>74</v>
      </c>
      <c r="L21" s="42">
        <v>84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15</v>
      </c>
      <c r="G22" s="444" t="s">
        <v>14</v>
      </c>
      <c r="H22" s="42" t="s">
        <v>54</v>
      </c>
      <c r="J22" s="43">
        <v>20</v>
      </c>
      <c r="K22" s="93" t="s">
        <v>66</v>
      </c>
      <c r="L22" s="42">
        <v>83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22</v>
      </c>
      <c r="G23" s="93" t="s">
        <v>70</v>
      </c>
      <c r="H23" s="42" t="s">
        <v>71</v>
      </c>
      <c r="J23" s="43">
        <v>22</v>
      </c>
      <c r="K23" s="93" t="s">
        <v>72</v>
      </c>
      <c r="L23" s="42">
        <v>78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22</v>
      </c>
      <c r="G24" s="93" t="s">
        <v>76</v>
      </c>
      <c r="H24" s="42" t="s">
        <v>71</v>
      </c>
      <c r="J24" s="43">
        <v>23</v>
      </c>
      <c r="K24" s="93" t="s">
        <v>61</v>
      </c>
      <c r="L24" s="42">
        <v>67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22</v>
      </c>
      <c r="G25" s="93" t="s">
        <v>79</v>
      </c>
      <c r="H25" s="42" t="s">
        <v>71</v>
      </c>
      <c r="J25" s="43">
        <v>24</v>
      </c>
      <c r="K25" s="93" t="s">
        <v>8</v>
      </c>
      <c r="L25" s="42">
        <v>64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22</v>
      </c>
      <c r="G26" s="93" t="s">
        <v>82</v>
      </c>
      <c r="H26" s="42" t="s">
        <v>71</v>
      </c>
      <c r="J26" s="43">
        <v>25</v>
      </c>
      <c r="K26" s="93" t="s">
        <v>83</v>
      </c>
      <c r="L26" s="42">
        <v>60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22</v>
      </c>
      <c r="G27" s="93" t="s">
        <v>86</v>
      </c>
      <c r="H27" s="42" t="s">
        <v>71</v>
      </c>
      <c r="J27" s="43">
        <v>25</v>
      </c>
      <c r="K27" s="93" t="s">
        <v>63</v>
      </c>
      <c r="L27" s="42">
        <v>60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22</v>
      </c>
      <c r="G28" s="93" t="s">
        <v>66</v>
      </c>
      <c r="H28" s="42" t="s">
        <v>71</v>
      </c>
      <c r="J28" s="43">
        <v>27</v>
      </c>
      <c r="K28" s="93" t="s">
        <v>88</v>
      </c>
      <c r="L28" s="42">
        <v>58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22</v>
      </c>
      <c r="G29" s="93" t="s">
        <v>72</v>
      </c>
      <c r="H29" s="42" t="s">
        <v>71</v>
      </c>
      <c r="J29" s="43">
        <v>28</v>
      </c>
      <c r="K29" s="93" t="s">
        <v>41</v>
      </c>
      <c r="L29" s="42">
        <v>57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22</v>
      </c>
      <c r="G30" s="93" t="s">
        <v>83</v>
      </c>
      <c r="H30" s="42" t="s">
        <v>71</v>
      </c>
      <c r="J30" s="43">
        <v>28</v>
      </c>
      <c r="K30" s="93" t="s">
        <v>10</v>
      </c>
      <c r="L30" s="42">
        <v>57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22</v>
      </c>
      <c r="G31" s="93" t="s">
        <v>94</v>
      </c>
      <c r="H31" s="42" t="s">
        <v>71</v>
      </c>
      <c r="J31" s="43">
        <v>30</v>
      </c>
      <c r="K31" s="93" t="s">
        <v>97</v>
      </c>
      <c r="L31" s="42">
        <v>56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22</v>
      </c>
      <c r="G32" s="93" t="s">
        <v>96</v>
      </c>
      <c r="H32" s="42" t="s">
        <v>71</v>
      </c>
      <c r="J32" s="43">
        <v>30</v>
      </c>
      <c r="K32" s="93" t="s">
        <v>76</v>
      </c>
      <c r="L32" s="42">
        <v>56</v>
      </c>
    </row>
    <row r="33" spans="6:12" x14ac:dyDescent="0.25">
      <c r="F33" s="43">
        <v>22</v>
      </c>
      <c r="G33" s="93" t="s">
        <v>99</v>
      </c>
      <c r="H33" s="42" t="s">
        <v>71</v>
      </c>
      <c r="J33" s="43">
        <v>32</v>
      </c>
      <c r="K33" s="93" t="s">
        <v>36</v>
      </c>
      <c r="L33" s="42">
        <v>54</v>
      </c>
    </row>
    <row r="34" spans="6:12" x14ac:dyDescent="0.25">
      <c r="F34" s="43">
        <v>22</v>
      </c>
      <c r="G34" s="93" t="s">
        <v>101</v>
      </c>
      <c r="H34" s="42" t="s">
        <v>71</v>
      </c>
      <c r="J34" s="43">
        <v>33</v>
      </c>
      <c r="K34" s="54" t="s">
        <v>104</v>
      </c>
      <c r="L34" s="42">
        <v>52</v>
      </c>
    </row>
    <row r="35" spans="6:12" x14ac:dyDescent="0.25">
      <c r="F35" s="43">
        <v>22</v>
      </c>
      <c r="G35" s="93" t="s">
        <v>103</v>
      </c>
      <c r="H35" s="42" t="s">
        <v>71</v>
      </c>
      <c r="J35" s="43">
        <v>34</v>
      </c>
      <c r="K35" s="93" t="s">
        <v>99</v>
      </c>
      <c r="L35" s="42">
        <v>51</v>
      </c>
    </row>
    <row r="36" spans="6:12" x14ac:dyDescent="0.25">
      <c r="F36" s="43">
        <v>22</v>
      </c>
      <c r="G36" s="93" t="s">
        <v>106</v>
      </c>
      <c r="H36" s="42" t="s">
        <v>71</v>
      </c>
      <c r="J36" s="43">
        <v>34</v>
      </c>
      <c r="K36" s="93" t="s">
        <v>77</v>
      </c>
      <c r="L36" s="42">
        <v>51</v>
      </c>
    </row>
    <row r="37" spans="6:12" x14ac:dyDescent="0.25">
      <c r="F37" s="43">
        <v>22</v>
      </c>
      <c r="G37" s="353" t="s">
        <v>49</v>
      </c>
      <c r="H37" s="42" t="s">
        <v>71</v>
      </c>
    </row>
    <row r="38" spans="6:12" x14ac:dyDescent="0.25">
      <c r="F38" s="43">
        <v>22</v>
      </c>
      <c r="G38" s="353" t="s">
        <v>27</v>
      </c>
      <c r="H38" s="42" t="s">
        <v>71</v>
      </c>
    </row>
    <row r="39" spans="6:12" x14ac:dyDescent="0.25">
      <c r="F39" s="43">
        <v>22</v>
      </c>
      <c r="G39" s="93" t="s">
        <v>918</v>
      </c>
      <c r="H39" s="42" t="s">
        <v>71</v>
      </c>
    </row>
    <row r="40" spans="6:12" x14ac:dyDescent="0.25">
      <c r="F40" s="43">
        <v>22</v>
      </c>
      <c r="G40" s="93" t="s">
        <v>19</v>
      </c>
      <c r="H40" s="42" t="s">
        <v>71</v>
      </c>
    </row>
    <row r="41" spans="6:12" x14ac:dyDescent="0.25">
      <c r="F41" s="43">
        <v>22</v>
      </c>
      <c r="G41" s="353" t="s">
        <v>34</v>
      </c>
      <c r="H41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opLeftCell="A2" zoomScale="90" workbookViewId="0">
      <selection activeCell="B18" sqref="B18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696</v>
      </c>
      <c r="N1" s="360" t="s">
        <v>697</v>
      </c>
      <c r="O1" s="360" t="s">
        <v>698</v>
      </c>
      <c r="P1" s="360" t="s">
        <v>699</v>
      </c>
      <c r="Q1" s="360" t="s">
        <v>700</v>
      </c>
      <c r="R1" s="360" t="s">
        <v>701</v>
      </c>
      <c r="S1" s="360" t="s">
        <v>702</v>
      </c>
      <c r="U1" s="360" t="s">
        <v>703</v>
      </c>
    </row>
    <row r="2" spans="1:36" x14ac:dyDescent="0.25">
      <c r="C2" s="361" t="s">
        <v>704</v>
      </c>
      <c r="D2" s="489" t="s">
        <v>705</v>
      </c>
      <c r="E2" s="489"/>
      <c r="F2" s="490" t="s">
        <v>706</v>
      </c>
      <c r="G2" s="490"/>
      <c r="H2" s="491" t="s">
        <v>707</v>
      </c>
      <c r="I2" s="491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708</v>
      </c>
      <c r="B3" s="367">
        <f>B4+B5+B6+B7</f>
        <v>54000</v>
      </c>
      <c r="C3" s="368">
        <f>C4+C5+C6+C7</f>
        <v>58283</v>
      </c>
      <c r="D3" s="18" t="s">
        <v>709</v>
      </c>
      <c r="E3" s="18" t="s">
        <v>710</v>
      </c>
      <c r="F3" s="18" t="s">
        <v>709</v>
      </c>
      <c r="G3" s="18" t="s">
        <v>711</v>
      </c>
      <c r="H3" s="18" t="s">
        <v>709</v>
      </c>
      <c r="I3" s="369" t="s">
        <v>712</v>
      </c>
      <c r="J3" s="18" t="s">
        <v>713</v>
      </c>
      <c r="K3" s="18" t="s">
        <v>714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715</v>
      </c>
      <c r="B4" s="367">
        <v>28944</v>
      </c>
      <c r="C4" s="372">
        <v>33353</v>
      </c>
      <c r="D4" s="373">
        <v>45</v>
      </c>
      <c r="E4" s="374">
        <f>D4*(C4-B4)</f>
        <v>198405</v>
      </c>
      <c r="F4" s="375">
        <v>0.5</v>
      </c>
      <c r="G4" s="374">
        <f>(C4-B4)*F4</f>
        <v>2204.5</v>
      </c>
      <c r="H4" s="375">
        <v>7</v>
      </c>
      <c r="I4" s="376">
        <f>(C4-B4)*H4</f>
        <v>30863</v>
      </c>
      <c r="J4" s="374">
        <f>H4*C4</f>
        <v>233471</v>
      </c>
      <c r="K4" s="18">
        <f>B4*F4</f>
        <v>14472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716</v>
      </c>
      <c r="B5" s="367">
        <v>12420</v>
      </c>
      <c r="C5" s="377">
        <v>12802</v>
      </c>
      <c r="D5" s="378">
        <v>75</v>
      </c>
      <c r="E5" s="374">
        <f>D5*(C5-B5)</f>
        <v>28650</v>
      </c>
      <c r="F5" s="379">
        <v>0.7</v>
      </c>
      <c r="G5" s="374">
        <f>(C5-B5)*F5</f>
        <v>267.39999999999998</v>
      </c>
      <c r="H5" s="379">
        <v>10</v>
      </c>
      <c r="I5" s="376">
        <f>(C5-B5)*H5</f>
        <v>3820</v>
      </c>
      <c r="J5" s="374">
        <f>H5*C5</f>
        <v>128020</v>
      </c>
      <c r="K5" s="18">
        <f>B5*F5</f>
        <v>8694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717</v>
      </c>
      <c r="B6" s="367">
        <v>11448</v>
      </c>
      <c r="C6" s="377">
        <v>10793</v>
      </c>
      <c r="D6" s="373">
        <v>90</v>
      </c>
      <c r="E6" s="374">
        <f>D6*(C6-B6)</f>
        <v>-58950</v>
      </c>
      <c r="F6" s="375">
        <v>1</v>
      </c>
      <c r="G6" s="374">
        <f>(C6-B6)*F6</f>
        <v>-655</v>
      </c>
      <c r="H6" s="375">
        <v>19</v>
      </c>
      <c r="I6" s="376">
        <f>(C6-B6)*H6</f>
        <v>-12445</v>
      </c>
      <c r="J6" s="374">
        <f>H6*C6</f>
        <v>205067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718</v>
      </c>
      <c r="B7" s="367">
        <v>1188</v>
      </c>
      <c r="C7" s="380">
        <v>1335</v>
      </c>
      <c r="D7" s="378">
        <v>300</v>
      </c>
      <c r="E7" s="374">
        <f>D7*(C7-B7)</f>
        <v>44100</v>
      </c>
      <c r="F7" s="379">
        <v>2.5</v>
      </c>
      <c r="G7" s="374">
        <f>(C7-B7)*F7</f>
        <v>367.5</v>
      </c>
      <c r="H7" s="379">
        <v>35</v>
      </c>
      <c r="I7" s="376">
        <f>(C7-B7)*H7</f>
        <v>5145</v>
      </c>
      <c r="J7" s="374">
        <f>H7*C7</f>
        <v>46725</v>
      </c>
      <c r="K7" s="18">
        <f>B7*F7</f>
        <v>2970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0.57225949247636532</v>
      </c>
      <c r="J8" s="374">
        <f>J7+J6+J5+J4</f>
        <v>613283</v>
      </c>
      <c r="K8" s="18">
        <f>K7+K6+K5+K4</f>
        <v>37584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0.21965238577286689</v>
      </c>
      <c r="E9" s="25">
        <f>C4-B4</f>
        <v>4409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4.5003487770302199E-2</v>
      </c>
      <c r="C10" s="382">
        <f>C6/$C$3</f>
        <v>0.18518264330936979</v>
      </c>
      <c r="E10" s="25">
        <f>C5-B5</f>
        <v>382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719</v>
      </c>
      <c r="B11" s="384">
        <v>10000</v>
      </c>
      <c r="C11" s="382">
        <f>C7/$C$3</f>
        <v>2.2905478441398005E-2</v>
      </c>
      <c r="E11" s="25">
        <f>C6-B6</f>
        <v>-655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720</v>
      </c>
      <c r="B12" s="385">
        <f>E7+E6+E5+E4</f>
        <v>212205</v>
      </c>
      <c r="E12" s="25">
        <f>C7-B7</f>
        <v>147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584</v>
      </c>
      <c r="B13" s="387">
        <f>B11+B12</f>
        <v>222205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503</v>
      </c>
      <c r="C15" s="388" t="s">
        <v>504</v>
      </c>
      <c r="D15" s="388" t="s">
        <v>505</v>
      </c>
      <c r="E15" s="388" t="s">
        <v>506</v>
      </c>
      <c r="F15" s="388" t="s">
        <v>507</v>
      </c>
      <c r="G15" s="388" t="s">
        <v>508</v>
      </c>
      <c r="H15" s="388" t="s">
        <v>509</v>
      </c>
      <c r="I15" s="388" t="s">
        <v>510</v>
      </c>
      <c r="J15" s="388" t="s">
        <v>511</v>
      </c>
      <c r="K15" s="388" t="s">
        <v>512</v>
      </c>
      <c r="L15" s="388" t="s">
        <v>513</v>
      </c>
      <c r="M15" s="388" t="s">
        <v>514</v>
      </c>
      <c r="N15" s="388" t="s">
        <v>515</v>
      </c>
      <c r="O15" s="388" t="s">
        <v>516</v>
      </c>
      <c r="P15" s="388" t="s">
        <v>517</v>
      </c>
      <c r="Q15" s="388" t="s">
        <v>518</v>
      </c>
      <c r="R15" s="388" t="s">
        <v>503</v>
      </c>
      <c r="S15" s="388" t="s">
        <v>504</v>
      </c>
      <c r="T15" s="388" t="s">
        <v>505</v>
      </c>
      <c r="U15" s="388" t="s">
        <v>506</v>
      </c>
      <c r="V15" s="388" t="s">
        <v>507</v>
      </c>
      <c r="W15" s="388" t="s">
        <v>508</v>
      </c>
      <c r="X15" s="388" t="s">
        <v>509</v>
      </c>
      <c r="Y15" s="388" t="s">
        <v>510</v>
      </c>
      <c r="Z15" s="388" t="s">
        <v>511</v>
      </c>
      <c r="AA15" s="388" t="s">
        <v>512</v>
      </c>
      <c r="AB15" s="388" t="s">
        <v>513</v>
      </c>
      <c r="AC15" s="388" t="s">
        <v>514</v>
      </c>
      <c r="AD15" s="388" t="s">
        <v>515</v>
      </c>
      <c r="AE15" s="388" t="s">
        <v>516</v>
      </c>
      <c r="AF15" s="388" t="s">
        <v>517</v>
      </c>
      <c r="AG15" s="388" t="s">
        <v>518</v>
      </c>
      <c r="AH15" s="388"/>
      <c r="AI15" s="388"/>
    </row>
    <row r="16" spans="1:36" x14ac:dyDescent="0.25">
      <c r="A16" s="389" t="s">
        <v>721</v>
      </c>
      <c r="B16" s="390">
        <v>2676</v>
      </c>
      <c r="C16" s="390">
        <f t="shared" ref="C16:AG16" si="1">B16+2</f>
        <v>2678</v>
      </c>
      <c r="D16" s="390">
        <f t="shared" si="1"/>
        <v>2680</v>
      </c>
      <c r="E16" s="390">
        <f t="shared" si="1"/>
        <v>2682</v>
      </c>
      <c r="F16" s="390">
        <f t="shared" si="1"/>
        <v>2684</v>
      </c>
      <c r="G16" s="390">
        <f t="shared" si="1"/>
        <v>2686</v>
      </c>
      <c r="H16" s="390">
        <f t="shared" si="1"/>
        <v>2688</v>
      </c>
      <c r="I16" s="390">
        <f t="shared" si="1"/>
        <v>2690</v>
      </c>
      <c r="J16" s="390">
        <f t="shared" si="1"/>
        <v>2692</v>
      </c>
      <c r="K16" s="390">
        <f t="shared" si="1"/>
        <v>2694</v>
      </c>
      <c r="L16" s="390">
        <f t="shared" si="1"/>
        <v>2696</v>
      </c>
      <c r="M16" s="390">
        <f t="shared" si="1"/>
        <v>2698</v>
      </c>
      <c r="N16" s="390">
        <f t="shared" si="1"/>
        <v>2700</v>
      </c>
      <c r="O16" s="390">
        <f t="shared" si="1"/>
        <v>2702</v>
      </c>
      <c r="P16" s="390">
        <f t="shared" si="1"/>
        <v>2704</v>
      </c>
      <c r="Q16" s="390">
        <f t="shared" si="1"/>
        <v>2706</v>
      </c>
      <c r="R16" s="390">
        <f t="shared" si="1"/>
        <v>2708</v>
      </c>
      <c r="S16" s="390">
        <f t="shared" si="1"/>
        <v>2710</v>
      </c>
      <c r="T16" s="390">
        <f t="shared" si="1"/>
        <v>2712</v>
      </c>
      <c r="U16" s="390">
        <f t="shared" si="1"/>
        <v>2714</v>
      </c>
      <c r="V16" s="390">
        <f t="shared" si="1"/>
        <v>2716</v>
      </c>
      <c r="W16" s="390">
        <f t="shared" si="1"/>
        <v>2718</v>
      </c>
      <c r="X16" s="390">
        <f t="shared" si="1"/>
        <v>2720</v>
      </c>
      <c r="Y16" s="390">
        <f t="shared" si="1"/>
        <v>2722</v>
      </c>
      <c r="Z16" s="390">
        <f t="shared" si="1"/>
        <v>2724</v>
      </c>
      <c r="AA16" s="390">
        <f t="shared" si="1"/>
        <v>2726</v>
      </c>
      <c r="AB16" s="390">
        <f t="shared" si="1"/>
        <v>2728</v>
      </c>
      <c r="AC16" s="390">
        <f t="shared" si="1"/>
        <v>2730</v>
      </c>
      <c r="AD16" s="390">
        <f t="shared" si="1"/>
        <v>2732</v>
      </c>
      <c r="AE16" s="390">
        <f t="shared" si="1"/>
        <v>2734</v>
      </c>
      <c r="AF16" s="390">
        <f t="shared" si="1"/>
        <v>2736</v>
      </c>
      <c r="AG16" s="390">
        <f t="shared" si="1"/>
        <v>2738</v>
      </c>
      <c r="AH16" s="390">
        <f>AG16+4</f>
        <v>2742</v>
      </c>
      <c r="AI16" s="390">
        <f>AH16+4</f>
        <v>2746</v>
      </c>
      <c r="AJ16" s="390">
        <f>AI16+4</f>
        <v>2750</v>
      </c>
    </row>
    <row r="17" spans="1:48" s="41" customFormat="1" x14ac:dyDescent="0.25">
      <c r="A17" s="400"/>
      <c r="B17" s="401">
        <f t="shared" ref="B17:AD17" si="2">B18+B19+B20+B21</f>
        <v>59574.45</v>
      </c>
      <c r="C17" s="401">
        <f t="shared" si="2"/>
        <v>59618.974999999999</v>
      </c>
      <c r="D17" s="401">
        <f t="shared" si="2"/>
        <v>59663.5</v>
      </c>
      <c r="E17" s="401">
        <f t="shared" si="2"/>
        <v>59708.025000000001</v>
      </c>
      <c r="F17" s="401">
        <f t="shared" si="2"/>
        <v>59752.549999999996</v>
      </c>
      <c r="G17" s="401">
        <f t="shared" si="2"/>
        <v>59797.074999999997</v>
      </c>
      <c r="H17" s="401">
        <f t="shared" si="2"/>
        <v>59841.599999999999</v>
      </c>
      <c r="I17" s="401">
        <f t="shared" si="2"/>
        <v>59886.125</v>
      </c>
      <c r="J17" s="401">
        <f t="shared" si="2"/>
        <v>59930.649999999994</v>
      </c>
      <c r="K17" s="401">
        <f t="shared" si="2"/>
        <v>59975.175000000003</v>
      </c>
      <c r="L17" s="401">
        <f t="shared" si="2"/>
        <v>60019.69999999999</v>
      </c>
      <c r="M17" s="401">
        <f t="shared" si="2"/>
        <v>60064.225000000006</v>
      </c>
      <c r="N17" s="401">
        <f t="shared" si="2"/>
        <v>60108.75</v>
      </c>
      <c r="O17" s="401">
        <f t="shared" si="2"/>
        <v>60153.275000000001</v>
      </c>
      <c r="P17" s="401">
        <f t="shared" si="2"/>
        <v>60197.799999999996</v>
      </c>
      <c r="Q17" s="401">
        <f t="shared" si="2"/>
        <v>60242.324999999997</v>
      </c>
      <c r="R17" s="401">
        <f t="shared" si="2"/>
        <v>60286.849999999991</v>
      </c>
      <c r="S17" s="401">
        <f t="shared" si="2"/>
        <v>60331.375</v>
      </c>
      <c r="T17" s="401">
        <f t="shared" si="2"/>
        <v>60375.9</v>
      </c>
      <c r="U17" s="401">
        <f t="shared" si="2"/>
        <v>60420.424999999996</v>
      </c>
      <c r="V17" s="401">
        <f t="shared" si="2"/>
        <v>60464.950000000004</v>
      </c>
      <c r="W17" s="401">
        <f t="shared" si="2"/>
        <v>60509.474999999999</v>
      </c>
      <c r="X17" s="401">
        <f t="shared" si="2"/>
        <v>60554</v>
      </c>
      <c r="Y17" s="401">
        <f t="shared" si="2"/>
        <v>60598.525000000001</v>
      </c>
      <c r="Z17" s="401">
        <f t="shared" si="2"/>
        <v>60643.049999999996</v>
      </c>
      <c r="AA17" s="401">
        <f t="shared" si="2"/>
        <v>60687.574999999997</v>
      </c>
      <c r="AB17" s="401">
        <f t="shared" si="2"/>
        <v>60732.1</v>
      </c>
      <c r="AC17" s="401">
        <f t="shared" si="2"/>
        <v>60776.625</v>
      </c>
      <c r="AD17" s="401">
        <f t="shared" si="2"/>
        <v>60821.15</v>
      </c>
      <c r="AE17" s="401"/>
      <c r="AF17" s="401"/>
      <c r="AG17" s="401"/>
      <c r="AH17" s="401"/>
      <c r="AI17" s="401"/>
    </row>
    <row r="18" spans="1:48" x14ac:dyDescent="0.25">
      <c r="A18" s="391" t="s">
        <v>722</v>
      </c>
      <c r="B18" s="392">
        <f t="shared" ref="B18:AK18" si="3">B16*$N$5</f>
        <v>34092.239999999998</v>
      </c>
      <c r="C18" s="392">
        <f t="shared" si="3"/>
        <v>34117.72</v>
      </c>
      <c r="D18" s="392">
        <f t="shared" si="3"/>
        <v>34143.199999999997</v>
      </c>
      <c r="E18" s="392">
        <f t="shared" si="3"/>
        <v>34168.68</v>
      </c>
      <c r="F18" s="392">
        <f t="shared" si="3"/>
        <v>34194.160000000003</v>
      </c>
      <c r="G18" s="392">
        <f t="shared" si="3"/>
        <v>34219.64</v>
      </c>
      <c r="H18" s="392">
        <f t="shared" si="3"/>
        <v>34245.120000000003</v>
      </c>
      <c r="I18" s="392">
        <f t="shared" si="3"/>
        <v>34270.6</v>
      </c>
      <c r="J18" s="392">
        <f t="shared" si="3"/>
        <v>34296.080000000002</v>
      </c>
      <c r="K18" s="392">
        <f t="shared" si="3"/>
        <v>34321.56</v>
      </c>
      <c r="L18" s="392">
        <f t="shared" si="3"/>
        <v>34347.040000000001</v>
      </c>
      <c r="M18" s="392">
        <f t="shared" si="3"/>
        <v>34372.520000000004</v>
      </c>
      <c r="N18" s="392">
        <f t="shared" si="3"/>
        <v>34398</v>
      </c>
      <c r="O18" s="392">
        <f t="shared" si="3"/>
        <v>34423.480000000003</v>
      </c>
      <c r="P18" s="392">
        <f t="shared" si="3"/>
        <v>34448.959999999999</v>
      </c>
      <c r="Q18" s="392">
        <f t="shared" si="3"/>
        <v>34474.44</v>
      </c>
      <c r="R18" s="392">
        <f t="shared" si="3"/>
        <v>34499.919999999998</v>
      </c>
      <c r="S18" s="392">
        <f t="shared" si="3"/>
        <v>34525.4</v>
      </c>
      <c r="T18" s="392">
        <f t="shared" si="3"/>
        <v>34550.879999999997</v>
      </c>
      <c r="U18" s="392">
        <f t="shared" si="3"/>
        <v>34576.36</v>
      </c>
      <c r="V18" s="392">
        <f t="shared" si="3"/>
        <v>34601.840000000004</v>
      </c>
      <c r="W18" s="392">
        <f t="shared" si="3"/>
        <v>34627.32</v>
      </c>
      <c r="X18" s="392">
        <f t="shared" si="3"/>
        <v>34652.800000000003</v>
      </c>
      <c r="Y18" s="392">
        <f t="shared" si="3"/>
        <v>34678.28</v>
      </c>
      <c r="Z18" s="392">
        <f t="shared" si="3"/>
        <v>34703.760000000002</v>
      </c>
      <c r="AA18" s="392">
        <f t="shared" si="3"/>
        <v>34729.24</v>
      </c>
      <c r="AB18" s="392">
        <f t="shared" si="3"/>
        <v>34754.720000000001</v>
      </c>
      <c r="AC18" s="392">
        <f t="shared" si="3"/>
        <v>34780.199999999997</v>
      </c>
      <c r="AD18" s="392">
        <f t="shared" si="3"/>
        <v>34805.68</v>
      </c>
      <c r="AE18" s="392">
        <f t="shared" si="3"/>
        <v>34831.160000000003</v>
      </c>
      <c r="AF18" s="392">
        <f t="shared" si="3"/>
        <v>34856.639999999999</v>
      </c>
      <c r="AG18" s="392">
        <f t="shared" si="3"/>
        <v>34882.120000000003</v>
      </c>
      <c r="AH18" s="392">
        <f t="shared" si="3"/>
        <v>34933.08</v>
      </c>
      <c r="AI18" s="392">
        <f t="shared" si="3"/>
        <v>34984.04</v>
      </c>
      <c r="AJ18" s="392">
        <f t="shared" si="3"/>
        <v>35035</v>
      </c>
      <c r="AK18" s="392">
        <f t="shared" si="3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723</v>
      </c>
      <c r="B19" s="392">
        <f t="shared" ref="B19:AK19" si="4">B16*$O$5</f>
        <v>13085.64</v>
      </c>
      <c r="C19" s="392">
        <f t="shared" si="4"/>
        <v>13095.419999999998</v>
      </c>
      <c r="D19" s="392">
        <f t="shared" si="4"/>
        <v>13105.199999999999</v>
      </c>
      <c r="E19" s="392">
        <f t="shared" si="4"/>
        <v>13114.98</v>
      </c>
      <c r="F19" s="392">
        <f t="shared" si="4"/>
        <v>13124.759999999998</v>
      </c>
      <c r="G19" s="392">
        <f t="shared" si="4"/>
        <v>13134.539999999999</v>
      </c>
      <c r="H19" s="392">
        <f t="shared" si="4"/>
        <v>13144.32</v>
      </c>
      <c r="I19" s="392">
        <f t="shared" si="4"/>
        <v>13154.099999999999</v>
      </c>
      <c r="J19" s="392">
        <f t="shared" si="4"/>
        <v>13163.88</v>
      </c>
      <c r="K19" s="392">
        <f t="shared" si="4"/>
        <v>13173.66</v>
      </c>
      <c r="L19" s="392">
        <f t="shared" si="4"/>
        <v>13183.439999999999</v>
      </c>
      <c r="M19" s="392">
        <f t="shared" si="4"/>
        <v>13193.22</v>
      </c>
      <c r="N19" s="392">
        <f t="shared" si="4"/>
        <v>13203</v>
      </c>
      <c r="O19" s="392">
        <f t="shared" si="4"/>
        <v>13212.779999999999</v>
      </c>
      <c r="P19" s="392">
        <f t="shared" si="4"/>
        <v>13222.56</v>
      </c>
      <c r="Q19" s="392">
        <f t="shared" si="4"/>
        <v>13232.339999999998</v>
      </c>
      <c r="R19" s="392">
        <f t="shared" si="4"/>
        <v>13242.119999999999</v>
      </c>
      <c r="S19" s="392">
        <f t="shared" si="4"/>
        <v>13251.9</v>
      </c>
      <c r="T19" s="392">
        <f t="shared" si="4"/>
        <v>13261.679999999998</v>
      </c>
      <c r="U19" s="392">
        <f t="shared" si="4"/>
        <v>13271.46</v>
      </c>
      <c r="V19" s="392">
        <f t="shared" si="4"/>
        <v>13281.24</v>
      </c>
      <c r="W19" s="392">
        <f t="shared" si="4"/>
        <v>13291.019999999999</v>
      </c>
      <c r="X19" s="392">
        <f t="shared" si="4"/>
        <v>13300.8</v>
      </c>
      <c r="Y19" s="392">
        <f t="shared" si="4"/>
        <v>13310.58</v>
      </c>
      <c r="Z19" s="392">
        <f t="shared" si="4"/>
        <v>13320.359999999999</v>
      </c>
      <c r="AA19" s="392">
        <f t="shared" si="4"/>
        <v>13330.14</v>
      </c>
      <c r="AB19" s="392">
        <f t="shared" si="4"/>
        <v>13339.919999999998</v>
      </c>
      <c r="AC19" s="392">
        <f t="shared" si="4"/>
        <v>13349.699999999999</v>
      </c>
      <c r="AD19" s="392">
        <f t="shared" si="4"/>
        <v>13359.48</v>
      </c>
      <c r="AE19" s="392">
        <f t="shared" si="4"/>
        <v>13369.259999999998</v>
      </c>
      <c r="AF19" s="392">
        <f t="shared" si="4"/>
        <v>13379.039999999999</v>
      </c>
      <c r="AG19" s="392">
        <f t="shared" si="4"/>
        <v>13388.82</v>
      </c>
      <c r="AH19" s="392">
        <f t="shared" si="4"/>
        <v>13408.38</v>
      </c>
      <c r="AI19" s="392">
        <f t="shared" si="4"/>
        <v>13427.939999999999</v>
      </c>
      <c r="AJ19" s="392">
        <f t="shared" si="4"/>
        <v>13447.5</v>
      </c>
      <c r="AK19" s="392">
        <f t="shared" si="4"/>
        <v>0</v>
      </c>
    </row>
    <row r="20" spans="1:48" x14ac:dyDescent="0.25">
      <c r="A20" s="391" t="s">
        <v>724</v>
      </c>
      <c r="B20" s="392">
        <f t="shared" ref="B20:AK20" si="5">B16*$P$5</f>
        <v>11031.81</v>
      </c>
      <c r="C20" s="392">
        <f t="shared" si="5"/>
        <v>11040.054999999998</v>
      </c>
      <c r="D20" s="392">
        <f t="shared" si="5"/>
        <v>11048.3</v>
      </c>
      <c r="E20" s="392">
        <f t="shared" si="5"/>
        <v>11056.544999999998</v>
      </c>
      <c r="F20" s="392">
        <f t="shared" si="5"/>
        <v>11064.789999999999</v>
      </c>
      <c r="G20" s="392">
        <f t="shared" si="5"/>
        <v>11073.035</v>
      </c>
      <c r="H20" s="392">
        <f t="shared" si="5"/>
        <v>11081.279999999999</v>
      </c>
      <c r="I20" s="392">
        <f t="shared" si="5"/>
        <v>11089.525</v>
      </c>
      <c r="J20" s="392">
        <f t="shared" si="5"/>
        <v>11097.769999999999</v>
      </c>
      <c r="K20" s="392">
        <f t="shared" si="5"/>
        <v>11106.014999999999</v>
      </c>
      <c r="L20" s="392">
        <f t="shared" si="5"/>
        <v>11114.259999999998</v>
      </c>
      <c r="M20" s="392">
        <f t="shared" si="5"/>
        <v>11122.504999999999</v>
      </c>
      <c r="N20" s="392">
        <f t="shared" si="5"/>
        <v>11130.749999999998</v>
      </c>
      <c r="O20" s="392">
        <f t="shared" si="5"/>
        <v>11138.994999999999</v>
      </c>
      <c r="P20" s="392">
        <f t="shared" si="5"/>
        <v>11147.24</v>
      </c>
      <c r="Q20" s="392">
        <f t="shared" si="5"/>
        <v>11155.484999999999</v>
      </c>
      <c r="R20" s="392">
        <f t="shared" si="5"/>
        <v>11163.73</v>
      </c>
      <c r="S20" s="392">
        <f t="shared" si="5"/>
        <v>11171.974999999999</v>
      </c>
      <c r="T20" s="392">
        <f t="shared" si="5"/>
        <v>11180.22</v>
      </c>
      <c r="U20" s="392">
        <f t="shared" si="5"/>
        <v>11188.464999999998</v>
      </c>
      <c r="V20" s="392">
        <f t="shared" si="5"/>
        <v>11196.71</v>
      </c>
      <c r="W20" s="392">
        <f t="shared" si="5"/>
        <v>11204.954999999998</v>
      </c>
      <c r="X20" s="392">
        <f t="shared" si="5"/>
        <v>11213.199999999999</v>
      </c>
      <c r="Y20" s="392">
        <f t="shared" si="5"/>
        <v>11221.445</v>
      </c>
      <c r="Z20" s="392">
        <f t="shared" si="5"/>
        <v>11229.689999999999</v>
      </c>
      <c r="AA20" s="392">
        <f t="shared" si="5"/>
        <v>11237.934999999999</v>
      </c>
      <c r="AB20" s="392">
        <f t="shared" si="5"/>
        <v>11246.179999999998</v>
      </c>
      <c r="AC20" s="392">
        <f t="shared" si="5"/>
        <v>11254.424999999999</v>
      </c>
      <c r="AD20" s="392">
        <f t="shared" si="5"/>
        <v>11262.669999999998</v>
      </c>
      <c r="AE20" s="392">
        <f t="shared" si="5"/>
        <v>11270.914999999999</v>
      </c>
      <c r="AF20" s="392">
        <f t="shared" si="5"/>
        <v>11279.159999999998</v>
      </c>
      <c r="AG20" s="392">
        <f t="shared" si="5"/>
        <v>11287.404999999999</v>
      </c>
      <c r="AH20" s="392">
        <f t="shared" si="5"/>
        <v>11303.894999999999</v>
      </c>
      <c r="AI20" s="392">
        <f t="shared" si="5"/>
        <v>11320.384999999998</v>
      </c>
      <c r="AJ20" s="392">
        <f t="shared" si="5"/>
        <v>11336.874999999998</v>
      </c>
      <c r="AK20" s="392">
        <f t="shared" si="5"/>
        <v>0</v>
      </c>
    </row>
    <row r="21" spans="1:48" x14ac:dyDescent="0.25">
      <c r="A21" s="391" t="s">
        <v>725</v>
      </c>
      <c r="B21" s="392">
        <f t="shared" ref="B21:AK21" si="6">B16*$Q$5</f>
        <v>1364.76</v>
      </c>
      <c r="C21" s="392">
        <f t="shared" si="6"/>
        <v>1365.78</v>
      </c>
      <c r="D21" s="392">
        <f t="shared" si="6"/>
        <v>1366.8</v>
      </c>
      <c r="E21" s="392">
        <f t="shared" si="6"/>
        <v>1367.82</v>
      </c>
      <c r="F21" s="392">
        <f t="shared" si="6"/>
        <v>1368.84</v>
      </c>
      <c r="G21" s="392">
        <f t="shared" si="6"/>
        <v>1369.8600000000001</v>
      </c>
      <c r="H21" s="392">
        <f t="shared" si="6"/>
        <v>1370.88</v>
      </c>
      <c r="I21" s="392">
        <f t="shared" si="6"/>
        <v>1371.9</v>
      </c>
      <c r="J21" s="392">
        <f t="shared" si="6"/>
        <v>1372.92</v>
      </c>
      <c r="K21" s="392">
        <f t="shared" si="6"/>
        <v>1373.94</v>
      </c>
      <c r="L21" s="392">
        <f t="shared" si="6"/>
        <v>1374.96</v>
      </c>
      <c r="M21" s="392">
        <f t="shared" si="6"/>
        <v>1375.98</v>
      </c>
      <c r="N21" s="392">
        <f t="shared" si="6"/>
        <v>1377</v>
      </c>
      <c r="O21" s="392">
        <f t="shared" si="6"/>
        <v>1378.02</v>
      </c>
      <c r="P21" s="392">
        <f t="shared" si="6"/>
        <v>1379.04</v>
      </c>
      <c r="Q21" s="392">
        <f t="shared" si="6"/>
        <v>1380.06</v>
      </c>
      <c r="R21" s="392">
        <f t="shared" si="6"/>
        <v>1381.08</v>
      </c>
      <c r="S21" s="392">
        <f t="shared" si="6"/>
        <v>1382.1000000000001</v>
      </c>
      <c r="T21" s="392">
        <f t="shared" si="6"/>
        <v>1383.1200000000001</v>
      </c>
      <c r="U21" s="392">
        <f t="shared" si="6"/>
        <v>1384.14</v>
      </c>
      <c r="V21" s="392">
        <f t="shared" si="6"/>
        <v>1385.16</v>
      </c>
      <c r="W21" s="392">
        <f t="shared" si="6"/>
        <v>1386.18</v>
      </c>
      <c r="X21" s="392">
        <f t="shared" si="6"/>
        <v>1387.2</v>
      </c>
      <c r="Y21" s="392">
        <f t="shared" si="6"/>
        <v>1388.22</v>
      </c>
      <c r="Z21" s="392">
        <f t="shared" si="6"/>
        <v>1389.24</v>
      </c>
      <c r="AA21" s="392">
        <f t="shared" si="6"/>
        <v>1390.26</v>
      </c>
      <c r="AB21" s="392">
        <f t="shared" si="6"/>
        <v>1391.28</v>
      </c>
      <c r="AC21" s="392">
        <f t="shared" si="6"/>
        <v>1392.3</v>
      </c>
      <c r="AD21" s="392">
        <f t="shared" si="6"/>
        <v>1393.32</v>
      </c>
      <c r="AE21" s="392">
        <f t="shared" si="6"/>
        <v>1394.34</v>
      </c>
      <c r="AF21" s="392">
        <f t="shared" si="6"/>
        <v>1395.3600000000001</v>
      </c>
      <c r="AG21" s="392">
        <f t="shared" si="6"/>
        <v>1396.38</v>
      </c>
      <c r="AH21" s="392">
        <f t="shared" si="6"/>
        <v>1398.42</v>
      </c>
      <c r="AI21" s="392">
        <f t="shared" si="6"/>
        <v>1400.46</v>
      </c>
      <c r="AJ21" s="392">
        <f t="shared" si="6"/>
        <v>1402.5</v>
      </c>
      <c r="AK21" s="392">
        <f t="shared" si="6"/>
        <v>0</v>
      </c>
    </row>
    <row r="22" spans="1:48" x14ac:dyDescent="0.25">
      <c r="A22" s="391" t="s">
        <v>726</v>
      </c>
      <c r="B22" s="392">
        <f t="shared" ref="B22:AD22" si="7">MIN(B$18,$C$4)</f>
        <v>33353</v>
      </c>
      <c r="C22" s="392">
        <f t="shared" si="7"/>
        <v>33353</v>
      </c>
      <c r="D22" s="392">
        <f t="shared" si="7"/>
        <v>33353</v>
      </c>
      <c r="E22" s="392">
        <f t="shared" si="7"/>
        <v>33353</v>
      </c>
      <c r="F22" s="392">
        <f t="shared" si="7"/>
        <v>33353</v>
      </c>
      <c r="G22" s="392">
        <f t="shared" si="7"/>
        <v>33353</v>
      </c>
      <c r="H22" s="392">
        <f t="shared" si="7"/>
        <v>33353</v>
      </c>
      <c r="I22" s="392">
        <f t="shared" si="7"/>
        <v>33353</v>
      </c>
      <c r="J22" s="392">
        <f t="shared" si="7"/>
        <v>33353</v>
      </c>
      <c r="K22" s="392">
        <f t="shared" si="7"/>
        <v>33353</v>
      </c>
      <c r="L22" s="392">
        <f t="shared" si="7"/>
        <v>33353</v>
      </c>
      <c r="M22" s="392">
        <f t="shared" si="7"/>
        <v>33353</v>
      </c>
      <c r="N22" s="392">
        <f t="shared" si="7"/>
        <v>33353</v>
      </c>
      <c r="O22" s="392">
        <f t="shared" si="7"/>
        <v>33353</v>
      </c>
      <c r="P22" s="392">
        <f t="shared" si="7"/>
        <v>33353</v>
      </c>
      <c r="Q22" s="392">
        <f t="shared" si="7"/>
        <v>33353</v>
      </c>
      <c r="R22" s="392">
        <f t="shared" si="7"/>
        <v>33353</v>
      </c>
      <c r="S22" s="392">
        <f t="shared" si="7"/>
        <v>33353</v>
      </c>
      <c r="T22" s="392">
        <f t="shared" si="7"/>
        <v>33353</v>
      </c>
      <c r="U22" s="392">
        <f t="shared" si="7"/>
        <v>33353</v>
      </c>
      <c r="V22" s="392">
        <f t="shared" si="7"/>
        <v>33353</v>
      </c>
      <c r="W22" s="392">
        <f t="shared" si="7"/>
        <v>33353</v>
      </c>
      <c r="X22" s="392">
        <f t="shared" si="7"/>
        <v>33353</v>
      </c>
      <c r="Y22" s="392">
        <f t="shared" si="7"/>
        <v>33353</v>
      </c>
      <c r="Z22" s="392">
        <f t="shared" si="7"/>
        <v>33353</v>
      </c>
      <c r="AA22" s="392">
        <f t="shared" si="7"/>
        <v>33353</v>
      </c>
      <c r="AB22" s="392">
        <f t="shared" si="7"/>
        <v>33353</v>
      </c>
      <c r="AC22" s="392">
        <f t="shared" si="7"/>
        <v>33353</v>
      </c>
      <c r="AD22" s="392">
        <f t="shared" si="7"/>
        <v>33353</v>
      </c>
      <c r="AE22" s="392"/>
      <c r="AF22" s="392"/>
      <c r="AG22" s="392"/>
      <c r="AH22" s="392"/>
      <c r="AI22" s="392"/>
    </row>
    <row r="23" spans="1:48" x14ac:dyDescent="0.25">
      <c r="A23" s="391" t="s">
        <v>727</v>
      </c>
      <c r="B23" s="392">
        <f t="shared" ref="B23:AD23" si="8">MIN(B$19,$C$5)</f>
        <v>12802</v>
      </c>
      <c r="C23" s="392">
        <f t="shared" si="8"/>
        <v>12802</v>
      </c>
      <c r="D23" s="392">
        <f t="shared" si="8"/>
        <v>12802</v>
      </c>
      <c r="E23" s="392">
        <f t="shared" si="8"/>
        <v>12802</v>
      </c>
      <c r="F23" s="392">
        <f t="shared" si="8"/>
        <v>12802</v>
      </c>
      <c r="G23" s="392">
        <f t="shared" si="8"/>
        <v>12802</v>
      </c>
      <c r="H23" s="392">
        <f t="shared" si="8"/>
        <v>12802</v>
      </c>
      <c r="I23" s="392">
        <f t="shared" si="8"/>
        <v>12802</v>
      </c>
      <c r="J23" s="392">
        <f t="shared" si="8"/>
        <v>12802</v>
      </c>
      <c r="K23" s="392">
        <f t="shared" si="8"/>
        <v>12802</v>
      </c>
      <c r="L23" s="392">
        <f t="shared" si="8"/>
        <v>12802</v>
      </c>
      <c r="M23" s="392">
        <f t="shared" si="8"/>
        <v>12802</v>
      </c>
      <c r="N23" s="392">
        <f t="shared" si="8"/>
        <v>12802</v>
      </c>
      <c r="O23" s="392">
        <f t="shared" si="8"/>
        <v>12802</v>
      </c>
      <c r="P23" s="392">
        <f t="shared" si="8"/>
        <v>12802</v>
      </c>
      <c r="Q23" s="392">
        <f t="shared" si="8"/>
        <v>12802</v>
      </c>
      <c r="R23" s="392">
        <f t="shared" si="8"/>
        <v>12802</v>
      </c>
      <c r="S23" s="392">
        <f t="shared" si="8"/>
        <v>12802</v>
      </c>
      <c r="T23" s="392">
        <f t="shared" si="8"/>
        <v>12802</v>
      </c>
      <c r="U23" s="392">
        <f t="shared" si="8"/>
        <v>12802</v>
      </c>
      <c r="V23" s="392">
        <f t="shared" si="8"/>
        <v>12802</v>
      </c>
      <c r="W23" s="392">
        <f t="shared" si="8"/>
        <v>12802</v>
      </c>
      <c r="X23" s="392">
        <f t="shared" si="8"/>
        <v>12802</v>
      </c>
      <c r="Y23" s="392">
        <f t="shared" si="8"/>
        <v>12802</v>
      </c>
      <c r="Z23" s="392">
        <f t="shared" si="8"/>
        <v>12802</v>
      </c>
      <c r="AA23" s="392">
        <f t="shared" si="8"/>
        <v>12802</v>
      </c>
      <c r="AB23" s="392">
        <f t="shared" si="8"/>
        <v>12802</v>
      </c>
      <c r="AC23" s="392">
        <f t="shared" si="8"/>
        <v>12802</v>
      </c>
      <c r="AD23" s="392">
        <f t="shared" si="8"/>
        <v>12802</v>
      </c>
      <c r="AE23" s="392"/>
      <c r="AF23" s="392"/>
      <c r="AG23" s="392"/>
      <c r="AH23" s="392"/>
      <c r="AI23" s="392"/>
    </row>
    <row r="24" spans="1:48" x14ac:dyDescent="0.25">
      <c r="A24" s="391" t="s">
        <v>728</v>
      </c>
      <c r="B24" s="392">
        <f t="shared" ref="B24:AD24" si="9">MIN(B$20,$C$6)</f>
        <v>10793</v>
      </c>
      <c r="C24" s="392">
        <f t="shared" si="9"/>
        <v>10793</v>
      </c>
      <c r="D24" s="392">
        <f t="shared" si="9"/>
        <v>10793</v>
      </c>
      <c r="E24" s="392">
        <f t="shared" si="9"/>
        <v>10793</v>
      </c>
      <c r="F24" s="392">
        <f t="shared" si="9"/>
        <v>10793</v>
      </c>
      <c r="G24" s="392">
        <f t="shared" si="9"/>
        <v>10793</v>
      </c>
      <c r="H24" s="392">
        <f t="shared" si="9"/>
        <v>10793</v>
      </c>
      <c r="I24" s="392">
        <f t="shared" si="9"/>
        <v>10793</v>
      </c>
      <c r="J24" s="392">
        <f t="shared" si="9"/>
        <v>10793</v>
      </c>
      <c r="K24" s="392">
        <f t="shared" si="9"/>
        <v>10793</v>
      </c>
      <c r="L24" s="392">
        <f t="shared" si="9"/>
        <v>10793</v>
      </c>
      <c r="M24" s="392">
        <f t="shared" si="9"/>
        <v>10793</v>
      </c>
      <c r="N24" s="392">
        <f t="shared" si="9"/>
        <v>10793</v>
      </c>
      <c r="O24" s="392">
        <f t="shared" si="9"/>
        <v>10793</v>
      </c>
      <c r="P24" s="392">
        <f t="shared" si="9"/>
        <v>10793</v>
      </c>
      <c r="Q24" s="392">
        <f t="shared" si="9"/>
        <v>10793</v>
      </c>
      <c r="R24" s="392">
        <f t="shared" si="9"/>
        <v>10793</v>
      </c>
      <c r="S24" s="392">
        <f t="shared" si="9"/>
        <v>10793</v>
      </c>
      <c r="T24" s="392">
        <f t="shared" si="9"/>
        <v>10793</v>
      </c>
      <c r="U24" s="392">
        <f t="shared" si="9"/>
        <v>10793</v>
      </c>
      <c r="V24" s="392">
        <f t="shared" si="9"/>
        <v>10793</v>
      </c>
      <c r="W24" s="392">
        <f t="shared" si="9"/>
        <v>10793</v>
      </c>
      <c r="X24" s="392">
        <f t="shared" si="9"/>
        <v>10793</v>
      </c>
      <c r="Y24" s="392">
        <f t="shared" si="9"/>
        <v>10793</v>
      </c>
      <c r="Z24" s="392">
        <f t="shared" si="9"/>
        <v>10793</v>
      </c>
      <c r="AA24" s="392">
        <f t="shared" si="9"/>
        <v>10793</v>
      </c>
      <c r="AB24" s="392">
        <f t="shared" si="9"/>
        <v>10793</v>
      </c>
      <c r="AC24" s="392">
        <f t="shared" si="9"/>
        <v>10793</v>
      </c>
      <c r="AD24" s="392">
        <f t="shared" si="9"/>
        <v>10793</v>
      </c>
      <c r="AE24" s="392"/>
      <c r="AF24" s="392"/>
      <c r="AG24" s="392"/>
      <c r="AH24" s="392"/>
      <c r="AI24" s="392"/>
    </row>
    <row r="25" spans="1:48" x14ac:dyDescent="0.25">
      <c r="A25" s="391" t="s">
        <v>729</v>
      </c>
      <c r="B25" s="392">
        <f t="shared" ref="B25:AD25" si="10">MIN(B$21,$C$7)</f>
        <v>1335</v>
      </c>
      <c r="C25" s="392">
        <f t="shared" si="10"/>
        <v>1335</v>
      </c>
      <c r="D25" s="392">
        <f t="shared" si="10"/>
        <v>1335</v>
      </c>
      <c r="E25" s="392">
        <f t="shared" si="10"/>
        <v>1335</v>
      </c>
      <c r="F25" s="392">
        <f t="shared" si="10"/>
        <v>1335</v>
      </c>
      <c r="G25" s="392">
        <f t="shared" si="10"/>
        <v>1335</v>
      </c>
      <c r="H25" s="392">
        <f t="shared" si="10"/>
        <v>1335</v>
      </c>
      <c r="I25" s="392">
        <f t="shared" si="10"/>
        <v>1335</v>
      </c>
      <c r="J25" s="392">
        <f t="shared" si="10"/>
        <v>1335</v>
      </c>
      <c r="K25" s="392">
        <f t="shared" si="10"/>
        <v>1335</v>
      </c>
      <c r="L25" s="392">
        <f t="shared" si="10"/>
        <v>1335</v>
      </c>
      <c r="M25" s="392">
        <f t="shared" si="10"/>
        <v>1335</v>
      </c>
      <c r="N25" s="392">
        <f t="shared" si="10"/>
        <v>1335</v>
      </c>
      <c r="O25" s="392">
        <f t="shared" si="10"/>
        <v>1335</v>
      </c>
      <c r="P25" s="392">
        <f t="shared" si="10"/>
        <v>1335</v>
      </c>
      <c r="Q25" s="392">
        <f t="shared" si="10"/>
        <v>1335</v>
      </c>
      <c r="R25" s="392">
        <f t="shared" si="10"/>
        <v>1335</v>
      </c>
      <c r="S25" s="392">
        <f t="shared" si="10"/>
        <v>1335</v>
      </c>
      <c r="T25" s="392">
        <f t="shared" si="10"/>
        <v>1335</v>
      </c>
      <c r="U25" s="392">
        <f t="shared" si="10"/>
        <v>1335</v>
      </c>
      <c r="V25" s="392">
        <f t="shared" si="10"/>
        <v>1335</v>
      </c>
      <c r="W25" s="392">
        <f t="shared" si="10"/>
        <v>1335</v>
      </c>
      <c r="X25" s="392">
        <f t="shared" si="10"/>
        <v>1335</v>
      </c>
      <c r="Y25" s="392">
        <f t="shared" si="10"/>
        <v>1335</v>
      </c>
      <c r="Z25" s="392">
        <f t="shared" si="10"/>
        <v>1335</v>
      </c>
      <c r="AA25" s="392">
        <f t="shared" si="10"/>
        <v>1335</v>
      </c>
      <c r="AB25" s="392">
        <f t="shared" si="10"/>
        <v>1335</v>
      </c>
      <c r="AC25" s="392">
        <f t="shared" si="10"/>
        <v>1335</v>
      </c>
      <c r="AD25" s="392">
        <f t="shared" si="10"/>
        <v>1335</v>
      </c>
      <c r="AE25" s="392"/>
      <c r="AF25" s="392"/>
      <c r="AG25" s="392"/>
      <c r="AH25" s="392"/>
      <c r="AI25" s="392"/>
    </row>
    <row r="26" spans="1:48" x14ac:dyDescent="0.25">
      <c r="A26" s="393" t="s">
        <v>730</v>
      </c>
      <c r="B26" s="394">
        <f>IF(B22&gt;$B$4,(B22-$B$4)*$H$4,0)</f>
        <v>30863</v>
      </c>
      <c r="C26" s="394">
        <v>0</v>
      </c>
      <c r="D26" s="394">
        <f>IF(D22&gt;$B$4,(D22-$B$4)*$H$4,0)</f>
        <v>30863</v>
      </c>
      <c r="E26" s="394">
        <v>0</v>
      </c>
      <c r="F26" s="394">
        <f>IF(F22&gt;$B$4,(F22-$B$4)*$H$4,0)</f>
        <v>30863</v>
      </c>
      <c r="G26" s="394">
        <v>0</v>
      </c>
      <c r="H26" s="394">
        <f>IF(H22&gt;$B$4,(H22-$B$4)*$H$4,0)</f>
        <v>30863</v>
      </c>
      <c r="I26" s="394">
        <v>0</v>
      </c>
      <c r="J26" s="394">
        <f>IF(J22&gt;$B$4,(J22-$B$4)*$H$4,0)</f>
        <v>30863</v>
      </c>
      <c r="K26" s="394">
        <v>0</v>
      </c>
      <c r="L26" s="394">
        <f>IF(L22&gt;$B$4,(L22-$B$4)*$H$4,0)</f>
        <v>30863</v>
      </c>
      <c r="M26" s="394">
        <v>0</v>
      </c>
      <c r="N26" s="394">
        <f>IF(N22&gt;$B$4,(N22-$B$4)*$H$4,0)</f>
        <v>30863</v>
      </c>
      <c r="O26" s="394">
        <v>0</v>
      </c>
      <c r="P26" s="394">
        <f>IF(P22&gt;$B$4,(P22-$B$4)*$H$4,0)</f>
        <v>30863</v>
      </c>
      <c r="Q26" s="394">
        <v>0</v>
      </c>
      <c r="R26" s="394">
        <f>IF(R22&gt;$B$4,(R22-$B$4)*$H$4,0)</f>
        <v>30863</v>
      </c>
      <c r="S26" s="394">
        <v>0</v>
      </c>
      <c r="T26" s="394">
        <f>IF(T22&gt;$B$4,(T22-$B$4)*$H$4,0)</f>
        <v>30863</v>
      </c>
      <c r="U26" s="394">
        <v>0</v>
      </c>
      <c r="V26" s="394">
        <f>IF(V22&gt;$B$4,(V22-$B$4)*$H$4,0)</f>
        <v>30863</v>
      </c>
      <c r="W26" s="394">
        <v>0</v>
      </c>
      <c r="X26" s="394">
        <f>IF(X22&gt;$B$4,(X22-$B$4)*$H$4,0)</f>
        <v>30863</v>
      </c>
      <c r="Y26" s="394">
        <v>0</v>
      </c>
      <c r="Z26" s="394">
        <f>IF(Z22&gt;$B$4,(Z22-$B$4)*$H$4,0)</f>
        <v>30863</v>
      </c>
      <c r="AA26" s="394">
        <v>0</v>
      </c>
      <c r="AB26" s="394">
        <f>IF(AB22&gt;$B$4,(AB22-$B$4)*$H$4,0)</f>
        <v>30863</v>
      </c>
      <c r="AC26" s="394">
        <v>0</v>
      </c>
      <c r="AD26" s="394">
        <f>IF(AD22&gt;$B$4,(AD22-$B$4)*$H$4,0)</f>
        <v>30863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731</v>
      </c>
      <c r="B27" s="394">
        <f>IF(B23&gt;$B$5,(B23-$B$5)*$H$5,0)</f>
        <v>3820</v>
      </c>
      <c r="C27" s="394">
        <v>0</v>
      </c>
      <c r="D27" s="394">
        <f>IF(D23&gt;$B$5,(D23-$B$5)*$H$5,0)</f>
        <v>3820</v>
      </c>
      <c r="E27" s="394">
        <v>0</v>
      </c>
      <c r="F27" s="394">
        <f>IF(F23&gt;$B$5,(F23-$B$5)*$H$5,0)</f>
        <v>3820</v>
      </c>
      <c r="G27" s="394">
        <v>0</v>
      </c>
      <c r="H27" s="394">
        <f>IF(H23&gt;$B$5,(H23-$B$5)*$H$5,0)</f>
        <v>3820</v>
      </c>
      <c r="I27" s="394">
        <v>0</v>
      </c>
      <c r="J27" s="394">
        <f>IF(J23&gt;$B$5,(J23-$B$5)*$H$5,0)</f>
        <v>3820</v>
      </c>
      <c r="K27" s="394">
        <v>0</v>
      </c>
      <c r="L27" s="394">
        <f>IF(L23&gt;$B$5,(L23-$B$5)*$H$5,0)</f>
        <v>3820</v>
      </c>
      <c r="M27" s="394">
        <v>0</v>
      </c>
      <c r="N27" s="394">
        <f>IF(N23&gt;$B$5,(N23-$B$5)*$H$5,0)</f>
        <v>3820</v>
      </c>
      <c r="O27" s="394">
        <v>0</v>
      </c>
      <c r="P27" s="394">
        <f>IF(P23&gt;$B$5,(P23-$B$5)*$H$5,0)</f>
        <v>3820</v>
      </c>
      <c r="Q27" s="394">
        <v>0</v>
      </c>
      <c r="R27" s="394">
        <f>IF(R23&gt;$B$5,(R23-$B$5)*$H$5,0)</f>
        <v>3820</v>
      </c>
      <c r="S27" s="394">
        <v>0</v>
      </c>
      <c r="T27" s="394">
        <f>IF(T23&gt;$B$5,(T23-$B$5)*$H$5,0)</f>
        <v>3820</v>
      </c>
      <c r="U27" s="394">
        <v>0</v>
      </c>
      <c r="V27" s="394">
        <f>IF(V23&gt;$B$5,(V23-$B$5)*$H$5,0)</f>
        <v>3820</v>
      </c>
      <c r="W27" s="394">
        <v>0</v>
      </c>
      <c r="X27" s="394">
        <f>IF(X23&gt;$B$5,(X23-$B$5)*$H$5,0)</f>
        <v>3820</v>
      </c>
      <c r="Y27" s="394">
        <v>0</v>
      </c>
      <c r="Z27" s="394">
        <f>IF(Z23&gt;$B$5,(Z23-$B$5)*$H$5,0)</f>
        <v>3820</v>
      </c>
      <c r="AA27" s="394">
        <v>0</v>
      </c>
      <c r="AB27" s="394">
        <f>IF(AB23&gt;$B$5,(AB23-$B$5)*$H$5,0)</f>
        <v>3820</v>
      </c>
      <c r="AC27" s="394">
        <v>0</v>
      </c>
      <c r="AD27" s="394">
        <f>IF(AD23&gt;$B$5,(AD23-$B$5)*$H$5,0)</f>
        <v>3820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732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733</v>
      </c>
      <c r="B29" s="394">
        <f>IF(B25&gt;$B$7,(B25-$B$7)*$H$7,0)</f>
        <v>5145</v>
      </c>
      <c r="C29" s="394">
        <v>0</v>
      </c>
      <c r="D29" s="394">
        <f>IF(D25&gt;$B$7,(D25-$B$7)*$H$7,0)</f>
        <v>5145</v>
      </c>
      <c r="E29" s="394">
        <v>0</v>
      </c>
      <c r="F29" s="394">
        <f>IF(F25&gt;$B$7,(F25-$B$7)*$H$7,0)</f>
        <v>5145</v>
      </c>
      <c r="G29" s="394">
        <v>0</v>
      </c>
      <c r="H29" s="394">
        <f>IF(H25&gt;$B$7,(H25-$B$7)*$H$7,0)</f>
        <v>5145</v>
      </c>
      <c r="I29" s="394">
        <v>0</v>
      </c>
      <c r="J29" s="394">
        <f>IF(J25&gt;$B$7,(J25-$B$7)*$H$7,0)</f>
        <v>5145</v>
      </c>
      <c r="K29" s="394">
        <v>0</v>
      </c>
      <c r="L29" s="394">
        <f>IF(L25&gt;$B$7,(L25-$B$7)*$H$7,0)</f>
        <v>5145</v>
      </c>
      <c r="M29" s="394">
        <v>0</v>
      </c>
      <c r="N29" s="394">
        <f>IF(N25&gt;$B$7,(N25-$B$7)*$H$7,0)</f>
        <v>5145</v>
      </c>
      <c r="O29" s="394">
        <v>0</v>
      </c>
      <c r="P29" s="394">
        <f>IF(P25&gt;$B$7,(P25-$B$7)*$H$7,0)</f>
        <v>5145</v>
      </c>
      <c r="Q29" s="394">
        <v>0</v>
      </c>
      <c r="R29" s="394">
        <f>IF(R25&gt;$B$7,(R25-$B$7)*$H$7,0)</f>
        <v>5145</v>
      </c>
      <c r="S29" s="394">
        <v>0</v>
      </c>
      <c r="T29" s="394">
        <f>IF(T25&gt;$B$7,(T25-$B$7)*$H$7,0)</f>
        <v>5145</v>
      </c>
      <c r="U29" s="394">
        <v>0</v>
      </c>
      <c r="V29" s="394">
        <f>IF(V25&gt;$B$7,(V25-$B$7)*$H$7,0)</f>
        <v>5145</v>
      </c>
      <c r="W29" s="394">
        <v>0</v>
      </c>
      <c r="X29" s="394">
        <f>IF(X25&gt;$B$7,(X25-$B$7)*$H$7,0)</f>
        <v>5145</v>
      </c>
      <c r="Y29" s="394">
        <v>0</v>
      </c>
      <c r="Z29" s="394">
        <f>IF(Z25&gt;$B$7,(Z25-$B$7)*$H$7,0)</f>
        <v>5145</v>
      </c>
      <c r="AA29" s="394">
        <v>0</v>
      </c>
      <c r="AB29" s="394">
        <f>IF(AB25&gt;$B$7,(AB25-$B$7)*$H$7,0)</f>
        <v>5145</v>
      </c>
      <c r="AC29" s="394">
        <v>0</v>
      </c>
      <c r="AD29" s="394">
        <f>IF(AD25&gt;$B$7,(AD25-$B$7)*$H$7,0)</f>
        <v>5145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734</v>
      </c>
      <c r="B30" s="396">
        <f>G4+G5+G6+G7</f>
        <v>2184.4</v>
      </c>
      <c r="C30" s="396">
        <f t="shared" ref="C30:AD30" si="11">B30</f>
        <v>2184.4</v>
      </c>
      <c r="D30" s="396">
        <f t="shared" si="11"/>
        <v>2184.4</v>
      </c>
      <c r="E30" s="396">
        <f t="shared" si="11"/>
        <v>2184.4</v>
      </c>
      <c r="F30" s="396">
        <f t="shared" si="11"/>
        <v>2184.4</v>
      </c>
      <c r="G30" s="396">
        <f t="shared" si="11"/>
        <v>2184.4</v>
      </c>
      <c r="H30" s="396">
        <f t="shared" si="11"/>
        <v>2184.4</v>
      </c>
      <c r="I30" s="396">
        <f t="shared" si="11"/>
        <v>2184.4</v>
      </c>
      <c r="J30" s="396">
        <f t="shared" si="11"/>
        <v>2184.4</v>
      </c>
      <c r="K30" s="396">
        <f t="shared" si="11"/>
        <v>2184.4</v>
      </c>
      <c r="L30" s="396">
        <f t="shared" si="11"/>
        <v>2184.4</v>
      </c>
      <c r="M30" s="396">
        <f t="shared" si="11"/>
        <v>2184.4</v>
      </c>
      <c r="N30" s="396">
        <f t="shared" si="11"/>
        <v>2184.4</v>
      </c>
      <c r="O30" s="396">
        <f t="shared" si="11"/>
        <v>2184.4</v>
      </c>
      <c r="P30" s="396">
        <f t="shared" si="11"/>
        <v>2184.4</v>
      </c>
      <c r="Q30" s="396">
        <f t="shared" si="11"/>
        <v>2184.4</v>
      </c>
      <c r="R30" s="396">
        <f t="shared" si="11"/>
        <v>2184.4</v>
      </c>
      <c r="S30" s="396">
        <f t="shared" si="11"/>
        <v>2184.4</v>
      </c>
      <c r="T30" s="396">
        <f t="shared" si="11"/>
        <v>2184.4</v>
      </c>
      <c r="U30" s="396">
        <f t="shared" si="11"/>
        <v>2184.4</v>
      </c>
      <c r="V30" s="396">
        <f t="shared" si="11"/>
        <v>2184.4</v>
      </c>
      <c r="W30" s="396">
        <f t="shared" si="11"/>
        <v>2184.4</v>
      </c>
      <c r="X30" s="396">
        <f t="shared" si="11"/>
        <v>2184.4</v>
      </c>
      <c r="Y30" s="396">
        <f t="shared" si="11"/>
        <v>2184.4</v>
      </c>
      <c r="Z30" s="396">
        <f t="shared" si="11"/>
        <v>2184.4</v>
      </c>
      <c r="AA30" s="396">
        <f t="shared" si="11"/>
        <v>2184.4</v>
      </c>
      <c r="AB30" s="396">
        <f t="shared" si="11"/>
        <v>2184.4</v>
      </c>
      <c r="AC30" s="396">
        <f t="shared" si="11"/>
        <v>2184.4</v>
      </c>
      <c r="AD30" s="396">
        <f t="shared" si="11"/>
        <v>2184.4</v>
      </c>
      <c r="AE30" s="396"/>
      <c r="AF30" s="396"/>
      <c r="AG30" s="396"/>
      <c r="AH30" s="396"/>
      <c r="AI30" s="396"/>
    </row>
    <row r="31" spans="1:48" x14ac:dyDescent="0.25">
      <c r="A31" s="397" t="s">
        <v>735</v>
      </c>
      <c r="B31" s="398">
        <f t="shared" ref="B31:AD31" si="12">B26+B27+B28+B29-B30</f>
        <v>37643.599999999999</v>
      </c>
      <c r="C31" s="398">
        <f t="shared" si="12"/>
        <v>-2184.4</v>
      </c>
      <c r="D31" s="398">
        <f t="shared" si="12"/>
        <v>37643.599999999999</v>
      </c>
      <c r="E31" s="398">
        <f t="shared" si="12"/>
        <v>-2184.4</v>
      </c>
      <c r="F31" s="398">
        <f t="shared" si="12"/>
        <v>37643.599999999999</v>
      </c>
      <c r="G31" s="398">
        <f t="shared" si="12"/>
        <v>-2184.4</v>
      </c>
      <c r="H31" s="398">
        <f t="shared" si="12"/>
        <v>37643.599999999999</v>
      </c>
      <c r="I31" s="398">
        <f t="shared" si="12"/>
        <v>-2184.4</v>
      </c>
      <c r="J31" s="398">
        <f t="shared" si="12"/>
        <v>37643.599999999999</v>
      </c>
      <c r="K31" s="398">
        <f t="shared" si="12"/>
        <v>-2184.4</v>
      </c>
      <c r="L31" s="398">
        <f t="shared" si="12"/>
        <v>37643.599999999999</v>
      </c>
      <c r="M31" s="398">
        <f t="shared" si="12"/>
        <v>-2184.4</v>
      </c>
      <c r="N31" s="398">
        <f t="shared" si="12"/>
        <v>37643.599999999999</v>
      </c>
      <c r="O31" s="398">
        <f t="shared" si="12"/>
        <v>-2184.4</v>
      </c>
      <c r="P31" s="398">
        <f t="shared" si="12"/>
        <v>37643.599999999999</v>
      </c>
      <c r="Q31" s="398">
        <f t="shared" si="12"/>
        <v>-2184.4</v>
      </c>
      <c r="R31" s="398">
        <f t="shared" si="12"/>
        <v>37643.599999999999</v>
      </c>
      <c r="S31" s="398">
        <f t="shared" si="12"/>
        <v>-2184.4</v>
      </c>
      <c r="T31" s="398">
        <f t="shared" si="12"/>
        <v>37643.599999999999</v>
      </c>
      <c r="U31" s="398">
        <f t="shared" si="12"/>
        <v>-2184.4</v>
      </c>
      <c r="V31" s="398">
        <f t="shared" si="12"/>
        <v>37643.599999999999</v>
      </c>
      <c r="W31" s="398">
        <f t="shared" si="12"/>
        <v>-2184.4</v>
      </c>
      <c r="X31" s="398">
        <f t="shared" si="12"/>
        <v>37643.599999999999</v>
      </c>
      <c r="Y31" s="398">
        <f t="shared" si="12"/>
        <v>-2184.4</v>
      </c>
      <c r="Z31" s="398">
        <f t="shared" si="12"/>
        <v>37643.599999999999</v>
      </c>
      <c r="AA31" s="398">
        <f t="shared" si="12"/>
        <v>-2184.4</v>
      </c>
      <c r="AB31" s="398">
        <f t="shared" si="12"/>
        <v>37643.599999999999</v>
      </c>
      <c r="AC31" s="398">
        <f t="shared" si="12"/>
        <v>-2184.4</v>
      </c>
      <c r="AD31" s="398">
        <f t="shared" si="12"/>
        <v>37643.599999999999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736</v>
      </c>
      <c r="B32" s="398">
        <f>-B12-B11+B31</f>
        <v>-184561.4</v>
      </c>
      <c r="C32" s="398">
        <f t="shared" ref="C32:AD32" si="13">B32+C31</f>
        <v>-186745.8</v>
      </c>
      <c r="D32" s="398">
        <f t="shared" si="13"/>
        <v>-149102.19999999998</v>
      </c>
      <c r="E32" s="398">
        <f t="shared" si="13"/>
        <v>-151286.59999999998</v>
      </c>
      <c r="F32" s="398">
        <f t="shared" si="13"/>
        <v>-113642.99999999997</v>
      </c>
      <c r="G32" s="398">
        <f t="shared" si="13"/>
        <v>-115827.39999999997</v>
      </c>
      <c r="H32" s="398">
        <f t="shared" si="13"/>
        <v>-78183.799999999959</v>
      </c>
      <c r="I32" s="398">
        <f t="shared" si="13"/>
        <v>-80368.199999999953</v>
      </c>
      <c r="J32" s="398">
        <f t="shared" si="13"/>
        <v>-42724.599999999955</v>
      </c>
      <c r="K32" s="398">
        <f t="shared" si="13"/>
        <v>-44908.999999999956</v>
      </c>
      <c r="L32" s="398">
        <f t="shared" si="13"/>
        <v>-7265.3999999999578</v>
      </c>
      <c r="M32" s="398">
        <f t="shared" si="13"/>
        <v>-9449.7999999999574</v>
      </c>
      <c r="N32" s="398">
        <f t="shared" si="13"/>
        <v>28193.800000000039</v>
      </c>
      <c r="O32" s="398">
        <f t="shared" si="13"/>
        <v>26009.400000000038</v>
      </c>
      <c r="P32" s="398">
        <f t="shared" si="13"/>
        <v>63653.000000000036</v>
      </c>
      <c r="Q32" s="398">
        <f t="shared" si="13"/>
        <v>61468.600000000035</v>
      </c>
      <c r="R32" s="398">
        <f t="shared" si="13"/>
        <v>99112.200000000041</v>
      </c>
      <c r="S32" s="398">
        <f t="shared" si="13"/>
        <v>96927.800000000047</v>
      </c>
      <c r="T32" s="398">
        <f t="shared" si="13"/>
        <v>134571.40000000005</v>
      </c>
      <c r="U32" s="398">
        <f t="shared" si="13"/>
        <v>132387.00000000006</v>
      </c>
      <c r="V32" s="398">
        <f t="shared" si="13"/>
        <v>170030.60000000006</v>
      </c>
      <c r="W32" s="398">
        <f t="shared" si="13"/>
        <v>167846.20000000007</v>
      </c>
      <c r="X32" s="398">
        <f t="shared" si="13"/>
        <v>205489.80000000008</v>
      </c>
      <c r="Y32" s="398">
        <f t="shared" si="13"/>
        <v>203305.40000000008</v>
      </c>
      <c r="Z32" s="398">
        <f t="shared" si="13"/>
        <v>240949.00000000009</v>
      </c>
      <c r="AA32" s="398">
        <f t="shared" si="13"/>
        <v>238764.60000000009</v>
      </c>
      <c r="AB32" s="398">
        <f t="shared" si="13"/>
        <v>276408.20000000007</v>
      </c>
      <c r="AC32" s="398">
        <f t="shared" si="13"/>
        <v>274223.80000000005</v>
      </c>
      <c r="AD32" s="398">
        <f t="shared" si="13"/>
        <v>311867.40000000002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4">B32/$B$13</f>
        <v>-0.83059067077698523</v>
      </c>
      <c r="C33" s="58">
        <f t="shared" si="14"/>
        <v>-0.84042123264552993</v>
      </c>
      <c r="D33" s="58">
        <f t="shared" si="14"/>
        <v>-0.67101190342251515</v>
      </c>
      <c r="E33" s="58">
        <f t="shared" si="14"/>
        <v>-0.68084246529105996</v>
      </c>
      <c r="F33" s="58">
        <f t="shared" si="14"/>
        <v>-0.51143313606804519</v>
      </c>
      <c r="G33" s="58">
        <f t="shared" si="14"/>
        <v>-0.52126369793658989</v>
      </c>
      <c r="H33" s="58">
        <f t="shared" si="14"/>
        <v>-0.35185436871357512</v>
      </c>
      <c r="I33" s="58">
        <f t="shared" si="14"/>
        <v>-0.36168493058211992</v>
      </c>
      <c r="J33" s="58">
        <f t="shared" si="14"/>
        <v>-0.19227560135910512</v>
      </c>
      <c r="K33" s="58">
        <f t="shared" si="14"/>
        <v>-0.20210616322764996</v>
      </c>
      <c r="L33" s="58">
        <f t="shared" si="14"/>
        <v>-3.2696834004635168E-2</v>
      </c>
      <c r="M33" s="58">
        <f t="shared" si="14"/>
        <v>-4.2527395873179982E-2</v>
      </c>
      <c r="N33" s="58">
        <f t="shared" si="14"/>
        <v>0.1268819333498348</v>
      </c>
      <c r="O33" s="58">
        <f t="shared" si="14"/>
        <v>0.11705137148128997</v>
      </c>
      <c r="P33" s="58">
        <f t="shared" si="14"/>
        <v>0.28646070070430474</v>
      </c>
      <c r="Q33" s="58">
        <f t="shared" si="14"/>
        <v>0.27663013883575993</v>
      </c>
      <c r="R33" s="58">
        <f t="shared" si="14"/>
        <v>0.44603946805877476</v>
      </c>
      <c r="S33" s="58">
        <f t="shared" si="14"/>
        <v>0.43620890619022995</v>
      </c>
      <c r="T33" s="58">
        <f t="shared" si="14"/>
        <v>0.60561823541324478</v>
      </c>
      <c r="U33" s="58">
        <f t="shared" si="14"/>
        <v>0.59578767354469997</v>
      </c>
      <c r="V33" s="58">
        <f t="shared" si="14"/>
        <v>0.76519700276771474</v>
      </c>
      <c r="W33" s="58">
        <f t="shared" si="14"/>
        <v>0.75536644089917004</v>
      </c>
      <c r="X33" s="58">
        <f t="shared" si="14"/>
        <v>0.92477577012218481</v>
      </c>
      <c r="Y33" s="58">
        <f t="shared" si="14"/>
        <v>0.91494520825364001</v>
      </c>
      <c r="Z33" s="58">
        <f t="shared" si="14"/>
        <v>1.0843545374766548</v>
      </c>
      <c r="AA33" s="58">
        <f t="shared" si="14"/>
        <v>1.07452397560811</v>
      </c>
      <c r="AB33" s="58">
        <f t="shared" si="14"/>
        <v>1.2439333048311247</v>
      </c>
      <c r="AC33" s="58">
        <f t="shared" si="14"/>
        <v>1.2341027429625797</v>
      </c>
      <c r="AD33" s="58">
        <f t="shared" si="14"/>
        <v>1.4035120721855945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</conditionalFormatting>
  <conditionalFormatting sqref="B32:AD32">
    <cfRule type="cellIs" dxfId="1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92" t="s">
        <v>737</v>
      </c>
      <c r="B1" s="492"/>
      <c r="C1" s="492"/>
      <c r="D1" s="492"/>
      <c r="F1" s="13" t="s">
        <v>186</v>
      </c>
      <c r="G1" s="13" t="s">
        <v>112</v>
      </c>
      <c r="H1" s="13" t="s">
        <v>113</v>
      </c>
      <c r="I1" s="26" t="s">
        <v>738</v>
      </c>
      <c r="J1" s="26" t="s">
        <v>115</v>
      </c>
      <c r="K1" s="26" t="s">
        <v>471</v>
      </c>
      <c r="L1" s="26" t="s">
        <v>739</v>
      </c>
      <c r="M1" s="26" t="s">
        <v>740</v>
      </c>
      <c r="N1" s="64" t="s">
        <v>741</v>
      </c>
      <c r="O1" s="64" t="s">
        <v>742</v>
      </c>
      <c r="P1" s="64" t="s">
        <v>743</v>
      </c>
      <c r="Q1" s="64" t="s">
        <v>744</v>
      </c>
      <c r="R1" s="65" t="s">
        <v>745</v>
      </c>
      <c r="S1" s="65" t="s">
        <v>746</v>
      </c>
      <c r="T1" s="65" t="s">
        <v>743</v>
      </c>
      <c r="U1" s="65" t="s">
        <v>744</v>
      </c>
    </row>
    <row r="2" spans="1:21" x14ac:dyDescent="0.25">
      <c r="A2" s="493" t="s">
        <v>747</v>
      </c>
      <c r="B2" s="494" t="s">
        <v>748</v>
      </c>
      <c r="C2" s="494" t="s">
        <v>749</v>
      </c>
      <c r="D2" s="494" t="s">
        <v>750</v>
      </c>
      <c r="F2" s="88" t="s">
        <v>751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93"/>
      <c r="B3" s="494"/>
      <c r="C3" s="494"/>
      <c r="D3" s="494"/>
      <c r="F3" s="88" t="s">
        <v>752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748</v>
      </c>
      <c r="B4" s="73" t="s">
        <v>753</v>
      </c>
      <c r="C4" s="73" t="s">
        <v>754</v>
      </c>
      <c r="D4" s="73" t="s">
        <v>754</v>
      </c>
      <c r="F4" s="88" t="s">
        <v>755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749</v>
      </c>
      <c r="B5" s="75" t="s">
        <v>756</v>
      </c>
      <c r="C5" s="75" t="s">
        <v>757</v>
      </c>
      <c r="D5" s="75" t="s">
        <v>754</v>
      </c>
      <c r="F5" s="88" t="s">
        <v>758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750</v>
      </c>
      <c r="B6" s="73" t="s">
        <v>759</v>
      </c>
      <c r="C6" s="73" t="s">
        <v>760</v>
      </c>
      <c r="D6" s="73" t="s">
        <v>761</v>
      </c>
      <c r="F6" s="88" t="s">
        <v>762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763</v>
      </c>
      <c r="B7" s="75" t="s">
        <v>764</v>
      </c>
      <c r="C7" s="75" t="s">
        <v>765</v>
      </c>
      <c r="D7" s="75" t="s">
        <v>766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767</v>
      </c>
      <c r="B8" s="73" t="s">
        <v>768</v>
      </c>
      <c r="C8" s="73" t="s">
        <v>769</v>
      </c>
      <c r="D8" s="73" t="s">
        <v>770</v>
      </c>
      <c r="F8" s="88" t="s">
        <v>771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772</v>
      </c>
      <c r="B9" s="75" t="s">
        <v>773</v>
      </c>
      <c r="C9" s="75" t="s">
        <v>774</v>
      </c>
      <c r="D9" s="75" t="s">
        <v>775</v>
      </c>
      <c r="F9" s="88" t="s">
        <v>776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777</v>
      </c>
      <c r="B10" s="73" t="s">
        <v>778</v>
      </c>
      <c r="C10" s="73" t="s">
        <v>779</v>
      </c>
      <c r="D10" s="73" t="s">
        <v>780</v>
      </c>
      <c r="F10" s="88" t="s">
        <v>781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782</v>
      </c>
      <c r="B11" s="75" t="s">
        <v>783</v>
      </c>
      <c r="C11" s="75" t="s">
        <v>784</v>
      </c>
      <c r="D11" s="75" t="s">
        <v>785</v>
      </c>
      <c r="F11" s="88" t="s">
        <v>786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787</v>
      </c>
      <c r="B12" s="73" t="s">
        <v>788</v>
      </c>
      <c r="C12" s="73" t="s">
        <v>789</v>
      </c>
      <c r="D12" s="73" t="s">
        <v>790</v>
      </c>
      <c r="F12" s="88" t="s">
        <v>791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792</v>
      </c>
      <c r="B13" s="75" t="s">
        <v>793</v>
      </c>
      <c r="C13" s="75" t="s">
        <v>794</v>
      </c>
      <c r="D13" s="75" t="s">
        <v>795</v>
      </c>
      <c r="F13" s="88" t="s">
        <v>796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797</v>
      </c>
      <c r="B14" s="73" t="s">
        <v>798</v>
      </c>
      <c r="C14" s="73" t="s">
        <v>799</v>
      </c>
      <c r="D14" s="73" t="s">
        <v>800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801</v>
      </c>
      <c r="B15" s="75" t="s">
        <v>802</v>
      </c>
      <c r="C15" s="75" t="s">
        <v>803</v>
      </c>
      <c r="D15" s="75" t="s">
        <v>804</v>
      </c>
      <c r="F15" s="88" t="s">
        <v>805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806</v>
      </c>
      <c r="B16" s="73" t="s">
        <v>807</v>
      </c>
      <c r="C16" s="73" t="s">
        <v>808</v>
      </c>
      <c r="D16" s="73" t="s">
        <v>809</v>
      </c>
      <c r="F16" s="88" t="s">
        <v>810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811</v>
      </c>
      <c r="B17" s="75" t="s">
        <v>812</v>
      </c>
      <c r="C17" s="75" t="s">
        <v>813</v>
      </c>
      <c r="D17" s="75" t="s">
        <v>814</v>
      </c>
      <c r="F17" s="88" t="s">
        <v>815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816</v>
      </c>
      <c r="B18" s="73" t="s">
        <v>817</v>
      </c>
      <c r="C18" s="73" t="s">
        <v>818</v>
      </c>
      <c r="D18" s="73" t="s">
        <v>819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820</v>
      </c>
      <c r="B20" s="13" t="s">
        <v>821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822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823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824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825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826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827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828</v>
      </c>
      <c r="B28" s="13" t="s">
        <v>829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830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831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832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833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834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835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836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B23" sqref="B23"/>
    </sheetView>
  </sheetViews>
  <sheetFormatPr baseColWidth="10" defaultColWidth="10.7109375" defaultRowHeight="15" x14ac:dyDescent="0.25"/>
  <sheetData>
    <row r="26" spans="1:1" x14ac:dyDescent="0.25">
      <c r="A26" s="464">
        <v>44082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C3" activePane="bottomRight" state="frozen"/>
      <selection pane="topRight"/>
      <selection pane="bottomLeft"/>
      <selection pane="bottomRight" activeCell="BV18" sqref="BV18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837</v>
      </c>
      <c r="Z1" t="s">
        <v>838</v>
      </c>
      <c r="AD1" t="s">
        <v>839</v>
      </c>
      <c r="AH1" t="s">
        <v>840</v>
      </c>
      <c r="AL1" t="s">
        <v>841</v>
      </c>
      <c r="AP1" t="s">
        <v>842</v>
      </c>
      <c r="AW1" t="s">
        <v>843</v>
      </c>
      <c r="BD1" t="s">
        <v>844</v>
      </c>
      <c r="BI1" t="s">
        <v>845</v>
      </c>
      <c r="BN1" t="s">
        <v>846</v>
      </c>
      <c r="BS1" t="s">
        <v>847</v>
      </c>
      <c r="BX1" t="s">
        <v>848</v>
      </c>
      <c r="CB1" t="s">
        <v>180</v>
      </c>
    </row>
    <row r="2" spans="1:83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850</v>
      </c>
      <c r="F2" s="39" t="s">
        <v>851</v>
      </c>
      <c r="G2" s="39" t="s">
        <v>125</v>
      </c>
      <c r="H2" s="39" t="s">
        <v>126</v>
      </c>
      <c r="I2" s="40" t="s">
        <v>121</v>
      </c>
      <c r="J2" s="32" t="s">
        <v>738</v>
      </c>
      <c r="K2" s="32" t="s">
        <v>154</v>
      </c>
      <c r="L2" s="32" t="s">
        <v>194</v>
      </c>
      <c r="M2" s="32" t="s">
        <v>195</v>
      </c>
      <c r="N2" s="32" t="s">
        <v>492</v>
      </c>
      <c r="O2" s="32" t="s">
        <v>197</v>
      </c>
      <c r="P2" s="32" t="s">
        <v>198</v>
      </c>
      <c r="Q2" s="32" t="s">
        <v>199</v>
      </c>
      <c r="R2" s="33" t="s">
        <v>140</v>
      </c>
      <c r="S2" s="33" t="s">
        <v>852</v>
      </c>
      <c r="T2" s="33" t="s">
        <v>853</v>
      </c>
      <c r="U2" s="33" t="s">
        <v>854</v>
      </c>
      <c r="V2" s="33" t="s">
        <v>855</v>
      </c>
      <c r="W2" s="34" t="s">
        <v>856</v>
      </c>
      <c r="X2" s="34" t="s">
        <v>857</v>
      </c>
      <c r="Y2" s="34" t="s">
        <v>856</v>
      </c>
      <c r="Z2" s="35" t="s">
        <v>856</v>
      </c>
      <c r="AA2" s="35" t="s">
        <v>857</v>
      </c>
      <c r="AB2" s="35" t="s">
        <v>856</v>
      </c>
      <c r="AC2" s="35" t="s">
        <v>174</v>
      </c>
      <c r="AD2" s="35" t="s">
        <v>856</v>
      </c>
      <c r="AE2" s="35" t="s">
        <v>857</v>
      </c>
      <c r="AF2" s="35" t="s">
        <v>856</v>
      </c>
      <c r="AG2" s="35" t="s">
        <v>174</v>
      </c>
      <c r="AH2" s="34" t="s">
        <v>856</v>
      </c>
      <c r="AI2" s="34" t="s">
        <v>857</v>
      </c>
      <c r="AJ2" s="34" t="s">
        <v>174</v>
      </c>
      <c r="AK2" s="34" t="s">
        <v>858</v>
      </c>
      <c r="AL2" s="34" t="s">
        <v>856</v>
      </c>
      <c r="AM2" s="34" t="s">
        <v>857</v>
      </c>
      <c r="AN2" s="34" t="s">
        <v>174</v>
      </c>
      <c r="AO2" s="34" t="s">
        <v>858</v>
      </c>
      <c r="AP2" s="34" t="s">
        <v>856</v>
      </c>
      <c r="AQ2" s="34" t="s">
        <v>857</v>
      </c>
      <c r="AR2" s="34" t="s">
        <v>856</v>
      </c>
      <c r="AS2" s="34" t="s">
        <v>174</v>
      </c>
      <c r="AT2" s="34" t="s">
        <v>858</v>
      </c>
      <c r="AU2" s="34" t="s">
        <v>859</v>
      </c>
      <c r="AV2" s="34" t="s">
        <v>858</v>
      </c>
      <c r="AW2" s="34" t="s">
        <v>856</v>
      </c>
      <c r="AX2" s="34" t="s">
        <v>857</v>
      </c>
      <c r="AY2" s="34" t="s">
        <v>856</v>
      </c>
      <c r="AZ2" s="34" t="s">
        <v>174</v>
      </c>
      <c r="BA2" s="34" t="s">
        <v>858</v>
      </c>
      <c r="BB2" s="34" t="s">
        <v>859</v>
      </c>
      <c r="BC2" s="34" t="s">
        <v>858</v>
      </c>
      <c r="BD2" s="35" t="s">
        <v>856</v>
      </c>
      <c r="BE2" s="35" t="s">
        <v>857</v>
      </c>
      <c r="BF2" s="35" t="s">
        <v>174</v>
      </c>
      <c r="BG2" s="35" t="s">
        <v>858</v>
      </c>
      <c r="BH2" s="35" t="s">
        <v>859</v>
      </c>
      <c r="BI2" s="35" t="s">
        <v>856</v>
      </c>
      <c r="BJ2" s="35" t="s">
        <v>857</v>
      </c>
      <c r="BK2" s="35" t="s">
        <v>174</v>
      </c>
      <c r="BL2" s="35" t="s">
        <v>858</v>
      </c>
      <c r="BM2" s="35" t="s">
        <v>859</v>
      </c>
      <c r="BN2" s="34" t="s">
        <v>856</v>
      </c>
      <c r="BO2" s="34" t="s">
        <v>857</v>
      </c>
      <c r="BP2" s="34" t="s">
        <v>174</v>
      </c>
      <c r="BQ2" s="34" t="s">
        <v>858</v>
      </c>
      <c r="BR2" s="34" t="s">
        <v>859</v>
      </c>
      <c r="BS2" s="34" t="s">
        <v>856</v>
      </c>
      <c r="BT2" s="34" t="s">
        <v>857</v>
      </c>
      <c r="BU2" s="34" t="s">
        <v>174</v>
      </c>
      <c r="BV2" s="34" t="s">
        <v>858</v>
      </c>
      <c r="BW2" s="34" t="s">
        <v>859</v>
      </c>
      <c r="BX2" s="35" t="s">
        <v>174</v>
      </c>
      <c r="BY2" s="35" t="s">
        <v>858</v>
      </c>
      <c r="BZ2" s="35" t="s">
        <v>859</v>
      </c>
      <c r="CA2" s="35" t="s">
        <v>858</v>
      </c>
      <c r="CB2" s="34" t="s">
        <v>858</v>
      </c>
      <c r="CC2" s="34" t="s">
        <v>859</v>
      </c>
      <c r="CD2" s="34" t="s">
        <v>858</v>
      </c>
      <c r="CE2" s="34" t="s">
        <v>174</v>
      </c>
    </row>
    <row r="3" spans="1:83" x14ac:dyDescent="0.25">
      <c r="A3" t="str">
        <f>Plantilla!D4</f>
        <v>Cosme Fonteboa</v>
      </c>
      <c r="B3">
        <f>Plantilla!E4</f>
        <v>26</v>
      </c>
      <c r="C3" s="25">
        <f ca="1">Plantilla!F4</f>
        <v>46</v>
      </c>
      <c r="D3" s="42">
        <f>Plantilla!G4</f>
        <v>0</v>
      </c>
      <c r="E3" s="23">
        <f>Plantilla!M4</f>
        <v>43415</v>
      </c>
      <c r="F3" s="37">
        <f>Plantilla!Q4</f>
        <v>7</v>
      </c>
      <c r="G3" s="38">
        <f t="shared" ref="G3" si="0">(F3/7)^0.5</f>
        <v>1</v>
      </c>
      <c r="H3" s="38">
        <f t="shared" ref="H3" si="1">IF(F3=7,1,((F3+0.99)/7)^0.5)</f>
        <v>1</v>
      </c>
      <c r="I3" s="104">
        <f ca="1">Plantilla!N4</f>
        <v>1</v>
      </c>
      <c r="J3" s="29">
        <f>Plantilla!I4</f>
        <v>8.5</v>
      </c>
      <c r="K3" s="36">
        <f>Plantilla!X4</f>
        <v>15</v>
      </c>
      <c r="L3" s="36">
        <f>Plantilla!Y4</f>
        <v>12.454545454545455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15</v>
      </c>
      <c r="R3" s="36">
        <f t="shared" ref="R3" si="2">((2*(O3+1))+(L3+1))/8</f>
        <v>2.1818181818181817</v>
      </c>
      <c r="S3" s="36">
        <f t="shared" ref="S3" si="3">(0.5*P3+0.3*Q3)/10</f>
        <v>0.5</v>
      </c>
      <c r="T3" s="36">
        <f t="shared" ref="T3" si="4">(0.4*L3+0.3*Q3)/10</f>
        <v>0.94818181818181824</v>
      </c>
      <c r="U3" s="36">
        <f t="shared" ref="U3" ca="1" si="5">(Q3+I3+(LOG(J3)*4/3))*(F3/7)^0.5</f>
        <v>17.239225234285723</v>
      </c>
      <c r="V3" s="36">
        <f t="shared" ref="V3" ca="1" si="6">IF(F3=7,U3,(Q3+I3+(LOG(J3)*4/3))*((F3+0.99)/7)^0.5)</f>
        <v>17.239225234285723</v>
      </c>
      <c r="W3" s="27">
        <f t="shared" ref="W3" ca="1" si="7">((K3+I3+(LOG(J3)*4/3))*0.597)+((L3+I3+(LOG(J3)*4/3))*0.276)</f>
        <v>14.347298174985982</v>
      </c>
      <c r="X3" s="27">
        <f t="shared" ref="X3" ca="1" si="8">((K3+I3+(LOG(J3)*4/3))*0.866)+((L3+I3+(LOG(J3)*4/3))*0.425)</f>
        <v>21.174021595644685</v>
      </c>
      <c r="Y3" s="27">
        <f t="shared" ref="Y3" ca="1" si="9">W3</f>
        <v>14.347298174985982</v>
      </c>
      <c r="Z3" s="27">
        <f t="shared" ref="Z3" ca="1" si="10">((L3+I3+(LOG(J3)*4/3))*0.516)</f>
        <v>7.5819856754368891</v>
      </c>
      <c r="AA3" s="27">
        <f t="shared" ref="AA3" ca="1" si="11">((L3+I3+(LOG(J3)*4/3))*1)</f>
        <v>14.693770688831179</v>
      </c>
      <c r="AB3" s="27">
        <f t="shared" ref="AB3" ca="1" si="12">Z3/2</f>
        <v>3.7909928377184445</v>
      </c>
      <c r="AC3" s="27">
        <f t="shared" ref="AC3" ca="1" si="13">((M3+I3+(LOG(J3)*4/3))*0.238)</f>
        <v>0.53293560576000221</v>
      </c>
      <c r="AD3" s="27">
        <f t="shared" ref="AD3" ca="1" si="14">((L3+I3+(LOG(J3)*4/3))*0.378)</f>
        <v>5.5542453203781861</v>
      </c>
      <c r="AE3" s="27">
        <f t="shared" ref="AE3" ca="1" si="15">((L3+I3+(LOG(J3)*4/3))*0.723)</f>
        <v>10.623596208024942</v>
      </c>
      <c r="AF3" s="27">
        <f t="shared" ref="AF3" ca="1" si="16">AD3/2</f>
        <v>2.777122660189093</v>
      </c>
      <c r="AG3" s="27">
        <f t="shared" ref="AG3" ca="1" si="17">((M3+I3+(LOG(J3)*4/3))*0.385)</f>
        <v>0.86210171520000356</v>
      </c>
      <c r="AH3" s="27">
        <f t="shared" ref="AH3" ca="1" si="18">((L3+I3+(LOG(J3)*4/3))*0.92)</f>
        <v>13.518269033724685</v>
      </c>
      <c r="AI3" s="27">
        <f t="shared" ref="AI3" ca="1" si="19">((L3+I3+(LOG(J3)*4/3))*0.414)</f>
        <v>6.0832210651761081</v>
      </c>
      <c r="AJ3" s="27">
        <f t="shared" ref="AJ3" ca="1" si="20">((M3+I3+(LOG(J3)*4/3))*0.167)</f>
        <v>0.37395061412571584</v>
      </c>
      <c r="AK3" s="27">
        <f t="shared" ref="AK3" ca="1" si="21">((N3+I3+(LOG(J3)*4/3))*0.588)</f>
        <v>1.9046644377600053</v>
      </c>
      <c r="AL3" s="27">
        <f t="shared" ref="AL3" ca="1" si="22">((L3+I3+(LOG(J3)*4/3))*0.754)</f>
        <v>11.07910309937871</v>
      </c>
      <c r="AM3" s="27">
        <f t="shared" ref="AM3" ca="1" si="23">((L3+I3+(LOG(J3)*4/3))*0.708)</f>
        <v>10.403189647692475</v>
      </c>
      <c r="AN3" s="27">
        <f t="shared" ref="AN3" ca="1" si="24">((Q3+I3+(LOG(J3)*4/3))*0.167)</f>
        <v>2.8789506141257157</v>
      </c>
      <c r="AO3" s="27">
        <f t="shared" ref="AO3" ca="1" si="25">((R3+I3+(LOG(J3)*4/3))*0.288)</f>
        <v>1.2732605038379246</v>
      </c>
      <c r="AP3" s="27">
        <f t="shared" ref="AP3" ca="1" si="26">((L3+I3+(LOG(J3)*4/3))*0.27)</f>
        <v>3.9673180859844188</v>
      </c>
      <c r="AQ3" s="27">
        <f t="shared" ref="AQ3" ca="1" si="27">((L3+I3+(LOG(J3)*4/3))*0.594)</f>
        <v>8.7280997891657197</v>
      </c>
      <c r="AR3" s="27">
        <f t="shared" ref="AR3" ca="1" si="28">AP3/2</f>
        <v>1.9836590429922094</v>
      </c>
      <c r="AS3" s="27">
        <f t="shared" ref="AS3" ca="1" si="29">((M3+I3+(LOG(J3)*4/3))*0.944)</f>
        <v>2.1138286211657227</v>
      </c>
      <c r="AT3" s="27">
        <f t="shared" ref="AT3" ca="1" si="30">((O3+I3+(LOG(J3)*4/3))*0.13)</f>
        <v>0.42109928045714407</v>
      </c>
      <c r="AU3" s="27">
        <f t="shared" ref="AU3" ca="1" si="31">((P3+I3+(LOG(J3)*4/3))*0.173)+((O3+I3+(LOG(J3)*4/3))*0.12)</f>
        <v>0.94909299364571698</v>
      </c>
      <c r="AV3" s="27">
        <f t="shared" ref="AV3" ca="1" si="32">AT3/2</f>
        <v>0.21054964022857203</v>
      </c>
      <c r="AW3" s="27">
        <f t="shared" ref="AW3" ca="1" si="33">((L3+I3+(LOG(J3)*4/3))*0.189)</f>
        <v>2.777122660189093</v>
      </c>
      <c r="AX3" s="27">
        <f t="shared" ref="AX3" ca="1" si="34">((L3+I3+(LOG(J3)*4/3))*0.4)</f>
        <v>5.8775082755324721</v>
      </c>
      <c r="AY3" s="27">
        <f t="shared" ref="AY3" ca="1" si="35">AW3/2</f>
        <v>1.3885613300945465</v>
      </c>
      <c r="AZ3" s="27">
        <f t="shared" ref="AZ3" ca="1" si="36">((M3+I3+(LOG(J3)*4/3))*1)</f>
        <v>2.2392252342857235</v>
      </c>
      <c r="BA3" s="27">
        <f t="shared" ref="BA3" ca="1" si="37">((O3+I3+(LOG(J3)*4/3))*0.253)</f>
        <v>0.81952398427428808</v>
      </c>
      <c r="BB3" s="27">
        <f t="shared" ref="BB3" ca="1" si="38">((P3+I3+(LOG(J3)*4/3))*0.21)+((O3+I3+(LOG(J3)*4/3))*0.341)</f>
        <v>1.7848131040914337</v>
      </c>
      <c r="BC3" s="27">
        <f t="shared" ref="BC3" ca="1" si="39">BA3/2</f>
        <v>0.40976199213714404</v>
      </c>
      <c r="BD3" s="27">
        <f t="shared" ref="BD3" ca="1" si="40">((L3+I3+(LOG(J3)*4/3))*0.291)</f>
        <v>4.2758872704498732</v>
      </c>
      <c r="BE3" s="27">
        <f t="shared" ref="BE3" ca="1" si="41">((L3+I3+(LOG(J3)*4/3))*0.348)</f>
        <v>5.1134321997132499</v>
      </c>
      <c r="BF3" s="27">
        <f t="shared" ref="BF3" ca="1" si="42">((M3+I3+(LOG(J3)*4/3))*0.881)</f>
        <v>1.9727574314057224</v>
      </c>
      <c r="BG3" s="27">
        <f t="shared" ref="BG3" ca="1" si="43">((N3+I3+(LOG(J3)*4/3))*0.574)+((O3+I3+(LOG(J3)*4/3))*0.315)</f>
        <v>2.8796712332800078</v>
      </c>
      <c r="BH3" s="27">
        <f t="shared" ref="BH3" ca="1" si="44">((O3+I3+(LOG(J3)*4/3))*0.241)</f>
        <v>0.78065328146285939</v>
      </c>
      <c r="BI3" s="27">
        <f t="shared" ref="BI3" ca="1" si="45">((L3+I3+(LOG(J3)*4/3))*0.485)</f>
        <v>7.1264787840831216</v>
      </c>
      <c r="BJ3" s="27">
        <f t="shared" ref="BJ3" ca="1" si="46">((L3+I3+(LOG(J3)*4/3))*0.264)</f>
        <v>3.8791554618514317</v>
      </c>
      <c r="BK3" s="27">
        <f t="shared" ref="BK3" ca="1" si="47">((M3+I3+(LOG(J3)*4/3))*0.381)</f>
        <v>0.85314481426286071</v>
      </c>
      <c r="BL3" s="27">
        <f t="shared" ref="BL3" ca="1" si="48">((N3+I3+(LOG(J3)*4/3))*0.673)+((O3+I3+(LOG(J3)*4/3))*0.201)</f>
        <v>2.8310828547657225</v>
      </c>
      <c r="BM3" s="27">
        <f t="shared" ref="BM3" ca="1" si="49">((O3+I3+(LOG(J3)*4/3))*0.052)</f>
        <v>0.16843971218285761</v>
      </c>
      <c r="BN3" s="27">
        <f t="shared" ref="BN3" ca="1" si="50">((L3+I3+(LOG(J3)*4/3))*0.18)</f>
        <v>2.6448787239896121</v>
      </c>
      <c r="BO3" s="27">
        <f t="shared" ref="BO3" ca="1" si="51">((L3+I3+(LOG(J3)*4/3))*0.068)</f>
        <v>0.99917640684052023</v>
      </c>
      <c r="BP3" s="27">
        <f t="shared" ref="BP3" ca="1" si="52">((M3+I3+(LOG(J3)*4/3))*0.305)</f>
        <v>0.68296369645714561</v>
      </c>
      <c r="BQ3" s="27">
        <f t="shared" ref="BQ3" ca="1" si="53">((N3+I3+(LOG(J3)*4/3))*1)+((O3+I3+(LOG(J3)*4/3))*0.286)</f>
        <v>4.1656436512914405</v>
      </c>
      <c r="BR3" s="27">
        <f t="shared" ref="BR3" ca="1" si="54">((O3+I3+(LOG(J3)*4/3))*0.135)</f>
        <v>0.43729540662857269</v>
      </c>
      <c r="BS3" s="27">
        <f t="shared" ref="BS3" ca="1" si="55">((L3+I3+(LOG(J3)*4/3))*0.284)</f>
        <v>4.1730308756280543</v>
      </c>
      <c r="BT3" s="27">
        <f t="shared" ref="BT3" ca="1" si="56">((L3+I3+(LOG(J3)*4/3))*0.244)</f>
        <v>3.5852800480748077</v>
      </c>
      <c r="BU3" s="27">
        <f t="shared" ref="BU3" ca="1" si="57">((M3+I3+(LOG(J3)*4/3))*0.631)</f>
        <v>1.4129511228342915</v>
      </c>
      <c r="BV3" s="27">
        <f t="shared" ref="BV3" ca="1" si="58">((N3+I3+(LOG(J3)*4/3))*0.702)+((O3+I3+(LOG(J3)*4/3))*0.193)</f>
        <v>2.8991065846857222</v>
      </c>
      <c r="BW3" s="27">
        <f t="shared" ref="BW3" ca="1" si="59">((O3+I3+(LOG(J3)*4/3))*0.148)</f>
        <v>0.47940533467428703</v>
      </c>
      <c r="BX3" s="27">
        <f t="shared" ref="BX3" ca="1" si="60">((M3+I3+(LOG(J3)*4/3))*0.406)</f>
        <v>0.90912544512000382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1.6876363470628619</v>
      </c>
      <c r="BZ3" s="27">
        <f t="shared" ref="BZ3" ca="1" si="62">IF(D3="TEC",((O3+I3+(LOG(J3)*4/3))*0.543)+((P3+I3+(LOG(J3)*4/3))*0.583),((O3+I3+(LOG(J3)*4/3))*0.543)+((P3+I3+(LOG(J3)*4/3))*0.583))</f>
        <v>3.6473676138057245</v>
      </c>
      <c r="CA3" s="27">
        <f t="shared" ref="CA3" ca="1" si="63">BY3</f>
        <v>1.6876363470628619</v>
      </c>
      <c r="CB3" s="27">
        <f t="shared" ref="CB3" ca="1" si="64">((P3+I3+(LOG(J3)*4/3))*0.26)+((N3+I3+(LOG(J3)*4/3))*0.221)+((O3+I3+(LOG(J3)*4/3))*0.142)</f>
        <v>2.0180373209600058</v>
      </c>
      <c r="CC3" s="27">
        <f t="shared" ref="CC3" ca="1" si="65">((P3+I3+(LOG(J3)*4/3))*1)+((O3+I3+(LOG(J3)*4/3))*0.369)</f>
        <v>4.4344993457371551</v>
      </c>
      <c r="CD3" s="27">
        <f t="shared" ref="CD3" ca="1" si="66">CB3</f>
        <v>2.0180373209600058</v>
      </c>
      <c r="CE3" s="27">
        <f t="shared" ref="CE3" ca="1" si="67">((M3+I3+(LOG(J3)*4/3))*0.25)</f>
        <v>0.55980630857143088</v>
      </c>
    </row>
    <row r="4" spans="1:83" x14ac:dyDescent="0.25">
      <c r="A4" t="str">
        <f>Plantilla!D5</f>
        <v>Nicolae Hornet</v>
      </c>
      <c r="B4">
        <f>Plantilla!E5</f>
        <v>26</v>
      </c>
      <c r="C4" s="25">
        <f ca="1">Plantilla!F5</f>
        <v>71</v>
      </c>
      <c r="D4" s="42">
        <f>Plantilla!G5</f>
        <v>0</v>
      </c>
      <c r="E4" s="23">
        <f>Plantilla!M5</f>
        <v>43190</v>
      </c>
      <c r="F4" s="37">
        <f>Plantilla!Q5</f>
        <v>6</v>
      </c>
      <c r="G4" s="38">
        <f t="shared" ref="G4:G19" si="68">(F4/7)^0.5</f>
        <v>0.92582009977255142</v>
      </c>
      <c r="H4" s="38">
        <f t="shared" ref="H4:H19" si="69">IF(F4=7,1,((F4+0.99)/7)^0.5)</f>
        <v>0.99928545900129484</v>
      </c>
      <c r="I4" s="104">
        <f ca="1">Plantilla!N5</f>
        <v>1</v>
      </c>
      <c r="J4" s="29">
        <f>Plantilla!I5</f>
        <v>2.1</v>
      </c>
      <c r="K4" s="36">
        <f>Plantilla!X5</f>
        <v>6</v>
      </c>
      <c r="L4" s="36">
        <f>Plantilla!Y5</f>
        <v>5.4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</v>
      </c>
      <c r="S4" s="36">
        <f t="shared" ref="S4:S19" si="71">(0.5*P4+0.3*Q4)/10</f>
        <v>0.16999999999999998</v>
      </c>
      <c r="T4" s="36">
        <f t="shared" ref="T4:T19" si="72">(0.4*L4+0.3*Q4)/10</f>
        <v>0.33600000000000002</v>
      </c>
      <c r="U4" s="36">
        <f t="shared" ref="U4:U19" ca="1" si="73">(Q4+I4+(LOG(J4)*4/3))*(F4/7)^0.5</f>
        <v>5.0268566316616878</v>
      </c>
      <c r="V4" s="36">
        <f t="shared" ref="V4:V19" ca="1" si="74">IF(F4=7,U4,(Q4+I4+(LOG(J4)*4/3))*((F4+0.99)/7)^0.5)</f>
        <v>5.4257460361228178</v>
      </c>
      <c r="W4" s="27">
        <f t="shared" ref="W4:W19" ca="1" si="75">((K4+I4+(LOG(J4)*4/3))*0.597)+((L4+I4+(LOG(J4)*4/3))*0.276)</f>
        <v>6.3204632590702818</v>
      </c>
      <c r="X4" s="27">
        <f t="shared" ref="X4:X19" ca="1" si="76">((K4+I4+(LOG(J4)*4/3))*0.866)+((L4+I4+(LOG(J4)*4/3))*0.425)</f>
        <v>9.3366468126686541</v>
      </c>
      <c r="Y4" s="27">
        <f t="shared" ref="Y4:Y19" ca="1" si="77">W4</f>
        <v>6.3204632590702818</v>
      </c>
      <c r="Z4" s="27">
        <f t="shared" ref="Z4:Z19" ca="1" si="78">((L4+I4+(LOG(J4)*4/3))*0.516)</f>
        <v>3.5240868747769367</v>
      </c>
      <c r="AA4" s="27">
        <f t="shared" ref="AA4:AA19" ca="1" si="79">((L4+I4+(LOG(J4)*4/3))*1)</f>
        <v>6.8296257263118925</v>
      </c>
      <c r="AB4" s="27">
        <f t="shared" ref="AB4:AB19" ca="1" si="80">Z4/2</f>
        <v>1.7620434373884684</v>
      </c>
      <c r="AC4" s="27">
        <f t="shared" ref="AC4:AC19" ca="1" si="81">((M4+I4+(LOG(J4)*4/3))*0.238)</f>
        <v>0.34025092286223035</v>
      </c>
      <c r="AD4" s="27">
        <f t="shared" ref="AD4:AD19" ca="1" si="82">((L4+I4+(LOG(J4)*4/3))*0.378)</f>
        <v>2.5815985245458952</v>
      </c>
      <c r="AE4" s="27">
        <f t="shared" ref="AE4:AE19" ca="1" si="83">((L4+I4+(LOG(J4)*4/3))*0.723)</f>
        <v>4.9378194001234981</v>
      </c>
      <c r="AF4" s="27">
        <f t="shared" ref="AF4:AF19" ca="1" si="84">AD4/2</f>
        <v>1.2907992622729476</v>
      </c>
      <c r="AG4" s="27">
        <f t="shared" ref="AG4:AG19" ca="1" si="85">((M4+I4+(LOG(J4)*4/3))*0.385)</f>
        <v>0.55040590463007855</v>
      </c>
      <c r="AH4" s="27">
        <f t="shared" ref="AH4:AH19" ca="1" si="86">((L4+I4+(LOG(J4)*4/3))*0.92)</f>
        <v>6.2832556682069409</v>
      </c>
      <c r="AI4" s="27">
        <f t="shared" ref="AI4:AI19" ca="1" si="87">((L4+I4+(LOG(J4)*4/3))*0.414)</f>
        <v>2.8274650506931231</v>
      </c>
      <c r="AJ4" s="27">
        <f t="shared" ref="AJ4:AJ19" ca="1" si="88">((M4+I4+(LOG(J4)*4/3))*0.167)</f>
        <v>0.23874749629408604</v>
      </c>
      <c r="AK4" s="27">
        <f t="shared" ref="AK4:AK19" ca="1" si="89">((N4+I4+(LOG(J4)*4/3))*0.588)</f>
        <v>2.6046199270713926</v>
      </c>
      <c r="AL4" s="27">
        <f t="shared" ref="AL4:AL19" ca="1" si="90">((L4+I4+(LOG(J4)*4/3))*0.754)</f>
        <v>5.1495377976391667</v>
      </c>
      <c r="AM4" s="27">
        <f t="shared" ref="AM4:AM19" ca="1" si="91">((L4+I4+(LOG(J4)*4/3))*0.708)</f>
        <v>4.8353750142288199</v>
      </c>
      <c r="AN4" s="27">
        <f t="shared" ref="AN4:AN19" ca="1" si="92">((Q4+I4+(LOG(J4)*4/3))*0.167)</f>
        <v>0.90674749629408602</v>
      </c>
      <c r="AO4" s="27">
        <f t="shared" ref="AO4:AO19" ca="1" si="93">((R4+I4+(LOG(J4)*4/3))*0.288)</f>
        <v>0.78613220917782489</v>
      </c>
      <c r="AP4" s="27">
        <f t="shared" ref="AP4:AP19" ca="1" si="94">((L4+I4+(LOG(J4)*4/3))*0.27)</f>
        <v>1.843998946104211</v>
      </c>
      <c r="AQ4" s="27">
        <f t="shared" ref="AQ4:AQ19" ca="1" si="95">((L4+I4+(LOG(J4)*4/3))*0.594)</f>
        <v>4.0567976814292637</v>
      </c>
      <c r="AR4" s="27">
        <f t="shared" ref="AR4:AR19" ca="1" si="96">AP4/2</f>
        <v>0.9219994730521055</v>
      </c>
      <c r="AS4" s="27">
        <f t="shared" ref="AS4:AS19" ca="1" si="97">((M4+I4+(LOG(J4)*4/3))*0.944)</f>
        <v>1.3495666856384263</v>
      </c>
      <c r="AT4" s="27">
        <f t="shared" ref="AT4:AT19" ca="1" si="98">((O4+I4+(LOG(J4)*4/3))*0.13)</f>
        <v>0.31585134442054602</v>
      </c>
      <c r="AU4" s="27">
        <f t="shared" ref="AU4:AU19" ca="1" si="99">((P4+I4+(LOG(J4)*4/3))*0.173)+((O4+I4+(LOG(J4)*4/3))*0.12)</f>
        <v>0.71188033780938453</v>
      </c>
      <c r="AV4" s="27">
        <f t="shared" ref="AV4:AV19" ca="1" si="100">AT4/2</f>
        <v>0.15792567221027301</v>
      </c>
      <c r="AW4" s="27">
        <f t="shared" ref="AW4:AW19" ca="1" si="101">((L4+I4+(LOG(J4)*4/3))*0.189)</f>
        <v>1.2907992622729476</v>
      </c>
      <c r="AX4" s="27">
        <f t="shared" ref="AX4:AX19" ca="1" si="102">((L4+I4+(LOG(J4)*4/3))*0.4)</f>
        <v>2.7318502905247573</v>
      </c>
      <c r="AY4" s="27">
        <f t="shared" ref="AY4:AY19" ca="1" si="103">AW4/2</f>
        <v>0.64539963113647381</v>
      </c>
      <c r="AZ4" s="27">
        <f t="shared" ref="AZ4:AZ19" ca="1" si="104">((M4+I4+(LOG(J4)*4/3))*1)</f>
        <v>1.4296257263118923</v>
      </c>
      <c r="BA4" s="27">
        <f t="shared" ref="BA4:BA19" ca="1" si="105">((O4+I4+(LOG(J4)*4/3))*0.253)</f>
        <v>0.61469530875690881</v>
      </c>
      <c r="BB4" s="27">
        <f t="shared" ref="BB4:BB19" ca="1" si="106">((P4+I4+(LOG(J4)*4/3))*0.21)+((O4+I4+(LOG(J4)*4/3))*0.341)</f>
        <v>1.3387237751978529</v>
      </c>
      <c r="BC4" s="27">
        <f t="shared" ref="BC4:BC19" ca="1" si="107">BA4/2</f>
        <v>0.3073476543784544</v>
      </c>
      <c r="BD4" s="27">
        <f t="shared" ref="BD4:BD19" ca="1" si="108">((L4+I4+(LOG(J4)*4/3))*0.291)</f>
        <v>1.9874210863567605</v>
      </c>
      <c r="BE4" s="27">
        <f t="shared" ref="BE4:BE19" ca="1" si="109">((L4+I4+(LOG(J4)*4/3))*0.348)</f>
        <v>2.3767097527565384</v>
      </c>
      <c r="BF4" s="27">
        <f t="shared" ref="BF4:BF19" ca="1" si="110">((M4+I4+(LOG(J4)*4/3))*0.881)</f>
        <v>1.2595002648807772</v>
      </c>
      <c r="BG4" s="27">
        <f t="shared" ref="BG4:BG19" ca="1" si="111">((N4+I4+(LOG(J4)*4/3))*0.574)+((O4+I4+(LOG(J4)*4/3))*0.315)</f>
        <v>3.307937270691272</v>
      </c>
      <c r="BH4" s="27">
        <f t="shared" ref="BH4:BH19" ca="1" si="112">((O4+I4+(LOG(J4)*4/3))*0.241)</f>
        <v>0.58553980004116613</v>
      </c>
      <c r="BI4" s="27">
        <f t="shared" ref="BI4:BI19" ca="1" si="113">((L4+I4+(LOG(J4)*4/3))*0.485)</f>
        <v>3.3123684772612676</v>
      </c>
      <c r="BJ4" s="27">
        <f t="shared" ref="BJ4:BJ19" ca="1" si="114">((L4+I4+(LOG(J4)*4/3))*0.264)</f>
        <v>1.8030211917463397</v>
      </c>
      <c r="BK4" s="27">
        <f t="shared" ref="BK4:BK19" ca="1" si="115">((M4+I4+(LOG(J4)*4/3))*0.381)</f>
        <v>0.54468740172483099</v>
      </c>
      <c r="BL4" s="27">
        <f t="shared" ref="BL4:BL19" ca="1" si="116">((N4+I4+(LOG(J4)*4/3))*0.673)+((O4+I4+(LOG(J4)*4/3))*0.201)</f>
        <v>3.469492884796594</v>
      </c>
      <c r="BM4" s="27">
        <f t="shared" ref="BM4:BM19" ca="1" si="117">((O4+I4+(LOG(J4)*4/3))*0.052)</f>
        <v>0.12634053776821841</v>
      </c>
      <c r="BN4" s="27">
        <f t="shared" ref="BN4:BN19" ca="1" si="118">((L4+I4+(LOG(J4)*4/3))*0.18)</f>
        <v>1.2293326307361405</v>
      </c>
      <c r="BO4" s="27">
        <f t="shared" ref="BO4:BO19" ca="1" si="119">((L4+I4+(LOG(J4)*4/3))*0.068)</f>
        <v>0.46441454938920873</v>
      </c>
      <c r="BP4" s="27">
        <f t="shared" ref="BP4:BP19" ca="1" si="120">((M4+I4+(LOG(J4)*4/3))*0.305)</f>
        <v>0.43603584652512717</v>
      </c>
      <c r="BQ4" s="27">
        <f t="shared" ref="BQ4:BQ19" ca="1" si="121">((N4+I4+(LOG(J4)*4/3))*1)+((O4+I4+(LOG(J4)*4/3))*0.286)</f>
        <v>5.1244986840370936</v>
      </c>
      <c r="BR4" s="27">
        <f t="shared" ref="BR4:BR19" ca="1" si="122">((O4+I4+(LOG(J4)*4/3))*0.135)</f>
        <v>0.32799947305210553</v>
      </c>
      <c r="BS4" s="27">
        <f t="shared" ref="BS4:BS19" ca="1" si="123">((L4+I4+(LOG(J4)*4/3))*0.284)</f>
        <v>1.9396137062725773</v>
      </c>
      <c r="BT4" s="27">
        <f t="shared" ref="BT4:BT19" ca="1" si="124">((L4+I4+(LOG(J4)*4/3))*0.244)</f>
        <v>1.6664286772201018</v>
      </c>
      <c r="BU4" s="27">
        <f t="shared" ref="BU4:BU19" ca="1" si="125">((M4+I4+(LOG(J4)*4/3))*0.631)</f>
        <v>0.90209383330280402</v>
      </c>
      <c r="BV4" s="27">
        <f t="shared" ref="BV4:BV19" ca="1" si="126">((N4+I4+(LOG(J4)*4/3))*0.702)+((O4+I4+(LOG(J4)*4/3))*0.193)</f>
        <v>3.5785150250491435</v>
      </c>
      <c r="BW4" s="27">
        <f t="shared" ref="BW4:BW19" ca="1" si="127">((O4+I4+(LOG(J4)*4/3))*0.148)</f>
        <v>0.3595846074941601</v>
      </c>
      <c r="BX4" s="27">
        <f t="shared" ref="BX4:BX19" ca="1" si="128">((M4+I4+(LOG(J4)*4/3))*0.406)</f>
        <v>0.58042804488262834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1.5538350034084958</v>
      </c>
      <c r="BZ4" s="27">
        <f t="shared" ref="BZ4:BZ19" ca="1" si="130">IF(D4="TEC",((O4+I4+(LOG(J4)*4/3))*0.543)+((P4+I4+(LOG(J4)*4/3))*0.583),((O4+I4+(LOG(J4)*4/3))*0.543)+((P4+I4+(LOG(J4)*4/3))*0.583))</f>
        <v>2.7357585678271912</v>
      </c>
      <c r="CA4" s="27">
        <f t="shared" ref="CA4:CA19" ca="1" si="131">BY4</f>
        <v>1.5538350034084958</v>
      </c>
      <c r="CB4" s="27">
        <f t="shared" ref="CB4:CB19" ca="1" si="132">((P4+I4+(LOG(J4)*4/3))*0.26)+((N4+I4+(LOG(J4)*4/3))*0.221)+((O4+I4+(LOG(J4)*4/3))*0.142)</f>
        <v>1.955656827492309</v>
      </c>
      <c r="CC4" s="27">
        <f t="shared" ref="CC4:CC19" ca="1" si="133">((P4+I4+(LOG(J4)*4/3))*1)+((O4+I4+(LOG(J4)*4/3))*0.369)</f>
        <v>3.326157619320981</v>
      </c>
      <c r="CD4" s="27">
        <f t="shared" ref="CD4:CD19" ca="1" si="134">CB4</f>
        <v>1.955656827492309</v>
      </c>
      <c r="CE4" s="27">
        <f t="shared" ref="CE4:CE19" ca="1" si="135">((M4+I4+(LOG(J4)*4/3))*0.25)</f>
        <v>0.35740643157797308</v>
      </c>
    </row>
    <row r="5" spans="1:83" x14ac:dyDescent="0.25">
      <c r="A5" t="str">
        <f>Plantilla!D6</f>
        <v>Miguel Fernández</v>
      </c>
      <c r="B5">
        <f>Plantilla!E6</f>
        <v>26</v>
      </c>
      <c r="C5" s="25">
        <f ca="1">Plantilla!F6</f>
        <v>43</v>
      </c>
      <c r="D5" s="42">
        <f>Plantilla!G6</f>
        <v>0</v>
      </c>
      <c r="E5" s="23">
        <f>Plantilla!M6</f>
        <v>43395</v>
      </c>
      <c r="F5" s="37">
        <f>Plantilla!Q6</f>
        <v>6</v>
      </c>
      <c r="G5" s="38">
        <f t="shared" si="68"/>
        <v>0.92582009977255142</v>
      </c>
      <c r="H5" s="38">
        <f t="shared" si="69"/>
        <v>0.99928545900129484</v>
      </c>
      <c r="I5" s="104">
        <f ca="1">Plantilla!N6</f>
        <v>1</v>
      </c>
      <c r="J5" s="29">
        <f>Plantilla!I6</f>
        <v>4.8</v>
      </c>
      <c r="K5" s="36">
        <f>Plantilla!X6</f>
        <v>0</v>
      </c>
      <c r="L5" s="36">
        <f>Plantilla!Y6</f>
        <v>15.488194444444444</v>
      </c>
      <c r="M5" s="36">
        <f>Plantilla!Z6</f>
        <v>6</v>
      </c>
      <c r="N5" s="36">
        <f>Plantilla!AA6</f>
        <v>6.666666666666667</v>
      </c>
      <c r="O5" s="36">
        <f>Plantilla!AB6</f>
        <v>9</v>
      </c>
      <c r="P5" s="36">
        <f>Plantilla!AC6</f>
        <v>2</v>
      </c>
      <c r="Q5" s="36">
        <f>Plantilla!AD6</f>
        <v>13.5</v>
      </c>
      <c r="R5" s="36">
        <f t="shared" si="70"/>
        <v>4.5610243055555557</v>
      </c>
      <c r="S5" s="36">
        <f t="shared" si="71"/>
        <v>0.505</v>
      </c>
      <c r="T5" s="36">
        <f t="shared" si="72"/>
        <v>1.0245277777777777</v>
      </c>
      <c r="U5" s="36">
        <f t="shared" ca="1" si="73"/>
        <v>14.265333887176986</v>
      </c>
      <c r="V5" s="36">
        <f t="shared" ca="1" si="74"/>
        <v>15.397311772294074</v>
      </c>
      <c r="W5" s="27">
        <f t="shared" ca="1" si="75"/>
        <v>5.9407064669718501</v>
      </c>
      <c r="X5" s="27">
        <f t="shared" ca="1" si="76"/>
        <v>9.0461258888247329</v>
      </c>
      <c r="Y5" s="27">
        <f t="shared" ca="1" si="77"/>
        <v>5.9407064669718501</v>
      </c>
      <c r="Z5" s="27">
        <f t="shared" ca="1" si="78"/>
        <v>8.9766023046477379</v>
      </c>
      <c r="AA5" s="27">
        <f t="shared" ca="1" si="79"/>
        <v>17.39651609427856</v>
      </c>
      <c r="AB5" s="27">
        <f t="shared" ca="1" si="80"/>
        <v>4.4883011523238689</v>
      </c>
      <c r="AC5" s="27">
        <f t="shared" ca="1" si="81"/>
        <v>1.8821805526605195</v>
      </c>
      <c r="AD5" s="27">
        <f t="shared" ca="1" si="82"/>
        <v>6.5758830836372955</v>
      </c>
      <c r="AE5" s="27">
        <f t="shared" ca="1" si="83"/>
        <v>12.577681136163399</v>
      </c>
      <c r="AF5" s="27">
        <f t="shared" ca="1" si="84"/>
        <v>3.2879415418186477</v>
      </c>
      <c r="AG5" s="27">
        <f t="shared" ca="1" si="85"/>
        <v>3.0447038351861346</v>
      </c>
      <c r="AH5" s="27">
        <f t="shared" ca="1" si="86"/>
        <v>16.004794806736275</v>
      </c>
      <c r="AI5" s="27">
        <f t="shared" ca="1" si="87"/>
        <v>7.2021576630313238</v>
      </c>
      <c r="AJ5" s="27">
        <f t="shared" ca="1" si="88"/>
        <v>1.3206897155222974</v>
      </c>
      <c r="AK5" s="27">
        <f t="shared" ca="1" si="89"/>
        <v>5.0420931301024599</v>
      </c>
      <c r="AL5" s="27">
        <f t="shared" ca="1" si="90"/>
        <v>13.116973135086035</v>
      </c>
      <c r="AM5" s="27">
        <f t="shared" ca="1" si="91"/>
        <v>12.316733394749219</v>
      </c>
      <c r="AN5" s="27">
        <f t="shared" ca="1" si="92"/>
        <v>2.5731897155222976</v>
      </c>
      <c r="AO5" s="27">
        <f t="shared" ca="1" si="93"/>
        <v>1.8631716351522254</v>
      </c>
      <c r="AP5" s="27">
        <f t="shared" ca="1" si="94"/>
        <v>4.6970593454552114</v>
      </c>
      <c r="AQ5" s="27">
        <f t="shared" ca="1" si="95"/>
        <v>10.333530560001464</v>
      </c>
      <c r="AR5" s="27">
        <f t="shared" ca="1" si="96"/>
        <v>2.3485296727276057</v>
      </c>
      <c r="AS5" s="27">
        <f t="shared" ca="1" si="97"/>
        <v>7.4654556374434051</v>
      </c>
      <c r="AT5" s="27">
        <f t="shared" ca="1" si="98"/>
        <v>1.4180818144784351</v>
      </c>
      <c r="AU5" s="27">
        <f t="shared" ca="1" si="99"/>
        <v>1.985138243401396</v>
      </c>
      <c r="AV5" s="27">
        <f t="shared" ca="1" si="100"/>
        <v>0.70904090723921753</v>
      </c>
      <c r="AW5" s="27">
        <f t="shared" ca="1" si="101"/>
        <v>3.2879415418186477</v>
      </c>
      <c r="AX5" s="27">
        <f t="shared" ca="1" si="102"/>
        <v>6.9586064377114241</v>
      </c>
      <c r="AY5" s="27">
        <f t="shared" ca="1" si="103"/>
        <v>1.6439707709093239</v>
      </c>
      <c r="AZ5" s="27">
        <f t="shared" ca="1" si="104"/>
        <v>7.9083216498341162</v>
      </c>
      <c r="BA5" s="27">
        <f t="shared" ca="1" si="105"/>
        <v>2.7598053774080316</v>
      </c>
      <c r="BB5" s="27">
        <f t="shared" ca="1" si="106"/>
        <v>4.5404852290585982</v>
      </c>
      <c r="BC5" s="27">
        <f t="shared" ca="1" si="107"/>
        <v>1.3799026887040158</v>
      </c>
      <c r="BD5" s="27">
        <f t="shared" ca="1" si="108"/>
        <v>5.062386183435061</v>
      </c>
      <c r="BE5" s="27">
        <f t="shared" ca="1" si="109"/>
        <v>6.0539876008089388</v>
      </c>
      <c r="BF5" s="27">
        <f t="shared" ca="1" si="110"/>
        <v>6.9672313735038562</v>
      </c>
      <c r="BG5" s="27">
        <f t="shared" ca="1" si="111"/>
        <v>8.358164613369194</v>
      </c>
      <c r="BH5" s="27">
        <f t="shared" ca="1" si="112"/>
        <v>2.628905517610022</v>
      </c>
      <c r="BI5" s="27">
        <f t="shared" ca="1" si="113"/>
        <v>8.4373103057251022</v>
      </c>
      <c r="BJ5" s="27">
        <f t="shared" ca="1" si="114"/>
        <v>4.5926802488895397</v>
      </c>
      <c r="BK5" s="27">
        <f t="shared" ca="1" si="115"/>
        <v>3.0130705485867981</v>
      </c>
      <c r="BL5" s="27">
        <f t="shared" ca="1" si="116"/>
        <v>7.9635397886216843</v>
      </c>
      <c r="BM5" s="27">
        <f t="shared" ca="1" si="117"/>
        <v>0.56723272579137407</v>
      </c>
      <c r="BN5" s="27">
        <f t="shared" ca="1" si="118"/>
        <v>3.1313728969701407</v>
      </c>
      <c r="BO5" s="27">
        <f t="shared" ca="1" si="119"/>
        <v>1.1829630944109422</v>
      </c>
      <c r="BP5" s="27">
        <f t="shared" ca="1" si="120"/>
        <v>2.4120381031994054</v>
      </c>
      <c r="BQ5" s="27">
        <f t="shared" ca="1" si="121"/>
        <v>11.694768308353339</v>
      </c>
      <c r="BR5" s="27">
        <f t="shared" ca="1" si="122"/>
        <v>1.4726234227276058</v>
      </c>
      <c r="BS5" s="27">
        <f t="shared" ca="1" si="123"/>
        <v>4.9406105707751102</v>
      </c>
      <c r="BT5" s="27">
        <f t="shared" ca="1" si="124"/>
        <v>4.2447499270039684</v>
      </c>
      <c r="BU5" s="27">
        <f t="shared" ca="1" si="125"/>
        <v>4.9901509610453276</v>
      </c>
      <c r="BV5" s="27">
        <f t="shared" ca="1" si="126"/>
        <v>8.1249478766015333</v>
      </c>
      <c r="BW5" s="27">
        <f t="shared" ca="1" si="127"/>
        <v>1.6144316041754492</v>
      </c>
      <c r="BX5" s="27">
        <f t="shared" ca="1" si="128"/>
        <v>3.2107785898326515</v>
      </c>
      <c r="BY5" s="27">
        <f t="shared" ca="1" si="129"/>
        <v>4.4582355795635742</v>
      </c>
      <c r="BZ5" s="27">
        <f t="shared" ca="1" si="130"/>
        <v>8.2017701777132146</v>
      </c>
      <c r="CA5" s="27">
        <f t="shared" ca="1" si="131"/>
        <v>4.4582355795635742</v>
      </c>
      <c r="CB5" s="27">
        <f t="shared" ca="1" si="132"/>
        <v>4.4602177211799869</v>
      </c>
      <c r="CC5" s="27">
        <f t="shared" ca="1" si="133"/>
        <v>7.933492338622905</v>
      </c>
      <c r="CD5" s="27">
        <f t="shared" ca="1" si="134"/>
        <v>4.4602177211799869</v>
      </c>
      <c r="CE5" s="27">
        <f t="shared" ca="1" si="135"/>
        <v>1.9770804124585291</v>
      </c>
    </row>
    <row r="6" spans="1:83" x14ac:dyDescent="0.25">
      <c r="A6" t="str">
        <f>Plantilla!D7</f>
        <v>Iván Real Figueroa</v>
      </c>
      <c r="B6">
        <f>Plantilla!E7</f>
        <v>26</v>
      </c>
      <c r="C6" s="25">
        <f ca="1">Plantilla!F7</f>
        <v>24</v>
      </c>
      <c r="D6" s="42">
        <f>Plantilla!G7</f>
        <v>0</v>
      </c>
      <c r="E6" s="23">
        <f>Plantilla!M7</f>
        <v>43410</v>
      </c>
      <c r="F6" s="37">
        <f>Plantilla!Q7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Plantilla!N7</f>
        <v>1</v>
      </c>
      <c r="J6" s="29">
        <f>Plantilla!I7</f>
        <v>6</v>
      </c>
      <c r="K6" s="36">
        <f>Plantilla!X7</f>
        <v>0</v>
      </c>
      <c r="L6" s="36">
        <f>Plantilla!Y7</f>
        <v>15.581250000000001</v>
      </c>
      <c r="M6" s="36">
        <f>Plantilla!Z7</f>
        <v>5</v>
      </c>
      <c r="N6" s="36">
        <f>Plantilla!AA7</f>
        <v>7.875</v>
      </c>
      <c r="O6" s="36">
        <f>Plantilla!AB7</f>
        <v>8.6666666666666661</v>
      </c>
      <c r="P6" s="36">
        <f>Plantilla!AC7</f>
        <v>1</v>
      </c>
      <c r="Q6" s="36">
        <f>Plantilla!AD7</f>
        <v>13</v>
      </c>
      <c r="R6" s="36">
        <f t="shared" si="70"/>
        <v>4.4893229166666666</v>
      </c>
      <c r="S6" s="36">
        <f t="shared" si="71"/>
        <v>0.44000000000000006</v>
      </c>
      <c r="T6" s="36">
        <f t="shared" si="72"/>
        <v>1.01325</v>
      </c>
      <c r="U6" s="36">
        <f t="shared" ca="1" si="73"/>
        <v>13.922052154506813</v>
      </c>
      <c r="V6" s="36">
        <f t="shared" ca="1" si="74"/>
        <v>15.026790065234195</v>
      </c>
      <c r="W6" s="27">
        <f t="shared" ca="1" si="75"/>
        <v>6.0791930554465612</v>
      </c>
      <c r="X6" s="27">
        <f t="shared" ca="1" si="76"/>
        <v>9.252488935660379</v>
      </c>
      <c r="Y6" s="27">
        <f t="shared" ca="1" si="77"/>
        <v>6.0791930554465612</v>
      </c>
      <c r="Z6" s="27">
        <f t="shared" ca="1" si="78"/>
        <v>9.091293060263947</v>
      </c>
      <c r="AA6" s="27">
        <f t="shared" ca="1" si="79"/>
        <v>17.618785000511526</v>
      </c>
      <c r="AB6" s="27">
        <f t="shared" ca="1" si="80"/>
        <v>4.5456465301319735</v>
      </c>
      <c r="AC6" s="27">
        <f t="shared" ca="1" si="81"/>
        <v>1.6749333301217428</v>
      </c>
      <c r="AD6" s="27">
        <f t="shared" ca="1" si="82"/>
        <v>6.6599007301933568</v>
      </c>
      <c r="AE6" s="27">
        <f t="shared" ca="1" si="83"/>
        <v>12.738381555369832</v>
      </c>
      <c r="AF6" s="27">
        <f t="shared" ca="1" si="84"/>
        <v>3.3299503650966784</v>
      </c>
      <c r="AG6" s="27">
        <f t="shared" ca="1" si="85"/>
        <v>2.7094509751969373</v>
      </c>
      <c r="AH6" s="27">
        <f t="shared" ca="1" si="86"/>
        <v>16.209282200470604</v>
      </c>
      <c r="AI6" s="27">
        <f t="shared" ca="1" si="87"/>
        <v>7.2941769902117715</v>
      </c>
      <c r="AJ6" s="27">
        <f t="shared" ca="1" si="88"/>
        <v>1.1752683450854247</v>
      </c>
      <c r="AK6" s="27">
        <f t="shared" ca="1" si="89"/>
        <v>5.8285705803007763</v>
      </c>
      <c r="AL6" s="27">
        <f t="shared" ca="1" si="90"/>
        <v>13.284563890385691</v>
      </c>
      <c r="AM6" s="27">
        <f t="shared" ca="1" si="91"/>
        <v>12.47409978036216</v>
      </c>
      <c r="AN6" s="27">
        <f t="shared" ca="1" si="92"/>
        <v>2.511268345085425</v>
      </c>
      <c r="AO6" s="27">
        <f t="shared" ca="1" si="93"/>
        <v>1.8797350801473192</v>
      </c>
      <c r="AP6" s="27">
        <f t="shared" ca="1" si="94"/>
        <v>4.757071950138112</v>
      </c>
      <c r="AQ6" s="27">
        <f t="shared" ca="1" si="95"/>
        <v>10.465558290303846</v>
      </c>
      <c r="AR6" s="27">
        <f t="shared" ca="1" si="96"/>
        <v>2.378535975069056</v>
      </c>
      <c r="AS6" s="27">
        <f t="shared" ca="1" si="97"/>
        <v>6.6434330404828792</v>
      </c>
      <c r="AT6" s="27">
        <f t="shared" ca="1" si="98"/>
        <v>1.3915462167331649</v>
      </c>
      <c r="AU6" s="27">
        <f t="shared" ca="1" si="99"/>
        <v>1.8099977551498767</v>
      </c>
      <c r="AV6" s="27">
        <f t="shared" ca="1" si="100"/>
        <v>0.69577310836658246</v>
      </c>
      <c r="AW6" s="27">
        <f t="shared" ca="1" si="101"/>
        <v>3.3299503650966784</v>
      </c>
      <c r="AX6" s="27">
        <f t="shared" ca="1" si="102"/>
        <v>7.0475140002046111</v>
      </c>
      <c r="AY6" s="27">
        <f t="shared" ca="1" si="103"/>
        <v>1.6649751825483392</v>
      </c>
      <c r="AZ6" s="27">
        <f t="shared" ca="1" si="104"/>
        <v>7.0375350005115251</v>
      </c>
      <c r="BA6" s="27">
        <f t="shared" ca="1" si="105"/>
        <v>2.7081630217960826</v>
      </c>
      <c r="BB6" s="27">
        <f t="shared" ca="1" si="106"/>
        <v>4.2880151186151831</v>
      </c>
      <c r="BC6" s="27">
        <f t="shared" ca="1" si="107"/>
        <v>1.3540815108980413</v>
      </c>
      <c r="BD6" s="27">
        <f t="shared" ca="1" si="108"/>
        <v>5.127066435148854</v>
      </c>
      <c r="BE6" s="27">
        <f t="shared" ca="1" si="109"/>
        <v>6.1313371801780105</v>
      </c>
      <c r="BF6" s="27">
        <f t="shared" ca="1" si="110"/>
        <v>6.2000683354506538</v>
      </c>
      <c r="BG6" s="27">
        <f t="shared" ca="1" si="111"/>
        <v>9.061618615454746</v>
      </c>
      <c r="BH6" s="27">
        <f t="shared" ca="1" si="112"/>
        <v>2.5797126017899439</v>
      </c>
      <c r="BI6" s="27">
        <f t="shared" ca="1" si="113"/>
        <v>8.5451107252480902</v>
      </c>
      <c r="BJ6" s="27">
        <f t="shared" ca="1" si="114"/>
        <v>4.6513592401350428</v>
      </c>
      <c r="BK6" s="27">
        <f t="shared" ca="1" si="115"/>
        <v>2.6813008351948913</v>
      </c>
      <c r="BL6" s="27">
        <f t="shared" ca="1" si="116"/>
        <v>8.8226805904470744</v>
      </c>
      <c r="BM6" s="27">
        <f t="shared" ca="1" si="117"/>
        <v>0.55661848669326597</v>
      </c>
      <c r="BN6" s="27">
        <f t="shared" ca="1" si="118"/>
        <v>3.1713813000920745</v>
      </c>
      <c r="BO6" s="27">
        <f t="shared" ca="1" si="119"/>
        <v>1.1980773800347839</v>
      </c>
      <c r="BP6" s="27">
        <f t="shared" ca="1" si="120"/>
        <v>2.1464481751560149</v>
      </c>
      <c r="BQ6" s="27">
        <f t="shared" ca="1" si="121"/>
        <v>12.973936677324488</v>
      </c>
      <c r="BR6" s="27">
        <f t="shared" ca="1" si="122"/>
        <v>1.4450672250690559</v>
      </c>
      <c r="BS6" s="27">
        <f t="shared" ca="1" si="123"/>
        <v>5.0037349401452733</v>
      </c>
      <c r="BT6" s="27">
        <f t="shared" ca="1" si="124"/>
        <v>4.2989835401248122</v>
      </c>
      <c r="BU6" s="27">
        <f t="shared" ca="1" si="125"/>
        <v>4.4406845853227725</v>
      </c>
      <c r="BV6" s="27">
        <f t="shared" ca="1" si="126"/>
        <v>9.024510492124481</v>
      </c>
      <c r="BW6" s="27">
        <f t="shared" ca="1" si="127"/>
        <v>1.5842218467423723</v>
      </c>
      <c r="BX6" s="27">
        <f t="shared" ca="1" si="128"/>
        <v>2.8572392102076796</v>
      </c>
      <c r="BY6" s="27">
        <f t="shared" ca="1" si="129"/>
        <v>4.489222401933171</v>
      </c>
      <c r="BZ6" s="27">
        <f t="shared" ca="1" si="130"/>
        <v>7.5832644105759774</v>
      </c>
      <c r="CA6" s="27">
        <f t="shared" ca="1" si="131"/>
        <v>4.489222401933171</v>
      </c>
      <c r="CB6" s="27">
        <f t="shared" ca="1" si="132"/>
        <v>4.5004259719853472</v>
      </c>
      <c r="CC6" s="27">
        <f t="shared" ca="1" si="133"/>
        <v>6.9873854157002775</v>
      </c>
      <c r="CD6" s="27">
        <f t="shared" ca="1" si="134"/>
        <v>4.5004259719853472</v>
      </c>
      <c r="CE6" s="27">
        <f t="shared" ca="1" si="135"/>
        <v>1.7593837501278813</v>
      </c>
    </row>
    <row r="7" spans="1:83" x14ac:dyDescent="0.25">
      <c r="A7" t="str">
        <f>Plantilla!D8</f>
        <v>Berto Abandero</v>
      </c>
      <c r="B7">
        <f>Plantilla!E8</f>
        <v>26</v>
      </c>
      <c r="C7" s="25">
        <f ca="1">Plantilla!F8</f>
        <v>74</v>
      </c>
      <c r="D7" s="42">
        <f>Plantilla!G8</f>
        <v>0</v>
      </c>
      <c r="E7" s="23">
        <f>Plantilla!M8</f>
        <v>43383</v>
      </c>
      <c r="F7" s="37">
        <f>Plantilla!Q8</f>
        <v>5</v>
      </c>
      <c r="G7" s="38">
        <f t="shared" si="68"/>
        <v>0.84515425472851657</v>
      </c>
      <c r="H7" s="38">
        <f t="shared" si="69"/>
        <v>0.92504826128926143</v>
      </c>
      <c r="I7" s="104">
        <f ca="1">Plantilla!N8</f>
        <v>1</v>
      </c>
      <c r="J7" s="29">
        <f>Plantilla!I8</f>
        <v>6.5</v>
      </c>
      <c r="K7" s="36">
        <f>Plantilla!X8</f>
        <v>0</v>
      </c>
      <c r="L7" s="36">
        <f>Plantilla!Y8</f>
        <v>14.1875</v>
      </c>
      <c r="M7" s="36">
        <f>Plantilla!Z8</f>
        <v>3</v>
      </c>
      <c r="N7" s="36">
        <f>Plantilla!AA8</f>
        <v>8.1111111111111107</v>
      </c>
      <c r="O7" s="36">
        <f>Plantilla!AB8</f>
        <v>11.857142857142858</v>
      </c>
      <c r="P7" s="36">
        <f>Plantilla!AC8</f>
        <v>4</v>
      </c>
      <c r="Q7" s="36">
        <f>Plantilla!AD8</f>
        <v>14</v>
      </c>
      <c r="R7" s="36">
        <f t="shared" si="70"/>
        <v>5.1127232142857144</v>
      </c>
      <c r="S7" s="36">
        <f t="shared" si="71"/>
        <v>0.62</v>
      </c>
      <c r="T7" s="36">
        <f t="shared" si="72"/>
        <v>0.98750000000000004</v>
      </c>
      <c r="U7" s="36">
        <f t="shared" ca="1" si="73"/>
        <v>13.593363397050881</v>
      </c>
      <c r="V7" s="36">
        <f t="shared" ca="1" si="74"/>
        <v>14.878369368860641</v>
      </c>
      <c r="W7" s="27">
        <f t="shared" ca="1" si="75"/>
        <v>5.7349811471322836</v>
      </c>
      <c r="X7" s="27">
        <f t="shared" ca="1" si="76"/>
        <v>8.7199823579012339</v>
      </c>
      <c r="Y7" s="27">
        <f t="shared" ca="1" si="77"/>
        <v>5.7349811471322836</v>
      </c>
      <c r="Z7" s="27">
        <f t="shared" ca="1" si="78"/>
        <v>8.3960343893702838</v>
      </c>
      <c r="AA7" s="27">
        <f t="shared" ca="1" si="79"/>
        <v>16.271384475523806</v>
      </c>
      <c r="AB7" s="27">
        <f t="shared" ca="1" si="80"/>
        <v>4.1980171946851419</v>
      </c>
      <c r="AC7" s="27">
        <f t="shared" ca="1" si="81"/>
        <v>1.2099645051746661</v>
      </c>
      <c r="AD7" s="27">
        <f t="shared" ca="1" si="82"/>
        <v>6.150583331747999</v>
      </c>
      <c r="AE7" s="27">
        <f t="shared" ca="1" si="83"/>
        <v>11.764210975803712</v>
      </c>
      <c r="AF7" s="27">
        <f t="shared" ca="1" si="84"/>
        <v>3.0752916658739995</v>
      </c>
      <c r="AG7" s="27">
        <f t="shared" ca="1" si="85"/>
        <v>1.9572955230766658</v>
      </c>
      <c r="AH7" s="27">
        <f t="shared" ca="1" si="86"/>
        <v>14.969673717481902</v>
      </c>
      <c r="AI7" s="27">
        <f t="shared" ca="1" si="87"/>
        <v>6.7363531728668553</v>
      </c>
      <c r="AJ7" s="27">
        <f t="shared" ca="1" si="88"/>
        <v>0.84900870741247592</v>
      </c>
      <c r="AK7" s="27">
        <f t="shared" ca="1" si="89"/>
        <v>5.9946574049413321</v>
      </c>
      <c r="AL7" s="27">
        <f t="shared" ca="1" si="90"/>
        <v>12.26862389454495</v>
      </c>
      <c r="AM7" s="27">
        <f t="shared" ca="1" si="91"/>
        <v>11.520140208670854</v>
      </c>
      <c r="AN7" s="27">
        <f t="shared" ca="1" si="92"/>
        <v>2.6860087074124759</v>
      </c>
      <c r="AO7" s="27">
        <f t="shared" ca="1" si="93"/>
        <v>2.0726230146651421</v>
      </c>
      <c r="AP7" s="27">
        <f t="shared" ca="1" si="94"/>
        <v>4.3932738083914282</v>
      </c>
      <c r="AQ7" s="27">
        <f t="shared" ca="1" si="95"/>
        <v>9.6652023784611405</v>
      </c>
      <c r="AR7" s="27">
        <f t="shared" ca="1" si="96"/>
        <v>2.1966369041957141</v>
      </c>
      <c r="AS7" s="27">
        <f t="shared" ca="1" si="97"/>
        <v>4.7991869448944735</v>
      </c>
      <c r="AT7" s="27">
        <f t="shared" ca="1" si="98"/>
        <v>1.8123335532466667</v>
      </c>
      <c r="AU7" s="27">
        <f t="shared" ca="1" si="99"/>
        <v>2.7254352941856181</v>
      </c>
      <c r="AV7" s="27">
        <f t="shared" ca="1" si="100"/>
        <v>0.90616677662333334</v>
      </c>
      <c r="AW7" s="27">
        <f t="shared" ca="1" si="101"/>
        <v>3.0752916658739995</v>
      </c>
      <c r="AX7" s="27">
        <f t="shared" ca="1" si="102"/>
        <v>6.5085537902095227</v>
      </c>
      <c r="AY7" s="27">
        <f t="shared" ca="1" si="103"/>
        <v>1.5376458329369997</v>
      </c>
      <c r="AZ7" s="27">
        <f t="shared" ca="1" si="104"/>
        <v>5.0838844755238073</v>
      </c>
      <c r="BA7" s="27">
        <f t="shared" ca="1" si="105"/>
        <v>3.5270799151646663</v>
      </c>
      <c r="BB7" s="27">
        <f t="shared" ca="1" si="106"/>
        <v>6.031506060299332</v>
      </c>
      <c r="BC7" s="27">
        <f t="shared" ca="1" si="107"/>
        <v>1.7635399575823332</v>
      </c>
      <c r="BD7" s="27">
        <f t="shared" ca="1" si="108"/>
        <v>4.7349728823774271</v>
      </c>
      <c r="BE7" s="27">
        <f t="shared" ca="1" si="109"/>
        <v>5.662441797482284</v>
      </c>
      <c r="BF7" s="27">
        <f t="shared" ca="1" si="110"/>
        <v>4.4789022229364743</v>
      </c>
      <c r="BG7" s="27">
        <f t="shared" ca="1" si="111"/>
        <v>10.243351076518444</v>
      </c>
      <c r="BH7" s="27">
        <f t="shared" ca="1" si="112"/>
        <v>3.3597875871726663</v>
      </c>
      <c r="BI7" s="27">
        <f t="shared" ca="1" si="113"/>
        <v>7.8916214706290457</v>
      </c>
      <c r="BJ7" s="27">
        <f t="shared" ca="1" si="114"/>
        <v>4.2956455015382851</v>
      </c>
      <c r="BK7" s="27">
        <f t="shared" ca="1" si="115"/>
        <v>1.9369599851745707</v>
      </c>
      <c r="BL7" s="27">
        <f t="shared" ca="1" si="116"/>
        <v>9.6633785236713017</v>
      </c>
      <c r="BM7" s="27">
        <f t="shared" ca="1" si="117"/>
        <v>0.72493342129866656</v>
      </c>
      <c r="BN7" s="27">
        <f t="shared" ca="1" si="118"/>
        <v>2.9288492055942852</v>
      </c>
      <c r="BO7" s="27">
        <f t="shared" ca="1" si="119"/>
        <v>1.1064541443356188</v>
      </c>
      <c r="BP7" s="27">
        <f t="shared" ca="1" si="120"/>
        <v>1.5505847650347613</v>
      </c>
      <c r="BQ7" s="27">
        <f t="shared" ca="1" si="121"/>
        <v>14.182129403777585</v>
      </c>
      <c r="BR7" s="27">
        <f t="shared" ca="1" si="122"/>
        <v>1.8820386899100001</v>
      </c>
      <c r="BS7" s="27">
        <f t="shared" ca="1" si="123"/>
        <v>4.6210731910487608</v>
      </c>
      <c r="BT7" s="27">
        <f t="shared" ca="1" si="124"/>
        <v>3.9702178120278089</v>
      </c>
      <c r="BU7" s="27">
        <f t="shared" ca="1" si="125"/>
        <v>3.2079311040555223</v>
      </c>
      <c r="BV7" s="27">
        <f t="shared" ca="1" si="126"/>
        <v>9.8475051770223807</v>
      </c>
      <c r="BW7" s="27">
        <f t="shared" ca="1" si="127"/>
        <v>2.0632720452346662</v>
      </c>
      <c r="BX7" s="27">
        <f t="shared" ca="1" si="128"/>
        <v>2.0640570970626659</v>
      </c>
      <c r="BY7" s="27">
        <f t="shared" ca="1" si="129"/>
        <v>5.7259895260336187</v>
      </c>
      <c r="BZ7" s="27">
        <f t="shared" ca="1" si="130"/>
        <v>11.116882490868379</v>
      </c>
      <c r="CA7" s="27">
        <f t="shared" ca="1" si="131"/>
        <v>5.7259895260336187</v>
      </c>
      <c r="CB7" s="27">
        <f t="shared" ca="1" si="132"/>
        <v>5.8145298695211736</v>
      </c>
      <c r="CC7" s="27">
        <f t="shared" ca="1" si="133"/>
        <v>11.228123561277807</v>
      </c>
      <c r="CD7" s="27">
        <f t="shared" ca="1" si="134"/>
        <v>5.8145298695211736</v>
      </c>
      <c r="CE7" s="27">
        <f t="shared" ca="1" si="135"/>
        <v>1.2709711188809518</v>
      </c>
    </row>
    <row r="8" spans="1:83" x14ac:dyDescent="0.25">
      <c r="A8" t="str">
        <f>Plantilla!D9</f>
        <v>Guillermo Pedrajas</v>
      </c>
      <c r="B8">
        <f>Plantilla!E9</f>
        <v>26</v>
      </c>
      <c r="C8" s="25">
        <f ca="1">Plantilla!F9</f>
        <v>59</v>
      </c>
      <c r="D8" s="42">
        <f>Plantilla!G9</f>
        <v>0</v>
      </c>
      <c r="E8" s="23">
        <f>Plantilla!M9</f>
        <v>43419</v>
      </c>
      <c r="F8" s="37">
        <f>Plantilla!Q9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Plantilla!N9</f>
        <v>1</v>
      </c>
      <c r="J8" s="29">
        <f>Plantilla!I9</f>
        <v>7</v>
      </c>
      <c r="K8" s="36">
        <f>Plantilla!X9</f>
        <v>0</v>
      </c>
      <c r="L8" s="36">
        <f>Plantilla!Y9</f>
        <v>12.381818181818183</v>
      </c>
      <c r="M8" s="36">
        <f>Plantilla!Z9</f>
        <v>11.111111111111111</v>
      </c>
      <c r="N8" s="36">
        <f>Plantilla!AA9</f>
        <v>4.4000000000000004</v>
      </c>
      <c r="O8" s="36">
        <f>Plantilla!AB9</f>
        <v>11</v>
      </c>
      <c r="P8" s="36">
        <f>Plantilla!AC9</f>
        <v>4</v>
      </c>
      <c r="Q8" s="36">
        <f>Plantilla!AD9</f>
        <v>13.5</v>
      </c>
      <c r="R8" s="36">
        <f t="shared" si="70"/>
        <v>4.6727272727272728</v>
      </c>
      <c r="S8" s="36">
        <f t="shared" si="71"/>
        <v>0.60499999999999998</v>
      </c>
      <c r="T8" s="36">
        <f t="shared" si="72"/>
        <v>0.90027272727272734</v>
      </c>
      <c r="U8" s="36">
        <f t="shared" ca="1" si="73"/>
        <v>14.467603115666778</v>
      </c>
      <c r="V8" s="36">
        <f t="shared" ca="1" si="74"/>
        <v>15.615631399274429</v>
      </c>
      <c r="W8" s="27">
        <f t="shared" ca="1" si="75"/>
        <v>5.2740759367584129</v>
      </c>
      <c r="X8" s="27">
        <f t="shared" ca="1" si="76"/>
        <v>8.0079681534839349</v>
      </c>
      <c r="Y8" s="27">
        <f t="shared" ca="1" si="77"/>
        <v>5.2740759367584129</v>
      </c>
      <c r="Z8" s="27">
        <f t="shared" ca="1" si="78"/>
        <v>7.4864456333479907</v>
      </c>
      <c r="AA8" s="27">
        <f t="shared" ca="1" si="79"/>
        <v>14.508615568503858</v>
      </c>
      <c r="AB8" s="27">
        <f t="shared" ca="1" si="80"/>
        <v>3.7432228166739954</v>
      </c>
      <c r="AC8" s="27">
        <f t="shared" ca="1" si="81"/>
        <v>3.1506222224756351</v>
      </c>
      <c r="AD8" s="27">
        <f t="shared" ca="1" si="82"/>
        <v>5.4842566848944587</v>
      </c>
      <c r="AE8" s="27">
        <f t="shared" ca="1" si="83"/>
        <v>10.489729056028288</v>
      </c>
      <c r="AF8" s="27">
        <f t="shared" ca="1" si="84"/>
        <v>2.7421283424472294</v>
      </c>
      <c r="AG8" s="27">
        <f t="shared" ca="1" si="85"/>
        <v>5.0965947716517626</v>
      </c>
      <c r="AH8" s="27">
        <f t="shared" ca="1" si="86"/>
        <v>13.34792632302355</v>
      </c>
      <c r="AI8" s="27">
        <f t="shared" ca="1" si="87"/>
        <v>6.0065668453605969</v>
      </c>
      <c r="AJ8" s="27">
        <f t="shared" ca="1" si="88"/>
        <v>2.2107307191320635</v>
      </c>
      <c r="AK8" s="27">
        <f t="shared" ca="1" si="89"/>
        <v>3.8377568633711769</v>
      </c>
      <c r="AL8" s="27">
        <f t="shared" ca="1" si="90"/>
        <v>10.93949613865191</v>
      </c>
      <c r="AM8" s="27">
        <f t="shared" ca="1" si="91"/>
        <v>10.272099822500731</v>
      </c>
      <c r="AN8" s="27">
        <f t="shared" ca="1" si="92"/>
        <v>2.6096751635765081</v>
      </c>
      <c r="AO8" s="27">
        <f t="shared" ca="1" si="93"/>
        <v>1.9582631019109291</v>
      </c>
      <c r="AP8" s="27">
        <f t="shared" ca="1" si="94"/>
        <v>3.9173262034960419</v>
      </c>
      <c r="AQ8" s="27">
        <f t="shared" ca="1" si="95"/>
        <v>8.6181176476912906</v>
      </c>
      <c r="AR8" s="27">
        <f t="shared" ca="1" si="96"/>
        <v>1.9586631017480209</v>
      </c>
      <c r="AS8" s="27">
        <f t="shared" ca="1" si="97"/>
        <v>12.496585621920165</v>
      </c>
      <c r="AT8" s="27">
        <f t="shared" ca="1" si="98"/>
        <v>1.7064836602691378</v>
      </c>
      <c r="AU8" s="27">
        <f t="shared" ca="1" si="99"/>
        <v>2.6351516342989028</v>
      </c>
      <c r="AV8" s="27">
        <f t="shared" ca="1" si="100"/>
        <v>0.85324183013456889</v>
      </c>
      <c r="AW8" s="27">
        <f t="shared" ca="1" si="101"/>
        <v>2.7421283424472294</v>
      </c>
      <c r="AX8" s="27">
        <f t="shared" ca="1" si="102"/>
        <v>5.8034462274015439</v>
      </c>
      <c r="AY8" s="27">
        <f t="shared" ca="1" si="103"/>
        <v>1.3710641712236147</v>
      </c>
      <c r="AZ8" s="27">
        <f t="shared" ca="1" si="104"/>
        <v>13.237908497796786</v>
      </c>
      <c r="BA8" s="27">
        <f t="shared" ca="1" si="105"/>
        <v>3.3210797388314757</v>
      </c>
      <c r="BB8" s="27">
        <f t="shared" ca="1" si="106"/>
        <v>5.7628653600638069</v>
      </c>
      <c r="BC8" s="27">
        <f t="shared" ca="1" si="107"/>
        <v>1.6605398694157378</v>
      </c>
      <c r="BD8" s="27">
        <f t="shared" ca="1" si="108"/>
        <v>4.2220071304346227</v>
      </c>
      <c r="BE8" s="27">
        <f t="shared" ca="1" si="109"/>
        <v>5.0489982178393422</v>
      </c>
      <c r="BF8" s="27">
        <f t="shared" ca="1" si="110"/>
        <v>11.662597386558968</v>
      </c>
      <c r="BG8" s="27">
        <f t="shared" ca="1" si="111"/>
        <v>7.8813228767635657</v>
      </c>
      <c r="BH8" s="27">
        <f t="shared" ca="1" si="112"/>
        <v>3.1635581701912479</v>
      </c>
      <c r="BI8" s="27">
        <f t="shared" ca="1" si="113"/>
        <v>7.0366785507243712</v>
      </c>
      <c r="BJ8" s="27">
        <f t="shared" ca="1" si="114"/>
        <v>3.8302745100850188</v>
      </c>
      <c r="BK8" s="27">
        <f t="shared" ca="1" si="115"/>
        <v>5.0436431376605757</v>
      </c>
      <c r="BL8" s="27">
        <f t="shared" ca="1" si="116"/>
        <v>7.031020915963281</v>
      </c>
      <c r="BM8" s="27">
        <f t="shared" ca="1" si="117"/>
        <v>0.68259346410765509</v>
      </c>
      <c r="BN8" s="27">
        <f t="shared" ca="1" si="118"/>
        <v>2.6115508023306941</v>
      </c>
      <c r="BO8" s="27">
        <f t="shared" ca="1" si="119"/>
        <v>0.98658585865826243</v>
      </c>
      <c r="BP8" s="27">
        <f t="shared" ca="1" si="120"/>
        <v>4.0375620918280193</v>
      </c>
      <c r="BQ8" s="27">
        <f t="shared" ca="1" si="121"/>
        <v>10.281061439277778</v>
      </c>
      <c r="BR8" s="27">
        <f t="shared" ca="1" si="122"/>
        <v>1.7721176472025664</v>
      </c>
      <c r="BS8" s="27">
        <f t="shared" ca="1" si="123"/>
        <v>4.1204468214550953</v>
      </c>
      <c r="BT8" s="27">
        <f t="shared" ca="1" si="124"/>
        <v>3.5401021987149415</v>
      </c>
      <c r="BU8" s="27">
        <f t="shared" ca="1" si="125"/>
        <v>8.3531202621097727</v>
      </c>
      <c r="BV8" s="27">
        <f t="shared" ca="1" si="126"/>
        <v>7.11528366108368</v>
      </c>
      <c r="BW8" s="27">
        <f t="shared" ca="1" si="127"/>
        <v>1.9427660132294799</v>
      </c>
      <c r="BX8" s="27">
        <f t="shared" ca="1" si="128"/>
        <v>5.3745908501054958</v>
      </c>
      <c r="BY8" s="27">
        <f t="shared" ca="1" si="129"/>
        <v>4.9996614384632361</v>
      </c>
      <c r="BZ8" s="27">
        <f t="shared" ca="1" si="130"/>
        <v>10.69977385740807</v>
      </c>
      <c r="CA8" s="27">
        <f t="shared" ca="1" si="131"/>
        <v>4.9996614384632361</v>
      </c>
      <c r="CB8" s="27">
        <f t="shared" ca="1" si="132"/>
        <v>4.8993947719051754</v>
      </c>
      <c r="CC8" s="27">
        <f t="shared" ca="1" si="133"/>
        <v>10.970585622372688</v>
      </c>
      <c r="CD8" s="27">
        <f t="shared" ca="1" si="134"/>
        <v>4.8993947719051754</v>
      </c>
      <c r="CE8" s="27">
        <f t="shared" ca="1" si="135"/>
        <v>3.3094771244491965</v>
      </c>
    </row>
    <row r="9" spans="1:83" x14ac:dyDescent="0.25">
      <c r="A9" t="str">
        <f>Plantilla!D10</f>
        <v>Venanci Oset</v>
      </c>
      <c r="B9">
        <f>Plantilla!E10</f>
        <v>26</v>
      </c>
      <c r="C9" s="25">
        <f ca="1">Plantilla!F10</f>
        <v>102</v>
      </c>
      <c r="D9" s="42">
        <f>Plantilla!G10</f>
        <v>0</v>
      </c>
      <c r="E9" s="23">
        <f>Plantilla!M10</f>
        <v>43706</v>
      </c>
      <c r="F9" s="37">
        <f>Plantilla!Q10</f>
        <v>6</v>
      </c>
      <c r="G9" s="38">
        <f t="shared" si="68"/>
        <v>0.92582009977255142</v>
      </c>
      <c r="H9" s="38">
        <f t="shared" si="69"/>
        <v>0.99928545900129484</v>
      </c>
      <c r="I9" s="104">
        <f ca="1">Plantilla!N10</f>
        <v>1</v>
      </c>
      <c r="J9" s="29">
        <f>Plantilla!I10</f>
        <v>6.5</v>
      </c>
      <c r="K9" s="36">
        <f>Plantilla!X10</f>
        <v>0</v>
      </c>
      <c r="L9" s="36">
        <f>Plantilla!Y10</f>
        <v>14.25</v>
      </c>
      <c r="M9" s="36">
        <f>Plantilla!Z10</f>
        <v>5.125</v>
      </c>
      <c r="N9" s="36">
        <f>Plantilla!AA10</f>
        <v>2</v>
      </c>
      <c r="O9" s="36">
        <f>Plantilla!AB10</f>
        <v>12.111111111111111</v>
      </c>
      <c r="P9" s="36">
        <f>Plantilla!AC10</f>
        <v>6</v>
      </c>
      <c r="Q9" s="36">
        <f>Plantilla!AD10</f>
        <v>12.5</v>
      </c>
      <c r="R9" s="36">
        <f t="shared" si="70"/>
        <v>5.1840277777777777</v>
      </c>
      <c r="S9" s="36">
        <f t="shared" si="71"/>
        <v>0.67500000000000004</v>
      </c>
      <c r="T9" s="36">
        <f t="shared" si="72"/>
        <v>0.94499999999999995</v>
      </c>
      <c r="U9" s="36">
        <f t="shared" ca="1" si="73"/>
        <v>13.502053380200817</v>
      </c>
      <c r="V9" s="36">
        <f t="shared" ca="1" si="74"/>
        <v>14.573463692145667</v>
      </c>
      <c r="W9" s="27">
        <f t="shared" ca="1" si="75"/>
        <v>5.7522311471322842</v>
      </c>
      <c r="X9" s="27">
        <f t="shared" ca="1" si="76"/>
        <v>8.7465448579012346</v>
      </c>
      <c r="Y9" s="27">
        <f t="shared" ca="1" si="77"/>
        <v>5.7522311471322842</v>
      </c>
      <c r="Z9" s="27">
        <f t="shared" ca="1" si="78"/>
        <v>8.428284389370285</v>
      </c>
      <c r="AA9" s="27">
        <f t="shared" ca="1" si="79"/>
        <v>16.333884475523806</v>
      </c>
      <c r="AB9" s="27">
        <f t="shared" ca="1" si="80"/>
        <v>4.2141421946851425</v>
      </c>
      <c r="AC9" s="27">
        <f t="shared" ca="1" si="81"/>
        <v>1.7157145051746661</v>
      </c>
      <c r="AD9" s="27">
        <f t="shared" ca="1" si="82"/>
        <v>6.174208331747999</v>
      </c>
      <c r="AE9" s="27">
        <f t="shared" ca="1" si="83"/>
        <v>11.809398475803711</v>
      </c>
      <c r="AF9" s="27">
        <f t="shared" ca="1" si="84"/>
        <v>3.0871041658739995</v>
      </c>
      <c r="AG9" s="27">
        <f t="shared" ca="1" si="85"/>
        <v>2.775420523076666</v>
      </c>
      <c r="AH9" s="27">
        <f t="shared" ca="1" si="86"/>
        <v>15.027173717481903</v>
      </c>
      <c r="AI9" s="27">
        <f t="shared" ca="1" si="87"/>
        <v>6.7622281728668554</v>
      </c>
      <c r="AJ9" s="27">
        <f t="shared" ca="1" si="88"/>
        <v>1.203883707412476</v>
      </c>
      <c r="AK9" s="27">
        <f t="shared" ca="1" si="89"/>
        <v>2.4013240716079984</v>
      </c>
      <c r="AL9" s="27">
        <f t="shared" ca="1" si="90"/>
        <v>12.315748894544949</v>
      </c>
      <c r="AM9" s="27">
        <f t="shared" ca="1" si="91"/>
        <v>11.564390208670854</v>
      </c>
      <c r="AN9" s="27">
        <f t="shared" ca="1" si="92"/>
        <v>2.4355087074124762</v>
      </c>
      <c r="AO9" s="27">
        <f t="shared" ca="1" si="93"/>
        <v>2.0931587289508564</v>
      </c>
      <c r="AP9" s="27">
        <f t="shared" ca="1" si="94"/>
        <v>4.410148808391428</v>
      </c>
      <c r="AQ9" s="27">
        <f t="shared" ca="1" si="95"/>
        <v>9.7023273784611401</v>
      </c>
      <c r="AR9" s="27">
        <f t="shared" ca="1" si="96"/>
        <v>2.205074404195714</v>
      </c>
      <c r="AS9" s="27">
        <f t="shared" ca="1" si="97"/>
        <v>6.8051869448944737</v>
      </c>
      <c r="AT9" s="27">
        <f t="shared" ca="1" si="98"/>
        <v>1.8453494262625396</v>
      </c>
      <c r="AU9" s="27">
        <f t="shared" ca="1" si="99"/>
        <v>3.1019114846618088</v>
      </c>
      <c r="AV9" s="27">
        <f t="shared" ca="1" si="100"/>
        <v>0.92267471313126981</v>
      </c>
      <c r="AW9" s="27">
        <f t="shared" ca="1" si="101"/>
        <v>3.0871041658739995</v>
      </c>
      <c r="AX9" s="27">
        <f t="shared" ca="1" si="102"/>
        <v>6.5335537902095231</v>
      </c>
      <c r="AY9" s="27">
        <f t="shared" ca="1" si="103"/>
        <v>1.5435520829369997</v>
      </c>
      <c r="AZ9" s="27">
        <f t="shared" ca="1" si="104"/>
        <v>7.2088844755238073</v>
      </c>
      <c r="BA9" s="27">
        <f t="shared" ca="1" si="105"/>
        <v>3.5913338834186344</v>
      </c>
      <c r="BB9" s="27">
        <f t="shared" ca="1" si="106"/>
        <v>6.5381092349025076</v>
      </c>
      <c r="BC9" s="27">
        <f t="shared" ca="1" si="107"/>
        <v>1.7956669417093172</v>
      </c>
      <c r="BD9" s="27">
        <f t="shared" ca="1" si="108"/>
        <v>4.7531603823774278</v>
      </c>
      <c r="BE9" s="27">
        <f t="shared" ca="1" si="109"/>
        <v>5.684191797482284</v>
      </c>
      <c r="BF9" s="27">
        <f t="shared" ca="1" si="110"/>
        <v>6.3510272229364739</v>
      </c>
      <c r="BG9" s="27">
        <f t="shared" ca="1" si="111"/>
        <v>6.8155732987406648</v>
      </c>
      <c r="BH9" s="27">
        <f t="shared" ca="1" si="112"/>
        <v>3.4209939363790154</v>
      </c>
      <c r="BI9" s="27">
        <f t="shared" ca="1" si="113"/>
        <v>7.9219339706290457</v>
      </c>
      <c r="BJ9" s="27">
        <f t="shared" ca="1" si="114"/>
        <v>4.3121455015382848</v>
      </c>
      <c r="BK9" s="27">
        <f t="shared" ca="1" si="115"/>
        <v>2.7465849851745707</v>
      </c>
      <c r="BL9" s="27">
        <f t="shared" ca="1" si="116"/>
        <v>5.6016483649411413</v>
      </c>
      <c r="BM9" s="27">
        <f t="shared" ca="1" si="117"/>
        <v>0.73813977050501578</v>
      </c>
      <c r="BN9" s="27">
        <f t="shared" ca="1" si="118"/>
        <v>2.9400992055942852</v>
      </c>
      <c r="BO9" s="27">
        <f t="shared" ca="1" si="119"/>
        <v>1.1107041443356189</v>
      </c>
      <c r="BP9" s="27">
        <f t="shared" ca="1" si="120"/>
        <v>2.1987097650347613</v>
      </c>
      <c r="BQ9" s="27">
        <f t="shared" ca="1" si="121"/>
        <v>8.1436532133013948</v>
      </c>
      <c r="BR9" s="27">
        <f t="shared" ca="1" si="122"/>
        <v>1.9163244041957141</v>
      </c>
      <c r="BS9" s="27">
        <f t="shared" ca="1" si="123"/>
        <v>4.6388231910487603</v>
      </c>
      <c r="BT9" s="27">
        <f t="shared" ca="1" si="124"/>
        <v>3.9854678120278089</v>
      </c>
      <c r="BU9" s="27">
        <f t="shared" ca="1" si="125"/>
        <v>4.5488061040555223</v>
      </c>
      <c r="BV9" s="27">
        <f t="shared" ca="1" si="126"/>
        <v>5.6065210500382516</v>
      </c>
      <c r="BW9" s="27">
        <f t="shared" ca="1" si="127"/>
        <v>2.1008593468219678</v>
      </c>
      <c r="BX9" s="27">
        <f t="shared" ca="1" si="128"/>
        <v>2.9268070970626661</v>
      </c>
      <c r="BY9" s="27">
        <f t="shared" ca="1" si="129"/>
        <v>5.1634815895256816</v>
      </c>
      <c r="BZ9" s="27">
        <f t="shared" ca="1" si="130"/>
        <v>12.420787252773142</v>
      </c>
      <c r="CA9" s="27">
        <f t="shared" ca="1" si="131"/>
        <v>5.1634815895256816</v>
      </c>
      <c r="CB9" s="27">
        <f t="shared" ca="1" si="132"/>
        <v>5.0200378060291095</v>
      </c>
      <c r="CC9" s="27">
        <f t="shared" ca="1" si="133"/>
        <v>13.321837846992093</v>
      </c>
      <c r="CD9" s="27">
        <f t="shared" ca="1" si="134"/>
        <v>5.0200378060291095</v>
      </c>
      <c r="CE9" s="27">
        <f t="shared" ca="1" si="135"/>
        <v>1.8022211188809518</v>
      </c>
    </row>
    <row r="10" spans="1:83" x14ac:dyDescent="0.25">
      <c r="A10" t="str">
        <f>Plantilla!D11</f>
        <v>Francesc Añigas</v>
      </c>
      <c r="B10">
        <f>Plantilla!E11</f>
        <v>26</v>
      </c>
      <c r="C10" s="25">
        <f ca="1">Plantilla!F11</f>
        <v>39</v>
      </c>
      <c r="D10" s="42" t="str">
        <f>Plantilla!G11</f>
        <v>IMP</v>
      </c>
      <c r="E10" s="23">
        <f>Plantilla!M11</f>
        <v>43137</v>
      </c>
      <c r="F10" s="37">
        <f>Plantilla!Q11</f>
        <v>5</v>
      </c>
      <c r="G10" s="38">
        <f t="shared" si="68"/>
        <v>0.84515425472851657</v>
      </c>
      <c r="H10" s="38">
        <f t="shared" si="69"/>
        <v>0.92504826128926143</v>
      </c>
      <c r="I10" s="104">
        <f ca="1">Plantilla!N11</f>
        <v>1</v>
      </c>
      <c r="J10" s="29">
        <f>Plantilla!I11</f>
        <v>7.5</v>
      </c>
      <c r="K10" s="36">
        <f>Plantilla!X11</f>
        <v>0</v>
      </c>
      <c r="L10" s="36">
        <f>Plantilla!Y11</f>
        <v>13.666666666666666</v>
      </c>
      <c r="M10" s="36">
        <f>Plantilla!Z11</f>
        <v>4</v>
      </c>
      <c r="N10" s="36">
        <f>Plantilla!AA11</f>
        <v>13.133333333333333</v>
      </c>
      <c r="O10" s="36">
        <f>Plantilla!AB11</f>
        <v>8</v>
      </c>
      <c r="P10" s="36">
        <f>Plantilla!AC11</f>
        <v>7</v>
      </c>
      <c r="Q10" s="36">
        <f>Plantilla!AD11</f>
        <v>14</v>
      </c>
      <c r="R10" s="36">
        <f t="shared" si="70"/>
        <v>4.083333333333333</v>
      </c>
      <c r="S10" s="36">
        <f t="shared" si="71"/>
        <v>0.77</v>
      </c>
      <c r="T10" s="36">
        <f t="shared" si="72"/>
        <v>0.96666666666666679</v>
      </c>
      <c r="U10" s="36">
        <f t="shared" ca="1" si="73"/>
        <v>13.663396154132556</v>
      </c>
      <c r="V10" s="36">
        <f t="shared" ca="1" si="74"/>
        <v>14.955022452968356</v>
      </c>
      <c r="W10" s="27">
        <f t="shared" ca="1" si="75"/>
        <v>5.6635713105879386</v>
      </c>
      <c r="X10" s="27">
        <f t="shared" ca="1" si="76"/>
        <v>8.6056054547182459</v>
      </c>
      <c r="Y10" s="27">
        <f t="shared" ca="1" si="77"/>
        <v>5.6635713105879386</v>
      </c>
      <c r="Z10" s="27">
        <f t="shared" ca="1" si="78"/>
        <v>8.17004214921349</v>
      </c>
      <c r="AA10" s="27">
        <f t="shared" ca="1" si="79"/>
        <v>15.8334150178556</v>
      </c>
      <c r="AB10" s="27">
        <f t="shared" ca="1" si="80"/>
        <v>4.085021074606745</v>
      </c>
      <c r="AC10" s="27">
        <f t="shared" ca="1" si="81"/>
        <v>1.4676861075829661</v>
      </c>
      <c r="AD10" s="27">
        <f t="shared" ca="1" si="82"/>
        <v>5.9850308767494171</v>
      </c>
      <c r="AE10" s="27">
        <f t="shared" ca="1" si="83"/>
        <v>11.447559057909599</v>
      </c>
      <c r="AF10" s="27">
        <f t="shared" ca="1" si="84"/>
        <v>2.9925154383747086</v>
      </c>
      <c r="AG10" s="27">
        <f t="shared" ca="1" si="85"/>
        <v>2.3741981152077392</v>
      </c>
      <c r="AH10" s="27">
        <f t="shared" ca="1" si="86"/>
        <v>14.566741816427152</v>
      </c>
      <c r="AI10" s="27">
        <f t="shared" ca="1" si="87"/>
        <v>6.5550338173922178</v>
      </c>
      <c r="AJ10" s="27">
        <f t="shared" ca="1" si="88"/>
        <v>1.0298469746485519</v>
      </c>
      <c r="AK10" s="27">
        <f t="shared" ca="1" si="89"/>
        <v>8.9964480304990921</v>
      </c>
      <c r="AL10" s="27">
        <f t="shared" ca="1" si="90"/>
        <v>11.938394923463122</v>
      </c>
      <c r="AM10" s="27">
        <f t="shared" ca="1" si="91"/>
        <v>11.210057832641764</v>
      </c>
      <c r="AN10" s="27">
        <f t="shared" ca="1" si="92"/>
        <v>2.6998469746485521</v>
      </c>
      <c r="AO10" s="27">
        <f t="shared" ca="1" si="93"/>
        <v>1.8000235251424126</v>
      </c>
      <c r="AP10" s="27">
        <f t="shared" ca="1" si="94"/>
        <v>4.2750220548210125</v>
      </c>
      <c r="AQ10" s="27">
        <f t="shared" ca="1" si="95"/>
        <v>9.4050485206062255</v>
      </c>
      <c r="AR10" s="27">
        <f t="shared" ca="1" si="96"/>
        <v>2.1375110274105062</v>
      </c>
      <c r="AS10" s="27">
        <f t="shared" ca="1" si="97"/>
        <v>5.8214104435223524</v>
      </c>
      <c r="AT10" s="27">
        <f t="shared" ca="1" si="98"/>
        <v>1.3216772856545616</v>
      </c>
      <c r="AU10" s="27">
        <f t="shared" ca="1" si="99"/>
        <v>2.8058572668983572</v>
      </c>
      <c r="AV10" s="27">
        <f t="shared" ca="1" si="100"/>
        <v>0.66083864282728078</v>
      </c>
      <c r="AW10" s="27">
        <f t="shared" ca="1" si="101"/>
        <v>2.9925154383747086</v>
      </c>
      <c r="AX10" s="27">
        <f t="shared" ca="1" si="102"/>
        <v>6.3333660071422404</v>
      </c>
      <c r="AY10" s="27">
        <f t="shared" ca="1" si="103"/>
        <v>1.4962577191873543</v>
      </c>
      <c r="AZ10" s="27">
        <f t="shared" ca="1" si="104"/>
        <v>6.1667483511889332</v>
      </c>
      <c r="BA10" s="27">
        <f t="shared" ca="1" si="105"/>
        <v>2.5721873328508003</v>
      </c>
      <c r="BB10" s="27">
        <f t="shared" ca="1" si="106"/>
        <v>5.3918783415051035</v>
      </c>
      <c r="BC10" s="27">
        <f t="shared" ca="1" si="107"/>
        <v>1.2860936664254001</v>
      </c>
      <c r="BD10" s="27">
        <f t="shared" ca="1" si="108"/>
        <v>4.6075237701959795</v>
      </c>
      <c r="BE10" s="27">
        <f t="shared" ca="1" si="109"/>
        <v>5.5100284262137489</v>
      </c>
      <c r="BF10" s="27">
        <f t="shared" ca="1" si="110"/>
        <v>5.4329052973974505</v>
      </c>
      <c r="BG10" s="27">
        <f t="shared" ca="1" si="111"/>
        <v>11.984772617540294</v>
      </c>
      <c r="BH10" s="27">
        <f t="shared" ca="1" si="112"/>
        <v>2.4501863526365328</v>
      </c>
      <c r="BI10" s="27">
        <f t="shared" ca="1" si="113"/>
        <v>7.6792062836599655</v>
      </c>
      <c r="BJ10" s="27">
        <f t="shared" ca="1" si="114"/>
        <v>4.1800215647138783</v>
      </c>
      <c r="BK10" s="27">
        <f t="shared" ca="1" si="115"/>
        <v>2.3495311218029835</v>
      </c>
      <c r="BL10" s="27">
        <f t="shared" ca="1" si="116"/>
        <v>12.340471392272462</v>
      </c>
      <c r="BM10" s="27">
        <f t="shared" ca="1" si="117"/>
        <v>0.52867091426182455</v>
      </c>
      <c r="BN10" s="27">
        <f t="shared" ca="1" si="118"/>
        <v>2.8500147032140077</v>
      </c>
      <c r="BO10" s="27">
        <f t="shared" ca="1" si="119"/>
        <v>1.0766722212141808</v>
      </c>
      <c r="BP10" s="27">
        <f t="shared" ca="1" si="120"/>
        <v>1.8808582471126245</v>
      </c>
      <c r="BQ10" s="27">
        <f t="shared" ca="1" si="121"/>
        <v>18.207771712962302</v>
      </c>
      <c r="BR10" s="27">
        <f t="shared" ca="1" si="122"/>
        <v>1.3725110274105061</v>
      </c>
      <c r="BS10" s="27">
        <f t="shared" ca="1" si="123"/>
        <v>4.4966898650709899</v>
      </c>
      <c r="BT10" s="27">
        <f t="shared" ca="1" si="124"/>
        <v>3.8633532643567663</v>
      </c>
      <c r="BU10" s="27">
        <f t="shared" ca="1" si="125"/>
        <v>3.891218209600217</v>
      </c>
      <c r="BV10" s="27">
        <f t="shared" ca="1" si="126"/>
        <v>12.702839774314095</v>
      </c>
      <c r="BW10" s="27">
        <f t="shared" ca="1" si="127"/>
        <v>1.5046787559759622</v>
      </c>
      <c r="BX10" s="27">
        <f t="shared" ca="1" si="128"/>
        <v>2.5036998305827072</v>
      </c>
      <c r="BY10" s="27">
        <f t="shared" ca="1" si="129"/>
        <v>5.9090758909694348</v>
      </c>
      <c r="BZ10" s="27">
        <f t="shared" ca="1" si="130"/>
        <v>10.864758643438741</v>
      </c>
      <c r="CA10" s="27">
        <f t="shared" ca="1" si="131"/>
        <v>5.9090758909694348</v>
      </c>
      <c r="CB10" s="27">
        <f t="shared" ca="1" si="132"/>
        <v>7.208350889457372</v>
      </c>
      <c r="CC10" s="27">
        <f t="shared" ca="1" si="133"/>
        <v>12.918278492777651</v>
      </c>
      <c r="CD10" s="27">
        <f t="shared" ca="1" si="134"/>
        <v>7.208350889457372</v>
      </c>
      <c r="CE10" s="27">
        <f t="shared" ca="1" si="135"/>
        <v>1.5416870877972333</v>
      </c>
    </row>
    <row r="11" spans="1:83" x14ac:dyDescent="0.25">
      <c r="A11" t="str">
        <f>Plantilla!D12</f>
        <v>Will Duffill</v>
      </c>
      <c r="B11">
        <f>Plantilla!E12</f>
        <v>26</v>
      </c>
      <c r="C11" s="25">
        <f ca="1">Plantilla!F12</f>
        <v>0</v>
      </c>
      <c r="D11" s="42" t="str">
        <f>Plantilla!G12</f>
        <v>RAP</v>
      </c>
      <c r="E11" s="23">
        <f>Plantilla!M12</f>
        <v>43122</v>
      </c>
      <c r="F11" s="37">
        <f>Plantilla!Q12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Plantilla!N12</f>
        <v>1</v>
      </c>
      <c r="J11" s="29">
        <f>Plantilla!I12</f>
        <v>7.6</v>
      </c>
      <c r="K11" s="36">
        <f>Plantilla!X12</f>
        <v>0</v>
      </c>
      <c r="L11" s="36">
        <f>Plantilla!Y12</f>
        <v>13.076923076923077</v>
      </c>
      <c r="M11" s="36">
        <f>Plantilla!Z12</f>
        <v>3.1666666666666665</v>
      </c>
      <c r="N11" s="36">
        <f>Plantilla!AA12</f>
        <v>13.866666666666667</v>
      </c>
      <c r="O11" s="36">
        <f>Plantilla!AB12</f>
        <v>9.8333333333333339</v>
      </c>
      <c r="P11" s="36">
        <f>Plantilla!AC12</f>
        <v>7</v>
      </c>
      <c r="Q11" s="36">
        <f>Plantilla!AD12</f>
        <v>14.5</v>
      </c>
      <c r="R11" s="36">
        <f t="shared" si="70"/>
        <v>4.4679487179487181</v>
      </c>
      <c r="S11" s="36">
        <f t="shared" si="71"/>
        <v>0.78499999999999992</v>
      </c>
      <c r="T11" s="36">
        <f t="shared" si="72"/>
        <v>0.95807692307692316</v>
      </c>
      <c r="U11" s="36">
        <f t="shared" ca="1" si="73"/>
        <v>15.437511450323107</v>
      </c>
      <c r="V11" s="36">
        <f t="shared" ca="1" si="74"/>
        <v>16.66250356766259</v>
      </c>
      <c r="W11" s="27">
        <f t="shared" ca="1" si="75"/>
        <v>5.5074977906456111</v>
      </c>
      <c r="X11" s="27">
        <f t="shared" ca="1" si="76"/>
        <v>8.3648661045383097</v>
      </c>
      <c r="Y11" s="27">
        <f t="shared" ca="1" si="77"/>
        <v>5.5074977906456111</v>
      </c>
      <c r="Z11" s="27">
        <f t="shared" ca="1" si="78"/>
        <v>7.8696920591814923</v>
      </c>
      <c r="AA11" s="27">
        <f t="shared" ca="1" si="79"/>
        <v>15.251341199964132</v>
      </c>
      <c r="AB11" s="27">
        <f t="shared" ca="1" si="80"/>
        <v>3.9348460295907461</v>
      </c>
      <c r="AC11" s="27">
        <f t="shared" ca="1" si="81"/>
        <v>1.2711781799504376</v>
      </c>
      <c r="AD11" s="27">
        <f t="shared" ca="1" si="82"/>
        <v>5.7650069735864422</v>
      </c>
      <c r="AE11" s="27">
        <f t="shared" ca="1" si="83"/>
        <v>11.026719687574067</v>
      </c>
      <c r="AF11" s="27">
        <f t="shared" ca="1" si="84"/>
        <v>2.8825034867932211</v>
      </c>
      <c r="AG11" s="27">
        <f t="shared" ca="1" si="85"/>
        <v>2.0563176440374726</v>
      </c>
      <c r="AH11" s="27">
        <f t="shared" ca="1" si="86"/>
        <v>14.031233903967003</v>
      </c>
      <c r="AI11" s="27">
        <f t="shared" ca="1" si="87"/>
        <v>6.3140552567851502</v>
      </c>
      <c r="AJ11" s="27">
        <f t="shared" ca="1" si="88"/>
        <v>0.8919611598811894</v>
      </c>
      <c r="AK11" s="27">
        <f t="shared" ca="1" si="89"/>
        <v>9.4321578563481392</v>
      </c>
      <c r="AL11" s="27">
        <f t="shared" ca="1" si="90"/>
        <v>11.499511264772956</v>
      </c>
      <c r="AM11" s="27">
        <f t="shared" ca="1" si="91"/>
        <v>10.797949569574605</v>
      </c>
      <c r="AN11" s="27">
        <f t="shared" ca="1" si="92"/>
        <v>2.7846278265478563</v>
      </c>
      <c r="AO11" s="27">
        <f t="shared" ca="1" si="93"/>
        <v>1.9130016502050544</v>
      </c>
      <c r="AP11" s="27">
        <f t="shared" ca="1" si="94"/>
        <v>4.1178621239903164</v>
      </c>
      <c r="AQ11" s="27">
        <f t="shared" ca="1" si="95"/>
        <v>9.0592966727786948</v>
      </c>
      <c r="AR11" s="27">
        <f t="shared" ca="1" si="96"/>
        <v>2.0589310619951582</v>
      </c>
      <c r="AS11" s="27">
        <f t="shared" ca="1" si="97"/>
        <v>5.0419840414840884</v>
      </c>
      <c r="AT11" s="27">
        <f t="shared" ca="1" si="98"/>
        <v>1.5610076893286706</v>
      </c>
      <c r="AU11" s="27">
        <f t="shared" ca="1" si="99"/>
        <v>3.0281045100510293</v>
      </c>
      <c r="AV11" s="27">
        <f t="shared" ca="1" si="100"/>
        <v>0.78050384466433531</v>
      </c>
      <c r="AW11" s="27">
        <f t="shared" ca="1" si="101"/>
        <v>2.8825034867932211</v>
      </c>
      <c r="AX11" s="27">
        <f t="shared" ca="1" si="102"/>
        <v>6.100536479985653</v>
      </c>
      <c r="AY11" s="27">
        <f t="shared" ca="1" si="103"/>
        <v>1.4412517433966106</v>
      </c>
      <c r="AZ11" s="27">
        <f t="shared" ca="1" si="104"/>
        <v>5.3410847897077209</v>
      </c>
      <c r="BA11" s="27">
        <f t="shared" ca="1" si="105"/>
        <v>3.0379611184627207</v>
      </c>
      <c r="BB11" s="27">
        <f t="shared" ca="1" si="106"/>
        <v>6.0212710524622883</v>
      </c>
      <c r="BC11" s="27">
        <f t="shared" ca="1" si="107"/>
        <v>1.5189805592313603</v>
      </c>
      <c r="BD11" s="27">
        <f t="shared" ca="1" si="108"/>
        <v>4.4381402891895618</v>
      </c>
      <c r="BE11" s="27">
        <f t="shared" ca="1" si="109"/>
        <v>5.307466737587518</v>
      </c>
      <c r="BF11" s="27">
        <f t="shared" ca="1" si="110"/>
        <v>4.7054956997325021</v>
      </c>
      <c r="BG11" s="27">
        <f t="shared" ca="1" si="111"/>
        <v>12.990024378050164</v>
      </c>
      <c r="BH11" s="27">
        <f t="shared" ca="1" si="112"/>
        <v>2.8938681009862277</v>
      </c>
      <c r="BI11" s="27">
        <f t="shared" ca="1" si="113"/>
        <v>7.3969004819826036</v>
      </c>
      <c r="BJ11" s="27">
        <f t="shared" ca="1" si="114"/>
        <v>4.0263540767905308</v>
      </c>
      <c r="BK11" s="27">
        <f t="shared" ca="1" si="115"/>
        <v>2.0349533048786417</v>
      </c>
      <c r="BL11" s="27">
        <f t="shared" ca="1" si="116"/>
        <v>13.209208106204549</v>
      </c>
      <c r="BM11" s="27">
        <f t="shared" ca="1" si="117"/>
        <v>0.62440307573146825</v>
      </c>
      <c r="BN11" s="27">
        <f t="shared" ca="1" si="118"/>
        <v>2.7452414159935437</v>
      </c>
      <c r="BO11" s="27">
        <f t="shared" ca="1" si="119"/>
        <v>1.0370912015975611</v>
      </c>
      <c r="BP11" s="27">
        <f t="shared" ca="1" si="120"/>
        <v>1.6290308608608548</v>
      </c>
      <c r="BQ11" s="27">
        <f t="shared" ca="1" si="121"/>
        <v>19.475301706230795</v>
      </c>
      <c r="BR11" s="27">
        <f t="shared" ca="1" si="122"/>
        <v>1.6210464466105428</v>
      </c>
      <c r="BS11" s="27">
        <f t="shared" ca="1" si="123"/>
        <v>4.3313809007898136</v>
      </c>
      <c r="BT11" s="27">
        <f t="shared" ca="1" si="124"/>
        <v>3.7213272527912484</v>
      </c>
      <c r="BU11" s="27">
        <f t="shared" ca="1" si="125"/>
        <v>3.3702245023055721</v>
      </c>
      <c r="BV11" s="27">
        <f t="shared" ca="1" si="126"/>
        <v>13.578337553455077</v>
      </c>
      <c r="BW11" s="27">
        <f t="shared" ca="1" si="127"/>
        <v>1.7771472155434096</v>
      </c>
      <c r="BX11" s="27">
        <f t="shared" ca="1" si="128"/>
        <v>2.1684804246213347</v>
      </c>
      <c r="BY11" s="27">
        <f t="shared" ca="1" si="129"/>
        <v>6.4770051754377231</v>
      </c>
      <c r="BZ11" s="27">
        <f t="shared" ca="1" si="130"/>
        <v>11.86889480654423</v>
      </c>
      <c r="CA11" s="27">
        <f t="shared" ca="1" si="131"/>
        <v>6.4770051754377231</v>
      </c>
      <c r="CB11" s="27">
        <f t="shared" ca="1" si="132"/>
        <v>7.635529157321244</v>
      </c>
      <c r="CC11" s="27">
        <f t="shared" ca="1" si="133"/>
        <v>13.605278410443205</v>
      </c>
      <c r="CD11" s="27">
        <f t="shared" ca="1" si="134"/>
        <v>7.635529157321244</v>
      </c>
      <c r="CE11" s="27">
        <f t="shared" ca="1" si="135"/>
        <v>1.3352711974269302</v>
      </c>
    </row>
    <row r="12" spans="1:83" x14ac:dyDescent="0.25">
      <c r="A12" t="str">
        <f>Plantilla!D13</f>
        <v>Valeri Gomis</v>
      </c>
      <c r="B12">
        <f>Plantilla!E13</f>
        <v>26</v>
      </c>
      <c r="C12" s="25">
        <f ca="1">Plantilla!F13</f>
        <v>39</v>
      </c>
      <c r="D12" s="42" t="str">
        <f>Plantilla!G13</f>
        <v>IMP</v>
      </c>
      <c r="E12" s="23">
        <f>Plantilla!M13</f>
        <v>43051</v>
      </c>
      <c r="F12" s="37">
        <f>Plantilla!Q13</f>
        <v>5</v>
      </c>
      <c r="G12" s="38">
        <f t="shared" si="68"/>
        <v>0.84515425472851657</v>
      </c>
      <c r="H12" s="38">
        <f t="shared" si="69"/>
        <v>0.92504826128926143</v>
      </c>
      <c r="I12" s="104">
        <f ca="1">Plantilla!N13</f>
        <v>1</v>
      </c>
      <c r="J12" s="29">
        <f>Plantilla!I13</f>
        <v>7</v>
      </c>
      <c r="K12" s="36">
        <f>Plantilla!X13</f>
        <v>0</v>
      </c>
      <c r="L12" s="36">
        <f>Plantilla!Y13</f>
        <v>12.545454545454545</v>
      </c>
      <c r="M12" s="36">
        <f>Plantilla!Z13</f>
        <v>3.1666666666666665</v>
      </c>
      <c r="N12" s="36">
        <f>Plantilla!AA13</f>
        <v>12.714285714285714</v>
      </c>
      <c r="O12" s="36">
        <f>Plantilla!AB13</f>
        <v>9.1666666666666661</v>
      </c>
      <c r="P12" s="36">
        <f>Plantilla!AC13</f>
        <v>7.25</v>
      </c>
      <c r="Q12" s="36">
        <f>Plantilla!AD13</f>
        <v>14.5</v>
      </c>
      <c r="R12" s="36">
        <f t="shared" si="70"/>
        <v>4.2348484848484844</v>
      </c>
      <c r="S12" s="36">
        <f t="shared" si="71"/>
        <v>0.79749999999999999</v>
      </c>
      <c r="T12" s="36">
        <f t="shared" si="72"/>
        <v>0.93681818181818177</v>
      </c>
      <c r="U12" s="36">
        <f t="shared" ca="1" si="73"/>
        <v>14.052208553866381</v>
      </c>
      <c r="V12" s="36">
        <f t="shared" ca="1" si="74"/>
        <v>15.380590013362422</v>
      </c>
      <c r="W12" s="27">
        <f t="shared" ca="1" si="75"/>
        <v>5.319239573122049</v>
      </c>
      <c r="X12" s="27">
        <f t="shared" ca="1" si="76"/>
        <v>8.0775136080293883</v>
      </c>
      <c r="Y12" s="27">
        <f t="shared" ca="1" si="77"/>
        <v>5.319239573122049</v>
      </c>
      <c r="Z12" s="27">
        <f t="shared" ca="1" si="78"/>
        <v>7.5708819969843537</v>
      </c>
      <c r="AA12" s="27">
        <f t="shared" ca="1" si="79"/>
        <v>14.67225193214022</v>
      </c>
      <c r="AB12" s="27">
        <f t="shared" ca="1" si="80"/>
        <v>3.7854409984921769</v>
      </c>
      <c r="AC12" s="27">
        <f t="shared" ca="1" si="81"/>
        <v>1.2598444446978572</v>
      </c>
      <c r="AD12" s="27">
        <f t="shared" ca="1" si="82"/>
        <v>5.5461112303490037</v>
      </c>
      <c r="AE12" s="27">
        <f t="shared" ca="1" si="83"/>
        <v>10.608038146937378</v>
      </c>
      <c r="AF12" s="27">
        <f t="shared" ca="1" si="84"/>
        <v>2.7730556151745018</v>
      </c>
      <c r="AG12" s="27">
        <f t="shared" ca="1" si="85"/>
        <v>2.0379836605406516</v>
      </c>
      <c r="AH12" s="27">
        <f t="shared" ca="1" si="86"/>
        <v>13.498471777569003</v>
      </c>
      <c r="AI12" s="27">
        <f t="shared" ca="1" si="87"/>
        <v>6.074312299906051</v>
      </c>
      <c r="AJ12" s="27">
        <f t="shared" ca="1" si="88"/>
        <v>0.88400849690984107</v>
      </c>
      <c r="AK12" s="27">
        <f t="shared" ca="1" si="89"/>
        <v>8.7265568633711759</v>
      </c>
      <c r="AL12" s="27">
        <f t="shared" ca="1" si="90"/>
        <v>11.062877956833725</v>
      </c>
      <c r="AM12" s="27">
        <f t="shared" ca="1" si="91"/>
        <v>10.387954367955276</v>
      </c>
      <c r="AN12" s="27">
        <f t="shared" ca="1" si="92"/>
        <v>2.7766751635765083</v>
      </c>
      <c r="AO12" s="27">
        <f t="shared" ca="1" si="93"/>
        <v>1.8321540110018379</v>
      </c>
      <c r="AP12" s="27">
        <f t="shared" ca="1" si="94"/>
        <v>3.9615080216778598</v>
      </c>
      <c r="AQ12" s="27">
        <f t="shared" ca="1" si="95"/>
        <v>8.7153176476912897</v>
      </c>
      <c r="AR12" s="27">
        <f t="shared" ca="1" si="96"/>
        <v>1.9807540108389299</v>
      </c>
      <c r="AS12" s="27">
        <f t="shared" ca="1" si="97"/>
        <v>4.9970300663646103</v>
      </c>
      <c r="AT12" s="27">
        <f t="shared" ca="1" si="98"/>
        <v>1.4681503269358045</v>
      </c>
      <c r="AU12" s="27">
        <f t="shared" ca="1" si="99"/>
        <v>2.9774016342989027</v>
      </c>
      <c r="AV12" s="27">
        <f t="shared" ca="1" si="100"/>
        <v>0.73407516346790225</v>
      </c>
      <c r="AW12" s="27">
        <f t="shared" ca="1" si="101"/>
        <v>2.7730556151745018</v>
      </c>
      <c r="AX12" s="27">
        <f t="shared" ca="1" si="102"/>
        <v>5.8689007728560885</v>
      </c>
      <c r="AY12" s="27">
        <f t="shared" ca="1" si="103"/>
        <v>1.3865278075872509</v>
      </c>
      <c r="AZ12" s="27">
        <f t="shared" ca="1" si="104"/>
        <v>5.2934640533523414</v>
      </c>
      <c r="BA12" s="27">
        <f t="shared" ca="1" si="105"/>
        <v>2.8572464054981426</v>
      </c>
      <c r="BB12" s="27">
        <f t="shared" ca="1" si="106"/>
        <v>5.8201986933971401</v>
      </c>
      <c r="BC12" s="27">
        <f t="shared" ca="1" si="107"/>
        <v>1.4286232027490713</v>
      </c>
      <c r="BD12" s="27">
        <f t="shared" ca="1" si="108"/>
        <v>4.2696253122528036</v>
      </c>
      <c r="BE12" s="27">
        <f t="shared" ca="1" si="109"/>
        <v>5.1059436723847966</v>
      </c>
      <c r="BF12" s="27">
        <f t="shared" ca="1" si="110"/>
        <v>4.6635418310034131</v>
      </c>
      <c r="BG12" s="27">
        <f t="shared" ca="1" si="111"/>
        <v>12.076222876763564</v>
      </c>
      <c r="BH12" s="27">
        <f t="shared" ca="1" si="112"/>
        <v>2.7217248368579141</v>
      </c>
      <c r="BI12" s="27">
        <f t="shared" ca="1" si="113"/>
        <v>7.1160421870880066</v>
      </c>
      <c r="BJ12" s="27">
        <f t="shared" ca="1" si="114"/>
        <v>3.8734745100850185</v>
      </c>
      <c r="BK12" s="27">
        <f t="shared" ca="1" si="115"/>
        <v>2.016809804327242</v>
      </c>
      <c r="BL12" s="27">
        <f t="shared" ca="1" si="116"/>
        <v>12.258035201677565</v>
      </c>
      <c r="BM12" s="27">
        <f t="shared" ca="1" si="117"/>
        <v>0.58726013077432171</v>
      </c>
      <c r="BN12" s="27">
        <f t="shared" ca="1" si="118"/>
        <v>2.6410053477852395</v>
      </c>
      <c r="BO12" s="27">
        <f t="shared" ca="1" si="119"/>
        <v>0.99771313138553508</v>
      </c>
      <c r="BP12" s="27">
        <f t="shared" ca="1" si="120"/>
        <v>1.614506536272464</v>
      </c>
      <c r="BQ12" s="27">
        <f t="shared" ca="1" si="121"/>
        <v>18.071013820230156</v>
      </c>
      <c r="BR12" s="27">
        <f t="shared" ca="1" si="122"/>
        <v>1.5246176472025661</v>
      </c>
      <c r="BS12" s="27">
        <f t="shared" ca="1" si="123"/>
        <v>4.1669195487278223</v>
      </c>
      <c r="BT12" s="27">
        <f t="shared" ca="1" si="124"/>
        <v>3.5800294714422138</v>
      </c>
      <c r="BU12" s="27">
        <f t="shared" ca="1" si="125"/>
        <v>3.3401758176653273</v>
      </c>
      <c r="BV12" s="27">
        <f t="shared" ca="1" si="126"/>
        <v>12.598078899178917</v>
      </c>
      <c r="BW12" s="27">
        <f t="shared" ca="1" si="127"/>
        <v>1.6714326798961465</v>
      </c>
      <c r="BX12" s="27">
        <f t="shared" ca="1" si="128"/>
        <v>2.1491464056610505</v>
      </c>
      <c r="BY12" s="27">
        <f t="shared" ca="1" si="129"/>
        <v>6.1513352479870456</v>
      </c>
      <c r="BZ12" s="27">
        <f t="shared" ca="1" si="130"/>
        <v>11.599023857408071</v>
      </c>
      <c r="CA12" s="27">
        <f t="shared" ca="1" si="131"/>
        <v>6.1513352479870456</v>
      </c>
      <c r="CB12" s="27">
        <f t="shared" ca="1" si="132"/>
        <v>7.3215185814289852</v>
      </c>
      <c r="CC12" s="27">
        <f t="shared" ca="1" si="133"/>
        <v>13.544085622372689</v>
      </c>
      <c r="CD12" s="27">
        <f t="shared" ca="1" si="134"/>
        <v>7.3215185814289852</v>
      </c>
      <c r="CE12" s="27">
        <f t="shared" ca="1" si="135"/>
        <v>1.3233660133380853</v>
      </c>
    </row>
    <row r="13" spans="1:83" x14ac:dyDescent="0.25">
      <c r="A13" t="str">
        <f>Plantilla!D14</f>
        <v>Enrique Cubas</v>
      </c>
      <c r="B13">
        <f>Plantilla!E14</f>
        <v>26</v>
      </c>
      <c r="C13" s="25">
        <f ca="1">Plantilla!F14</f>
        <v>35</v>
      </c>
      <c r="D13" s="42" t="str">
        <f>Plantilla!G14</f>
        <v>RAP</v>
      </c>
      <c r="E13" s="23">
        <f>Plantilla!M14</f>
        <v>43046</v>
      </c>
      <c r="F13" s="37">
        <f>Plantilla!Q14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Plantilla!N14</f>
        <v>1.5</v>
      </c>
      <c r="J13" s="29">
        <f>Plantilla!I14</f>
        <v>8.1</v>
      </c>
      <c r="K13" s="36">
        <f>Plantilla!X14</f>
        <v>0</v>
      </c>
      <c r="L13" s="36">
        <f>Plantilla!Y14</f>
        <v>11.6</v>
      </c>
      <c r="M13" s="36">
        <f>Plantilla!Z14</f>
        <v>5.8250000000000002</v>
      </c>
      <c r="N13" s="36">
        <f>Plantilla!AA14</f>
        <v>14.888888888888889</v>
      </c>
      <c r="O13" s="36">
        <f>Plantilla!AB14</f>
        <v>9</v>
      </c>
      <c r="P13" s="36">
        <f>Plantilla!AC14</f>
        <v>7.8</v>
      </c>
      <c r="Q13" s="36">
        <f>Plantilla!AD14</f>
        <v>15</v>
      </c>
      <c r="R13" s="36">
        <f t="shared" si="70"/>
        <v>4.0750000000000002</v>
      </c>
      <c r="S13" s="36">
        <f t="shared" si="71"/>
        <v>0.84000000000000008</v>
      </c>
      <c r="T13" s="36">
        <f t="shared" si="72"/>
        <v>0.91400000000000003</v>
      </c>
      <c r="U13" s="36">
        <f t="shared" si="73"/>
        <v>16.3974899006739</v>
      </c>
      <c r="V13" s="36">
        <f t="shared" si="74"/>
        <v>17.698657898969302</v>
      </c>
      <c r="W13" s="27">
        <f t="shared" si="75"/>
        <v>5.5685765619747487</v>
      </c>
      <c r="X13" s="27">
        <f t="shared" si="76"/>
        <v>8.430305545829782</v>
      </c>
      <c r="Y13" s="27">
        <f t="shared" si="77"/>
        <v>5.5685765619747487</v>
      </c>
      <c r="Z13" s="27">
        <f t="shared" si="78"/>
        <v>7.3846376929885107</v>
      </c>
      <c r="AA13" s="27">
        <f t="shared" si="79"/>
        <v>14.311313358504865</v>
      </c>
      <c r="AB13" s="27">
        <f t="shared" si="80"/>
        <v>3.6923188464942553</v>
      </c>
      <c r="AC13" s="27">
        <f t="shared" si="81"/>
        <v>2.0316425793241581</v>
      </c>
      <c r="AD13" s="27">
        <f t="shared" si="82"/>
        <v>5.4096764495148388</v>
      </c>
      <c r="AE13" s="27">
        <f t="shared" si="83"/>
        <v>10.347079558199017</v>
      </c>
      <c r="AF13" s="27">
        <f t="shared" si="84"/>
        <v>2.7048382247574194</v>
      </c>
      <c r="AG13" s="27">
        <f t="shared" si="85"/>
        <v>3.2864806430243738</v>
      </c>
      <c r="AH13" s="27">
        <f t="shared" si="86"/>
        <v>13.166408289824476</v>
      </c>
      <c r="AI13" s="27">
        <f t="shared" si="87"/>
        <v>5.9248837304210138</v>
      </c>
      <c r="AJ13" s="27">
        <f t="shared" si="88"/>
        <v>1.4255643308703128</v>
      </c>
      <c r="AK13" s="27">
        <f t="shared" si="89"/>
        <v>10.348918921467527</v>
      </c>
      <c r="AL13" s="27">
        <f t="shared" si="90"/>
        <v>10.790730272312668</v>
      </c>
      <c r="AM13" s="27">
        <f t="shared" si="91"/>
        <v>10.132409857821443</v>
      </c>
      <c r="AN13" s="27">
        <f t="shared" si="92"/>
        <v>2.9577893308703129</v>
      </c>
      <c r="AO13" s="27">
        <f t="shared" si="93"/>
        <v>1.9544582472494014</v>
      </c>
      <c r="AP13" s="27">
        <f t="shared" si="94"/>
        <v>3.864054606796314</v>
      </c>
      <c r="AQ13" s="27">
        <f t="shared" si="95"/>
        <v>8.5009201349518886</v>
      </c>
      <c r="AR13" s="27">
        <f t="shared" si="96"/>
        <v>1.932027303398157</v>
      </c>
      <c r="AS13" s="27">
        <f t="shared" si="97"/>
        <v>8.0582798104285942</v>
      </c>
      <c r="AT13" s="27">
        <f t="shared" si="98"/>
        <v>1.5224707366056327</v>
      </c>
      <c r="AU13" s="27">
        <f t="shared" si="99"/>
        <v>3.2238148140419263</v>
      </c>
      <c r="AV13" s="27">
        <f t="shared" si="100"/>
        <v>0.76123536830281635</v>
      </c>
      <c r="AW13" s="27">
        <f t="shared" si="101"/>
        <v>2.7048382247574194</v>
      </c>
      <c r="AX13" s="27">
        <f t="shared" si="102"/>
        <v>5.7245253434019467</v>
      </c>
      <c r="AY13" s="27">
        <f t="shared" si="103"/>
        <v>1.3524191123787097</v>
      </c>
      <c r="AZ13" s="27">
        <f t="shared" si="104"/>
        <v>8.5363133585048665</v>
      </c>
      <c r="BA13" s="27">
        <f t="shared" si="105"/>
        <v>2.9629622797017316</v>
      </c>
      <c r="BB13" s="27">
        <f t="shared" si="106"/>
        <v>6.2009336605361822</v>
      </c>
      <c r="BC13" s="27">
        <f t="shared" si="107"/>
        <v>1.4814811398508658</v>
      </c>
      <c r="BD13" s="27">
        <f t="shared" si="108"/>
        <v>4.1645921873249154</v>
      </c>
      <c r="BE13" s="27">
        <f t="shared" si="109"/>
        <v>4.9803370487596927</v>
      </c>
      <c r="BF13" s="27">
        <f t="shared" si="110"/>
        <v>7.5204920688427874</v>
      </c>
      <c r="BG13" s="27">
        <f t="shared" si="111"/>
        <v>13.79157979793305</v>
      </c>
      <c r="BH13" s="27">
        <f t="shared" si="112"/>
        <v>2.8224265193996727</v>
      </c>
      <c r="BI13" s="27">
        <f t="shared" si="113"/>
        <v>6.940986978874859</v>
      </c>
      <c r="BJ13" s="27">
        <f t="shared" si="114"/>
        <v>3.7781867266452847</v>
      </c>
      <c r="BK13" s="27">
        <f t="shared" si="115"/>
        <v>3.2523353895903542</v>
      </c>
      <c r="BL13" s="27">
        <f t="shared" si="116"/>
        <v>14.198910097555476</v>
      </c>
      <c r="BM13" s="27">
        <f t="shared" si="117"/>
        <v>0.60898829464225301</v>
      </c>
      <c r="BN13" s="27">
        <f t="shared" si="118"/>
        <v>2.5760364045308757</v>
      </c>
      <c r="BO13" s="27">
        <f t="shared" si="119"/>
        <v>0.97316930837833093</v>
      </c>
      <c r="BP13" s="27">
        <f t="shared" si="120"/>
        <v>2.6035755743439841</v>
      </c>
      <c r="BQ13" s="27">
        <f t="shared" si="121"/>
        <v>20.94963786792615</v>
      </c>
      <c r="BR13" s="27">
        <f t="shared" si="122"/>
        <v>1.5810273033981572</v>
      </c>
      <c r="BS13" s="27">
        <f t="shared" si="123"/>
        <v>4.064412993815381</v>
      </c>
      <c r="BT13" s="27">
        <f t="shared" si="124"/>
        <v>3.491960459475187</v>
      </c>
      <c r="BU13" s="27">
        <f t="shared" si="125"/>
        <v>5.3864137292165708</v>
      </c>
      <c r="BV13" s="27">
        <f t="shared" si="126"/>
        <v>14.615625455861856</v>
      </c>
      <c r="BW13" s="27">
        <f t="shared" si="127"/>
        <v>1.7332743770587202</v>
      </c>
      <c r="BX13" s="27">
        <f t="shared" si="128"/>
        <v>3.4657432235529759</v>
      </c>
      <c r="BY13" s="27">
        <f t="shared" si="129"/>
        <v>6.797194259781036</v>
      </c>
      <c r="BZ13" s="27">
        <f t="shared" si="130"/>
        <v>12.487338841676481</v>
      </c>
      <c r="CA13" s="27">
        <f t="shared" si="131"/>
        <v>6.797194259781036</v>
      </c>
      <c r="CB13" s="27">
        <f t="shared" si="132"/>
        <v>8.2855926667929776</v>
      </c>
      <c r="CC13" s="27">
        <f t="shared" si="133"/>
        <v>14.832787987793164</v>
      </c>
      <c r="CD13" s="27">
        <f t="shared" si="134"/>
        <v>8.2855926667929776</v>
      </c>
      <c r="CE13" s="27">
        <f t="shared" si="135"/>
        <v>2.1340783396262166</v>
      </c>
    </row>
    <row r="14" spans="1:83" x14ac:dyDescent="0.25">
      <c r="A14" t="str">
        <f>Plantilla!D15</f>
        <v>J. G. Peñuela</v>
      </c>
      <c r="B14">
        <f>Plantilla!E15</f>
        <v>26</v>
      </c>
      <c r="C14" s="25">
        <f ca="1">Plantilla!F15</f>
        <v>35</v>
      </c>
      <c r="D14" s="42" t="str">
        <f>Plantilla!G15</f>
        <v>IMP</v>
      </c>
      <c r="E14" s="23">
        <f>Plantilla!M15</f>
        <v>43054</v>
      </c>
      <c r="F14" s="37">
        <f>Plantilla!Q15</f>
        <v>3</v>
      </c>
      <c r="G14" s="38">
        <f t="shared" si="68"/>
        <v>0.65465367070797709</v>
      </c>
      <c r="H14" s="38">
        <f t="shared" si="69"/>
        <v>0.75498344352707503</v>
      </c>
      <c r="I14" s="104">
        <f ca="1">Plantilla!N15</f>
        <v>1</v>
      </c>
      <c r="J14" s="29">
        <f>Plantilla!I15</f>
        <v>6.9</v>
      </c>
      <c r="K14" s="36">
        <f>Plantilla!X15</f>
        <v>0</v>
      </c>
      <c r="L14" s="36">
        <f>Plantilla!Y15</f>
        <v>11.9</v>
      </c>
      <c r="M14" s="36">
        <f>Plantilla!Z15</f>
        <v>5.25</v>
      </c>
      <c r="N14" s="36">
        <f>Plantilla!AA15</f>
        <v>14</v>
      </c>
      <c r="O14" s="36">
        <f>Plantilla!AB15</f>
        <v>8.4</v>
      </c>
      <c r="P14" s="36">
        <f>Plantilla!AC15</f>
        <v>8</v>
      </c>
      <c r="Q14" s="36">
        <f>Plantilla!AD15</f>
        <v>14</v>
      </c>
      <c r="R14" s="36">
        <f t="shared" si="70"/>
        <v>3.9625000000000004</v>
      </c>
      <c r="S14" s="36">
        <f t="shared" si="71"/>
        <v>0.82</v>
      </c>
      <c r="T14" s="36">
        <f t="shared" si="72"/>
        <v>0.89600000000000013</v>
      </c>
      <c r="U14" s="36">
        <f t="shared" ca="1" si="73"/>
        <v>10.552012575847913</v>
      </c>
      <c r="V14" s="36">
        <f t="shared" ca="1" si="74"/>
        <v>12.169174553071951</v>
      </c>
      <c r="W14" s="27">
        <f t="shared" ca="1" si="75"/>
        <v>5.1338203416181658</v>
      </c>
      <c r="X14" s="27">
        <f t="shared" ca="1" si="76"/>
        <v>7.7924389015223952</v>
      </c>
      <c r="Y14" s="27">
        <f t="shared" ca="1" si="77"/>
        <v>5.1338203416181658</v>
      </c>
      <c r="Z14" s="27">
        <f t="shared" ca="1" si="78"/>
        <v>7.2335281744272315</v>
      </c>
      <c r="AA14" s="27">
        <f t="shared" ca="1" si="79"/>
        <v>14.01846545431634</v>
      </c>
      <c r="AB14" s="27">
        <f t="shared" ca="1" si="80"/>
        <v>3.6167640872136158</v>
      </c>
      <c r="AC14" s="27">
        <f t="shared" ca="1" si="81"/>
        <v>1.7536947781272889</v>
      </c>
      <c r="AD14" s="27">
        <f t="shared" ca="1" si="82"/>
        <v>5.2989799417315764</v>
      </c>
      <c r="AE14" s="27">
        <f t="shared" ca="1" si="83"/>
        <v>10.135350523470713</v>
      </c>
      <c r="AF14" s="27">
        <f t="shared" ca="1" si="84"/>
        <v>2.6494899708657882</v>
      </c>
      <c r="AG14" s="27">
        <f t="shared" ca="1" si="85"/>
        <v>2.8368591999117911</v>
      </c>
      <c r="AH14" s="27">
        <f t="shared" ca="1" si="86"/>
        <v>12.896988217971034</v>
      </c>
      <c r="AI14" s="27">
        <f t="shared" ca="1" si="87"/>
        <v>5.8036446980869645</v>
      </c>
      <c r="AJ14" s="27">
        <f t="shared" ca="1" si="88"/>
        <v>1.2305337308708288</v>
      </c>
      <c r="AK14" s="27">
        <f t="shared" ca="1" si="89"/>
        <v>9.4776576871380076</v>
      </c>
      <c r="AL14" s="27">
        <f t="shared" ca="1" si="90"/>
        <v>10.569922952554521</v>
      </c>
      <c r="AM14" s="27">
        <f t="shared" ca="1" si="91"/>
        <v>9.9250735416559674</v>
      </c>
      <c r="AN14" s="27">
        <f t="shared" ca="1" si="92"/>
        <v>2.6917837308708288</v>
      </c>
      <c r="AO14" s="27">
        <f t="shared" ca="1" si="93"/>
        <v>1.7513180508431061</v>
      </c>
      <c r="AP14" s="27">
        <f t="shared" ca="1" si="94"/>
        <v>3.7849856726654121</v>
      </c>
      <c r="AQ14" s="27">
        <f t="shared" ca="1" si="95"/>
        <v>8.3269684798639059</v>
      </c>
      <c r="AR14" s="27">
        <f t="shared" ca="1" si="96"/>
        <v>1.892492836332706</v>
      </c>
      <c r="AS14" s="27">
        <f t="shared" ca="1" si="97"/>
        <v>6.9558313888746248</v>
      </c>
      <c r="AT14" s="27">
        <f t="shared" ca="1" si="98"/>
        <v>1.3674005090611243</v>
      </c>
      <c r="AU14" s="27">
        <f t="shared" ca="1" si="99"/>
        <v>3.0127103781146873</v>
      </c>
      <c r="AV14" s="27">
        <f t="shared" ca="1" si="100"/>
        <v>0.68370025453056216</v>
      </c>
      <c r="AW14" s="27">
        <f t="shared" ca="1" si="101"/>
        <v>2.6494899708657882</v>
      </c>
      <c r="AX14" s="27">
        <f t="shared" ca="1" si="102"/>
        <v>5.607386181726536</v>
      </c>
      <c r="AY14" s="27">
        <f t="shared" ca="1" si="103"/>
        <v>1.3247449854328941</v>
      </c>
      <c r="AZ14" s="27">
        <f t="shared" ca="1" si="104"/>
        <v>7.3684654543163406</v>
      </c>
      <c r="BA14" s="27">
        <f t="shared" ca="1" si="105"/>
        <v>2.6611717599420341</v>
      </c>
      <c r="BB14" s="27">
        <f t="shared" ca="1" si="106"/>
        <v>5.7116744653283043</v>
      </c>
      <c r="BC14" s="27">
        <f t="shared" ca="1" si="107"/>
        <v>1.3305858799710171</v>
      </c>
      <c r="BD14" s="27">
        <f t="shared" ca="1" si="108"/>
        <v>4.0793734472060548</v>
      </c>
      <c r="BE14" s="27">
        <f t="shared" ca="1" si="109"/>
        <v>4.8784259781020864</v>
      </c>
      <c r="BF14" s="27">
        <f t="shared" ca="1" si="110"/>
        <v>6.4916180652526965</v>
      </c>
      <c r="BG14" s="27">
        <f t="shared" ca="1" si="111"/>
        <v>12.565315788887226</v>
      </c>
      <c r="BH14" s="27">
        <f t="shared" ca="1" si="112"/>
        <v>2.5349501744902381</v>
      </c>
      <c r="BI14" s="27">
        <f t="shared" ca="1" si="113"/>
        <v>6.7989557453434246</v>
      </c>
      <c r="BJ14" s="27">
        <f t="shared" ca="1" si="114"/>
        <v>3.7008748799395139</v>
      </c>
      <c r="BK14" s="27">
        <f t="shared" ca="1" si="115"/>
        <v>2.8073853380945257</v>
      </c>
      <c r="BL14" s="27">
        <f t="shared" ca="1" si="116"/>
        <v>12.961938807072482</v>
      </c>
      <c r="BM14" s="27">
        <f t="shared" ca="1" si="117"/>
        <v>0.54696020362444964</v>
      </c>
      <c r="BN14" s="27">
        <f t="shared" ca="1" si="118"/>
        <v>2.5233237817769409</v>
      </c>
      <c r="BO14" s="27">
        <f t="shared" ca="1" si="119"/>
        <v>0.95325565089351116</v>
      </c>
      <c r="BP14" s="27">
        <f t="shared" ca="1" si="120"/>
        <v>2.2473819635664838</v>
      </c>
      <c r="BQ14" s="27">
        <f t="shared" ca="1" si="121"/>
        <v>19.126746574250813</v>
      </c>
      <c r="BR14" s="27">
        <f t="shared" ca="1" si="122"/>
        <v>1.4199928363327059</v>
      </c>
      <c r="BS14" s="27">
        <f t="shared" ca="1" si="123"/>
        <v>3.9812441890258401</v>
      </c>
      <c r="BT14" s="27">
        <f t="shared" ca="1" si="124"/>
        <v>3.4205055708531868</v>
      </c>
      <c r="BU14" s="27">
        <f t="shared" ca="1" si="125"/>
        <v>4.6495017016736107</v>
      </c>
      <c r="BV14" s="27">
        <f t="shared" ca="1" si="126"/>
        <v>13.345226581613122</v>
      </c>
      <c r="BW14" s="27">
        <f t="shared" ca="1" si="127"/>
        <v>1.5567328872388182</v>
      </c>
      <c r="BX14" s="27">
        <f t="shared" ca="1" si="128"/>
        <v>2.9915969744524347</v>
      </c>
      <c r="BY14" s="27">
        <f t="shared" ca="1" si="129"/>
        <v>6.2357205016988138</v>
      </c>
      <c r="BZ14" s="27">
        <f t="shared" ca="1" si="130"/>
        <v>11.610592101560199</v>
      </c>
      <c r="CA14" s="27">
        <f t="shared" ca="1" si="131"/>
        <v>6.2357205016988138</v>
      </c>
      <c r="CB14" s="27">
        <f t="shared" ca="1" si="132"/>
        <v>7.6866039780390807</v>
      </c>
      <c r="CC14" s="27">
        <f t="shared" ca="1" si="133"/>
        <v>13.999779206959069</v>
      </c>
      <c r="CD14" s="27">
        <f t="shared" ca="1" si="134"/>
        <v>7.6866039780390807</v>
      </c>
      <c r="CE14" s="27">
        <f t="shared" ca="1" si="135"/>
        <v>1.8421163635790851</v>
      </c>
    </row>
    <row r="15" spans="1:83" x14ac:dyDescent="0.25">
      <c r="A15" t="str">
        <f>Plantilla!D16</f>
        <v>Julian Gräbitz</v>
      </c>
      <c r="B15">
        <f>Plantilla!E16</f>
        <v>26</v>
      </c>
      <c r="C15" s="25">
        <f ca="1">Plantilla!F16</f>
        <v>9</v>
      </c>
      <c r="D15" s="42" t="str">
        <f>Plantilla!G16</f>
        <v>RAP</v>
      </c>
      <c r="E15" s="23">
        <f>Plantilla!M16</f>
        <v>43744</v>
      </c>
      <c r="F15" s="37">
        <f>Plantilla!Q16</f>
        <v>5</v>
      </c>
      <c r="G15" s="38">
        <f t="shared" si="68"/>
        <v>0.84515425472851657</v>
      </c>
      <c r="H15" s="38">
        <f t="shared" si="69"/>
        <v>0.92504826128926143</v>
      </c>
      <c r="I15" s="104">
        <f ca="1">Plantilla!N16</f>
        <v>1</v>
      </c>
      <c r="J15" s="29">
        <f>Plantilla!I16</f>
        <v>4.7</v>
      </c>
      <c r="K15" s="36">
        <f>Plantilla!X16</f>
        <v>0</v>
      </c>
      <c r="L15" s="36">
        <f>Plantilla!Y16</f>
        <v>12.681818181818182</v>
      </c>
      <c r="M15" s="36">
        <f>Plantilla!Z16</f>
        <v>9.1428571428571423</v>
      </c>
      <c r="N15" s="36">
        <f>Plantilla!AA16</f>
        <v>4</v>
      </c>
      <c r="O15" s="36">
        <f>Plantilla!AB16</f>
        <v>8.8333333333333339</v>
      </c>
      <c r="P15" s="36">
        <f>Plantilla!AC16</f>
        <v>4</v>
      </c>
      <c r="Q15" s="36">
        <f>Plantilla!AD16</f>
        <v>20</v>
      </c>
      <c r="R15" s="36">
        <f t="shared" si="70"/>
        <v>4.1685606060606064</v>
      </c>
      <c r="S15" s="36">
        <f t="shared" si="71"/>
        <v>0.8</v>
      </c>
      <c r="T15" s="36">
        <f t="shared" si="72"/>
        <v>1.1072727272727274</v>
      </c>
      <c r="U15" s="36">
        <f t="shared" ca="1" si="73"/>
        <v>18.505607834936573</v>
      </c>
      <c r="V15" s="36">
        <f t="shared" ca="1" si="74"/>
        <v>20.254977426940719</v>
      </c>
      <c r="W15" s="27">
        <f t="shared" ca="1" si="75"/>
        <v>5.1555037248189937</v>
      </c>
      <c r="X15" s="27">
        <f t="shared" ca="1" si="76"/>
        <v>7.8376771733994097</v>
      </c>
      <c r="Y15" s="27">
        <f t="shared" ca="1" si="77"/>
        <v>5.1555037248189937</v>
      </c>
      <c r="Z15" s="27">
        <f t="shared" ca="1" si="78"/>
        <v>7.5222215080779558</v>
      </c>
      <c r="AA15" s="27">
        <f t="shared" ca="1" si="79"/>
        <v>14.577948659065806</v>
      </c>
      <c r="AB15" s="27">
        <f t="shared" ca="1" si="80"/>
        <v>3.7611107540389779</v>
      </c>
      <c r="AC15" s="27">
        <f t="shared" ca="1" si="81"/>
        <v>2.6272790535849344</v>
      </c>
      <c r="AD15" s="27">
        <f t="shared" ca="1" si="82"/>
        <v>5.5104645931268745</v>
      </c>
      <c r="AE15" s="27">
        <f t="shared" ca="1" si="83"/>
        <v>10.539856880504576</v>
      </c>
      <c r="AF15" s="27">
        <f t="shared" ca="1" si="84"/>
        <v>2.7552322965634373</v>
      </c>
      <c r="AG15" s="27">
        <f t="shared" ca="1" si="85"/>
        <v>4.2500102337403352</v>
      </c>
      <c r="AH15" s="27">
        <f t="shared" ca="1" si="86"/>
        <v>13.411712766340541</v>
      </c>
      <c r="AI15" s="27">
        <f t="shared" ca="1" si="87"/>
        <v>6.0352707448532437</v>
      </c>
      <c r="AJ15" s="27">
        <f t="shared" ca="1" si="88"/>
        <v>1.8435109325574961</v>
      </c>
      <c r="AK15" s="27">
        <f t="shared" ca="1" si="89"/>
        <v>3.4669247206216021</v>
      </c>
      <c r="AL15" s="27">
        <f t="shared" ca="1" si="90"/>
        <v>10.991773288935617</v>
      </c>
      <c r="AM15" s="27">
        <f t="shared" ca="1" si="91"/>
        <v>10.32118765061859</v>
      </c>
      <c r="AN15" s="27">
        <f t="shared" ca="1" si="92"/>
        <v>3.6566537897003535</v>
      </c>
      <c r="AO15" s="27">
        <f t="shared" ca="1" si="93"/>
        <v>1.74663103199277</v>
      </c>
      <c r="AP15" s="27">
        <f t="shared" ca="1" si="94"/>
        <v>3.9360461379477676</v>
      </c>
      <c r="AQ15" s="27">
        <f t="shared" ca="1" si="95"/>
        <v>8.6593015034850875</v>
      </c>
      <c r="AR15" s="27">
        <f t="shared" ca="1" si="96"/>
        <v>1.9680230689738838</v>
      </c>
      <c r="AS15" s="27">
        <f t="shared" ca="1" si="97"/>
        <v>10.420804313378898</v>
      </c>
      <c r="AT15" s="27">
        <f t="shared" ca="1" si="98"/>
        <v>1.3948302953755245</v>
      </c>
      <c r="AU15" s="27">
        <f t="shared" ca="1" si="99"/>
        <v>2.3075662298335535</v>
      </c>
      <c r="AV15" s="27">
        <f t="shared" ca="1" si="100"/>
        <v>0.69741514768776225</v>
      </c>
      <c r="AW15" s="27">
        <f t="shared" ca="1" si="101"/>
        <v>2.7552322965634373</v>
      </c>
      <c r="AX15" s="27">
        <f t="shared" ca="1" si="102"/>
        <v>5.8311794636263228</v>
      </c>
      <c r="AY15" s="27">
        <f t="shared" ca="1" si="103"/>
        <v>1.3776161482817186</v>
      </c>
      <c r="AZ15" s="27">
        <f t="shared" ca="1" si="104"/>
        <v>11.038987620104766</v>
      </c>
      <c r="BA15" s="27">
        <f t="shared" ca="1" si="105"/>
        <v>2.7145543440769826</v>
      </c>
      <c r="BB15" s="27">
        <f t="shared" ca="1" si="106"/>
        <v>4.8969345596301075</v>
      </c>
      <c r="BC15" s="27">
        <f t="shared" ca="1" si="107"/>
        <v>1.3572771720384913</v>
      </c>
      <c r="BD15" s="27">
        <f t="shared" ca="1" si="108"/>
        <v>4.2421830597881494</v>
      </c>
      <c r="BE15" s="27">
        <f t="shared" ca="1" si="109"/>
        <v>5.0731261333548998</v>
      </c>
      <c r="BF15" s="27">
        <f t="shared" ca="1" si="110"/>
        <v>9.7253480933122987</v>
      </c>
      <c r="BG15" s="27">
        <f t="shared" ca="1" si="111"/>
        <v>6.7641599942731379</v>
      </c>
      <c r="BH15" s="27">
        <f t="shared" ca="1" si="112"/>
        <v>2.5858007783500105</v>
      </c>
      <c r="BI15" s="27">
        <f t="shared" ca="1" si="113"/>
        <v>7.0703050996469159</v>
      </c>
      <c r="BJ15" s="27">
        <f t="shared" ca="1" si="114"/>
        <v>3.8485784459933727</v>
      </c>
      <c r="BK15" s="27">
        <f t="shared" ca="1" si="115"/>
        <v>4.2058542832599164</v>
      </c>
      <c r="BL15" s="27">
        <f t="shared" ca="1" si="116"/>
        <v>6.1247180371144232</v>
      </c>
      <c r="BM15" s="27">
        <f t="shared" ca="1" si="117"/>
        <v>0.55793211815020982</v>
      </c>
      <c r="BN15" s="27">
        <f t="shared" ca="1" si="118"/>
        <v>2.6240307586318448</v>
      </c>
      <c r="BO15" s="27">
        <f t="shared" ca="1" si="119"/>
        <v>0.9913005088164748</v>
      </c>
      <c r="BP15" s="27">
        <f t="shared" ca="1" si="120"/>
        <v>3.3668912241319537</v>
      </c>
      <c r="BQ15" s="27">
        <f t="shared" ca="1" si="121"/>
        <v>8.9647571270737778</v>
      </c>
      <c r="BR15" s="27">
        <f t="shared" ca="1" si="122"/>
        <v>1.4484776144284295</v>
      </c>
      <c r="BS15" s="27">
        <f t="shared" ca="1" si="123"/>
        <v>4.140137419174688</v>
      </c>
      <c r="BT15" s="27">
        <f t="shared" ca="1" si="124"/>
        <v>3.5570194728120565</v>
      </c>
      <c r="BU15" s="27">
        <f t="shared" ca="1" si="125"/>
        <v>6.965601188286108</v>
      </c>
      <c r="BV15" s="27">
        <f t="shared" ca="1" si="126"/>
        <v>6.2098701104699554</v>
      </c>
      <c r="BW15" s="27">
        <f t="shared" ca="1" si="127"/>
        <v>1.5879606439659817</v>
      </c>
      <c r="BX15" s="27">
        <f t="shared" ca="1" si="128"/>
        <v>4.4818289737625356</v>
      </c>
      <c r="BY15" s="27">
        <f t="shared" ca="1" si="129"/>
        <v>4.2802173119793459</v>
      </c>
      <c r="BZ15" s="27">
        <f t="shared" ca="1" si="130"/>
        <v>9.2635429173808248</v>
      </c>
      <c r="CA15" s="27">
        <f t="shared" ca="1" si="131"/>
        <v>4.2802173119793459</v>
      </c>
      <c r="CB15" s="27">
        <f t="shared" ca="1" si="132"/>
        <v>4.3596226206586026</v>
      </c>
      <c r="CC15" s="27">
        <f t="shared" ca="1" si="133"/>
        <v>9.8553026233519958</v>
      </c>
      <c r="CD15" s="27">
        <f t="shared" ca="1" si="134"/>
        <v>4.3596226206586026</v>
      </c>
      <c r="CE15" s="27">
        <f t="shared" ca="1" si="135"/>
        <v>2.7597469050261916</v>
      </c>
    </row>
    <row r="16" spans="1:83" x14ac:dyDescent="0.25">
      <c r="A16" t="str">
        <f>Plantilla!D17</f>
        <v>Ryan Clarke</v>
      </c>
      <c r="B16">
        <f>Plantilla!E17</f>
        <v>30</v>
      </c>
      <c r="C16" s="25">
        <f ca="1">Plantilla!F17</f>
        <v>87</v>
      </c>
      <c r="D16" s="42" t="str">
        <f>Plantilla!G17</f>
        <v>CAB</v>
      </c>
      <c r="E16" s="23">
        <f>Plantilla!M17</f>
        <v>43415</v>
      </c>
      <c r="F16" s="37">
        <f>Plantilla!Q17</f>
        <v>7</v>
      </c>
      <c r="G16" s="38">
        <f t="shared" si="68"/>
        <v>1</v>
      </c>
      <c r="H16" s="38">
        <f t="shared" si="69"/>
        <v>1</v>
      </c>
      <c r="I16" s="104">
        <f ca="1">Plantilla!N17</f>
        <v>1</v>
      </c>
      <c r="J16" s="29">
        <f>Plantilla!I17</f>
        <v>8.1</v>
      </c>
      <c r="K16" s="36">
        <f>Plantilla!X17</f>
        <v>0</v>
      </c>
      <c r="L16" s="36">
        <f>Plantilla!Y17</f>
        <v>11</v>
      </c>
      <c r="M16" s="36">
        <f>Plantilla!Z17</f>
        <v>10</v>
      </c>
      <c r="N16" s="36">
        <f>Plantilla!AA17</f>
        <v>5</v>
      </c>
      <c r="O16" s="36">
        <f>Plantilla!AB17</f>
        <v>13</v>
      </c>
      <c r="P16" s="36">
        <f>Plantilla!AC17</f>
        <v>5</v>
      </c>
      <c r="Q16" s="36">
        <f>Plantilla!AD17</f>
        <v>15</v>
      </c>
      <c r="R16" s="36">
        <f t="shared" si="70"/>
        <v>5</v>
      </c>
      <c r="S16" s="36">
        <f t="shared" si="71"/>
        <v>0.7</v>
      </c>
      <c r="T16" s="36">
        <f t="shared" si="72"/>
        <v>0.89</v>
      </c>
      <c r="U16" s="36">
        <f t="shared" ca="1" si="73"/>
        <v>17.211313358504867</v>
      </c>
      <c r="V16" s="36">
        <f t="shared" ca="1" si="74"/>
        <v>17.211313358504867</v>
      </c>
      <c r="W16" s="27">
        <f t="shared" ca="1" si="75"/>
        <v>4.9664765619747495</v>
      </c>
      <c r="X16" s="27">
        <f t="shared" ca="1" si="76"/>
        <v>7.5298055458297828</v>
      </c>
      <c r="Y16" s="27">
        <f t="shared" ca="1" si="77"/>
        <v>4.9664765619747495</v>
      </c>
      <c r="Z16" s="27">
        <f t="shared" ca="1" si="78"/>
        <v>6.8170376929885119</v>
      </c>
      <c r="AA16" s="27">
        <f t="shared" ca="1" si="79"/>
        <v>13.211313358504867</v>
      </c>
      <c r="AB16" s="27">
        <f t="shared" ca="1" si="80"/>
        <v>3.408518846494256</v>
      </c>
      <c r="AC16" s="27">
        <f t="shared" ca="1" si="81"/>
        <v>2.9062925793241581</v>
      </c>
      <c r="AD16" s="27">
        <f t="shared" ca="1" si="82"/>
        <v>4.9938764495148398</v>
      </c>
      <c r="AE16" s="27">
        <f t="shared" ca="1" si="83"/>
        <v>9.5517795581990192</v>
      </c>
      <c r="AF16" s="27">
        <f t="shared" ca="1" si="84"/>
        <v>2.4969382247574199</v>
      </c>
      <c r="AG16" s="27">
        <f t="shared" ca="1" si="85"/>
        <v>4.7013556430243737</v>
      </c>
      <c r="AH16" s="27">
        <f t="shared" ca="1" si="86"/>
        <v>12.154408289824479</v>
      </c>
      <c r="AI16" s="27">
        <f t="shared" ca="1" si="87"/>
        <v>5.4694837304210147</v>
      </c>
      <c r="AJ16" s="27">
        <f t="shared" ca="1" si="88"/>
        <v>2.0392893308703131</v>
      </c>
      <c r="AK16" s="27">
        <f t="shared" ca="1" si="89"/>
        <v>4.2402522548008612</v>
      </c>
      <c r="AL16" s="27">
        <f t="shared" ca="1" si="90"/>
        <v>9.9613302723126704</v>
      </c>
      <c r="AM16" s="27">
        <f t="shared" ca="1" si="91"/>
        <v>9.3536098578214446</v>
      </c>
      <c r="AN16" s="27">
        <f t="shared" ca="1" si="92"/>
        <v>2.874289330870313</v>
      </c>
      <c r="AO16" s="27">
        <f t="shared" ca="1" si="93"/>
        <v>2.0768582472494015</v>
      </c>
      <c r="AP16" s="27">
        <f t="shared" ca="1" si="94"/>
        <v>3.5670546067963143</v>
      </c>
      <c r="AQ16" s="27">
        <f t="shared" ca="1" si="95"/>
        <v>7.8475201349518908</v>
      </c>
      <c r="AR16" s="27">
        <f t="shared" ca="1" si="96"/>
        <v>1.7835273033981571</v>
      </c>
      <c r="AS16" s="27">
        <f t="shared" ca="1" si="97"/>
        <v>11.527479810428593</v>
      </c>
      <c r="AT16" s="27">
        <f t="shared" ca="1" si="98"/>
        <v>1.9774707366056328</v>
      </c>
      <c r="AU16" s="27">
        <f t="shared" ca="1" si="99"/>
        <v>3.0729148140419258</v>
      </c>
      <c r="AV16" s="27">
        <f t="shared" ca="1" si="100"/>
        <v>0.98873536830281639</v>
      </c>
      <c r="AW16" s="27">
        <f t="shared" ca="1" si="101"/>
        <v>2.4969382247574199</v>
      </c>
      <c r="AX16" s="27">
        <f t="shared" ca="1" si="102"/>
        <v>5.2845253434019472</v>
      </c>
      <c r="AY16" s="27">
        <f t="shared" ca="1" si="103"/>
        <v>1.2484691123787099</v>
      </c>
      <c r="AZ16" s="27">
        <f t="shared" ca="1" si="104"/>
        <v>12.211313358504867</v>
      </c>
      <c r="BA16" s="27">
        <f t="shared" ca="1" si="105"/>
        <v>3.8484622797017316</v>
      </c>
      <c r="BB16" s="27">
        <f t="shared" ca="1" si="106"/>
        <v>6.7014336605361819</v>
      </c>
      <c r="BC16" s="27">
        <f t="shared" ca="1" si="107"/>
        <v>1.9242311398508658</v>
      </c>
      <c r="BD16" s="27">
        <f t="shared" ca="1" si="108"/>
        <v>3.8444921873249163</v>
      </c>
      <c r="BE16" s="27">
        <f t="shared" ca="1" si="109"/>
        <v>4.5975370487596932</v>
      </c>
      <c r="BF16" s="27">
        <f t="shared" ca="1" si="110"/>
        <v>10.758167068842788</v>
      </c>
      <c r="BG16" s="27">
        <f t="shared" ca="1" si="111"/>
        <v>8.9308575757108262</v>
      </c>
      <c r="BH16" s="27">
        <f t="shared" ca="1" si="112"/>
        <v>3.6659265193996728</v>
      </c>
      <c r="BI16" s="27">
        <f t="shared" ca="1" si="113"/>
        <v>6.4074869788748607</v>
      </c>
      <c r="BJ16" s="27">
        <f t="shared" ca="1" si="114"/>
        <v>3.4877867266452851</v>
      </c>
      <c r="BK16" s="27">
        <f t="shared" ca="1" si="115"/>
        <v>4.6525103895903541</v>
      </c>
      <c r="BL16" s="27">
        <f t="shared" ca="1" si="116"/>
        <v>7.9106878753332532</v>
      </c>
      <c r="BM16" s="27">
        <f t="shared" ca="1" si="117"/>
        <v>0.79098829464225306</v>
      </c>
      <c r="BN16" s="27">
        <f t="shared" ca="1" si="118"/>
        <v>2.3780364045308762</v>
      </c>
      <c r="BO16" s="27">
        <f t="shared" ca="1" si="119"/>
        <v>0.89836930837833107</v>
      </c>
      <c r="BP16" s="27">
        <f t="shared" ca="1" si="120"/>
        <v>3.7244505743439844</v>
      </c>
      <c r="BQ16" s="27">
        <f t="shared" ca="1" si="121"/>
        <v>11.561748979037258</v>
      </c>
      <c r="BR16" s="27">
        <f t="shared" ca="1" si="122"/>
        <v>2.0535273033981571</v>
      </c>
      <c r="BS16" s="27">
        <f t="shared" ca="1" si="123"/>
        <v>3.7520129938153821</v>
      </c>
      <c r="BT16" s="27">
        <f t="shared" ca="1" si="124"/>
        <v>3.2235604594751877</v>
      </c>
      <c r="BU16" s="27">
        <f t="shared" ca="1" si="125"/>
        <v>7.7053387292165709</v>
      </c>
      <c r="BV16" s="27">
        <f t="shared" ca="1" si="126"/>
        <v>7.9981254558618549</v>
      </c>
      <c r="BW16" s="27">
        <f t="shared" ca="1" si="127"/>
        <v>2.2512743770587202</v>
      </c>
      <c r="BX16" s="27">
        <f t="shared" ca="1" si="128"/>
        <v>4.9577932235529767</v>
      </c>
      <c r="BY16" s="27">
        <f t="shared" ca="1" si="129"/>
        <v>5.7570942597810353</v>
      </c>
      <c r="BZ16" s="27">
        <f t="shared" ca="1" si="130"/>
        <v>12.46393884167648</v>
      </c>
      <c r="CA16" s="27">
        <f t="shared" ca="1" si="131"/>
        <v>5.7570942597810353</v>
      </c>
      <c r="CB16" s="27">
        <f t="shared" ca="1" si="132"/>
        <v>5.6286482223485317</v>
      </c>
      <c r="CC16" s="27">
        <f t="shared" ca="1" si="133"/>
        <v>12.824287987793163</v>
      </c>
      <c r="CD16" s="27">
        <f t="shared" ca="1" si="134"/>
        <v>5.6286482223485317</v>
      </c>
      <c r="CE16" s="27">
        <f t="shared" ca="1" si="135"/>
        <v>3.0528283396262168</v>
      </c>
    </row>
    <row r="17" spans="1:83" x14ac:dyDescent="0.25">
      <c r="A17" t="str">
        <f>Plantilla!D18</f>
        <v>Renato Galeano</v>
      </c>
      <c r="B17">
        <f>Plantilla!E18</f>
        <v>29</v>
      </c>
      <c r="C17" s="25">
        <f ca="1">Plantilla!F18</f>
        <v>14</v>
      </c>
      <c r="D17" s="42" t="str">
        <f>Plantilla!G18</f>
        <v>RAP</v>
      </c>
      <c r="E17" s="23">
        <f>Plantilla!M18</f>
        <v>43687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1</v>
      </c>
      <c r="J17" s="29">
        <f>Plantilla!I18</f>
        <v>7.5</v>
      </c>
      <c r="K17" s="36">
        <f>Plantilla!X18</f>
        <v>0</v>
      </c>
      <c r="L17" s="36">
        <f>Plantilla!Y18</f>
        <v>2</v>
      </c>
      <c r="M17" s="36">
        <f>Plantilla!Z18</f>
        <v>5</v>
      </c>
      <c r="N17" s="36">
        <f>Plantilla!AA18</f>
        <v>8</v>
      </c>
      <c r="O17" s="36">
        <f>Plantilla!AB18</f>
        <v>7</v>
      </c>
      <c r="P17" s="36">
        <f>Plantilla!AC18</f>
        <v>13</v>
      </c>
      <c r="Q17" s="36">
        <f>Plantilla!AD18</f>
        <v>12</v>
      </c>
      <c r="R17" s="36">
        <f t="shared" si="70"/>
        <v>2.375</v>
      </c>
      <c r="S17" s="36">
        <f t="shared" si="71"/>
        <v>1.01</v>
      </c>
      <c r="T17" s="36">
        <f t="shared" si="72"/>
        <v>0.43999999999999995</v>
      </c>
      <c r="U17" s="36">
        <f t="shared" ca="1" si="73"/>
        <v>13.115860371950367</v>
      </c>
      <c r="V17" s="36">
        <f t="shared" ca="1" si="74"/>
        <v>14.156625628673671</v>
      </c>
      <c r="W17" s="27">
        <f t="shared" ca="1" si="75"/>
        <v>2.4435713105879389</v>
      </c>
      <c r="X17" s="27">
        <f t="shared" ca="1" si="76"/>
        <v>3.6472721213849129</v>
      </c>
      <c r="Y17" s="27">
        <f t="shared" ca="1" si="77"/>
        <v>2.4435713105879389</v>
      </c>
      <c r="Z17" s="27">
        <f t="shared" ca="1" si="78"/>
        <v>2.1500421492134896</v>
      </c>
      <c r="AA17" s="27">
        <f t="shared" ca="1" si="79"/>
        <v>4.1667483511889332</v>
      </c>
      <c r="AB17" s="27">
        <f t="shared" ca="1" si="80"/>
        <v>1.0750210746067448</v>
      </c>
      <c r="AC17" s="27">
        <f t="shared" ca="1" si="81"/>
        <v>1.7056861075829661</v>
      </c>
      <c r="AD17" s="27">
        <f t="shared" ca="1" si="82"/>
        <v>1.5750308767494168</v>
      </c>
      <c r="AE17" s="27">
        <f t="shared" ca="1" si="83"/>
        <v>3.0125590579095984</v>
      </c>
      <c r="AF17" s="27">
        <f t="shared" ca="1" si="84"/>
        <v>0.78751543837470839</v>
      </c>
      <c r="AG17" s="27">
        <f t="shared" ca="1" si="85"/>
        <v>2.7591981152077394</v>
      </c>
      <c r="AH17" s="27">
        <f t="shared" ca="1" si="86"/>
        <v>3.8334084830938187</v>
      </c>
      <c r="AI17" s="27">
        <f t="shared" ca="1" si="87"/>
        <v>1.7250338173922182</v>
      </c>
      <c r="AJ17" s="27">
        <f t="shared" ca="1" si="88"/>
        <v>1.1968469746485519</v>
      </c>
      <c r="AK17" s="27">
        <f t="shared" ca="1" si="89"/>
        <v>5.9780480304990933</v>
      </c>
      <c r="AL17" s="27">
        <f t="shared" ca="1" si="90"/>
        <v>3.1417282567964557</v>
      </c>
      <c r="AM17" s="27">
        <f t="shared" ca="1" si="91"/>
        <v>2.9500578326417646</v>
      </c>
      <c r="AN17" s="27">
        <f t="shared" ca="1" si="92"/>
        <v>2.365846974648552</v>
      </c>
      <c r="AO17" s="27">
        <f t="shared" ca="1" si="93"/>
        <v>1.3080235251424126</v>
      </c>
      <c r="AP17" s="27">
        <f t="shared" ca="1" si="94"/>
        <v>1.1250220548210119</v>
      </c>
      <c r="AQ17" s="27">
        <f t="shared" ca="1" si="95"/>
        <v>2.4750485206062263</v>
      </c>
      <c r="AR17" s="27">
        <f t="shared" ca="1" si="96"/>
        <v>0.56251102741050596</v>
      </c>
      <c r="AS17" s="27">
        <f t="shared" ca="1" si="97"/>
        <v>6.7654104435223523</v>
      </c>
      <c r="AT17" s="27">
        <f t="shared" ca="1" si="98"/>
        <v>1.1916772856545614</v>
      </c>
      <c r="AU17" s="27">
        <f t="shared" ca="1" si="99"/>
        <v>3.7238572668983574</v>
      </c>
      <c r="AV17" s="27">
        <f t="shared" ca="1" si="100"/>
        <v>0.59583864282728072</v>
      </c>
      <c r="AW17" s="27">
        <f t="shared" ca="1" si="101"/>
        <v>0.78751543837470839</v>
      </c>
      <c r="AX17" s="27">
        <f t="shared" ca="1" si="102"/>
        <v>1.6666993404755734</v>
      </c>
      <c r="AY17" s="27">
        <f t="shared" ca="1" si="103"/>
        <v>0.39375771918735419</v>
      </c>
      <c r="AZ17" s="27">
        <f t="shared" ca="1" si="104"/>
        <v>7.1667483511889332</v>
      </c>
      <c r="BA17" s="27">
        <f t="shared" ca="1" si="105"/>
        <v>2.3191873328508001</v>
      </c>
      <c r="BB17" s="27">
        <f t="shared" ca="1" si="106"/>
        <v>6.3108783415051022</v>
      </c>
      <c r="BC17" s="27">
        <f t="shared" ca="1" si="107"/>
        <v>1.1595936664254001</v>
      </c>
      <c r="BD17" s="27">
        <f t="shared" ca="1" si="108"/>
        <v>1.2125237701959795</v>
      </c>
      <c r="BE17" s="27">
        <f t="shared" ca="1" si="109"/>
        <v>1.4500284262137486</v>
      </c>
      <c r="BF17" s="27">
        <f t="shared" ca="1" si="110"/>
        <v>6.3139052973974499</v>
      </c>
      <c r="BG17" s="27">
        <f t="shared" ca="1" si="111"/>
        <v>8.7232392842069615</v>
      </c>
      <c r="BH17" s="27">
        <f t="shared" ca="1" si="112"/>
        <v>2.2091863526365332</v>
      </c>
      <c r="BI17" s="27">
        <f t="shared" ca="1" si="113"/>
        <v>2.0208729503266327</v>
      </c>
      <c r="BJ17" s="27">
        <f t="shared" ca="1" si="114"/>
        <v>1.1000215647138785</v>
      </c>
      <c r="BK17" s="27">
        <f t="shared" ca="1" si="115"/>
        <v>2.7305311218029837</v>
      </c>
      <c r="BL17" s="27">
        <f t="shared" ca="1" si="116"/>
        <v>8.6847380589391285</v>
      </c>
      <c r="BM17" s="27">
        <f t="shared" ca="1" si="117"/>
        <v>0.47667091426182456</v>
      </c>
      <c r="BN17" s="27">
        <f t="shared" ca="1" si="118"/>
        <v>0.75001470321400798</v>
      </c>
      <c r="BO17" s="27">
        <f t="shared" ca="1" si="119"/>
        <v>0.28333888788084749</v>
      </c>
      <c r="BP17" s="27">
        <f t="shared" ca="1" si="120"/>
        <v>2.1858582471126247</v>
      </c>
      <c r="BQ17" s="27">
        <f t="shared" ca="1" si="121"/>
        <v>12.788438379628969</v>
      </c>
      <c r="BR17" s="27">
        <f t="shared" ca="1" si="122"/>
        <v>1.2375110274105061</v>
      </c>
      <c r="BS17" s="27">
        <f t="shared" ca="1" si="123"/>
        <v>1.1833565317376569</v>
      </c>
      <c r="BT17" s="27">
        <f t="shared" ca="1" si="124"/>
        <v>1.0166865976900996</v>
      </c>
      <c r="BU17" s="27">
        <f t="shared" ca="1" si="125"/>
        <v>4.5222182096002168</v>
      </c>
      <c r="BV17" s="27">
        <f t="shared" ca="1" si="126"/>
        <v>8.9062397743140949</v>
      </c>
      <c r="BW17" s="27">
        <f t="shared" ca="1" si="127"/>
        <v>1.3566787559759621</v>
      </c>
      <c r="BX17" s="27">
        <f t="shared" ca="1" si="128"/>
        <v>2.9096998305827069</v>
      </c>
      <c r="BY17" s="27">
        <f t="shared" ca="1" si="129"/>
        <v>5.6818758909694349</v>
      </c>
      <c r="BZ17" s="27">
        <f t="shared" ca="1" si="130"/>
        <v>13.819758643438741</v>
      </c>
      <c r="CA17" s="27">
        <f t="shared" ca="1" si="131"/>
        <v>5.6818758909694349</v>
      </c>
      <c r="CB17" s="27">
        <f t="shared" ca="1" si="132"/>
        <v>7.4918842227907056</v>
      </c>
      <c r="CC17" s="27">
        <f t="shared" ca="1" si="133"/>
        <v>18.549278492777653</v>
      </c>
      <c r="CD17" s="27">
        <f t="shared" ca="1" si="134"/>
        <v>7.4918842227907056</v>
      </c>
      <c r="CE17" s="27">
        <f t="shared" ca="1" si="135"/>
        <v>1.7916870877972333</v>
      </c>
    </row>
    <row r="18" spans="1:83" x14ac:dyDescent="0.25">
      <c r="A18" t="str">
        <f>Plantilla!D19</f>
        <v>Meraj Siddiqui</v>
      </c>
      <c r="B18">
        <f>Plantilla!E19</f>
        <v>28</v>
      </c>
      <c r="C18" s="25">
        <f ca="1">Plantilla!F19</f>
        <v>74</v>
      </c>
      <c r="D18" s="42" t="str">
        <f>Plantilla!G19</f>
        <v>RAP</v>
      </c>
      <c r="E18" s="23">
        <f>Plantilla!M19</f>
        <v>44069</v>
      </c>
      <c r="F18" s="37">
        <f>Plantilla!Q19</f>
        <v>5</v>
      </c>
      <c r="G18" s="38">
        <f t="shared" si="68"/>
        <v>0.84515425472851657</v>
      </c>
      <c r="H18" s="38">
        <f t="shared" si="69"/>
        <v>0.92504826128926143</v>
      </c>
      <c r="I18" s="104">
        <f ca="1">Plantilla!N19</f>
        <v>0.13081718674960124</v>
      </c>
      <c r="J18" s="29">
        <f>Plantilla!I19</f>
        <v>13.2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8</v>
      </c>
      <c r="R18" s="36">
        <f t="shared" si="70"/>
        <v>3.25</v>
      </c>
      <c r="S18" s="36">
        <f t="shared" si="71"/>
        <v>0.79</v>
      </c>
      <c r="T18" s="36">
        <f t="shared" si="72"/>
        <v>0.27999999999999997</v>
      </c>
      <c r="U18" s="36">
        <f t="shared" ca="1" si="73"/>
        <v>8.1345385073964849</v>
      </c>
      <c r="V18" s="36">
        <f t="shared" ca="1" si="74"/>
        <v>8.9035115904076196</v>
      </c>
      <c r="W18" s="27">
        <f t="shared" ca="1" si="75"/>
        <v>1.6945514599560112</v>
      </c>
      <c r="X18" s="27">
        <f t="shared" ca="1" si="76"/>
        <v>2.5227662483427382</v>
      </c>
      <c r="Y18" s="27">
        <f t="shared" ca="1" si="77"/>
        <v>1.6945514599560112</v>
      </c>
      <c r="Z18" s="27">
        <f t="shared" ca="1" si="78"/>
        <v>1.3544565330324188</v>
      </c>
      <c r="AA18" s="27">
        <f t="shared" ca="1" si="79"/>
        <v>2.6249157616907342</v>
      </c>
      <c r="AB18" s="27">
        <f t="shared" ca="1" si="80"/>
        <v>0.67722826651620938</v>
      </c>
      <c r="AC18" s="27">
        <f t="shared" ca="1" si="81"/>
        <v>2.5287299512823944</v>
      </c>
      <c r="AD18" s="27">
        <f t="shared" ca="1" si="82"/>
        <v>0.99221815791909751</v>
      </c>
      <c r="AE18" s="27">
        <f t="shared" ca="1" si="83"/>
        <v>1.8978140957024008</v>
      </c>
      <c r="AF18" s="27">
        <f t="shared" ca="1" si="84"/>
        <v>0.49610907895954875</v>
      </c>
      <c r="AG18" s="27">
        <f t="shared" ca="1" si="85"/>
        <v>4.0905925682509325</v>
      </c>
      <c r="AH18" s="27">
        <f t="shared" ca="1" si="86"/>
        <v>2.4149225007554755</v>
      </c>
      <c r="AI18" s="27">
        <f t="shared" ca="1" si="87"/>
        <v>1.0867151253399638</v>
      </c>
      <c r="AJ18" s="27">
        <f t="shared" ca="1" si="88"/>
        <v>1.7743609322023526</v>
      </c>
      <c r="AK18" s="27">
        <f t="shared" ca="1" si="89"/>
        <v>9.1874504678741502</v>
      </c>
      <c r="AL18" s="27">
        <f t="shared" ca="1" si="90"/>
        <v>1.9791864843148135</v>
      </c>
      <c r="AM18" s="27">
        <f t="shared" ca="1" si="91"/>
        <v>1.8584403592770398</v>
      </c>
      <c r="AN18" s="27">
        <f t="shared" ca="1" si="92"/>
        <v>1.6073609322023525</v>
      </c>
      <c r="AO18" s="27">
        <f t="shared" ca="1" si="93"/>
        <v>1.4039757393669314</v>
      </c>
      <c r="AP18" s="27">
        <f t="shared" ca="1" si="94"/>
        <v>0.7087272556564983</v>
      </c>
      <c r="AQ18" s="27">
        <f t="shared" ca="1" si="95"/>
        <v>1.559199962444296</v>
      </c>
      <c r="AR18" s="27">
        <f t="shared" ca="1" si="96"/>
        <v>0.35436362782824915</v>
      </c>
      <c r="AS18" s="27">
        <f t="shared" ca="1" si="97"/>
        <v>10.029920479036052</v>
      </c>
      <c r="AT18" s="27">
        <f t="shared" ca="1" si="98"/>
        <v>1.6412390490197954</v>
      </c>
      <c r="AU18" s="27">
        <f t="shared" ca="1" si="99"/>
        <v>3.6991003181753848</v>
      </c>
      <c r="AV18" s="27">
        <f t="shared" ca="1" si="100"/>
        <v>0.82061952450989772</v>
      </c>
      <c r="AW18" s="27">
        <f t="shared" ca="1" si="101"/>
        <v>0.49610907895954875</v>
      </c>
      <c r="AX18" s="27">
        <f t="shared" ca="1" si="102"/>
        <v>1.0499663046762937</v>
      </c>
      <c r="AY18" s="27">
        <f t="shared" ca="1" si="103"/>
        <v>0.24805453947977438</v>
      </c>
      <c r="AZ18" s="27">
        <f t="shared" ca="1" si="104"/>
        <v>10.624915761690733</v>
      </c>
      <c r="BA18" s="27">
        <f t="shared" ca="1" si="105"/>
        <v>3.1941036877077558</v>
      </c>
      <c r="BB18" s="27">
        <f t="shared" ca="1" si="106"/>
        <v>6.9563285846915939</v>
      </c>
      <c r="BC18" s="27">
        <f t="shared" ca="1" si="107"/>
        <v>1.5970518438538779</v>
      </c>
      <c r="BD18" s="27">
        <f t="shared" ca="1" si="108"/>
        <v>0.76385048665200361</v>
      </c>
      <c r="BE18" s="27">
        <f t="shared" ca="1" si="109"/>
        <v>0.91347068506837548</v>
      </c>
      <c r="BF18" s="27">
        <f t="shared" ca="1" si="110"/>
        <v>9.3605507860495365</v>
      </c>
      <c r="BG18" s="27">
        <f t="shared" ca="1" si="111"/>
        <v>12.94555011214306</v>
      </c>
      <c r="BH18" s="27">
        <f t="shared" ca="1" si="112"/>
        <v>3.0426046985674664</v>
      </c>
      <c r="BI18" s="27">
        <f t="shared" ca="1" si="113"/>
        <v>1.2730841444200061</v>
      </c>
      <c r="BJ18" s="27">
        <f t="shared" ca="1" si="114"/>
        <v>0.69297776108635389</v>
      </c>
      <c r="BK18" s="27">
        <f t="shared" ca="1" si="115"/>
        <v>4.0480929052041699</v>
      </c>
      <c r="BL18" s="27">
        <f t="shared" ca="1" si="116"/>
        <v>13.053176375717701</v>
      </c>
      <c r="BM18" s="27">
        <f t="shared" ca="1" si="117"/>
        <v>0.65649561960791813</v>
      </c>
      <c r="BN18" s="27">
        <f t="shared" ca="1" si="118"/>
        <v>0.47248483710433214</v>
      </c>
      <c r="BO18" s="27">
        <f t="shared" ca="1" si="119"/>
        <v>0.17849427179496993</v>
      </c>
      <c r="BP18" s="27">
        <f t="shared" ca="1" si="120"/>
        <v>3.2405993073156734</v>
      </c>
      <c r="BQ18" s="27">
        <f t="shared" ca="1" si="121"/>
        <v>19.235641669534282</v>
      </c>
      <c r="BR18" s="27">
        <f t="shared" ca="1" si="122"/>
        <v>1.704363627828249</v>
      </c>
      <c r="BS18" s="27">
        <f t="shared" ca="1" si="123"/>
        <v>0.74547607632016843</v>
      </c>
      <c r="BT18" s="27">
        <f t="shared" ca="1" si="124"/>
        <v>0.64047944585253913</v>
      </c>
      <c r="BU18" s="27">
        <f t="shared" ca="1" si="125"/>
        <v>6.7043218456268532</v>
      </c>
      <c r="BV18" s="27">
        <f t="shared" ca="1" si="126"/>
        <v>13.405299606713205</v>
      </c>
      <c r="BW18" s="27">
        <f t="shared" ca="1" si="127"/>
        <v>1.8684875327302284</v>
      </c>
      <c r="BX18" s="27">
        <f t="shared" ca="1" si="128"/>
        <v>4.3137157992464381</v>
      </c>
      <c r="BY18" s="27">
        <f t="shared" ca="1" si="129"/>
        <v>7.0095811118408715</v>
      </c>
      <c r="BZ18" s="27">
        <f t="shared" ca="1" si="130"/>
        <v>14.215655147663766</v>
      </c>
      <c r="CA18" s="27">
        <f t="shared" ca="1" si="131"/>
        <v>7.0095811118408715</v>
      </c>
      <c r="CB18" s="27">
        <f t="shared" ca="1" si="132"/>
        <v>8.5283225195333259</v>
      </c>
      <c r="CC18" s="27">
        <f t="shared" ca="1" si="133"/>
        <v>17.283509677754616</v>
      </c>
      <c r="CD18" s="27">
        <f t="shared" ca="1" si="134"/>
        <v>8.5283225195333259</v>
      </c>
      <c r="CE18" s="27">
        <f t="shared" ca="1" si="135"/>
        <v>2.6562289404226833</v>
      </c>
    </row>
    <row r="19" spans="1:83" x14ac:dyDescent="0.25">
      <c r="A19" t="str">
        <f>Plantilla!D20</f>
        <v>Rodolfo Rinaldo Paso</v>
      </c>
      <c r="B19">
        <f>Plantilla!E20</f>
        <v>26</v>
      </c>
      <c r="C19" s="25">
        <f ca="1">Plantilla!F20</f>
        <v>58</v>
      </c>
      <c r="D19" s="42" t="str">
        <f>Plantilla!G20</f>
        <v>RAP</v>
      </c>
      <c r="E19" s="23">
        <f>Plantilla!M20</f>
        <v>43590</v>
      </c>
      <c r="F19" s="37">
        <f>Plantilla!Q20</f>
        <v>4</v>
      </c>
      <c r="G19" s="38">
        <f t="shared" si="68"/>
        <v>0.7559289460184544</v>
      </c>
      <c r="H19" s="38">
        <f t="shared" si="69"/>
        <v>0.84430867747355465</v>
      </c>
      <c r="I19" s="104">
        <f ca="1">Plantilla!N20</f>
        <v>1</v>
      </c>
      <c r="J19" s="29">
        <f>Plantilla!I20</f>
        <v>5.0999999999999996</v>
      </c>
      <c r="K19" s="36">
        <f>Plantilla!X20</f>
        <v>0</v>
      </c>
      <c r="L19" s="36">
        <f>Plantilla!Y20</f>
        <v>3</v>
      </c>
      <c r="M19" s="36">
        <f>Plantilla!Z20</f>
        <v>7.2</v>
      </c>
      <c r="N19" s="36">
        <f>Plantilla!AA20</f>
        <v>10</v>
      </c>
      <c r="O19" s="36">
        <f>Plantilla!AB20</f>
        <v>12.333333333333334</v>
      </c>
      <c r="P19" s="36">
        <f>Plantilla!AC20</f>
        <v>14</v>
      </c>
      <c r="Q19" s="36">
        <f>Plantilla!AD20</f>
        <v>11</v>
      </c>
      <c r="R19" s="36">
        <f t="shared" si="70"/>
        <v>3.8333333333333335</v>
      </c>
      <c r="S19" s="36">
        <f t="shared" si="71"/>
        <v>1.03</v>
      </c>
      <c r="T19" s="36">
        <f t="shared" si="72"/>
        <v>0.45</v>
      </c>
      <c r="U19" s="36">
        <f t="shared" ca="1" si="73"/>
        <v>9.7843110554905266</v>
      </c>
      <c r="V19" s="36">
        <f t="shared" ca="1" si="74"/>
        <v>10.928247649150627</v>
      </c>
      <c r="W19" s="27">
        <f t="shared" ca="1" si="75"/>
        <v>2.524611684977998</v>
      </c>
      <c r="X19" s="27">
        <f t="shared" ca="1" si="76"/>
        <v>3.7839641297899145</v>
      </c>
      <c r="Y19" s="27">
        <f t="shared" ca="1" si="77"/>
        <v>2.524611684977998</v>
      </c>
      <c r="Z19" s="27">
        <f t="shared" ca="1" si="78"/>
        <v>2.5508082811553807</v>
      </c>
      <c r="AA19" s="27">
        <f t="shared" ca="1" si="79"/>
        <v>4.9434269014639156</v>
      </c>
      <c r="AB19" s="27">
        <f t="shared" ca="1" si="80"/>
        <v>1.2754041405776904</v>
      </c>
      <c r="AC19" s="27">
        <f t="shared" ca="1" si="81"/>
        <v>2.1761356025484115</v>
      </c>
      <c r="AD19" s="27">
        <f t="shared" ca="1" si="82"/>
        <v>1.8686153687533602</v>
      </c>
      <c r="AE19" s="27">
        <f t="shared" ca="1" si="83"/>
        <v>3.5740976497584107</v>
      </c>
      <c r="AF19" s="27">
        <f t="shared" ca="1" si="84"/>
        <v>0.9343076843766801</v>
      </c>
      <c r="AG19" s="27">
        <f t="shared" ca="1" si="85"/>
        <v>3.5202193570636071</v>
      </c>
      <c r="AH19" s="27">
        <f t="shared" ca="1" si="86"/>
        <v>4.5479527493468028</v>
      </c>
      <c r="AI19" s="27">
        <f t="shared" ca="1" si="87"/>
        <v>2.0465787372060609</v>
      </c>
      <c r="AJ19" s="27">
        <f t="shared" ca="1" si="88"/>
        <v>1.5269522925444738</v>
      </c>
      <c r="AK19" s="27">
        <f t="shared" ca="1" si="89"/>
        <v>7.0227350180607822</v>
      </c>
      <c r="AL19" s="27">
        <f t="shared" ca="1" si="90"/>
        <v>3.7273438837037922</v>
      </c>
      <c r="AM19" s="27">
        <f t="shared" ca="1" si="91"/>
        <v>3.4999462462364521</v>
      </c>
      <c r="AN19" s="27">
        <f t="shared" ca="1" si="92"/>
        <v>2.1615522925444739</v>
      </c>
      <c r="AO19" s="27">
        <f t="shared" ca="1" si="93"/>
        <v>1.6637069476216078</v>
      </c>
      <c r="AP19" s="27">
        <f t="shared" ca="1" si="94"/>
        <v>1.3347252633952573</v>
      </c>
      <c r="AQ19" s="27">
        <f t="shared" ca="1" si="95"/>
        <v>2.9363955794695658</v>
      </c>
      <c r="AR19" s="27">
        <f t="shared" ca="1" si="96"/>
        <v>0.66736263169762866</v>
      </c>
      <c r="AS19" s="27">
        <f t="shared" ca="1" si="97"/>
        <v>8.6313949949819353</v>
      </c>
      <c r="AT19" s="27">
        <f t="shared" ca="1" si="98"/>
        <v>1.8559788305236424</v>
      </c>
      <c r="AU19" s="27">
        <f t="shared" ca="1" si="99"/>
        <v>4.4714240821289275</v>
      </c>
      <c r="AV19" s="27">
        <f t="shared" ca="1" si="100"/>
        <v>0.92798941526182122</v>
      </c>
      <c r="AW19" s="27">
        <f t="shared" ca="1" si="101"/>
        <v>0.9343076843766801</v>
      </c>
      <c r="AX19" s="27">
        <f t="shared" ca="1" si="102"/>
        <v>1.9773707605855664</v>
      </c>
      <c r="AY19" s="27">
        <f t="shared" ca="1" si="103"/>
        <v>0.46715384218834005</v>
      </c>
      <c r="AZ19" s="27">
        <f t="shared" ca="1" si="104"/>
        <v>9.1434269014639149</v>
      </c>
      <c r="BA19" s="27">
        <f t="shared" ca="1" si="105"/>
        <v>3.612020339403704</v>
      </c>
      <c r="BB19" s="27">
        <f t="shared" ca="1" si="106"/>
        <v>8.2164948893732852</v>
      </c>
      <c r="BC19" s="27">
        <f t="shared" ca="1" si="107"/>
        <v>1.806010169701852</v>
      </c>
      <c r="BD19" s="27">
        <f t="shared" ca="1" si="108"/>
        <v>1.4385372283259994</v>
      </c>
      <c r="BE19" s="27">
        <f t="shared" ca="1" si="109"/>
        <v>1.7203125617094426</v>
      </c>
      <c r="BF19" s="27">
        <f t="shared" ca="1" si="110"/>
        <v>8.0553591001897082</v>
      </c>
      <c r="BG19" s="27">
        <f t="shared" ca="1" si="111"/>
        <v>11.352706515401421</v>
      </c>
      <c r="BH19" s="27">
        <f t="shared" ca="1" si="112"/>
        <v>3.440699216586137</v>
      </c>
      <c r="BI19" s="27">
        <f t="shared" ca="1" si="113"/>
        <v>2.3975620472099992</v>
      </c>
      <c r="BJ19" s="27">
        <f t="shared" ca="1" si="114"/>
        <v>1.3050647019864738</v>
      </c>
      <c r="BK19" s="27">
        <f t="shared" ca="1" si="115"/>
        <v>3.4836456494577517</v>
      </c>
      <c r="BL19" s="27">
        <f t="shared" ca="1" si="116"/>
        <v>10.907555111879464</v>
      </c>
      <c r="BM19" s="27">
        <f t="shared" ca="1" si="117"/>
        <v>0.74239153220945697</v>
      </c>
      <c r="BN19" s="27">
        <f t="shared" ca="1" si="118"/>
        <v>0.88981684226350477</v>
      </c>
      <c r="BO19" s="27">
        <f t="shared" ca="1" si="119"/>
        <v>0.33615302929954627</v>
      </c>
      <c r="BP19" s="27">
        <f t="shared" ca="1" si="120"/>
        <v>2.788745204946494</v>
      </c>
      <c r="BQ19" s="27">
        <f t="shared" ca="1" si="121"/>
        <v>16.026580328615928</v>
      </c>
      <c r="BR19" s="27">
        <f t="shared" ca="1" si="122"/>
        <v>1.9273626316976289</v>
      </c>
      <c r="BS19" s="27">
        <f t="shared" ca="1" si="123"/>
        <v>1.4039332400157518</v>
      </c>
      <c r="BT19" s="27">
        <f t="shared" ca="1" si="124"/>
        <v>1.2061961639571954</v>
      </c>
      <c r="BU19" s="27">
        <f t="shared" ca="1" si="125"/>
        <v>5.7695023748237304</v>
      </c>
      <c r="BV19" s="27">
        <f t="shared" ca="1" si="126"/>
        <v>11.139700410143538</v>
      </c>
      <c r="BW19" s="27">
        <f t="shared" ca="1" si="127"/>
        <v>2.112960514749993</v>
      </c>
      <c r="BX19" s="27">
        <f t="shared" ca="1" si="128"/>
        <v>3.7122313219943499</v>
      </c>
      <c r="BY19" s="27">
        <f t="shared" ca="1" si="129"/>
        <v>7.3138587489960338</v>
      </c>
      <c r="BZ19" s="27">
        <f t="shared" ca="1" si="130"/>
        <v>17.047298691048368</v>
      </c>
      <c r="CA19" s="27">
        <f t="shared" ca="1" si="131"/>
        <v>7.3138587489960338</v>
      </c>
      <c r="CB19" s="27">
        <f t="shared" ca="1" si="132"/>
        <v>8.8120882929453526</v>
      </c>
      <c r="CC19" s="27">
        <f t="shared" ca="1" si="133"/>
        <v>21.211551428104102</v>
      </c>
      <c r="CD19" s="27">
        <f t="shared" ca="1" si="134"/>
        <v>8.8120882929453526</v>
      </c>
      <c r="CE19" s="27">
        <f t="shared" ca="1" si="135"/>
        <v>2.2858567253659787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860</v>
      </c>
      <c r="B21" s="47" t="s">
        <v>620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861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862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863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864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865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9" priority="1" operator="greaterThan">
      <formula>7</formula>
    </cfRule>
  </conditionalFormatting>
  <conditionalFormatting sqref="W3:AI19 AK3:AM19 AO3:BD19 BF3:CE19">
    <cfRule type="cellIs" dxfId="8" priority="2" operator="greaterThan">
      <formula>12.5</formula>
    </cfRule>
  </conditionalFormatting>
  <conditionalFormatting sqref="S3:T19">
    <cfRule type="cellIs" dxfId="7" priority="3" operator="greaterThan">
      <formula>0.6</formula>
    </cfRule>
  </conditionalFormatting>
  <conditionalFormatting sqref="R3:R19">
    <cfRule type="cellIs" dxfId="6" priority="4" operator="greaterThan">
      <formula>3.2</formula>
    </cfRule>
  </conditionalFormatting>
  <conditionalFormatting sqref="U3:V19">
    <cfRule type="cellIs" dxfId="5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866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186</v>
      </c>
      <c r="C3" s="13" t="s">
        <v>849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867</v>
      </c>
      <c r="O3" s="108" t="s">
        <v>868</v>
      </c>
      <c r="P3" s="108" t="s">
        <v>869</v>
      </c>
      <c r="Q3" s="108" t="s">
        <v>844</v>
      </c>
      <c r="R3" s="108" t="s">
        <v>870</v>
      </c>
      <c r="S3" s="107" t="s">
        <v>848</v>
      </c>
      <c r="T3" s="112" t="s">
        <v>871</v>
      </c>
      <c r="U3" s="64" t="s">
        <v>584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26</v>
      </c>
      <c r="D4" s="111">
        <f ca="1">Plantilla!F4</f>
        <v>46</v>
      </c>
      <c r="E4" s="36">
        <f>Plantilla!X4</f>
        <v>15</v>
      </c>
      <c r="F4" s="36">
        <f>Plantilla!Y4</f>
        <v>12.454545454545455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15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26</v>
      </c>
      <c r="D5" s="111">
        <f ca="1">Plantilla!F5</f>
        <v>71</v>
      </c>
      <c r="E5" s="36">
        <f>Plantilla!X5</f>
        <v>6</v>
      </c>
      <c r="F5" s="36">
        <f>Plantilla!Y5</f>
        <v>5.4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Plantilla!A6</f>
        <v>#2</v>
      </c>
      <c r="B6" s="109" t="str">
        <f>Plantilla!D6</f>
        <v>Miguel Fernández</v>
      </c>
      <c r="C6" s="18">
        <f>Plantilla!E6</f>
        <v>26</v>
      </c>
      <c r="D6" s="111">
        <f ca="1">Plantilla!F6</f>
        <v>43</v>
      </c>
      <c r="E6" s="36">
        <f>Plantilla!X6</f>
        <v>0</v>
      </c>
      <c r="F6" s="36">
        <f>Plantilla!Y6</f>
        <v>15.488194444444444</v>
      </c>
      <c r="G6" s="36">
        <f>Plantilla!Z6</f>
        <v>6</v>
      </c>
      <c r="H6" s="36">
        <f>Plantilla!AA6</f>
        <v>6.666666666666667</v>
      </c>
      <c r="I6" s="36">
        <f>Plantilla!AB6</f>
        <v>9</v>
      </c>
      <c r="J6" s="36">
        <f>Plantilla!AC6</f>
        <v>2</v>
      </c>
      <c r="K6" s="36">
        <f>Plantilla!AD6</f>
        <v>13.5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Plantilla!A7</f>
        <v>#13</v>
      </c>
      <c r="B7" s="109" t="str">
        <f>Plantilla!D7</f>
        <v>Iván Real Figueroa</v>
      </c>
      <c r="C7" s="18">
        <f>Plantilla!E7</f>
        <v>26</v>
      </c>
      <c r="D7" s="111">
        <f ca="1">Plantilla!F7</f>
        <v>24</v>
      </c>
      <c r="E7" s="36">
        <f>Plantilla!X7</f>
        <v>0</v>
      </c>
      <c r="F7" s="36">
        <f>Plantilla!Y7</f>
        <v>15.581250000000001</v>
      </c>
      <c r="G7" s="36">
        <f>Plantilla!Z7</f>
        <v>5</v>
      </c>
      <c r="H7" s="36">
        <f>Plantilla!AA7</f>
        <v>7.875</v>
      </c>
      <c r="I7" s="36">
        <f>Plantilla!AB7</f>
        <v>8.6666666666666661</v>
      </c>
      <c r="J7" s="36">
        <f>Plantilla!AC7</f>
        <v>1</v>
      </c>
      <c r="K7" s="36">
        <f>Plantilla!AD7</f>
        <v>13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Plantilla!A8</f>
        <v>#4</v>
      </c>
      <c r="B8" s="109" t="str">
        <f>Plantilla!D8</f>
        <v>Berto Abandero</v>
      </c>
      <c r="C8" s="18">
        <f>Plantilla!E8</f>
        <v>26</v>
      </c>
      <c r="D8" s="111">
        <f ca="1">Plantilla!F8</f>
        <v>74</v>
      </c>
      <c r="E8" s="36">
        <f>Plantilla!X8</f>
        <v>0</v>
      </c>
      <c r="F8" s="36">
        <f>Plantilla!Y8</f>
        <v>14.1875</v>
      </c>
      <c r="G8" s="36">
        <f>Plantilla!Z8</f>
        <v>3</v>
      </c>
      <c r="H8" s="36">
        <f>Plantilla!AA8</f>
        <v>8.1111111111111107</v>
      </c>
      <c r="I8" s="36">
        <f>Plantilla!AB8</f>
        <v>11.857142857142858</v>
      </c>
      <c r="J8" s="36">
        <f>Plantilla!AC8</f>
        <v>4</v>
      </c>
      <c r="K8" s="36">
        <f>Plantilla!AD8</f>
        <v>14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Plantilla!A9</f>
        <v>#14</v>
      </c>
      <c r="B9" s="109" t="str">
        <f>Plantilla!D9</f>
        <v>Guillermo Pedrajas</v>
      </c>
      <c r="C9" s="18">
        <f>Plantilla!E9</f>
        <v>26</v>
      </c>
      <c r="D9" s="111">
        <f ca="1">Plantilla!F9</f>
        <v>59</v>
      </c>
      <c r="E9" s="36">
        <f>Plantilla!X9</f>
        <v>0</v>
      </c>
      <c r="F9" s="36">
        <f>Plantilla!Y9</f>
        <v>12.381818181818183</v>
      </c>
      <c r="G9" s="36">
        <f>Plantilla!Z9</f>
        <v>11.111111111111111</v>
      </c>
      <c r="H9" s="36">
        <f>Plantilla!AA9</f>
        <v>4.4000000000000004</v>
      </c>
      <c r="I9" s="36">
        <f>Plantilla!AB9</f>
        <v>11</v>
      </c>
      <c r="J9" s="36">
        <f>Plantilla!AC9</f>
        <v>4</v>
      </c>
      <c r="K9" s="36">
        <f>Plantilla!AD9</f>
        <v>13.5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Plantilla!A10</f>
        <v>#7</v>
      </c>
      <c r="B10" s="109" t="str">
        <f>Plantilla!D10</f>
        <v>Venanci Oset</v>
      </c>
      <c r="C10" s="18">
        <f>Plantilla!E10</f>
        <v>26</v>
      </c>
      <c r="D10" s="111">
        <f ca="1">Plantilla!F10</f>
        <v>102</v>
      </c>
      <c r="E10" s="36">
        <f>Plantilla!X10</f>
        <v>0</v>
      </c>
      <c r="F10" s="36">
        <f>Plantilla!Y10</f>
        <v>14.25</v>
      </c>
      <c r="G10" s="36">
        <f>Plantilla!Z10</f>
        <v>5.125</v>
      </c>
      <c r="H10" s="36">
        <f>Plantilla!AA10</f>
        <v>2</v>
      </c>
      <c r="I10" s="36">
        <f>Plantilla!AB10</f>
        <v>12.111111111111111</v>
      </c>
      <c r="J10" s="36">
        <f>Plantilla!AC10</f>
        <v>6</v>
      </c>
      <c r="K10" s="36">
        <f>Plantilla!AD10</f>
        <v>12.5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Plantilla!A11</f>
        <v>#9</v>
      </c>
      <c r="B11" s="109" t="str">
        <f>Plantilla!D11</f>
        <v>Francesc Añigas</v>
      </c>
      <c r="C11" s="18">
        <f>Plantilla!E11</f>
        <v>26</v>
      </c>
      <c r="D11" s="111">
        <f ca="1">Plantilla!F11</f>
        <v>39</v>
      </c>
      <c r="E11" s="36">
        <f>Plantilla!X11</f>
        <v>0</v>
      </c>
      <c r="F11" s="36">
        <f>Plantilla!Y11</f>
        <v>13.666666666666666</v>
      </c>
      <c r="G11" s="36">
        <f>Plantilla!Z11</f>
        <v>4</v>
      </c>
      <c r="H11" s="36">
        <f>Plantilla!AA11</f>
        <v>13.133333333333333</v>
      </c>
      <c r="I11" s="36">
        <f>Plantilla!AB11</f>
        <v>8</v>
      </c>
      <c r="J11" s="36">
        <f>Plantilla!AC11</f>
        <v>7</v>
      </c>
      <c r="K11" s="36">
        <f>Plantilla!AD11</f>
        <v>14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Plantilla!A12</f>
        <v>#3</v>
      </c>
      <c r="B12" s="109" t="str">
        <f>Plantilla!D12</f>
        <v>Will Duffill</v>
      </c>
      <c r="C12" s="18">
        <f>Plantilla!E12</f>
        <v>26</v>
      </c>
      <c r="D12" s="111">
        <f ca="1">Plantilla!F12</f>
        <v>0</v>
      </c>
      <c r="E12" s="36">
        <f>Plantilla!X12</f>
        <v>0</v>
      </c>
      <c r="F12" s="36">
        <f>Plantilla!Y12</f>
        <v>13.076923076923077</v>
      </c>
      <c r="G12" s="36">
        <f>Plantilla!Z12</f>
        <v>3.1666666666666665</v>
      </c>
      <c r="H12" s="36">
        <f>Plantilla!AA12</f>
        <v>13.866666666666667</v>
      </c>
      <c r="I12" s="36">
        <f>Plantilla!AB12</f>
        <v>9.8333333333333339</v>
      </c>
      <c r="J12" s="36">
        <f>Plantilla!AC12</f>
        <v>7</v>
      </c>
      <c r="K12" s="36">
        <f>Plantilla!AD12</f>
        <v>14.5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Plantilla!A13</f>
        <v>#5</v>
      </c>
      <c r="B13" s="109" t="str">
        <f>Plantilla!D13</f>
        <v>Valeri Gomis</v>
      </c>
      <c r="C13" s="18">
        <f>Plantilla!E13</f>
        <v>26</v>
      </c>
      <c r="D13" s="111">
        <f ca="1">Plantilla!F13</f>
        <v>39</v>
      </c>
      <c r="E13" s="36">
        <f>Plantilla!X13</f>
        <v>0</v>
      </c>
      <c r="F13" s="36">
        <f>Plantilla!Y13</f>
        <v>12.545454545454545</v>
      </c>
      <c r="G13" s="36">
        <f>Plantilla!Z13</f>
        <v>3.1666666666666665</v>
      </c>
      <c r="H13" s="36">
        <f>Plantilla!AA13</f>
        <v>12.714285714285714</v>
      </c>
      <c r="I13" s="36">
        <f>Plantilla!AB13</f>
        <v>9.1666666666666661</v>
      </c>
      <c r="J13" s="36">
        <f>Plantilla!AC13</f>
        <v>7.25</v>
      </c>
      <c r="K13" s="36">
        <f>Plantilla!AD13</f>
        <v>14.5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Plantilla!A14</f>
        <v>#8</v>
      </c>
      <c r="B14" s="109" t="str">
        <f>Plantilla!D14</f>
        <v>Enrique Cubas</v>
      </c>
      <c r="C14" s="18">
        <f>Plantilla!E14</f>
        <v>26</v>
      </c>
      <c r="D14" s="111">
        <f ca="1">Plantilla!F14</f>
        <v>35</v>
      </c>
      <c r="E14" s="36">
        <f>Plantilla!X14</f>
        <v>0</v>
      </c>
      <c r="F14" s="36">
        <f>Plantilla!Y14</f>
        <v>11.6</v>
      </c>
      <c r="G14" s="36">
        <f>Plantilla!Z14</f>
        <v>5.8250000000000002</v>
      </c>
      <c r="H14" s="36">
        <f>Plantilla!AA14</f>
        <v>14.888888888888889</v>
      </c>
      <c r="I14" s="36">
        <f>Plantilla!AB14</f>
        <v>9</v>
      </c>
      <c r="J14" s="36">
        <f>Plantilla!AC14</f>
        <v>7.8</v>
      </c>
      <c r="K14" s="36">
        <f>Plantilla!AD14</f>
        <v>15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Plantilla!A15</f>
        <v>#11</v>
      </c>
      <c r="B15" s="109" t="str">
        <f>Plantilla!D15</f>
        <v>J. G. Peñuela</v>
      </c>
      <c r="C15" s="18">
        <f>Plantilla!E15</f>
        <v>26</v>
      </c>
      <c r="D15" s="111">
        <f ca="1">Plantilla!F15</f>
        <v>35</v>
      </c>
      <c r="E15" s="36">
        <f>Plantilla!X15</f>
        <v>0</v>
      </c>
      <c r="F15" s="36">
        <f>Plantilla!Y15</f>
        <v>11.9</v>
      </c>
      <c r="G15" s="36">
        <f>Plantilla!Z15</f>
        <v>5.25</v>
      </c>
      <c r="H15" s="36">
        <f>Plantilla!AA15</f>
        <v>14</v>
      </c>
      <c r="I15" s="36">
        <f>Plantilla!AB15</f>
        <v>8.4</v>
      </c>
      <c r="J15" s="36">
        <f>Plantilla!AC15</f>
        <v>8</v>
      </c>
      <c r="K15" s="36">
        <f>Plantilla!AD15</f>
        <v>14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Plantilla!A17</f>
        <v>#16</v>
      </c>
      <c r="B17" s="109" t="str">
        <f>Plantilla!D17</f>
        <v>Ryan Clarke</v>
      </c>
      <c r="C17" s="18">
        <f>Plantilla!E17</f>
        <v>30</v>
      </c>
      <c r="D17" s="111">
        <f ca="1">Plantilla!F17</f>
        <v>87</v>
      </c>
      <c r="E17" s="36">
        <f>Plantilla!X17</f>
        <v>0</v>
      </c>
      <c r="F17" s="36">
        <f>Plantilla!Y17</f>
        <v>11</v>
      </c>
      <c r="G17" s="36">
        <f>Plantilla!Z17</f>
        <v>10</v>
      </c>
      <c r="H17" s="36">
        <f>Plantilla!AA17</f>
        <v>5</v>
      </c>
      <c r="I17" s="36">
        <f>Plantilla!AB17</f>
        <v>13</v>
      </c>
      <c r="J17" s="36">
        <f>Plantilla!AC17</f>
        <v>5</v>
      </c>
      <c r="K17" s="36">
        <f>Plantilla!AD17</f>
        <v>15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Renato Galeano</v>
      </c>
      <c r="C19" s="18">
        <f>Plantilla!E18</f>
        <v>29</v>
      </c>
      <c r="D19" s="111">
        <f ca="1">Plantilla!F18</f>
        <v>14</v>
      </c>
      <c r="E19" s="36">
        <f>Plantilla!X18</f>
        <v>0</v>
      </c>
      <c r="F19" s="36">
        <f>Plantilla!Y18</f>
        <v>2</v>
      </c>
      <c r="G19" s="36">
        <f>Plantilla!Z18</f>
        <v>5</v>
      </c>
      <c r="H19" s="36">
        <f>Plantilla!AA18</f>
        <v>8</v>
      </c>
      <c r="I19" s="36">
        <f>Plantilla!AB18</f>
        <v>7</v>
      </c>
      <c r="J19" s="36">
        <f>Plantilla!AC18</f>
        <v>13</v>
      </c>
      <c r="K19" s="36">
        <f>Plantilla!AD18</f>
        <v>12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28</v>
      </c>
      <c r="D20" s="111">
        <f ca="1">Plantilla!F19</f>
        <v>74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8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26</v>
      </c>
      <c r="D21" s="111">
        <f ca="1">Plantilla!F20</f>
        <v>58</v>
      </c>
      <c r="E21" s="36">
        <f>Plantilla!X20</f>
        <v>0</v>
      </c>
      <c r="F21" s="36">
        <f>Plantilla!Y20</f>
        <v>3</v>
      </c>
      <c r="G21" s="36">
        <f>Plantilla!Z20</f>
        <v>7.2</v>
      </c>
      <c r="H21" s="36">
        <f>Plantilla!AA20</f>
        <v>10</v>
      </c>
      <c r="I21" s="36">
        <f>Plantilla!AB20</f>
        <v>12.333333333333334</v>
      </c>
      <c r="J21" s="36">
        <f>Plantilla!AC20</f>
        <v>14</v>
      </c>
      <c r="K21" s="36">
        <f>Plantilla!AD20</f>
        <v>11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31"/>
  <sheetViews>
    <sheetView workbookViewId="0">
      <pane ySplit="2" topLeftCell="A3" activePane="bottomLeft" state="frozen"/>
      <selection pane="bottomLeft" activeCell="A7" sqref="A7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872</v>
      </c>
      <c r="S1" s="41" t="s">
        <v>848</v>
      </c>
      <c r="W1" s="41" t="s">
        <v>180</v>
      </c>
    </row>
    <row r="2" spans="1:37" x14ac:dyDescent="0.25">
      <c r="A2" s="430" t="s">
        <v>186</v>
      </c>
      <c r="B2" s="430" t="s">
        <v>849</v>
      </c>
      <c r="C2" s="431" t="s">
        <v>113</v>
      </c>
      <c r="D2" s="432" t="s">
        <v>468</v>
      </c>
      <c r="E2" s="433" t="s">
        <v>873</v>
      </c>
      <c r="F2" s="434" t="s">
        <v>121</v>
      </c>
      <c r="G2" s="435" t="s">
        <v>738</v>
      </c>
      <c r="H2" s="436" t="s">
        <v>154</v>
      </c>
      <c r="I2" s="436" t="s">
        <v>194</v>
      </c>
      <c r="J2" s="436" t="s">
        <v>195</v>
      </c>
      <c r="K2" s="436" t="s">
        <v>492</v>
      </c>
      <c r="L2" s="436" t="s">
        <v>197</v>
      </c>
      <c r="M2" s="436" t="s">
        <v>198</v>
      </c>
      <c r="N2" s="437" t="s">
        <v>199</v>
      </c>
      <c r="O2" s="438" t="s">
        <v>174</v>
      </c>
      <c r="P2" s="438" t="s">
        <v>858</v>
      </c>
      <c r="Q2" s="438" t="s">
        <v>859</v>
      </c>
      <c r="R2" s="439" t="s">
        <v>858</v>
      </c>
      <c r="S2" s="438" t="s">
        <v>174</v>
      </c>
      <c r="T2" s="438" t="s">
        <v>858</v>
      </c>
      <c r="U2" s="438" t="s">
        <v>859</v>
      </c>
      <c r="V2" s="439" t="s">
        <v>858</v>
      </c>
      <c r="W2" s="440" t="s">
        <v>174</v>
      </c>
      <c r="X2" s="440" t="s">
        <v>858</v>
      </c>
      <c r="Y2" s="440" t="s">
        <v>859</v>
      </c>
      <c r="Z2" s="441" t="s">
        <v>858</v>
      </c>
      <c r="AA2" s="440" t="s">
        <v>874</v>
      </c>
      <c r="AB2" s="441" t="s">
        <v>471</v>
      </c>
      <c r="AC2" s="440" t="s">
        <v>875</v>
      </c>
      <c r="AD2" s="440" t="s">
        <v>876</v>
      </c>
      <c r="AE2" s="441" t="s">
        <v>877</v>
      </c>
      <c r="AF2" s="440" t="s">
        <v>878</v>
      </c>
      <c r="AG2" s="440" t="s">
        <v>879</v>
      </c>
      <c r="AH2" s="441" t="s">
        <v>880</v>
      </c>
      <c r="AI2" s="440" t="s">
        <v>881</v>
      </c>
      <c r="AJ2" s="440" t="s">
        <v>882</v>
      </c>
      <c r="AK2" s="441" t="s">
        <v>883</v>
      </c>
    </row>
    <row r="3" spans="1:37" x14ac:dyDescent="0.25">
      <c r="A3" s="458" t="s">
        <v>182</v>
      </c>
      <c r="B3" s="278">
        <v>29</v>
      </c>
      <c r="C3" s="25">
        <v>23</v>
      </c>
      <c r="D3" s="42" t="s">
        <v>165</v>
      </c>
      <c r="E3" s="422">
        <v>4</v>
      </c>
      <c r="F3" s="424">
        <v>1</v>
      </c>
      <c r="G3" s="425">
        <v>7</v>
      </c>
      <c r="H3" s="36">
        <v>0</v>
      </c>
      <c r="I3" s="36">
        <v>3</v>
      </c>
      <c r="J3" s="36">
        <v>9</v>
      </c>
      <c r="K3" s="36">
        <v>2</v>
      </c>
      <c r="L3" s="36">
        <v>13</v>
      </c>
      <c r="M3" s="36">
        <v>12</v>
      </c>
      <c r="N3" s="426">
        <v>17</v>
      </c>
      <c r="O3" s="27">
        <f t="shared" ref="O3:O31" si="0">((J3+F3+(LOG(G3)*4/3))*0.15)</f>
        <v>1.6690196080028512</v>
      </c>
      <c r="P3" s="27">
        <f t="shared" ref="P3:P31" si="1">((M3+F3+(LOG(G3)*4/3))*0.552)+((K3+F3+(LOG(G3)*4/3))*0.576)+((L3+F3+(LOG(G3)*4/3))*0.195)</f>
        <v>13.12475294258515</v>
      </c>
      <c r="Q3" s="27">
        <f t="shared" ref="Q3:Q31" si="2">((M3+F3+(LOG(G3)*4/3))*0.607)+((L3+F3+(LOG(G3)*4/3))*0.248)</f>
        <v>12.326411765616253</v>
      </c>
      <c r="R3" s="427">
        <f t="shared" ref="R3:R31" si="3">((M3+F3+(LOG(G3)*4/3))*0.223)+((K3+F3+(LOG(G3)*4/3))*0)+((L3+F3+(LOG(G3)*4/3))*0)</f>
        <v>3.1502758172309058</v>
      </c>
      <c r="S3" s="27">
        <f t="shared" ref="S3:S31" si="4">((J3+F3+(LOG(G3)*4/3))*0.406)</f>
        <v>4.5174797389943846</v>
      </c>
      <c r="T3" s="27">
        <f t="shared" ref="T3:T31" si="5">IF(D3="TEC",((K3+F3+(LOG(G3)*4/3))*0.15)+((L3+F3+(LOG(G3)*4/3))*0.324)+((M3+F3+(LOG(G3)*4/3))*0.127),((K3+F3+(LOG(G3)*4/3))*0.144)+((L3+F3+(LOG(G3)*4/3))*0.25)+((M3+F3+(LOG(G3)*4/3))*0.127))</f>
        <v>6.1700614384632368</v>
      </c>
      <c r="U3" s="27">
        <f t="shared" ref="U3:U31" si="6">IF(D3="TEC",((L3+F3+(LOG(G3)*4/3))*0.543)+((M3+F3+(LOG(G3)*4/3))*0.583),((L3+F3+(LOG(G3)*4/3))*0.543)+((M3+F3+(LOG(G3)*4/3))*0.583))</f>
        <v>16.449773857408069</v>
      </c>
      <c r="V3" s="427">
        <f t="shared" ref="V3:V31" si="7">T3</f>
        <v>6.1700614384632368</v>
      </c>
      <c r="W3" s="27">
        <f t="shared" ref="W3:W31" si="8">((J3+F3+(LOG(G3)*4/3))*0.25)</f>
        <v>2.7816993466714188</v>
      </c>
      <c r="X3" s="27">
        <f t="shared" ref="X3:X31" si="9">((M3+F3+(LOG(G3)*4/3))*0.26)+((K3+F3+(LOG(G3)*4/3))*0.221)+((L3+F3+(LOG(G3)*4/3))*0.142)</f>
        <v>6.7329947719051759</v>
      </c>
      <c r="Y3" s="27">
        <f t="shared" ref="Y3:Y31" si="10">((M3+F3+(LOG(G3)*4/3))*1)+((L3+F3+(LOG(G3)*4/3))*0.369)</f>
        <v>19.708585622372688</v>
      </c>
      <c r="Z3" s="427">
        <f t="shared" ref="Z3:Z31" si="11">X3</f>
        <v>6.7329947719051759</v>
      </c>
      <c r="AA3">
        <v>4000</v>
      </c>
      <c r="AB3" s="286">
        <f>12.1*1.2</f>
        <v>14.52</v>
      </c>
      <c r="AC3" s="41">
        <v>650</v>
      </c>
      <c r="AD3" s="41">
        <v>1500</v>
      </c>
      <c r="AE3" s="460">
        <v>3142</v>
      </c>
      <c r="AF3" s="25">
        <f t="shared" ref="AF3:AF31" si="12">AA3+(AB3*16*(36-B3-((112-C3)/112)))-AC3</f>
        <v>4791.6285714285714</v>
      </c>
      <c r="AG3" s="25">
        <f t="shared" ref="AG3:AG31" si="13">AA3+(AB3*16*(34-B3-((112-C3)/112)))-AD3</f>
        <v>3476.988571428572</v>
      </c>
      <c r="AH3" s="429">
        <f t="shared" ref="AH3:AH31" si="14">AA3+(AB3*16*(32-B3-((112-C3)/112)))-AE3</f>
        <v>1370.3485714285716</v>
      </c>
      <c r="AI3" s="25">
        <f t="shared" ref="AI3:AI31" si="15">(AF3)/(36-B3+((112-C3)/112))</f>
        <v>614.73356242840782</v>
      </c>
      <c r="AJ3" s="25">
        <f t="shared" ref="AJ3:AJ31" si="16">(AG3)/(34-B3+((112-C3)/112))</f>
        <v>600.03500770416042</v>
      </c>
      <c r="AK3" s="429">
        <f t="shared" ref="AK3:AK31" si="17">(AH3)/(32-B3+((112-C3)/112))</f>
        <v>361.12715294117652</v>
      </c>
    </row>
    <row r="4" spans="1:37" x14ac:dyDescent="0.25">
      <c r="A4" s="462" t="s">
        <v>884</v>
      </c>
      <c r="B4" s="278">
        <v>29</v>
      </c>
      <c r="C4" s="25">
        <v>22</v>
      </c>
      <c r="D4" s="42" t="s">
        <v>168</v>
      </c>
      <c r="E4" s="422">
        <v>3</v>
      </c>
      <c r="F4" s="424">
        <v>1</v>
      </c>
      <c r="G4" s="425">
        <v>6</v>
      </c>
      <c r="H4" s="36">
        <v>0</v>
      </c>
      <c r="I4" s="36">
        <v>5</v>
      </c>
      <c r="J4" s="36">
        <v>6</v>
      </c>
      <c r="K4" s="36">
        <v>11</v>
      </c>
      <c r="L4" s="36">
        <v>11</v>
      </c>
      <c r="M4" s="36">
        <v>11</v>
      </c>
      <c r="N4" s="426">
        <v>3</v>
      </c>
      <c r="O4" s="27">
        <f t="shared" si="0"/>
        <v>1.2056302500767286</v>
      </c>
      <c r="P4" s="27">
        <f t="shared" si="1"/>
        <v>17.248658805676747</v>
      </c>
      <c r="Q4" s="27">
        <f t="shared" si="2"/>
        <v>11.147092425437354</v>
      </c>
      <c r="R4" s="427">
        <f t="shared" si="3"/>
        <v>2.9073703051140702</v>
      </c>
      <c r="S4" s="27">
        <f t="shared" si="4"/>
        <v>3.2632392102076793</v>
      </c>
      <c r="T4" s="27">
        <f t="shared" si="5"/>
        <v>6.7925557352665047</v>
      </c>
      <c r="U4" s="27">
        <f t="shared" si="6"/>
        <v>14.680264410575978</v>
      </c>
      <c r="V4" s="427">
        <f t="shared" si="7"/>
        <v>6.7925557352665047</v>
      </c>
      <c r="W4" s="27">
        <f t="shared" si="8"/>
        <v>2.0093837501278813</v>
      </c>
      <c r="X4" s="27">
        <f t="shared" si="9"/>
        <v>8.1223843053186808</v>
      </c>
      <c r="Y4" s="27">
        <f t="shared" si="10"/>
        <v>17.848385415700278</v>
      </c>
      <c r="Z4" s="427">
        <f t="shared" si="11"/>
        <v>8.1223843053186808</v>
      </c>
      <c r="AA4">
        <v>4400</v>
      </c>
      <c r="AB4" s="286">
        <f>7.3*1.2</f>
        <v>8.76</v>
      </c>
      <c r="AC4" s="41">
        <v>1600</v>
      </c>
      <c r="AD4" s="41">
        <v>2000</v>
      </c>
      <c r="AE4" s="428">
        <v>3250</v>
      </c>
      <c r="AF4" s="25">
        <f t="shared" si="12"/>
        <v>3668.4914285714285</v>
      </c>
      <c r="AG4" s="25">
        <f t="shared" si="13"/>
        <v>2988.1714285714288</v>
      </c>
      <c r="AH4" s="429">
        <f t="shared" si="14"/>
        <v>1457.8514285714282</v>
      </c>
      <c r="AI4" s="25">
        <f t="shared" si="15"/>
        <v>470.10416475972539</v>
      </c>
      <c r="AJ4" s="25">
        <f t="shared" si="16"/>
        <v>514.88492307692309</v>
      </c>
      <c r="AK4" s="429">
        <f t="shared" si="17"/>
        <v>383.28488262910787</v>
      </c>
    </row>
    <row r="5" spans="1:37" x14ac:dyDescent="0.25">
      <c r="A5" s="457" t="s">
        <v>977</v>
      </c>
      <c r="B5" s="278">
        <v>29</v>
      </c>
      <c r="C5" s="25">
        <v>20</v>
      </c>
      <c r="D5" s="42" t="s">
        <v>168</v>
      </c>
      <c r="E5" s="422">
        <v>3</v>
      </c>
      <c r="F5" s="424">
        <v>1</v>
      </c>
      <c r="G5" s="425">
        <v>6</v>
      </c>
      <c r="H5" s="36">
        <v>0</v>
      </c>
      <c r="I5" s="36">
        <v>3</v>
      </c>
      <c r="J5" s="36">
        <v>12</v>
      </c>
      <c r="K5" s="36">
        <v>12</v>
      </c>
      <c r="L5" s="36">
        <v>9</v>
      </c>
      <c r="M5" s="36">
        <v>11</v>
      </c>
      <c r="N5" s="426">
        <v>3</v>
      </c>
      <c r="O5" s="27">
        <f t="shared" si="0"/>
        <v>2.1056302500767288</v>
      </c>
      <c r="P5" s="27">
        <f t="shared" si="1"/>
        <v>17.434658805676747</v>
      </c>
      <c r="Q5" s="27">
        <f t="shared" si="2"/>
        <v>10.651092425437353</v>
      </c>
      <c r="R5" s="427">
        <f t="shared" si="3"/>
        <v>2.9073703051140702</v>
      </c>
      <c r="S5" s="27">
        <f t="shared" si="4"/>
        <v>5.6992392102076792</v>
      </c>
      <c r="T5" s="27">
        <f t="shared" si="5"/>
        <v>6.4365557352665048</v>
      </c>
      <c r="U5" s="27">
        <f t="shared" si="6"/>
        <v>13.594264410575978</v>
      </c>
      <c r="V5" s="427">
        <f t="shared" si="7"/>
        <v>6.4365557352665048</v>
      </c>
      <c r="W5" s="27">
        <f t="shared" si="8"/>
        <v>3.5093837501278813</v>
      </c>
      <c r="X5" s="27">
        <f t="shared" si="9"/>
        <v>8.0593843053186802</v>
      </c>
      <c r="Y5" s="27">
        <f t="shared" si="10"/>
        <v>17.110385415700279</v>
      </c>
      <c r="Z5" s="427">
        <f t="shared" si="11"/>
        <v>8.0593843053186802</v>
      </c>
      <c r="AA5">
        <v>5300</v>
      </c>
      <c r="AB5" s="286">
        <v>16.5</v>
      </c>
      <c r="AC5" s="41">
        <v>1500</v>
      </c>
      <c r="AD5" s="41">
        <v>2600</v>
      </c>
      <c r="AE5" s="428">
        <v>3800</v>
      </c>
      <c r="AF5" s="25">
        <f t="shared" si="12"/>
        <v>5431.1428571428569</v>
      </c>
      <c r="AG5" s="25">
        <f t="shared" si="13"/>
        <v>3803.1428571428569</v>
      </c>
      <c r="AH5" s="429">
        <f t="shared" si="14"/>
        <v>2075.1428571428569</v>
      </c>
      <c r="AI5" s="25">
        <f t="shared" si="15"/>
        <v>694.39269406392691</v>
      </c>
      <c r="AJ5" s="25">
        <f t="shared" si="16"/>
        <v>653.30061349693256</v>
      </c>
      <c r="AK5" s="429">
        <f t="shared" si="17"/>
        <v>543.02803738317755</v>
      </c>
    </row>
    <row r="6" spans="1:37" x14ac:dyDescent="0.25">
      <c r="A6" s="423" t="s">
        <v>888</v>
      </c>
      <c r="B6" s="448">
        <v>27</v>
      </c>
      <c r="C6" s="25">
        <v>18</v>
      </c>
      <c r="D6" s="42" t="s">
        <v>178</v>
      </c>
      <c r="E6" s="449">
        <v>4</v>
      </c>
      <c r="F6" s="450">
        <v>1</v>
      </c>
      <c r="G6" s="451">
        <v>5</v>
      </c>
      <c r="H6" s="36">
        <v>0</v>
      </c>
      <c r="I6" s="36">
        <v>4</v>
      </c>
      <c r="J6" s="36">
        <v>5</v>
      </c>
      <c r="K6" s="36">
        <v>10</v>
      </c>
      <c r="L6" s="36">
        <v>9</v>
      </c>
      <c r="M6" s="36">
        <v>11</v>
      </c>
      <c r="N6" s="452">
        <v>11</v>
      </c>
      <c r="O6" s="27">
        <f t="shared" si="0"/>
        <v>1.0397940008672037</v>
      </c>
      <c r="P6" s="27">
        <f t="shared" si="1"/>
        <v>16.142983087648737</v>
      </c>
      <c r="Q6" s="27">
        <f t="shared" si="2"/>
        <v>10.560825804943061</v>
      </c>
      <c r="R6" s="427">
        <f t="shared" si="3"/>
        <v>2.883827081289243</v>
      </c>
      <c r="S6" s="27">
        <f t="shared" si="4"/>
        <v>2.8143757623472316</v>
      </c>
      <c r="T6" s="27">
        <f t="shared" si="5"/>
        <v>6.093551163012088</v>
      </c>
      <c r="U6" s="27">
        <f t="shared" si="6"/>
        <v>13.475386966509809</v>
      </c>
      <c r="V6" s="427">
        <f t="shared" si="7"/>
        <v>6.093551163012088</v>
      </c>
      <c r="W6" s="27">
        <f t="shared" si="8"/>
        <v>1.7329900014453397</v>
      </c>
      <c r="X6" s="27">
        <f t="shared" si="9"/>
        <v>7.5516110836017862</v>
      </c>
      <c r="Y6" s="27">
        <f t="shared" si="10"/>
        <v>16.96585324791468</v>
      </c>
      <c r="Z6" s="427">
        <f t="shared" si="11"/>
        <v>7.5516110836017862</v>
      </c>
      <c r="AA6">
        <v>3800</v>
      </c>
      <c r="AB6" s="454">
        <v>9</v>
      </c>
      <c r="AC6" s="41">
        <v>400</v>
      </c>
      <c r="AD6" s="41">
        <v>680</v>
      </c>
      <c r="AE6" s="428">
        <v>1100</v>
      </c>
      <c r="AF6" s="25">
        <f t="shared" si="12"/>
        <v>4575.1428571428569</v>
      </c>
      <c r="AG6" s="25">
        <f t="shared" si="13"/>
        <v>4007.1428571428569</v>
      </c>
      <c r="AH6" s="429">
        <f t="shared" si="14"/>
        <v>3299.1428571428569</v>
      </c>
      <c r="AI6" s="25">
        <f t="shared" si="15"/>
        <v>464.98729582577135</v>
      </c>
      <c r="AJ6" s="25">
        <f t="shared" si="16"/>
        <v>511.16173120728928</v>
      </c>
      <c r="AK6" s="429">
        <f t="shared" si="17"/>
        <v>564.9908256880733</v>
      </c>
    </row>
    <row r="7" spans="1:37" x14ac:dyDescent="0.25">
      <c r="A7" s="423" t="s">
        <v>972</v>
      </c>
      <c r="B7" s="448">
        <v>29</v>
      </c>
      <c r="C7" s="25">
        <v>68</v>
      </c>
      <c r="D7" s="42" t="s">
        <v>178</v>
      </c>
      <c r="E7" s="449">
        <v>4</v>
      </c>
      <c r="F7" s="450">
        <v>1</v>
      </c>
      <c r="G7" s="451">
        <v>5</v>
      </c>
      <c r="H7" s="36">
        <v>0</v>
      </c>
      <c r="I7" s="36">
        <v>3</v>
      </c>
      <c r="J7" s="36">
        <v>11</v>
      </c>
      <c r="K7" s="36">
        <v>15</v>
      </c>
      <c r="L7" s="36">
        <v>7</v>
      </c>
      <c r="M7" s="36">
        <v>7</v>
      </c>
      <c r="N7" s="452">
        <v>8</v>
      </c>
      <c r="O7" s="27">
        <f t="shared" si="0"/>
        <v>1.9397940008672037</v>
      </c>
      <c r="P7" s="27">
        <f t="shared" si="1"/>
        <v>16.424983087648737</v>
      </c>
      <c r="Q7" s="27">
        <f t="shared" si="2"/>
        <v>7.6368258049430606</v>
      </c>
      <c r="R7" s="453">
        <f t="shared" si="3"/>
        <v>1.9918270812892429</v>
      </c>
      <c r="S7" s="27">
        <f t="shared" si="4"/>
        <v>5.2503757623472316</v>
      </c>
      <c r="T7" s="27">
        <f t="shared" si="5"/>
        <v>5.8055511630120877</v>
      </c>
      <c r="U7" s="27">
        <f t="shared" si="6"/>
        <v>10.057386966509808</v>
      </c>
      <c r="V7" s="453">
        <f t="shared" si="7"/>
        <v>5.8055511630120877</v>
      </c>
      <c r="W7" s="27">
        <f t="shared" si="8"/>
        <v>3.2329900014453394</v>
      </c>
      <c r="X7" s="27">
        <f t="shared" si="9"/>
        <v>7.3326110836017868</v>
      </c>
      <c r="Y7" s="27">
        <f t="shared" si="10"/>
        <v>12.227853247914679</v>
      </c>
      <c r="Z7" s="453">
        <f t="shared" si="11"/>
        <v>7.3326110836017868</v>
      </c>
      <c r="AA7" s="459">
        <v>3800</v>
      </c>
      <c r="AB7" s="454">
        <v>22.6</v>
      </c>
      <c r="AC7" s="41">
        <v>1300</v>
      </c>
      <c r="AD7" s="41">
        <v>1850</v>
      </c>
      <c r="AE7" s="428">
        <v>2700</v>
      </c>
      <c r="AF7" s="25">
        <f t="shared" si="12"/>
        <v>4889.1428571428569</v>
      </c>
      <c r="AG7" s="25">
        <f t="shared" si="13"/>
        <v>3615.9428571428571</v>
      </c>
      <c r="AH7" s="429">
        <f t="shared" si="14"/>
        <v>2042.7428571428572</v>
      </c>
      <c r="AI7" s="25">
        <f t="shared" si="15"/>
        <v>661.33333333333326</v>
      </c>
      <c r="AJ7" s="25">
        <f t="shared" si="16"/>
        <v>670.50596026490064</v>
      </c>
      <c r="AK7" s="429">
        <f t="shared" si="17"/>
        <v>602.07157894736849</v>
      </c>
    </row>
    <row r="8" spans="1:37" x14ac:dyDescent="0.25">
      <c r="A8" s="457" t="s">
        <v>976</v>
      </c>
      <c r="B8" s="448">
        <v>28</v>
      </c>
      <c r="C8" s="25">
        <v>83</v>
      </c>
      <c r="D8" s="42" t="s">
        <v>168</v>
      </c>
      <c r="E8" s="449">
        <v>1</v>
      </c>
      <c r="F8" s="450">
        <v>1</v>
      </c>
      <c r="G8" s="451">
        <v>8</v>
      </c>
      <c r="H8" s="36">
        <v>0</v>
      </c>
      <c r="I8" s="36">
        <v>3</v>
      </c>
      <c r="J8" s="36">
        <v>13</v>
      </c>
      <c r="K8" s="36">
        <v>12</v>
      </c>
      <c r="L8" s="36">
        <v>11</v>
      </c>
      <c r="M8" s="36">
        <v>10</v>
      </c>
      <c r="N8" s="452">
        <v>1</v>
      </c>
      <c r="O8" s="27">
        <f t="shared" si="0"/>
        <v>2.2806179973983887</v>
      </c>
      <c r="P8" s="27">
        <f t="shared" si="1"/>
        <v>17.493050737053789</v>
      </c>
      <c r="Q8" s="27">
        <f t="shared" si="2"/>
        <v>10.682522585170815</v>
      </c>
      <c r="R8" s="453">
        <f t="shared" si="3"/>
        <v>2.7215187561322711</v>
      </c>
      <c r="S8" s="27">
        <f t="shared" si="4"/>
        <v>6.1728727129583056</v>
      </c>
      <c r="T8" s="27">
        <f t="shared" si="5"/>
        <v>6.8963465109637374</v>
      </c>
      <c r="U8" s="27">
        <f t="shared" si="6"/>
        <v>14.28483910047057</v>
      </c>
      <c r="V8" s="453">
        <f t="shared" si="7"/>
        <v>6.8963465109637374</v>
      </c>
      <c r="W8" s="27">
        <f t="shared" si="8"/>
        <v>3.8010299956639813</v>
      </c>
      <c r="X8" s="27">
        <f t="shared" si="9"/>
        <v>8.1871667491946418</v>
      </c>
      <c r="Y8" s="27">
        <f t="shared" si="10"/>
        <v>17.07644025625596</v>
      </c>
      <c r="Z8" s="453">
        <f t="shared" si="11"/>
        <v>8.1871667491946418</v>
      </c>
      <c r="AA8" s="459">
        <v>4500</v>
      </c>
      <c r="AB8" s="454">
        <v>28</v>
      </c>
      <c r="AC8" s="41">
        <v>1800</v>
      </c>
      <c r="AD8" s="41">
        <v>2750</v>
      </c>
      <c r="AE8" s="428">
        <v>3600</v>
      </c>
      <c r="AF8" s="25">
        <f t="shared" si="12"/>
        <v>6168</v>
      </c>
      <c r="AG8" s="25">
        <f t="shared" si="13"/>
        <v>4322</v>
      </c>
      <c r="AH8" s="429">
        <f t="shared" si="14"/>
        <v>2576</v>
      </c>
      <c r="AI8" s="25">
        <f t="shared" si="15"/>
        <v>746.82810810810815</v>
      </c>
      <c r="AJ8" s="25">
        <f t="shared" si="16"/>
        <v>690.53352353780315</v>
      </c>
      <c r="AK8" s="429">
        <f t="shared" si="17"/>
        <v>604.84696016771488</v>
      </c>
    </row>
    <row r="9" spans="1:37" x14ac:dyDescent="0.25">
      <c r="A9" s="457" t="s">
        <v>978</v>
      </c>
      <c r="B9" s="448">
        <v>29</v>
      </c>
      <c r="C9" s="25">
        <v>33</v>
      </c>
      <c r="D9" s="42" t="s">
        <v>165</v>
      </c>
      <c r="E9" s="449">
        <v>2</v>
      </c>
      <c r="F9" s="450">
        <v>1</v>
      </c>
      <c r="G9" s="451">
        <v>8</v>
      </c>
      <c r="H9" s="36">
        <v>0</v>
      </c>
      <c r="I9" s="36">
        <v>4</v>
      </c>
      <c r="J9" s="36">
        <v>3</v>
      </c>
      <c r="K9" s="36">
        <v>12</v>
      </c>
      <c r="L9" s="36">
        <v>13</v>
      </c>
      <c r="M9" s="36">
        <v>11</v>
      </c>
      <c r="N9" s="452">
        <v>16</v>
      </c>
      <c r="O9" s="27">
        <f t="shared" si="0"/>
        <v>0.78061799739838877</v>
      </c>
      <c r="P9" s="27">
        <f t="shared" si="1"/>
        <v>18.435050737053789</v>
      </c>
      <c r="Q9" s="27">
        <f t="shared" si="2"/>
        <v>11.785522585170817</v>
      </c>
      <c r="R9" s="453">
        <f t="shared" si="3"/>
        <v>2.9445187561322714</v>
      </c>
      <c r="S9" s="27">
        <f t="shared" si="4"/>
        <v>2.1128727129583056</v>
      </c>
      <c r="T9" s="27">
        <f t="shared" si="5"/>
        <v>7.5233465109637372</v>
      </c>
      <c r="U9" s="27">
        <f t="shared" si="6"/>
        <v>15.953839100470573</v>
      </c>
      <c r="V9" s="453">
        <f t="shared" si="7"/>
        <v>7.5233465109637372</v>
      </c>
      <c r="W9" s="27">
        <f t="shared" si="8"/>
        <v>1.3010299956639813</v>
      </c>
      <c r="X9" s="27">
        <f t="shared" si="9"/>
        <v>8.7311667491946405</v>
      </c>
      <c r="Y9" s="27">
        <f t="shared" si="10"/>
        <v>18.814440256255963</v>
      </c>
      <c r="Z9" s="453">
        <f t="shared" si="11"/>
        <v>8.7311667491946405</v>
      </c>
      <c r="AA9" s="459">
        <v>5200</v>
      </c>
      <c r="AB9" s="454">
        <v>15</v>
      </c>
      <c r="AC9" s="41">
        <v>1400</v>
      </c>
      <c r="AD9" s="41">
        <v>2750</v>
      </c>
      <c r="AE9" s="428">
        <v>3400</v>
      </c>
      <c r="AF9" s="25">
        <f t="shared" si="12"/>
        <v>5310.7142857142853</v>
      </c>
      <c r="AG9" s="25">
        <f t="shared" si="13"/>
        <v>3480.7142857142853</v>
      </c>
      <c r="AH9" s="429">
        <f t="shared" si="14"/>
        <v>2350.7142857142862</v>
      </c>
      <c r="AI9" s="25">
        <f t="shared" si="15"/>
        <v>689.22363847045187</v>
      </c>
      <c r="AJ9" s="25">
        <f t="shared" si="16"/>
        <v>610.07824726134572</v>
      </c>
      <c r="AK9" s="429">
        <f t="shared" si="17"/>
        <v>634.40963855421705</v>
      </c>
    </row>
    <row r="10" spans="1:37" x14ac:dyDescent="0.25">
      <c r="A10" s="463" t="s">
        <v>975</v>
      </c>
      <c r="B10" s="448">
        <v>28</v>
      </c>
      <c r="C10" s="25">
        <v>58</v>
      </c>
      <c r="D10" s="42" t="s">
        <v>168</v>
      </c>
      <c r="E10" s="449">
        <v>2</v>
      </c>
      <c r="F10" s="450">
        <v>1</v>
      </c>
      <c r="G10" s="451">
        <v>13</v>
      </c>
      <c r="H10" s="36">
        <v>0</v>
      </c>
      <c r="I10" s="36">
        <v>1</v>
      </c>
      <c r="J10" s="36">
        <v>9</v>
      </c>
      <c r="K10" s="36">
        <v>14</v>
      </c>
      <c r="L10" s="36">
        <v>11</v>
      </c>
      <c r="M10" s="36">
        <v>11</v>
      </c>
      <c r="N10" s="452">
        <v>8</v>
      </c>
      <c r="O10" s="27">
        <f t="shared" si="0"/>
        <v>1.7227886704613673</v>
      </c>
      <c r="P10" s="27">
        <f t="shared" si="1"/>
        <v>19.568996073469261</v>
      </c>
      <c r="Q10" s="27">
        <f t="shared" si="2"/>
        <v>11.529895421629794</v>
      </c>
      <c r="R10" s="453">
        <f t="shared" si="3"/>
        <v>3.0072124900858994</v>
      </c>
      <c r="S10" s="27">
        <f t="shared" si="4"/>
        <v>4.6630146680487679</v>
      </c>
      <c r="T10" s="27">
        <f t="shared" si="5"/>
        <v>7.4578193154024834</v>
      </c>
      <c r="U10" s="27">
        <f t="shared" si="6"/>
        <v>15.184400286263331</v>
      </c>
      <c r="V10" s="453">
        <f t="shared" si="7"/>
        <v>7.4578193154024834</v>
      </c>
      <c r="W10" s="27">
        <f t="shared" si="8"/>
        <v>2.8713144507689456</v>
      </c>
      <c r="X10" s="27">
        <f t="shared" si="9"/>
        <v>9.0643156113162124</v>
      </c>
      <c r="Y10" s="27">
        <f t="shared" si="10"/>
        <v>18.461317932410747</v>
      </c>
      <c r="Z10" s="453">
        <f t="shared" si="11"/>
        <v>9.0643156113162124</v>
      </c>
      <c r="AA10">
        <v>6325</v>
      </c>
      <c r="AB10" s="454">
        <v>20.8</v>
      </c>
      <c r="AC10" s="41">
        <v>3000</v>
      </c>
      <c r="AD10" s="41">
        <v>4000</v>
      </c>
      <c r="AE10" s="428">
        <v>4900</v>
      </c>
      <c r="AF10" s="25">
        <f t="shared" si="12"/>
        <v>5826.942857142858</v>
      </c>
      <c r="AG10" s="25">
        <f t="shared" si="13"/>
        <v>4161.3428571428576</v>
      </c>
      <c r="AH10" s="429">
        <f t="shared" si="14"/>
        <v>2595.7428571428572</v>
      </c>
      <c r="AI10" s="25">
        <f t="shared" si="15"/>
        <v>686.96589473684219</v>
      </c>
      <c r="AJ10" s="25">
        <f t="shared" si="16"/>
        <v>641.97024793388437</v>
      </c>
      <c r="AK10" s="429">
        <f t="shared" si="17"/>
        <v>579.12988047808767</v>
      </c>
    </row>
    <row r="11" spans="1:37" x14ac:dyDescent="0.25">
      <c r="A11" s="423" t="s">
        <v>886</v>
      </c>
      <c r="B11" s="448">
        <v>29</v>
      </c>
      <c r="C11" s="25">
        <v>21</v>
      </c>
      <c r="D11" s="42" t="s">
        <v>165</v>
      </c>
      <c r="E11" s="449">
        <v>0</v>
      </c>
      <c r="F11" s="450">
        <v>1</v>
      </c>
      <c r="G11" s="451">
        <v>8</v>
      </c>
      <c r="H11" s="36">
        <v>0</v>
      </c>
      <c r="I11" s="36">
        <v>0</v>
      </c>
      <c r="J11" s="36">
        <v>6</v>
      </c>
      <c r="K11" s="36">
        <v>10</v>
      </c>
      <c r="L11" s="36">
        <v>13</v>
      </c>
      <c r="M11" s="36">
        <v>13</v>
      </c>
      <c r="N11" s="452">
        <v>3</v>
      </c>
      <c r="O11" s="27">
        <f t="shared" si="0"/>
        <v>1.2306179973983886</v>
      </c>
      <c r="P11" s="27">
        <f t="shared" si="1"/>
        <v>18.387050737053787</v>
      </c>
      <c r="Q11" s="27">
        <f t="shared" si="2"/>
        <v>12.999522585170816</v>
      </c>
      <c r="R11" s="453">
        <f t="shared" si="3"/>
        <v>3.3905187561322712</v>
      </c>
      <c r="S11" s="27">
        <f t="shared" si="4"/>
        <v>3.330872712958306</v>
      </c>
      <c r="T11" s="27">
        <f t="shared" si="5"/>
        <v>7.4893465109637374</v>
      </c>
      <c r="U11" s="27">
        <f t="shared" si="6"/>
        <v>17.119839100470571</v>
      </c>
      <c r="V11" s="453">
        <f t="shared" si="7"/>
        <v>7.4893465109637374</v>
      </c>
      <c r="W11" s="27">
        <f t="shared" si="8"/>
        <v>2.0510299956639813</v>
      </c>
      <c r="X11" s="27">
        <f t="shared" si="9"/>
        <v>8.8091667491946417</v>
      </c>
      <c r="Y11" s="27">
        <f t="shared" si="10"/>
        <v>20.814440256255963</v>
      </c>
      <c r="Z11" s="453">
        <f t="shared" si="11"/>
        <v>8.8091667491946417</v>
      </c>
      <c r="AA11">
        <v>5100</v>
      </c>
      <c r="AB11" s="454">
        <v>24.9</v>
      </c>
      <c r="AC11" s="41">
        <v>1650</v>
      </c>
      <c r="AD11" s="41">
        <v>2500</v>
      </c>
      <c r="AE11" s="455">
        <v>3200</v>
      </c>
      <c r="AF11" s="25">
        <f t="shared" si="12"/>
        <v>5915.1</v>
      </c>
      <c r="AG11" s="25">
        <f t="shared" si="13"/>
        <v>4268.3</v>
      </c>
      <c r="AH11" s="456">
        <f t="shared" si="14"/>
        <v>2771.5</v>
      </c>
      <c r="AI11" s="25">
        <f t="shared" si="15"/>
        <v>757.13280000000009</v>
      </c>
      <c r="AJ11" s="25">
        <f t="shared" si="16"/>
        <v>734.33118279569896</v>
      </c>
      <c r="AK11" s="429">
        <f t="shared" si="17"/>
        <v>726.95081967213116</v>
      </c>
    </row>
    <row r="12" spans="1:37" x14ac:dyDescent="0.25">
      <c r="A12" s="423" t="s">
        <v>885</v>
      </c>
      <c r="B12" s="448">
        <v>29</v>
      </c>
      <c r="C12" s="25">
        <v>80</v>
      </c>
      <c r="D12" s="42" t="s">
        <v>168</v>
      </c>
      <c r="E12" s="449">
        <v>4</v>
      </c>
      <c r="F12" s="450">
        <v>1</v>
      </c>
      <c r="G12" s="451">
        <v>6</v>
      </c>
      <c r="H12" s="36">
        <v>0</v>
      </c>
      <c r="I12" s="36">
        <v>2</v>
      </c>
      <c r="J12" s="36">
        <v>4</v>
      </c>
      <c r="K12" s="36">
        <v>7</v>
      </c>
      <c r="L12" s="36">
        <v>13</v>
      </c>
      <c r="M12" s="36">
        <v>12</v>
      </c>
      <c r="N12" s="452">
        <v>7</v>
      </c>
      <c r="O12" s="27">
        <f t="shared" si="0"/>
        <v>0.9056302500767287</v>
      </c>
      <c r="P12" s="27">
        <f t="shared" si="1"/>
        <v>15.886658805676749</v>
      </c>
      <c r="Q12" s="27">
        <f t="shared" si="2"/>
        <v>12.250092425437353</v>
      </c>
      <c r="R12" s="453">
        <f t="shared" si="3"/>
        <v>3.1303703051140701</v>
      </c>
      <c r="S12" s="27">
        <f t="shared" si="4"/>
        <v>2.4512392102076794</v>
      </c>
      <c r="T12" s="27">
        <f t="shared" si="5"/>
        <v>6.843555735266504</v>
      </c>
      <c r="U12" s="27">
        <f t="shared" si="6"/>
        <v>16.349264410575977</v>
      </c>
      <c r="V12" s="453">
        <f t="shared" si="7"/>
        <v>6.843555735266504</v>
      </c>
      <c r="W12" s="27">
        <f t="shared" si="8"/>
        <v>1.5093837501278813</v>
      </c>
      <c r="X12" s="27">
        <f t="shared" si="9"/>
        <v>7.7823843053186792</v>
      </c>
      <c r="Y12" s="27">
        <f t="shared" si="10"/>
        <v>19.586385415700278</v>
      </c>
      <c r="Z12" s="453">
        <f t="shared" si="11"/>
        <v>7.7823843053186792</v>
      </c>
      <c r="AA12">
        <v>3400</v>
      </c>
      <c r="AB12" s="454">
        <v>11.6</v>
      </c>
      <c r="AC12" s="41">
        <v>700</v>
      </c>
      <c r="AD12" s="41">
        <v>1000</v>
      </c>
      <c r="AE12" s="455">
        <v>1500</v>
      </c>
      <c r="AF12" s="25">
        <f t="shared" si="12"/>
        <v>3946.1714285714288</v>
      </c>
      <c r="AG12" s="25">
        <f t="shared" si="13"/>
        <v>3274.971428571429</v>
      </c>
      <c r="AH12" s="456">
        <f t="shared" si="14"/>
        <v>2403.7714285714287</v>
      </c>
      <c r="AI12" s="25">
        <f t="shared" si="15"/>
        <v>541.6313725490196</v>
      </c>
      <c r="AJ12" s="25">
        <f t="shared" si="16"/>
        <v>619.58918918918926</v>
      </c>
      <c r="AK12" s="456">
        <f t="shared" si="17"/>
        <v>731.5826086956522</v>
      </c>
    </row>
    <row r="13" spans="1:37" x14ac:dyDescent="0.25">
      <c r="A13" s="423" t="s">
        <v>887</v>
      </c>
      <c r="B13" s="448">
        <v>29</v>
      </c>
      <c r="C13" s="25">
        <v>13</v>
      </c>
      <c r="D13" s="42" t="s">
        <v>168</v>
      </c>
      <c r="E13" s="449">
        <v>4</v>
      </c>
      <c r="F13" s="450">
        <v>1</v>
      </c>
      <c r="G13" s="451">
        <v>5</v>
      </c>
      <c r="H13" s="36">
        <v>0</v>
      </c>
      <c r="I13" s="36">
        <v>2</v>
      </c>
      <c r="J13" s="36">
        <v>6</v>
      </c>
      <c r="K13" s="36">
        <v>11</v>
      </c>
      <c r="L13" s="36">
        <v>13</v>
      </c>
      <c r="M13" s="36">
        <v>12</v>
      </c>
      <c r="N13" s="452">
        <v>12</v>
      </c>
      <c r="O13" s="27">
        <f t="shared" si="0"/>
        <v>1.1897940008672037</v>
      </c>
      <c r="P13" s="27">
        <f t="shared" si="1"/>
        <v>18.050983087648735</v>
      </c>
      <c r="Q13" s="27">
        <f t="shared" si="2"/>
        <v>12.159825804943059</v>
      </c>
      <c r="R13" s="453">
        <f t="shared" si="3"/>
        <v>3.1068270812892429</v>
      </c>
      <c r="S13" s="27">
        <f t="shared" si="4"/>
        <v>3.2203757623472318</v>
      </c>
      <c r="T13" s="27">
        <f t="shared" si="5"/>
        <v>7.364551163012087</v>
      </c>
      <c r="U13" s="27">
        <f t="shared" si="6"/>
        <v>16.230386966509812</v>
      </c>
      <c r="V13" s="453">
        <f t="shared" si="7"/>
        <v>7.364551163012087</v>
      </c>
      <c r="W13" s="27">
        <f t="shared" si="8"/>
        <v>1.9829900014453397</v>
      </c>
      <c r="X13" s="27">
        <f t="shared" si="9"/>
        <v>8.6006110836017857</v>
      </c>
      <c r="Y13" s="27">
        <f t="shared" si="10"/>
        <v>19.441853247914679</v>
      </c>
      <c r="Z13" s="453">
        <f t="shared" si="11"/>
        <v>8.6006110836017857</v>
      </c>
      <c r="AA13">
        <v>5100</v>
      </c>
      <c r="AB13" s="454">
        <v>16</v>
      </c>
      <c r="AC13" s="41">
        <v>1200</v>
      </c>
      <c r="AD13" s="41">
        <v>1500</v>
      </c>
      <c r="AE13" s="455">
        <v>2500</v>
      </c>
      <c r="AF13" s="25">
        <f t="shared" si="12"/>
        <v>5465.7142857142862</v>
      </c>
      <c r="AG13" s="25">
        <f t="shared" si="13"/>
        <v>4653.7142857142862</v>
      </c>
      <c r="AH13" s="456">
        <f t="shared" si="14"/>
        <v>3141.7142857142862</v>
      </c>
      <c r="AI13" s="25">
        <f t="shared" si="15"/>
        <v>693.27293318233308</v>
      </c>
      <c r="AJ13" s="25">
        <f t="shared" si="16"/>
        <v>790.91957511380895</v>
      </c>
      <c r="AK13" s="456">
        <f t="shared" si="17"/>
        <v>808.9011494252876</v>
      </c>
    </row>
    <row r="14" spans="1:37" x14ac:dyDescent="0.25">
      <c r="A14" s="423" t="s">
        <v>974</v>
      </c>
      <c r="B14" s="278">
        <v>27</v>
      </c>
      <c r="C14" s="25">
        <v>26</v>
      </c>
      <c r="D14" s="42" t="s">
        <v>165</v>
      </c>
      <c r="E14" s="422">
        <v>0</v>
      </c>
      <c r="F14" s="424">
        <v>1</v>
      </c>
      <c r="G14" s="425">
        <v>4</v>
      </c>
      <c r="H14" s="36">
        <v>0</v>
      </c>
      <c r="I14" s="36">
        <v>8</v>
      </c>
      <c r="J14" s="36">
        <v>7</v>
      </c>
      <c r="K14" s="36">
        <v>7</v>
      </c>
      <c r="L14" s="36">
        <v>7</v>
      </c>
      <c r="M14" s="36">
        <v>14</v>
      </c>
      <c r="N14" s="426">
        <v>1</v>
      </c>
      <c r="O14" s="27">
        <f t="shared" si="0"/>
        <v>1.3204119982655926</v>
      </c>
      <c r="P14" s="27">
        <f t="shared" si="1"/>
        <v>15.510033824702527</v>
      </c>
      <c r="Q14" s="27">
        <f t="shared" si="2"/>
        <v>11.775348390113878</v>
      </c>
      <c r="R14" s="427">
        <f t="shared" si="3"/>
        <v>3.5240125040881809</v>
      </c>
      <c r="S14" s="27">
        <f t="shared" si="4"/>
        <v>3.5739151419722042</v>
      </c>
      <c r="T14" s="27">
        <f t="shared" si="5"/>
        <v>5.4752310073091586</v>
      </c>
      <c r="U14" s="27">
        <f t="shared" si="6"/>
        <v>13.992892733647048</v>
      </c>
      <c r="V14" s="427">
        <f t="shared" si="7"/>
        <v>5.4752310073091586</v>
      </c>
      <c r="W14" s="27">
        <f t="shared" si="8"/>
        <v>2.2006866637759877</v>
      </c>
      <c r="X14" s="27">
        <f t="shared" si="9"/>
        <v>7.3041111661297613</v>
      </c>
      <c r="Y14" s="27">
        <f t="shared" si="10"/>
        <v>19.050960170837307</v>
      </c>
      <c r="Z14" s="427">
        <f t="shared" si="11"/>
        <v>7.3041111661297613</v>
      </c>
      <c r="AA14" s="459">
        <v>5600</v>
      </c>
      <c r="AB14" s="286">
        <v>24.6</v>
      </c>
      <c r="AC14" s="41">
        <v>980</v>
      </c>
      <c r="AD14" s="41">
        <v>1600</v>
      </c>
      <c r="AE14" s="428">
        <v>2500</v>
      </c>
      <c r="AF14" s="25">
        <f t="shared" si="12"/>
        <v>7860.1714285714297</v>
      </c>
      <c r="AG14" s="25">
        <f t="shared" si="13"/>
        <v>6452.971428571429</v>
      </c>
      <c r="AH14" s="429">
        <f t="shared" si="14"/>
        <v>4765.7714285714283</v>
      </c>
      <c r="AI14" s="25">
        <f t="shared" si="15"/>
        <v>804.69762340036584</v>
      </c>
      <c r="AJ14" s="25">
        <f t="shared" si="16"/>
        <v>830.72735632183912</v>
      </c>
      <c r="AK14" s="429">
        <f t="shared" si="17"/>
        <v>826.26377708978316</v>
      </c>
    </row>
    <row r="15" spans="1:37" x14ac:dyDescent="0.25">
      <c r="A15" s="423" t="s">
        <v>892</v>
      </c>
      <c r="B15" s="448">
        <v>27</v>
      </c>
      <c r="C15" s="25">
        <v>72</v>
      </c>
      <c r="D15" s="42" t="s">
        <v>168</v>
      </c>
      <c r="E15" s="449">
        <v>4</v>
      </c>
      <c r="F15" s="450">
        <v>1</v>
      </c>
      <c r="G15" s="451">
        <v>6</v>
      </c>
      <c r="H15" s="36">
        <v>0</v>
      </c>
      <c r="I15" s="36">
        <v>3</v>
      </c>
      <c r="J15" s="36">
        <v>3</v>
      </c>
      <c r="K15" s="36">
        <v>6</v>
      </c>
      <c r="L15" s="36">
        <v>10</v>
      </c>
      <c r="M15" s="36">
        <v>14</v>
      </c>
      <c r="N15" s="452">
        <v>12</v>
      </c>
      <c r="O15" s="27">
        <f t="shared" si="0"/>
        <v>0.75563025007672879</v>
      </c>
      <c r="P15" s="27">
        <f t="shared" si="1"/>
        <v>15.829658805676747</v>
      </c>
      <c r="Q15" s="27">
        <f t="shared" si="2"/>
        <v>12.720092425437354</v>
      </c>
      <c r="R15" s="453">
        <f t="shared" si="3"/>
        <v>3.5763703051140703</v>
      </c>
      <c r="S15" s="27">
        <f t="shared" si="4"/>
        <v>2.0452392102076793</v>
      </c>
      <c r="T15" s="27">
        <f t="shared" si="5"/>
        <v>6.2035557352665052</v>
      </c>
      <c r="U15" s="27">
        <f t="shared" si="6"/>
        <v>15.886264410575976</v>
      </c>
      <c r="V15" s="453">
        <f t="shared" si="7"/>
        <v>6.2035557352665052</v>
      </c>
      <c r="W15" s="27">
        <f t="shared" si="8"/>
        <v>1.2593837501278813</v>
      </c>
      <c r="X15" s="27">
        <f t="shared" si="9"/>
        <v>7.6553843053186803</v>
      </c>
      <c r="Y15" s="27">
        <f t="shared" si="10"/>
        <v>20.479385415700278</v>
      </c>
      <c r="Z15" s="453">
        <f t="shared" si="11"/>
        <v>7.6553843053186803</v>
      </c>
      <c r="AA15">
        <v>4750</v>
      </c>
      <c r="AB15" s="454">
        <f>22.4*1.2</f>
        <v>26.88</v>
      </c>
      <c r="AC15" s="41">
        <v>900</v>
      </c>
      <c r="AD15" s="41">
        <v>1500</v>
      </c>
      <c r="AE15" s="455">
        <v>2300</v>
      </c>
      <c r="AF15" s="25">
        <f t="shared" si="12"/>
        <v>7567.119999999999</v>
      </c>
      <c r="AG15" s="25">
        <f t="shared" si="13"/>
        <v>6106.96</v>
      </c>
      <c r="AH15" s="456">
        <f t="shared" si="14"/>
        <v>4446.8</v>
      </c>
      <c r="AI15" s="25">
        <f t="shared" si="15"/>
        <v>808.69984732824412</v>
      </c>
      <c r="AJ15" s="25">
        <f t="shared" si="16"/>
        <v>830.07223300970884</v>
      </c>
      <c r="AK15" s="456">
        <f t="shared" si="17"/>
        <v>830.06933333333347</v>
      </c>
    </row>
    <row r="16" spans="1:37" x14ac:dyDescent="0.25">
      <c r="A16" s="423" t="s">
        <v>896</v>
      </c>
      <c r="B16" s="448">
        <v>25</v>
      </c>
      <c r="C16" s="25">
        <v>86</v>
      </c>
      <c r="D16" s="42" t="s">
        <v>178</v>
      </c>
      <c r="E16" s="449">
        <v>6</v>
      </c>
      <c r="F16" s="450">
        <v>1</v>
      </c>
      <c r="G16" s="451">
        <v>4</v>
      </c>
      <c r="H16" s="36">
        <v>0</v>
      </c>
      <c r="I16" s="36">
        <v>2</v>
      </c>
      <c r="J16" s="36">
        <v>9</v>
      </c>
      <c r="K16" s="36">
        <v>9</v>
      </c>
      <c r="L16" s="36">
        <v>8</v>
      </c>
      <c r="M16" s="36">
        <v>12</v>
      </c>
      <c r="N16" s="452">
        <v>2</v>
      </c>
      <c r="O16" s="27">
        <f t="shared" si="0"/>
        <v>1.6204119982655925</v>
      </c>
      <c r="P16" s="27">
        <f t="shared" si="1"/>
        <v>15.753033824702527</v>
      </c>
      <c r="Q16" s="27">
        <f t="shared" si="2"/>
        <v>10.809348390113877</v>
      </c>
      <c r="R16" s="453">
        <f t="shared" si="3"/>
        <v>3.0780125040881812</v>
      </c>
      <c r="S16" s="27">
        <f t="shared" si="4"/>
        <v>4.3859151419722044</v>
      </c>
      <c r="T16" s="27">
        <f t="shared" si="5"/>
        <v>5.7592310073091575</v>
      </c>
      <c r="U16" s="27">
        <f t="shared" si="6"/>
        <v>13.369892733647049</v>
      </c>
      <c r="V16" s="453">
        <f t="shared" si="7"/>
        <v>5.7592310073091575</v>
      </c>
      <c r="W16" s="27">
        <f t="shared" si="8"/>
        <v>2.7006866637759877</v>
      </c>
      <c r="X16" s="27">
        <f t="shared" si="9"/>
        <v>7.3681111661297614</v>
      </c>
      <c r="Y16" s="27">
        <f t="shared" si="10"/>
        <v>17.419960170837307</v>
      </c>
      <c r="Z16" s="453">
        <f t="shared" si="11"/>
        <v>7.3681111661297614</v>
      </c>
      <c r="AA16">
        <v>6600</v>
      </c>
      <c r="AB16" s="454">
        <v>11.8</v>
      </c>
      <c r="AC16" s="41">
        <v>900</v>
      </c>
      <c r="AD16" s="41">
        <v>1800</v>
      </c>
      <c r="AE16" s="455">
        <v>1820</v>
      </c>
      <c r="AF16" s="25">
        <f t="shared" si="12"/>
        <v>7732.971428571429</v>
      </c>
      <c r="AG16" s="25">
        <f t="shared" si="13"/>
        <v>6455.3714285714286</v>
      </c>
      <c r="AH16" s="456">
        <f t="shared" si="14"/>
        <v>6057.7714285714283</v>
      </c>
      <c r="AI16" s="25">
        <f t="shared" si="15"/>
        <v>688.46804451510332</v>
      </c>
      <c r="AJ16" s="25">
        <f t="shared" si="16"/>
        <v>699.22785299806571</v>
      </c>
      <c r="AK16" s="456">
        <f t="shared" si="17"/>
        <v>837.61777777777775</v>
      </c>
    </row>
    <row r="17" spans="1:39" x14ac:dyDescent="0.25">
      <c r="A17" s="423" t="s">
        <v>899</v>
      </c>
      <c r="B17" s="278">
        <v>23</v>
      </c>
      <c r="C17" s="25">
        <v>77</v>
      </c>
      <c r="D17" s="42" t="s">
        <v>165</v>
      </c>
      <c r="E17" s="422">
        <v>4</v>
      </c>
      <c r="F17" s="424">
        <v>1</v>
      </c>
      <c r="G17" s="425">
        <v>4</v>
      </c>
      <c r="H17" s="36">
        <v>0</v>
      </c>
      <c r="I17" s="36">
        <v>3</v>
      </c>
      <c r="J17" s="36">
        <v>5</v>
      </c>
      <c r="K17" s="36">
        <v>5</v>
      </c>
      <c r="L17" s="36">
        <v>13</v>
      </c>
      <c r="M17" s="36">
        <v>14</v>
      </c>
      <c r="N17" s="426">
        <v>4</v>
      </c>
      <c r="O17" s="27">
        <f t="shared" si="0"/>
        <v>1.0204119982655924</v>
      </c>
      <c r="P17" s="27">
        <f t="shared" si="1"/>
        <v>15.528033824702527</v>
      </c>
      <c r="Q17" s="27">
        <f t="shared" si="2"/>
        <v>13.263348390113878</v>
      </c>
      <c r="R17" s="427">
        <f t="shared" si="3"/>
        <v>3.5240125040881809</v>
      </c>
      <c r="S17" s="27">
        <f t="shared" si="4"/>
        <v>2.7619151419722039</v>
      </c>
      <c r="T17" s="27">
        <f t="shared" si="5"/>
        <v>6.6872310073091583</v>
      </c>
      <c r="U17" s="27">
        <f t="shared" si="6"/>
        <v>17.250892733647049</v>
      </c>
      <c r="V17" s="427">
        <f t="shared" si="7"/>
        <v>6.6872310073091583</v>
      </c>
      <c r="W17" s="27">
        <f t="shared" si="8"/>
        <v>1.7006866637759874</v>
      </c>
      <c r="X17" s="27">
        <f t="shared" si="9"/>
        <v>7.7141111661297606</v>
      </c>
      <c r="Y17" s="27">
        <f t="shared" si="10"/>
        <v>21.264960170837309</v>
      </c>
      <c r="Z17" s="427">
        <f t="shared" si="11"/>
        <v>7.7141111661297606</v>
      </c>
      <c r="AA17">
        <v>8762</v>
      </c>
      <c r="AB17" s="286">
        <v>29.3</v>
      </c>
      <c r="AC17" s="41">
        <v>1500</v>
      </c>
      <c r="AD17" s="41">
        <v>3500</v>
      </c>
      <c r="AE17" s="428">
        <v>5000</v>
      </c>
      <c r="AF17" s="25">
        <f t="shared" si="12"/>
        <v>13209.900000000001</v>
      </c>
      <c r="AG17" s="25">
        <f t="shared" si="13"/>
        <v>10272.299999999999</v>
      </c>
      <c r="AH17" s="429">
        <f t="shared" si="14"/>
        <v>7834.7000000000007</v>
      </c>
      <c r="AI17" s="25">
        <f t="shared" si="15"/>
        <v>992.29295774647903</v>
      </c>
      <c r="AJ17" s="25">
        <f t="shared" si="16"/>
        <v>908.04861878453028</v>
      </c>
      <c r="AK17" s="429">
        <f t="shared" si="17"/>
        <v>841.31006711409407</v>
      </c>
    </row>
    <row r="18" spans="1:39" x14ac:dyDescent="0.25">
      <c r="A18" s="423" t="s">
        <v>898</v>
      </c>
      <c r="B18" s="278">
        <v>25</v>
      </c>
      <c r="C18" s="25">
        <v>4</v>
      </c>
      <c r="D18" s="42" t="s">
        <v>168</v>
      </c>
      <c r="E18" s="422">
        <v>2</v>
      </c>
      <c r="F18" s="424">
        <v>1</v>
      </c>
      <c r="G18" s="425">
        <v>7</v>
      </c>
      <c r="H18" s="36">
        <v>0</v>
      </c>
      <c r="I18" s="36">
        <v>4</v>
      </c>
      <c r="J18" s="36">
        <v>11</v>
      </c>
      <c r="K18" s="36">
        <v>2</v>
      </c>
      <c r="L18" s="36">
        <v>11</v>
      </c>
      <c r="M18" s="36">
        <v>13</v>
      </c>
      <c r="N18" s="426">
        <v>5</v>
      </c>
      <c r="O18" s="27">
        <f t="shared" si="0"/>
        <v>1.9690196080028513</v>
      </c>
      <c r="P18" s="27">
        <f t="shared" si="1"/>
        <v>13.286752942585149</v>
      </c>
      <c r="Q18" s="27">
        <f t="shared" si="2"/>
        <v>12.437411765616252</v>
      </c>
      <c r="R18" s="427">
        <f t="shared" si="3"/>
        <v>3.3732758172309056</v>
      </c>
      <c r="S18" s="27">
        <f t="shared" si="4"/>
        <v>5.3294797389943849</v>
      </c>
      <c r="T18" s="27">
        <f t="shared" si="5"/>
        <v>5.7970614384632366</v>
      </c>
      <c r="U18" s="27">
        <f t="shared" si="6"/>
        <v>15.94677385740807</v>
      </c>
      <c r="V18" s="427">
        <f t="shared" si="7"/>
        <v>5.7970614384632366</v>
      </c>
      <c r="W18" s="27">
        <f t="shared" si="8"/>
        <v>3.2816993466714188</v>
      </c>
      <c r="X18" s="27">
        <f t="shared" si="9"/>
        <v>6.7089947719051759</v>
      </c>
      <c r="Y18" s="27">
        <f t="shared" si="10"/>
        <v>19.970585622372688</v>
      </c>
      <c r="Z18" s="427">
        <f t="shared" si="11"/>
        <v>6.7089947719051759</v>
      </c>
      <c r="AA18">
        <v>8100</v>
      </c>
      <c r="AB18" s="286">
        <v>22.4</v>
      </c>
      <c r="AC18" s="41">
        <v>2000</v>
      </c>
      <c r="AD18" s="41">
        <v>3000</v>
      </c>
      <c r="AE18" s="428">
        <v>3500</v>
      </c>
      <c r="AF18" s="25">
        <f t="shared" si="12"/>
        <v>9696.7999999999993</v>
      </c>
      <c r="AG18" s="25">
        <f t="shared" si="13"/>
        <v>7980</v>
      </c>
      <c r="AH18" s="429">
        <f t="shared" si="14"/>
        <v>6763.2000000000007</v>
      </c>
      <c r="AI18" s="25">
        <f t="shared" si="15"/>
        <v>810.47880597014921</v>
      </c>
      <c r="AJ18" s="25">
        <f t="shared" si="16"/>
        <v>800.86021505376345</v>
      </c>
      <c r="AK18" s="429">
        <f t="shared" si="17"/>
        <v>849.19103139013464</v>
      </c>
    </row>
    <row r="19" spans="1:39" x14ac:dyDescent="0.25">
      <c r="A19" s="423" t="s">
        <v>980</v>
      </c>
      <c r="B19" s="278">
        <v>27</v>
      </c>
      <c r="C19" s="25">
        <v>36</v>
      </c>
      <c r="D19" s="42" t="s">
        <v>168</v>
      </c>
      <c r="E19" s="422">
        <v>6</v>
      </c>
      <c r="F19" s="424">
        <v>1</v>
      </c>
      <c r="G19" s="425">
        <v>5</v>
      </c>
      <c r="H19" s="36">
        <v>0</v>
      </c>
      <c r="I19" s="36">
        <v>4</v>
      </c>
      <c r="J19" s="36">
        <v>6</v>
      </c>
      <c r="K19" s="36">
        <v>7</v>
      </c>
      <c r="L19" s="36">
        <v>9</v>
      </c>
      <c r="M19" s="36">
        <v>14</v>
      </c>
      <c r="N19" s="426">
        <v>4</v>
      </c>
      <c r="O19" s="27">
        <f t="shared" si="0"/>
        <v>1.1897940008672037</v>
      </c>
      <c r="P19" s="27">
        <f t="shared" si="1"/>
        <v>16.070983087648735</v>
      </c>
      <c r="Q19" s="27">
        <f t="shared" si="2"/>
        <v>12.381825804943061</v>
      </c>
      <c r="R19" s="427">
        <f t="shared" si="3"/>
        <v>3.5528270812892426</v>
      </c>
      <c r="S19" s="27">
        <f t="shared" si="4"/>
        <v>3.2203757623472318</v>
      </c>
      <c r="T19" s="27">
        <f t="shared" si="5"/>
        <v>6.0425511630120869</v>
      </c>
      <c r="U19" s="27">
        <f t="shared" si="6"/>
        <v>15.224386966509808</v>
      </c>
      <c r="V19" s="427">
        <f t="shared" si="7"/>
        <v>6.0425511630120869</v>
      </c>
      <c r="W19" s="27">
        <f t="shared" si="8"/>
        <v>1.9829900014453397</v>
      </c>
      <c r="X19" s="27">
        <f t="shared" si="9"/>
        <v>7.6686110836017853</v>
      </c>
      <c r="Y19" s="27">
        <f t="shared" si="10"/>
        <v>19.96585324791468</v>
      </c>
      <c r="Z19" s="427">
        <f t="shared" si="11"/>
        <v>7.6686110836017853</v>
      </c>
      <c r="AA19">
        <v>6000</v>
      </c>
      <c r="AB19" s="286">
        <v>27.3</v>
      </c>
      <c r="AC19" s="41">
        <v>1400</v>
      </c>
      <c r="AD19" s="41">
        <v>1800</v>
      </c>
      <c r="AE19" s="428">
        <v>3000</v>
      </c>
      <c r="AF19" s="25">
        <f t="shared" si="12"/>
        <v>8234.7999999999993</v>
      </c>
      <c r="AG19" s="25">
        <f t="shared" si="13"/>
        <v>6961.2000000000007</v>
      </c>
      <c r="AH19" s="429">
        <f t="shared" si="14"/>
        <v>4887.6000000000004</v>
      </c>
      <c r="AI19" s="25">
        <f t="shared" si="15"/>
        <v>850.82804428044267</v>
      </c>
      <c r="AJ19" s="25">
        <f t="shared" si="16"/>
        <v>906.5748837209303</v>
      </c>
      <c r="AK19" s="429">
        <f t="shared" si="17"/>
        <v>860.70943396226414</v>
      </c>
    </row>
    <row r="20" spans="1:39" x14ac:dyDescent="0.25">
      <c r="A20" s="423" t="s">
        <v>894</v>
      </c>
      <c r="B20" s="278">
        <v>27</v>
      </c>
      <c r="C20" s="25">
        <v>10</v>
      </c>
      <c r="D20" s="42" t="s">
        <v>168</v>
      </c>
      <c r="E20" s="422">
        <v>3</v>
      </c>
      <c r="F20" s="424">
        <v>1</v>
      </c>
      <c r="G20" s="425">
        <v>5</v>
      </c>
      <c r="H20" s="36">
        <v>0</v>
      </c>
      <c r="I20" s="36">
        <v>1</v>
      </c>
      <c r="J20" s="36">
        <v>4</v>
      </c>
      <c r="K20" s="36">
        <v>2</v>
      </c>
      <c r="L20" s="36">
        <v>14</v>
      </c>
      <c r="M20" s="36">
        <v>13</v>
      </c>
      <c r="N20" s="426">
        <v>2</v>
      </c>
      <c r="O20" s="27">
        <f t="shared" si="0"/>
        <v>0.88979400086720373</v>
      </c>
      <c r="P20" s="27">
        <f t="shared" si="1"/>
        <v>13.613983087648737</v>
      </c>
      <c r="Q20" s="27">
        <f t="shared" si="2"/>
        <v>13.014825804943062</v>
      </c>
      <c r="R20" s="427">
        <f t="shared" si="3"/>
        <v>3.3298270812892428</v>
      </c>
      <c r="S20" s="27">
        <f t="shared" si="4"/>
        <v>2.4083757623472319</v>
      </c>
      <c r="T20" s="27">
        <f t="shared" si="5"/>
        <v>6.4455511630120874</v>
      </c>
      <c r="U20" s="27">
        <f t="shared" si="6"/>
        <v>17.35638696650981</v>
      </c>
      <c r="V20" s="427">
        <f t="shared" si="7"/>
        <v>6.4455511630120874</v>
      </c>
      <c r="W20" s="27">
        <f t="shared" si="8"/>
        <v>1.4829900014453397</v>
      </c>
      <c r="X20" s="27">
        <f t="shared" si="9"/>
        <v>7.013611083601786</v>
      </c>
      <c r="Y20" s="27">
        <f t="shared" si="10"/>
        <v>20.810853247914679</v>
      </c>
      <c r="Z20" s="427">
        <f t="shared" si="11"/>
        <v>7.013611083601786</v>
      </c>
      <c r="AA20">
        <v>5500</v>
      </c>
      <c r="AB20" s="286">
        <v>23.2</v>
      </c>
      <c r="AC20" s="41">
        <v>1200</v>
      </c>
      <c r="AD20" s="41">
        <v>1500</v>
      </c>
      <c r="AE20" s="428">
        <v>1900</v>
      </c>
      <c r="AF20" s="25">
        <f t="shared" si="12"/>
        <v>7302.7428571428572</v>
      </c>
      <c r="AG20" s="25">
        <f t="shared" si="13"/>
        <v>6260.3428571428576</v>
      </c>
      <c r="AH20" s="429">
        <f t="shared" si="14"/>
        <v>5117.9428571428571</v>
      </c>
      <c r="AI20" s="25">
        <f t="shared" si="15"/>
        <v>736.85333333333324</v>
      </c>
      <c r="AJ20" s="25">
        <f t="shared" si="16"/>
        <v>791.37516930022582</v>
      </c>
      <c r="AK20" s="429">
        <f t="shared" si="17"/>
        <v>865.87552870090633</v>
      </c>
    </row>
    <row r="21" spans="1:39" x14ac:dyDescent="0.25">
      <c r="A21" s="423" t="s">
        <v>889</v>
      </c>
      <c r="B21" s="278">
        <v>29</v>
      </c>
      <c r="C21" s="25">
        <v>20</v>
      </c>
      <c r="D21" s="42" t="s">
        <v>165</v>
      </c>
      <c r="E21" s="422">
        <v>5</v>
      </c>
      <c r="F21" s="424">
        <v>1</v>
      </c>
      <c r="G21" s="425">
        <v>7</v>
      </c>
      <c r="H21" s="36">
        <v>0</v>
      </c>
      <c r="I21" s="36">
        <v>4</v>
      </c>
      <c r="J21" s="36">
        <v>2</v>
      </c>
      <c r="K21" s="36">
        <v>2</v>
      </c>
      <c r="L21" s="36">
        <v>16</v>
      </c>
      <c r="M21" s="36">
        <v>12</v>
      </c>
      <c r="N21" s="426">
        <v>16</v>
      </c>
      <c r="O21" s="27">
        <f t="shared" si="0"/>
        <v>0.61901960800285127</v>
      </c>
      <c r="P21" s="27">
        <f t="shared" si="1"/>
        <v>13.709752942585149</v>
      </c>
      <c r="Q21" s="27">
        <f t="shared" si="2"/>
        <v>13.070411765616253</v>
      </c>
      <c r="R21" s="427">
        <f t="shared" si="3"/>
        <v>3.1502758172309058</v>
      </c>
      <c r="S21" s="27">
        <f t="shared" si="4"/>
        <v>1.6754797389943843</v>
      </c>
      <c r="T21" s="27">
        <f t="shared" si="5"/>
        <v>6.9200614384632368</v>
      </c>
      <c r="U21" s="27">
        <f t="shared" si="6"/>
        <v>18.078773857408073</v>
      </c>
      <c r="V21" s="427">
        <f t="shared" si="7"/>
        <v>6.9200614384632368</v>
      </c>
      <c r="W21" s="27">
        <f t="shared" si="8"/>
        <v>1.0316993466714188</v>
      </c>
      <c r="X21" s="27">
        <f t="shared" si="9"/>
        <v>7.1589947719051761</v>
      </c>
      <c r="Y21" s="27">
        <f t="shared" si="10"/>
        <v>20.815585622372691</v>
      </c>
      <c r="Z21" s="427">
        <f t="shared" si="11"/>
        <v>7.1589947719051761</v>
      </c>
      <c r="AA21">
        <v>3290</v>
      </c>
      <c r="AB21" s="286">
        <v>36.1</v>
      </c>
      <c r="AC21" s="41">
        <v>850</v>
      </c>
      <c r="AD21" s="41">
        <v>950</v>
      </c>
      <c r="AE21" s="428">
        <v>1200</v>
      </c>
      <c r="AF21" s="25">
        <f t="shared" si="12"/>
        <v>6008.7428571428572</v>
      </c>
      <c r="AG21" s="25">
        <f t="shared" si="13"/>
        <v>4753.5428571428574</v>
      </c>
      <c r="AH21" s="429">
        <f t="shared" si="14"/>
        <v>3348.3428571428576</v>
      </c>
      <c r="AI21" s="25">
        <f t="shared" si="15"/>
        <v>768.24109589041097</v>
      </c>
      <c r="AJ21" s="25">
        <f t="shared" si="16"/>
        <v>816.55950920245402</v>
      </c>
      <c r="AK21" s="429">
        <f t="shared" si="17"/>
        <v>876.20186915887871</v>
      </c>
    </row>
    <row r="22" spans="1:39" x14ac:dyDescent="0.25">
      <c r="A22" s="423" t="s">
        <v>893</v>
      </c>
      <c r="B22" s="278">
        <v>27</v>
      </c>
      <c r="C22" s="25">
        <v>103</v>
      </c>
      <c r="D22" s="42" t="s">
        <v>178</v>
      </c>
      <c r="E22" s="422">
        <v>3</v>
      </c>
      <c r="F22" s="424">
        <v>1</v>
      </c>
      <c r="G22" s="425">
        <v>6</v>
      </c>
      <c r="H22" s="36">
        <v>0</v>
      </c>
      <c r="I22" s="36">
        <v>4</v>
      </c>
      <c r="J22" s="36">
        <v>9</v>
      </c>
      <c r="K22" s="36">
        <v>1</v>
      </c>
      <c r="L22" s="36">
        <v>14</v>
      </c>
      <c r="M22" s="36">
        <v>12</v>
      </c>
      <c r="N22" s="426">
        <v>1</v>
      </c>
      <c r="O22" s="27">
        <f t="shared" si="0"/>
        <v>1.6556302500767288</v>
      </c>
      <c r="P22" s="27">
        <f t="shared" si="1"/>
        <v>12.62565880567675</v>
      </c>
      <c r="Q22" s="27">
        <f t="shared" si="2"/>
        <v>12.498092425437354</v>
      </c>
      <c r="R22" s="427">
        <f t="shared" si="3"/>
        <v>3.1303703051140701</v>
      </c>
      <c r="S22" s="27">
        <f t="shared" si="4"/>
        <v>4.4812392102076792</v>
      </c>
      <c r="T22" s="27">
        <f t="shared" si="5"/>
        <v>6.229555735266505</v>
      </c>
      <c r="U22" s="27">
        <f t="shared" si="6"/>
        <v>16.892264410575976</v>
      </c>
      <c r="V22" s="427">
        <f t="shared" si="7"/>
        <v>6.229555735266505</v>
      </c>
      <c r="W22" s="27">
        <f t="shared" si="8"/>
        <v>2.7593837501278813</v>
      </c>
      <c r="X22" s="27">
        <f t="shared" si="9"/>
        <v>6.5983843053186799</v>
      </c>
      <c r="Y22" s="27">
        <f t="shared" si="10"/>
        <v>19.955385415700277</v>
      </c>
      <c r="Z22" s="427">
        <f t="shared" si="11"/>
        <v>6.5983843053186799</v>
      </c>
      <c r="AA22">
        <v>5280</v>
      </c>
      <c r="AB22" s="286">
        <v>17.5</v>
      </c>
      <c r="AC22" s="41">
        <v>880</v>
      </c>
      <c r="AD22" s="41">
        <v>1100</v>
      </c>
      <c r="AE22" s="428">
        <v>2200</v>
      </c>
      <c r="AF22" s="25">
        <f t="shared" si="12"/>
        <v>6897.5</v>
      </c>
      <c r="AG22" s="25">
        <f t="shared" si="13"/>
        <v>6117.5</v>
      </c>
      <c r="AH22" s="429">
        <f t="shared" si="14"/>
        <v>4457.5</v>
      </c>
      <c r="AI22" s="25">
        <f t="shared" si="15"/>
        <v>759.60668633235014</v>
      </c>
      <c r="AJ22" s="25">
        <f t="shared" si="16"/>
        <v>864.01008827238331</v>
      </c>
      <c r="AK22" s="429">
        <f t="shared" si="17"/>
        <v>877.39894551845339</v>
      </c>
    </row>
    <row r="23" spans="1:39" x14ac:dyDescent="0.25">
      <c r="A23" s="457" t="s">
        <v>979</v>
      </c>
      <c r="B23" s="278">
        <v>27</v>
      </c>
      <c r="C23" s="25">
        <v>47</v>
      </c>
      <c r="D23" s="42" t="s">
        <v>168</v>
      </c>
      <c r="E23" s="422">
        <v>3</v>
      </c>
      <c r="F23" s="424">
        <v>1</v>
      </c>
      <c r="G23" s="425">
        <v>7</v>
      </c>
      <c r="H23" s="36">
        <v>0</v>
      </c>
      <c r="I23" s="36">
        <v>5</v>
      </c>
      <c r="J23" s="36">
        <v>5</v>
      </c>
      <c r="K23" s="36">
        <v>7</v>
      </c>
      <c r="L23" s="36">
        <v>11</v>
      </c>
      <c r="M23" s="36">
        <v>13</v>
      </c>
      <c r="N23" s="426">
        <v>8</v>
      </c>
      <c r="O23" s="27">
        <f t="shared" si="0"/>
        <v>1.0690196080028513</v>
      </c>
      <c r="P23" s="27">
        <f t="shared" si="1"/>
        <v>16.166752942585148</v>
      </c>
      <c r="Q23" s="27">
        <f t="shared" si="2"/>
        <v>12.437411765616252</v>
      </c>
      <c r="R23" s="427">
        <f t="shared" si="3"/>
        <v>3.3732758172309056</v>
      </c>
      <c r="S23" s="27">
        <f t="shared" si="4"/>
        <v>2.8934797389943845</v>
      </c>
      <c r="T23" s="27">
        <f t="shared" si="5"/>
        <v>6.5170614384632373</v>
      </c>
      <c r="U23" s="27">
        <f t="shared" si="6"/>
        <v>15.94677385740807</v>
      </c>
      <c r="V23" s="427">
        <f t="shared" si="7"/>
        <v>6.5170614384632373</v>
      </c>
      <c r="W23" s="27">
        <f t="shared" si="8"/>
        <v>1.7816993466714188</v>
      </c>
      <c r="X23" s="27">
        <f t="shared" si="9"/>
        <v>7.8139947719051754</v>
      </c>
      <c r="Y23" s="27">
        <f t="shared" si="10"/>
        <v>19.970585622372688</v>
      </c>
      <c r="Z23" s="427">
        <f t="shared" si="11"/>
        <v>7.8139947719051754</v>
      </c>
      <c r="AA23">
        <v>5400</v>
      </c>
      <c r="AB23" s="286">
        <v>24.7</v>
      </c>
      <c r="AC23" s="41">
        <v>950</v>
      </c>
      <c r="AD23" s="41">
        <v>1600</v>
      </c>
      <c r="AE23" s="428">
        <v>2250</v>
      </c>
      <c r="AF23" s="25">
        <f t="shared" si="12"/>
        <v>7777.442857142858</v>
      </c>
      <c r="AG23" s="25">
        <f t="shared" si="13"/>
        <v>6337.0428571428565</v>
      </c>
      <c r="AH23" s="429">
        <f t="shared" si="14"/>
        <v>4896.6428571428569</v>
      </c>
      <c r="AI23" s="25">
        <f t="shared" si="15"/>
        <v>811.81136999068042</v>
      </c>
      <c r="AJ23" s="25">
        <f t="shared" si="16"/>
        <v>835.98209658421661</v>
      </c>
      <c r="AK23" s="429">
        <f t="shared" si="17"/>
        <v>877.47839999999985</v>
      </c>
    </row>
    <row r="24" spans="1:39" x14ac:dyDescent="0.25">
      <c r="A24" s="423" t="s">
        <v>901</v>
      </c>
      <c r="B24" s="278">
        <v>23</v>
      </c>
      <c r="C24" s="25">
        <v>59</v>
      </c>
      <c r="D24" s="42" t="s">
        <v>165</v>
      </c>
      <c r="E24" s="422">
        <v>4</v>
      </c>
      <c r="F24" s="424">
        <v>1</v>
      </c>
      <c r="G24" s="425">
        <v>1</v>
      </c>
      <c r="H24" s="36">
        <v>0</v>
      </c>
      <c r="I24" s="36">
        <v>2</v>
      </c>
      <c r="J24" s="36">
        <v>6</v>
      </c>
      <c r="K24" s="36">
        <v>3</v>
      </c>
      <c r="L24" s="36">
        <v>11</v>
      </c>
      <c r="M24" s="36">
        <v>14</v>
      </c>
      <c r="N24" s="426">
        <v>8</v>
      </c>
      <c r="O24" s="27">
        <f t="shared" si="0"/>
        <v>1.05</v>
      </c>
      <c r="P24" s="27">
        <f t="shared" si="1"/>
        <v>12.924000000000001</v>
      </c>
      <c r="Q24" s="27">
        <f t="shared" si="2"/>
        <v>12.081</v>
      </c>
      <c r="R24" s="427">
        <f t="shared" si="3"/>
        <v>3.3450000000000002</v>
      </c>
      <c r="S24" s="27">
        <f t="shared" si="4"/>
        <v>2.8420000000000001</v>
      </c>
      <c r="T24" s="27">
        <f t="shared" si="5"/>
        <v>5.4809999999999999</v>
      </c>
      <c r="U24" s="27">
        <f t="shared" si="6"/>
        <v>15.260999999999999</v>
      </c>
      <c r="V24" s="427">
        <f t="shared" si="7"/>
        <v>5.4809999999999999</v>
      </c>
      <c r="W24" s="27">
        <f t="shared" si="8"/>
        <v>1.75</v>
      </c>
      <c r="X24" s="27">
        <f t="shared" si="9"/>
        <v>6.4880000000000004</v>
      </c>
      <c r="Y24" s="27">
        <f t="shared" si="10"/>
        <v>19.428000000000001</v>
      </c>
      <c r="Z24" s="427">
        <f t="shared" si="11"/>
        <v>6.4880000000000004</v>
      </c>
      <c r="AA24">
        <v>7250</v>
      </c>
      <c r="AB24" s="286">
        <v>26.1</v>
      </c>
      <c r="AC24" s="41">
        <v>1300</v>
      </c>
      <c r="AD24" s="41">
        <v>1600</v>
      </c>
      <c r="AE24" s="428">
        <v>2000</v>
      </c>
      <c r="AF24" s="25">
        <f t="shared" si="12"/>
        <v>11181.185714285715</v>
      </c>
      <c r="AG24" s="25">
        <f t="shared" si="13"/>
        <v>10045.985714285714</v>
      </c>
      <c r="AH24" s="429">
        <f t="shared" si="14"/>
        <v>8810.7857142857138</v>
      </c>
      <c r="AI24" s="25">
        <f t="shared" si="15"/>
        <v>829.88257123923131</v>
      </c>
      <c r="AJ24" s="25">
        <f t="shared" si="16"/>
        <v>875.60342412451359</v>
      </c>
      <c r="AK24" s="429">
        <f t="shared" si="17"/>
        <v>930.07351555136654</v>
      </c>
    </row>
    <row r="25" spans="1:39" x14ac:dyDescent="0.25">
      <c r="A25" s="423" t="s">
        <v>981</v>
      </c>
      <c r="B25" s="278">
        <v>28</v>
      </c>
      <c r="C25" s="25">
        <v>63</v>
      </c>
      <c r="D25" s="42" t="s">
        <v>168</v>
      </c>
      <c r="E25" s="422">
        <v>3</v>
      </c>
      <c r="F25" s="424">
        <v>1</v>
      </c>
      <c r="G25" s="425">
        <v>7</v>
      </c>
      <c r="H25" s="36">
        <v>0</v>
      </c>
      <c r="I25" s="36">
        <v>3</v>
      </c>
      <c r="J25" s="36">
        <v>7</v>
      </c>
      <c r="K25" s="36">
        <v>7</v>
      </c>
      <c r="L25" s="36">
        <v>13</v>
      </c>
      <c r="M25" s="36">
        <v>13</v>
      </c>
      <c r="N25" s="426">
        <v>0</v>
      </c>
      <c r="O25" s="27">
        <f t="shared" si="0"/>
        <v>1.3690196080028512</v>
      </c>
      <c r="P25" s="27">
        <f t="shared" si="1"/>
        <v>16.556752942585149</v>
      </c>
      <c r="Q25" s="27">
        <f t="shared" si="2"/>
        <v>12.933411765616253</v>
      </c>
      <c r="R25" s="427">
        <f t="shared" si="3"/>
        <v>3.3732758172309056</v>
      </c>
      <c r="S25" s="27">
        <f t="shared" si="4"/>
        <v>3.7054797389943843</v>
      </c>
      <c r="T25" s="27">
        <f t="shared" si="5"/>
        <v>7.0170614384632373</v>
      </c>
      <c r="U25" s="27">
        <f t="shared" si="6"/>
        <v>17.03277385740807</v>
      </c>
      <c r="V25" s="427">
        <f t="shared" si="7"/>
        <v>7.0170614384632373</v>
      </c>
      <c r="W25" s="27">
        <f t="shared" si="8"/>
        <v>2.2816993466714188</v>
      </c>
      <c r="X25" s="27">
        <f t="shared" si="9"/>
        <v>8.0979947719051744</v>
      </c>
      <c r="Y25" s="27">
        <f t="shared" si="10"/>
        <v>20.708585622372688</v>
      </c>
      <c r="Z25" s="427">
        <f t="shared" si="11"/>
        <v>8.0979947719051744</v>
      </c>
      <c r="AA25" s="461">
        <v>5800</v>
      </c>
      <c r="AB25" s="286">
        <v>26.7</v>
      </c>
      <c r="AC25" s="41">
        <v>1500</v>
      </c>
      <c r="AD25" s="41">
        <v>2100</v>
      </c>
      <c r="AE25" s="428">
        <v>2700</v>
      </c>
      <c r="AF25" s="25">
        <f t="shared" si="12"/>
        <v>7530.7000000000007</v>
      </c>
      <c r="AG25" s="25">
        <f t="shared" si="13"/>
        <v>6076.2999999999993</v>
      </c>
      <c r="AH25" s="429">
        <f t="shared" si="14"/>
        <v>4621.8999999999996</v>
      </c>
      <c r="AI25" s="25">
        <f t="shared" si="15"/>
        <v>892.52740740740751</v>
      </c>
      <c r="AJ25" s="25">
        <f t="shared" si="16"/>
        <v>943.89126213592226</v>
      </c>
      <c r="AK25" s="429">
        <f t="shared" si="17"/>
        <v>1041.5549295774647</v>
      </c>
      <c r="AL25" s="354"/>
      <c r="AM25" s="354"/>
    </row>
    <row r="26" spans="1:39" x14ac:dyDescent="0.25">
      <c r="A26" s="423" t="s">
        <v>897</v>
      </c>
      <c r="B26" s="278">
        <v>27</v>
      </c>
      <c r="C26" s="25">
        <v>38</v>
      </c>
      <c r="D26" s="42" t="s">
        <v>165</v>
      </c>
      <c r="E26" s="422">
        <v>2</v>
      </c>
      <c r="F26" s="424">
        <v>1</v>
      </c>
      <c r="G26" s="425">
        <v>6</v>
      </c>
      <c r="H26" s="36">
        <v>0</v>
      </c>
      <c r="I26" s="36">
        <v>3</v>
      </c>
      <c r="J26" s="36">
        <v>14</v>
      </c>
      <c r="K26" s="36">
        <v>9</v>
      </c>
      <c r="L26" s="36">
        <v>2</v>
      </c>
      <c r="M26" s="36">
        <v>13</v>
      </c>
      <c r="N26" s="426">
        <v>15</v>
      </c>
      <c r="O26" s="27">
        <f t="shared" si="0"/>
        <v>2.4056302500767286</v>
      </c>
      <c r="P26" s="27">
        <f t="shared" si="1"/>
        <v>15.44565880567675</v>
      </c>
      <c r="Q26" s="27">
        <f t="shared" si="2"/>
        <v>10.129092425437353</v>
      </c>
      <c r="R26" s="427">
        <f t="shared" si="3"/>
        <v>3.35337030511407</v>
      </c>
      <c r="S26" s="27">
        <f t="shared" si="4"/>
        <v>6.5112392102076795</v>
      </c>
      <c r="T26" s="27">
        <f t="shared" si="5"/>
        <v>4.508555735266504</v>
      </c>
      <c r="U26" s="27">
        <f t="shared" si="6"/>
        <v>10.959264410575978</v>
      </c>
      <c r="V26" s="427">
        <f t="shared" si="7"/>
        <v>4.508555735266504</v>
      </c>
      <c r="W26" s="27">
        <f t="shared" si="8"/>
        <v>4.0093837501278813</v>
      </c>
      <c r="X26" s="27">
        <f t="shared" si="9"/>
        <v>6.9223843053186807</v>
      </c>
      <c r="Y26" s="27">
        <f t="shared" si="10"/>
        <v>16.527385415700277</v>
      </c>
      <c r="Z26" s="427">
        <f t="shared" si="11"/>
        <v>6.9223843053186807</v>
      </c>
      <c r="AA26">
        <v>6000</v>
      </c>
      <c r="AB26" s="286">
        <f>32.8*1.2</f>
        <v>39.359999999999992</v>
      </c>
      <c r="AC26" s="41">
        <v>500</v>
      </c>
      <c r="AD26" s="41">
        <v>1400</v>
      </c>
      <c r="AE26" s="428">
        <v>2400</v>
      </c>
      <c r="AF26" s="25">
        <f t="shared" si="12"/>
        <v>10751.74857142857</v>
      </c>
      <c r="AG26" s="25">
        <f t="shared" si="13"/>
        <v>8592.2285714285717</v>
      </c>
      <c r="AH26" s="429">
        <f t="shared" si="14"/>
        <v>6332.7085714285713</v>
      </c>
      <c r="AI26" s="25">
        <f t="shared" si="15"/>
        <v>1112.9351571164509</v>
      </c>
      <c r="AJ26" s="25">
        <f t="shared" si="16"/>
        <v>1121.5962703962705</v>
      </c>
      <c r="AK26" s="429">
        <f t="shared" si="17"/>
        <v>1118.7119242902208</v>
      </c>
    </row>
    <row r="27" spans="1:39" x14ac:dyDescent="0.25">
      <c r="A27" s="423" t="s">
        <v>973</v>
      </c>
      <c r="B27" s="278">
        <v>26</v>
      </c>
      <c r="C27" s="25">
        <v>100</v>
      </c>
      <c r="D27" s="42" t="s">
        <v>168</v>
      </c>
      <c r="E27" s="422">
        <v>3</v>
      </c>
      <c r="F27" s="424">
        <v>1</v>
      </c>
      <c r="G27" s="425">
        <v>6</v>
      </c>
      <c r="H27" s="36">
        <v>1</v>
      </c>
      <c r="I27" s="36">
        <v>4</v>
      </c>
      <c r="J27" s="36">
        <v>7</v>
      </c>
      <c r="K27" s="36">
        <v>7</v>
      </c>
      <c r="L27" s="36">
        <v>10</v>
      </c>
      <c r="M27" s="36">
        <v>14</v>
      </c>
      <c r="N27" s="426">
        <v>1</v>
      </c>
      <c r="O27" s="27">
        <f t="shared" si="0"/>
        <v>1.3556302500767288</v>
      </c>
      <c r="P27" s="27">
        <f t="shared" si="1"/>
        <v>16.405658805676747</v>
      </c>
      <c r="Q27" s="27">
        <f t="shared" si="2"/>
        <v>12.720092425437354</v>
      </c>
      <c r="R27" s="427">
        <f t="shared" si="3"/>
        <v>3.5763703051140703</v>
      </c>
      <c r="S27" s="27">
        <f t="shared" si="4"/>
        <v>3.6692392102076794</v>
      </c>
      <c r="T27" s="27">
        <f t="shared" si="5"/>
        <v>6.3475557352665035</v>
      </c>
      <c r="U27" s="27">
        <f t="shared" si="6"/>
        <v>15.886264410575976</v>
      </c>
      <c r="V27" s="427">
        <f t="shared" si="7"/>
        <v>6.3475557352665035</v>
      </c>
      <c r="W27" s="27">
        <f t="shared" si="8"/>
        <v>2.2593837501278813</v>
      </c>
      <c r="X27" s="27">
        <f t="shared" si="9"/>
        <v>7.8763843053186804</v>
      </c>
      <c r="Y27" s="27">
        <f t="shared" si="10"/>
        <v>20.479385415700278</v>
      </c>
      <c r="Z27" s="427">
        <f t="shared" si="11"/>
        <v>7.8763843053186804</v>
      </c>
      <c r="AA27" s="461">
        <v>7100</v>
      </c>
      <c r="AB27" s="286">
        <v>29</v>
      </c>
      <c r="AC27" s="41">
        <v>1900</v>
      </c>
      <c r="AD27" s="41">
        <v>2300</v>
      </c>
      <c r="AE27" s="428">
        <v>3000</v>
      </c>
      <c r="AF27" s="25">
        <f t="shared" si="12"/>
        <v>9790.2857142857138</v>
      </c>
      <c r="AG27" s="25">
        <f t="shared" si="13"/>
        <v>8462.2857142857138</v>
      </c>
      <c r="AH27" s="429">
        <f t="shared" si="14"/>
        <v>6834.2857142857138</v>
      </c>
      <c r="AI27" s="25">
        <f t="shared" si="15"/>
        <v>968.65017667844518</v>
      </c>
      <c r="AJ27" s="25">
        <f t="shared" si="16"/>
        <v>1043.8061674008809</v>
      </c>
      <c r="AK27" s="429">
        <f t="shared" si="17"/>
        <v>1119.0643274853801</v>
      </c>
    </row>
    <row r="28" spans="1:39" x14ac:dyDescent="0.25">
      <c r="A28" s="423" t="s">
        <v>890</v>
      </c>
      <c r="B28" s="278">
        <v>29</v>
      </c>
      <c r="C28" s="25">
        <v>83</v>
      </c>
      <c r="D28" s="42" t="s">
        <v>168</v>
      </c>
      <c r="E28" s="422">
        <v>3</v>
      </c>
      <c r="F28" s="424">
        <v>1</v>
      </c>
      <c r="G28" s="425">
        <v>7</v>
      </c>
      <c r="H28" s="36">
        <v>0</v>
      </c>
      <c r="I28" s="36">
        <v>1</v>
      </c>
      <c r="J28" s="36">
        <v>13</v>
      </c>
      <c r="K28" s="36">
        <v>6</v>
      </c>
      <c r="L28" s="36">
        <v>12</v>
      </c>
      <c r="M28" s="36">
        <v>12</v>
      </c>
      <c r="N28" s="426">
        <v>13</v>
      </c>
      <c r="O28" s="27">
        <f t="shared" si="0"/>
        <v>2.2690196080028513</v>
      </c>
      <c r="P28" s="27">
        <f t="shared" si="1"/>
        <v>15.233752942585149</v>
      </c>
      <c r="Q28" s="27">
        <f t="shared" si="2"/>
        <v>12.078411765616252</v>
      </c>
      <c r="R28" s="427">
        <f t="shared" si="3"/>
        <v>3.1502758172309058</v>
      </c>
      <c r="S28" s="27">
        <f t="shared" si="4"/>
        <v>6.1414797389943843</v>
      </c>
      <c r="T28" s="27">
        <f t="shared" si="5"/>
        <v>6.4960614384632365</v>
      </c>
      <c r="U28" s="27">
        <f t="shared" si="6"/>
        <v>15.906773857408069</v>
      </c>
      <c r="V28" s="427">
        <f t="shared" si="7"/>
        <v>6.4960614384632365</v>
      </c>
      <c r="W28" s="27">
        <f t="shared" si="8"/>
        <v>3.7816993466714188</v>
      </c>
      <c r="X28" s="27">
        <f t="shared" si="9"/>
        <v>7.474994771905175</v>
      </c>
      <c r="Y28" s="27">
        <f t="shared" si="10"/>
        <v>19.339585622372688</v>
      </c>
      <c r="Z28" s="427">
        <f t="shared" si="11"/>
        <v>7.474994771905175</v>
      </c>
      <c r="AA28">
        <v>7100</v>
      </c>
      <c r="AB28" s="286">
        <v>23.9</v>
      </c>
      <c r="AC28" s="41">
        <v>1650</v>
      </c>
      <c r="AD28" s="41">
        <v>2700</v>
      </c>
      <c r="AE28" s="428">
        <v>4000</v>
      </c>
      <c r="AF28" s="25">
        <f t="shared" si="12"/>
        <v>8027.7857142857138</v>
      </c>
      <c r="AG28" s="25">
        <f t="shared" si="13"/>
        <v>6212.9857142857145</v>
      </c>
      <c r="AH28" s="429">
        <f t="shared" si="14"/>
        <v>4148.1857142857143</v>
      </c>
      <c r="AI28" s="25">
        <f t="shared" si="15"/>
        <v>1105.9188191881919</v>
      </c>
      <c r="AJ28" s="25">
        <f t="shared" si="16"/>
        <v>1181.416638370119</v>
      </c>
      <c r="AK28" s="429">
        <f t="shared" si="17"/>
        <v>1272.8679452054794</v>
      </c>
    </row>
    <row r="29" spans="1:39" x14ac:dyDescent="0.25">
      <c r="A29" s="423" t="s">
        <v>895</v>
      </c>
      <c r="B29" s="278">
        <v>28</v>
      </c>
      <c r="C29" s="25">
        <v>77</v>
      </c>
      <c r="D29" s="42" t="s">
        <v>168</v>
      </c>
      <c r="E29" s="422">
        <v>4</v>
      </c>
      <c r="F29" s="424">
        <v>1</v>
      </c>
      <c r="G29" s="425">
        <v>9</v>
      </c>
      <c r="H29" s="36">
        <v>0</v>
      </c>
      <c r="I29" s="36">
        <v>4</v>
      </c>
      <c r="J29" s="36">
        <v>9</v>
      </c>
      <c r="K29" s="36">
        <v>14</v>
      </c>
      <c r="L29" s="36">
        <v>13</v>
      </c>
      <c r="M29" s="36">
        <v>13</v>
      </c>
      <c r="N29" s="426">
        <v>2</v>
      </c>
      <c r="O29" s="27">
        <f t="shared" si="0"/>
        <v>1.690848501887865</v>
      </c>
      <c r="P29" s="27">
        <f t="shared" si="1"/>
        <v>20.781283786650967</v>
      </c>
      <c r="Q29" s="27">
        <f t="shared" si="2"/>
        <v>13.057836460760829</v>
      </c>
      <c r="R29" s="427">
        <f t="shared" si="3"/>
        <v>3.4057281061399594</v>
      </c>
      <c r="S29" s="27">
        <f t="shared" si="4"/>
        <v>4.5765632784431549</v>
      </c>
      <c r="T29" s="27">
        <f t="shared" si="5"/>
        <v>8.1008804632238505</v>
      </c>
      <c r="U29" s="27">
        <f t="shared" si="6"/>
        <v>17.196636087504906</v>
      </c>
      <c r="V29" s="427">
        <f t="shared" si="7"/>
        <v>8.1008804632238505</v>
      </c>
      <c r="W29" s="27">
        <f t="shared" si="8"/>
        <v>2.8180808364797749</v>
      </c>
      <c r="X29" s="27">
        <f t="shared" si="9"/>
        <v>9.7356574445075985</v>
      </c>
      <c r="Y29" s="27">
        <f t="shared" si="10"/>
        <v>20.907810660563246</v>
      </c>
      <c r="Z29" s="427">
        <f t="shared" si="11"/>
        <v>9.7356574445075985</v>
      </c>
      <c r="AA29">
        <v>9900</v>
      </c>
      <c r="AB29" s="286">
        <f>23.2*1.2</f>
        <v>27.84</v>
      </c>
      <c r="AC29" s="41">
        <v>2500</v>
      </c>
      <c r="AD29" s="41">
        <v>4500</v>
      </c>
      <c r="AE29" s="428">
        <v>6000</v>
      </c>
      <c r="AF29" s="25">
        <f t="shared" si="12"/>
        <v>10824.32</v>
      </c>
      <c r="AG29" s="25">
        <f t="shared" si="13"/>
        <v>7933.4400000000005</v>
      </c>
      <c r="AH29" s="429">
        <f t="shared" si="14"/>
        <v>5542.5599999999995</v>
      </c>
      <c r="AI29" s="25">
        <f t="shared" si="15"/>
        <v>1302.1738345864662</v>
      </c>
      <c r="AJ29" s="25">
        <f t="shared" si="16"/>
        <v>1256.7825742574257</v>
      </c>
      <c r="AK29" s="429">
        <f t="shared" si="17"/>
        <v>1285.2313043478259</v>
      </c>
    </row>
    <row r="30" spans="1:39" x14ac:dyDescent="0.25">
      <c r="A30" s="423" t="s">
        <v>891</v>
      </c>
      <c r="B30" s="278">
        <v>29</v>
      </c>
      <c r="C30" s="25">
        <v>67</v>
      </c>
      <c r="D30" s="42" t="s">
        <v>168</v>
      </c>
      <c r="E30" s="422">
        <v>2</v>
      </c>
      <c r="F30" s="424">
        <v>1</v>
      </c>
      <c r="G30" s="425">
        <v>7</v>
      </c>
      <c r="H30" s="36">
        <v>0</v>
      </c>
      <c r="I30" s="36">
        <v>3</v>
      </c>
      <c r="J30" s="36">
        <v>4</v>
      </c>
      <c r="K30" s="36">
        <v>9</v>
      </c>
      <c r="L30" s="36">
        <v>12</v>
      </c>
      <c r="M30" s="36">
        <v>14</v>
      </c>
      <c r="N30" s="426">
        <v>9</v>
      </c>
      <c r="O30" s="27">
        <f t="shared" si="0"/>
        <v>0.91901960800285121</v>
      </c>
      <c r="P30" s="27">
        <f t="shared" si="1"/>
        <v>18.065752942585149</v>
      </c>
      <c r="Q30" s="27">
        <f t="shared" si="2"/>
        <v>13.292411765616253</v>
      </c>
      <c r="R30" s="427">
        <f t="shared" si="3"/>
        <v>3.5962758172309059</v>
      </c>
      <c r="S30" s="27">
        <f t="shared" si="4"/>
        <v>2.4874797389943843</v>
      </c>
      <c r="T30" s="27">
        <f t="shared" si="5"/>
        <v>7.1820614384632364</v>
      </c>
      <c r="U30" s="27">
        <f t="shared" si="6"/>
        <v>17.072773857408073</v>
      </c>
      <c r="V30" s="427">
        <f t="shared" si="7"/>
        <v>7.1820614384632364</v>
      </c>
      <c r="W30" s="27">
        <f t="shared" si="8"/>
        <v>1.5316993466714188</v>
      </c>
      <c r="X30" s="27">
        <f t="shared" si="9"/>
        <v>8.6579947719051766</v>
      </c>
      <c r="Y30" s="27">
        <f t="shared" si="10"/>
        <v>21.339585622372692</v>
      </c>
      <c r="Z30" s="427">
        <f t="shared" si="11"/>
        <v>8.6579947719051766</v>
      </c>
      <c r="AA30">
        <v>6250</v>
      </c>
      <c r="AB30" s="286">
        <v>26.3</v>
      </c>
      <c r="AC30" s="41">
        <v>2000</v>
      </c>
      <c r="AD30" s="41">
        <v>2700</v>
      </c>
      <c r="AE30" s="428">
        <v>2900</v>
      </c>
      <c r="AF30" s="25">
        <f t="shared" si="12"/>
        <v>7026.528571428571</v>
      </c>
      <c r="AG30" s="25">
        <f t="shared" si="13"/>
        <v>5484.9285714285716</v>
      </c>
      <c r="AH30" s="429">
        <f t="shared" si="14"/>
        <v>4443.3285714285712</v>
      </c>
      <c r="AI30" s="25">
        <f t="shared" si="15"/>
        <v>949.30180940892637</v>
      </c>
      <c r="AJ30" s="25">
        <f t="shared" si="16"/>
        <v>1015.3917355371901</v>
      </c>
      <c r="AK30" s="429">
        <f t="shared" si="17"/>
        <v>1306.1753280839894</v>
      </c>
    </row>
    <row r="31" spans="1:39" x14ac:dyDescent="0.25">
      <c r="A31" s="423" t="s">
        <v>900</v>
      </c>
      <c r="B31" s="278">
        <v>26</v>
      </c>
      <c r="C31" s="25">
        <v>92</v>
      </c>
      <c r="D31" s="42" t="s">
        <v>168</v>
      </c>
      <c r="E31" s="422">
        <v>3</v>
      </c>
      <c r="F31" s="424">
        <v>1</v>
      </c>
      <c r="G31" s="425">
        <v>5</v>
      </c>
      <c r="H31" s="36">
        <v>0</v>
      </c>
      <c r="I31" s="36">
        <v>4</v>
      </c>
      <c r="J31" s="36">
        <v>3</v>
      </c>
      <c r="K31" s="36">
        <v>3</v>
      </c>
      <c r="L31" s="36">
        <v>14</v>
      </c>
      <c r="M31" s="36">
        <v>14</v>
      </c>
      <c r="N31" s="426">
        <v>3</v>
      </c>
      <c r="O31" s="27">
        <f t="shared" si="0"/>
        <v>0.73979400086720382</v>
      </c>
      <c r="P31" s="27">
        <f t="shared" si="1"/>
        <v>14.741983087648737</v>
      </c>
      <c r="Q31" s="27">
        <f t="shared" si="2"/>
        <v>13.621825804943061</v>
      </c>
      <c r="R31" s="427">
        <f t="shared" si="3"/>
        <v>3.5528270812892426</v>
      </c>
      <c r="S31" s="27">
        <f t="shared" si="4"/>
        <v>2.0023757623472318</v>
      </c>
      <c r="T31" s="27">
        <f t="shared" si="5"/>
        <v>6.7165511630120882</v>
      </c>
      <c r="U31" s="27">
        <f t="shared" si="6"/>
        <v>17.939386966509808</v>
      </c>
      <c r="V31" s="427">
        <f t="shared" si="7"/>
        <v>6.7165511630120882</v>
      </c>
      <c r="W31" s="27">
        <f t="shared" si="8"/>
        <v>1.2329900014453397</v>
      </c>
      <c r="X31" s="27">
        <f t="shared" si="9"/>
        <v>7.4946110836017859</v>
      </c>
      <c r="Y31" s="27">
        <f t="shared" si="10"/>
        <v>21.810853247914679</v>
      </c>
      <c r="Z31" s="427">
        <f t="shared" si="11"/>
        <v>7.4946110836017859</v>
      </c>
      <c r="AA31">
        <v>6450</v>
      </c>
      <c r="AB31" s="286">
        <v>35.4</v>
      </c>
      <c r="AC31" s="41">
        <v>2800</v>
      </c>
      <c r="AD31" s="41">
        <v>1800</v>
      </c>
      <c r="AE31" s="428">
        <v>1600</v>
      </c>
      <c r="AF31" s="25">
        <f t="shared" si="12"/>
        <v>9212.8571428571413</v>
      </c>
      <c r="AG31" s="25">
        <f t="shared" si="13"/>
        <v>9080.057142857142</v>
      </c>
      <c r="AH31" s="429">
        <f t="shared" si="14"/>
        <v>8147.2571428571428</v>
      </c>
      <c r="AI31" s="25">
        <f t="shared" si="15"/>
        <v>905.12280701754366</v>
      </c>
      <c r="AJ31" s="25">
        <f t="shared" si="16"/>
        <v>1110.2253275109169</v>
      </c>
      <c r="AK31" s="429">
        <f t="shared" si="17"/>
        <v>1318.6312138728324</v>
      </c>
    </row>
  </sheetData>
  <sortState xmlns:xlrd2="http://schemas.microsoft.com/office/spreadsheetml/2017/richdata2" ref="A3:AK31">
    <sortCondition ref="AK4"/>
  </sortState>
  <conditionalFormatting sqref="G3:G31">
    <cfRule type="cellIs" dxfId="4" priority="5" operator="greaterThan">
      <formula>7</formula>
    </cfRule>
  </conditionalFormatting>
  <conditionalFormatting sqref="O3:O31 S3:S31 W3:W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1 R3:R31 T3:T31 V3:V31 X3:X31 Z3:Z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1 U3:U31 Y3:Y3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31">
    <cfRule type="colorScale" priority="47">
      <colorScale>
        <cfvo type="min"/>
        <cfvo type="max"/>
        <color rgb="FFFCFCFF"/>
        <color rgb="FFF8696B"/>
      </colorScale>
    </cfRule>
  </conditionalFormatting>
  <conditionalFormatting sqref="AF3:AH3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AI3:AK31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AF3:AH31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837</v>
      </c>
    </row>
    <row r="2" spans="1:22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874</v>
      </c>
      <c r="F2" s="40" t="s">
        <v>121</v>
      </c>
      <c r="G2" s="39" t="s">
        <v>471</v>
      </c>
      <c r="H2" s="32" t="s">
        <v>738</v>
      </c>
      <c r="I2" s="32" t="s">
        <v>154</v>
      </c>
      <c r="J2" s="32" t="s">
        <v>194</v>
      </c>
      <c r="K2" s="32" t="s">
        <v>195</v>
      </c>
      <c r="L2" s="32" t="s">
        <v>492</v>
      </c>
      <c r="M2" s="32" t="s">
        <v>197</v>
      </c>
      <c r="N2" s="32" t="s">
        <v>198</v>
      </c>
      <c r="O2" s="32" t="s">
        <v>199</v>
      </c>
      <c r="P2" s="34" t="s">
        <v>856</v>
      </c>
      <c r="Q2" s="34" t="s">
        <v>857</v>
      </c>
      <c r="R2" s="32" t="s">
        <v>902</v>
      </c>
      <c r="S2" s="32" t="s">
        <v>903</v>
      </c>
      <c r="T2" s="32" t="s">
        <v>904</v>
      </c>
      <c r="U2" s="32" t="s">
        <v>905</v>
      </c>
      <c r="V2" s="32" t="s">
        <v>605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31230</v>
      </c>
      <c r="H3" s="29">
        <f>Plantilla!I4</f>
        <v>8.5</v>
      </c>
      <c r="I3" s="36">
        <f>Plantilla!X4</f>
        <v>15</v>
      </c>
      <c r="J3" s="36">
        <f>Plantilla!Y4</f>
        <v>12.454545454545455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15</v>
      </c>
      <c r="P3" s="27">
        <f t="shared" ref="P3:P10" ca="1" si="0">((I3+F3+(LOG(H3)*4/3))*0.597)+((J3+F3+(LOG(H3)*4/3))*0.276)</f>
        <v>14.347298174985982</v>
      </c>
      <c r="Q3" s="27">
        <f t="shared" ref="Q3:Q10" ca="1" si="1">((I3+F3+(LOG(H3)*4/3))*0.866)+((J3+F3+(LOG(H3)*4/3))*0.425)</f>
        <v>21.174021595644685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1190</v>
      </c>
      <c r="H4" s="29">
        <f>Plantilla!I5</f>
        <v>2.1</v>
      </c>
      <c r="I4" s="36">
        <f>Plantilla!X5</f>
        <v>6</v>
      </c>
      <c r="J4" s="36">
        <f>Plantilla!Y5</f>
        <v>5.4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6.3204632590702818</v>
      </c>
      <c r="Q4" s="27">
        <f t="shared" ca="1" si="1"/>
        <v>9.3366468126686541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906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907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908</v>
      </c>
      <c r="B7">
        <v>23</v>
      </c>
      <c r="C7">
        <v>18</v>
      </c>
      <c r="D7" t="s">
        <v>165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909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837</v>
      </c>
    </row>
    <row r="2" spans="1:21" x14ac:dyDescent="0.25">
      <c r="A2" s="31" t="s">
        <v>186</v>
      </c>
      <c r="B2" s="31" t="s">
        <v>849</v>
      </c>
      <c r="C2" s="31" t="s">
        <v>113</v>
      </c>
      <c r="D2" s="51" t="s">
        <v>468</v>
      </c>
      <c r="E2" s="31" t="s">
        <v>874</v>
      </c>
      <c r="F2" s="39" t="s">
        <v>851</v>
      </c>
      <c r="G2" s="39" t="s">
        <v>125</v>
      </c>
      <c r="H2" s="39" t="s">
        <v>126</v>
      </c>
      <c r="I2" s="39" t="s">
        <v>471</v>
      </c>
      <c r="J2" s="40" t="s">
        <v>121</v>
      </c>
      <c r="K2" s="32" t="s">
        <v>738</v>
      </c>
      <c r="L2" s="32" t="s">
        <v>154</v>
      </c>
      <c r="M2" s="32" t="s">
        <v>194</v>
      </c>
      <c r="N2" s="32" t="s">
        <v>195</v>
      </c>
      <c r="O2" s="32" t="s">
        <v>492</v>
      </c>
      <c r="P2" s="32" t="s">
        <v>197</v>
      </c>
      <c r="Q2" s="32" t="s">
        <v>198</v>
      </c>
      <c r="R2" s="32" t="s">
        <v>199</v>
      </c>
      <c r="S2" s="34" t="s">
        <v>856</v>
      </c>
      <c r="T2" s="34" t="s">
        <v>857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7</v>
      </c>
      <c r="G3" s="38">
        <f>(F3/7)^0.5</f>
        <v>1</v>
      </c>
      <c r="H3" s="38">
        <f>IF(F3=7,1,((F3+0.99)/7)^0.5)</f>
        <v>1</v>
      </c>
      <c r="I3" s="38"/>
      <c r="J3" s="104">
        <f ca="1">Plantilla!N4</f>
        <v>1</v>
      </c>
      <c r="K3" s="29">
        <f>Plantilla!I4</f>
        <v>8.5</v>
      </c>
      <c r="L3" s="36">
        <f>Plantilla!X4</f>
        <v>15</v>
      </c>
      <c r="M3" s="36">
        <f>Plantilla!Y4</f>
        <v>12.454545454545455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15</v>
      </c>
      <c r="S3" s="27">
        <f t="shared" ref="S3:S10" ca="1" si="0">((L3+J3+(LOG(K3)*4/3))*0.597)+((M3+J3+(LOG(K3)*4/3))*0.276)</f>
        <v>14.347298174985982</v>
      </c>
      <c r="T3" s="27">
        <f t="shared" ref="T3:T10" ca="1" si="1">((L3+J3+(LOG(K3)*4/3))*0.866)+((M3+J3+(LOG(K3)*4/3))*0.425)</f>
        <v>21.174021595644685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6</v>
      </c>
      <c r="G4" s="38">
        <f>(F4/7)^0.5</f>
        <v>0.92582009977255142</v>
      </c>
      <c r="H4" s="38">
        <f>IF(F4=7,1,((F4+0.99)/7)^0.5)</f>
        <v>0.99928545900129484</v>
      </c>
      <c r="I4" s="38"/>
      <c r="J4" s="104">
        <f ca="1">Plantilla!N5</f>
        <v>1</v>
      </c>
      <c r="K4" s="29">
        <f>Plantilla!I5</f>
        <v>2.1</v>
      </c>
      <c r="L4" s="36">
        <f>Plantilla!X5</f>
        <v>6</v>
      </c>
      <c r="M4" s="36">
        <f>Plantilla!Y5</f>
        <v>5.4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6.3204632590702818</v>
      </c>
      <c r="T4" s="27">
        <f t="shared" ca="1" si="1"/>
        <v>9.3366468126686541</v>
      </c>
    </row>
    <row r="5" spans="1:21" x14ac:dyDescent="0.25">
      <c r="A5" t="s">
        <v>910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911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912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913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914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915</v>
      </c>
      <c r="B10">
        <v>21</v>
      </c>
      <c r="C10">
        <v>82</v>
      </c>
      <c r="D10" t="s">
        <v>916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/>
      <selection pane="bottomLeft"/>
      <selection pane="bottomRight" activeCell="E6" sqref="E6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3" width="3.42578125" bestFit="1" customWidth="1"/>
    <col min="44" max="44" width="3.5703125" bestFit="1" customWidth="1"/>
    <col min="45" max="45" width="5.28515625" bestFit="1" customWidth="1"/>
    <col min="46" max="46" width="7.140625" bestFit="1" customWidth="1"/>
    <col min="47" max="53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44083</v>
      </c>
      <c r="I2" s="24">
        <f>AVERAGE(I4:I20)</f>
        <v>6.8882352941176466</v>
      </c>
      <c r="J2" s="24"/>
      <c r="N2" s="27">
        <f ca="1">AVERAGE(N4:N20)</f>
        <v>0.97828336392644721</v>
      </c>
      <c r="O2" s="24">
        <f>AVERAGE(O4:O20)</f>
        <v>6.6882352941176482</v>
      </c>
      <c r="Q2" s="24">
        <f>AVERAGE(Q4:Q20)</f>
        <v>5.5294117647058822</v>
      </c>
      <c r="R2" s="2">
        <f>AVERAGE(R4:R20)</f>
        <v>0.88487733462055429</v>
      </c>
      <c r="S2" s="2">
        <f>AVERAGE(S4:S20)</f>
        <v>0.95404806467395842</v>
      </c>
      <c r="T2" s="28">
        <f>SUM(T4:T20)</f>
        <v>2680380</v>
      </c>
      <c r="U2" s="28">
        <f>SUM(U4:U20)</f>
        <v>38970</v>
      </c>
      <c r="V2" s="28">
        <f>SUM(V4:V20)</f>
        <v>351074</v>
      </c>
      <c r="W2" s="29">
        <f>T2/V2</f>
        <v>7.6348006403208437</v>
      </c>
      <c r="AD2" s="27">
        <f>AVERAGE(AD5:AD20)</f>
        <v>13.03125</v>
      </c>
      <c r="AE2" s="25">
        <f>AVERAGE(AE5:AE20)</f>
        <v>153.36250000000001</v>
      </c>
      <c r="AF2" s="25"/>
      <c r="AG2" s="25">
        <f>AVERAGE(AG5:AG20)</f>
        <v>1926.9166666666667</v>
      </c>
      <c r="AH2" s="24"/>
      <c r="AO2" s="24"/>
      <c r="AP2" s="24"/>
      <c r="AQ2" s="24"/>
      <c r="AR2" s="24"/>
    </row>
    <row r="3" spans="1:46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3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7" t="s">
        <v>147</v>
      </c>
      <c r="AP3" s="13" t="s">
        <v>148</v>
      </c>
      <c r="AQ3" s="13" t="s">
        <v>149</v>
      </c>
      <c r="AR3" s="13" t="s">
        <v>150</v>
      </c>
      <c r="AS3" s="13" t="s">
        <v>151</v>
      </c>
      <c r="AT3" s="26" t="s">
        <v>152</v>
      </c>
    </row>
    <row r="4" spans="1:46" x14ac:dyDescent="0.25">
      <c r="A4" s="407" t="s">
        <v>153</v>
      </c>
      <c r="B4" s="49" t="s">
        <v>154</v>
      </c>
      <c r="C4" s="359">
        <f t="shared" ref="C4:C20" ca="1" si="0">((36*112)-(E4*112)-(F4))/112</f>
        <v>9.5892857142857135</v>
      </c>
      <c r="D4" s="95" t="s">
        <v>9</v>
      </c>
      <c r="E4" s="4">
        <v>26</v>
      </c>
      <c r="F4" s="5">
        <f ca="1">$D$2-$D$1-1097-112-112-112-112-112-112</f>
        <v>46</v>
      </c>
      <c r="G4" s="6"/>
      <c r="H4" s="7">
        <v>4</v>
      </c>
      <c r="I4" s="8">
        <v>8.5</v>
      </c>
      <c r="J4" s="21">
        <f t="shared" ref="J4:J20" si="1">LOG(I4)*4/3</f>
        <v>1.2392252342857237</v>
      </c>
      <c r="K4" s="9">
        <f t="shared" ref="K4:K20" si="2">(H4)*(H4)*(I4)</f>
        <v>136</v>
      </c>
      <c r="L4" s="9">
        <f t="shared" ref="L4:L20" si="3">(H4+1)*(H4+1)*I4</f>
        <v>212.5</v>
      </c>
      <c r="M4" s="62">
        <v>43415</v>
      </c>
      <c r="N4" s="63">
        <f t="shared" ref="N4:N13" ca="1" si="4">IF((TODAY()-M4)&gt;335,1,((TODAY()-M4)^0.64)/(336^0.64))</f>
        <v>1</v>
      </c>
      <c r="O4" s="19">
        <v>6.8</v>
      </c>
      <c r="P4" s="20">
        <f t="shared" ref="P4:P20" si="5">O4*10+19</f>
        <v>87</v>
      </c>
      <c r="Q4" s="20">
        <v>7</v>
      </c>
      <c r="R4" s="57">
        <f t="shared" ref="R4:R20" si="6">(Q4/7)^0.5</f>
        <v>1</v>
      </c>
      <c r="S4" s="57">
        <f t="shared" ref="S4:S20" si="7">IF(Q4=7,1,((Q4+0.99)/7)^0.5)</f>
        <v>1</v>
      </c>
      <c r="T4" s="10">
        <v>77360</v>
      </c>
      <c r="U4" s="10">
        <f t="shared" ref="U4:U20" si="8">T4-AT4</f>
        <v>1810</v>
      </c>
      <c r="V4" s="10">
        <v>31230</v>
      </c>
      <c r="W4" s="11">
        <f t="shared" ref="W4:W20" si="9">T4/V4</f>
        <v>2.4771053474223503</v>
      </c>
      <c r="X4" s="442">
        <v>15</v>
      </c>
      <c r="Y4" s="21">
        <f>12+5/11</f>
        <v>12.454545454545455</v>
      </c>
      <c r="Z4" s="442">
        <v>0</v>
      </c>
      <c r="AA4" s="21">
        <v>1</v>
      </c>
      <c r="AB4" s="442">
        <v>1</v>
      </c>
      <c r="AC4" s="21">
        <v>1</v>
      </c>
      <c r="AD4" s="442">
        <v>15</v>
      </c>
      <c r="AE4" s="12">
        <f>Planning!V3</f>
        <v>131.5</v>
      </c>
      <c r="AF4" s="12">
        <v>1299</v>
      </c>
      <c r="AG4" s="12"/>
      <c r="AH4" s="11">
        <f t="shared" ref="AH4:AH20" ca="1" si="10">(((Y4+LOG(I4)*4/3+N4)+(AB4+LOG(I4)*4/3+N4)*2)/8)*(Q4/7)^0.5</f>
        <v>2.6465276446753281</v>
      </c>
      <c r="AI4" s="22">
        <f t="shared" ref="AI4:AI20" ca="1" si="11">(Y4+J4+N4)*(Q4/7)^0.5</f>
        <v>14.693770688831179</v>
      </c>
      <c r="AJ4" s="22">
        <f t="shared" ref="AJ4:AJ20" ca="1" si="12">(Y4+J4+N4)*(IF(Q4=7,(Q4/7)^0.5,((Q4+1)/7)^0.5))</f>
        <v>14.693770688831179</v>
      </c>
      <c r="AK4" s="22">
        <f t="shared" ref="AK4:AK20" ca="1" si="13">(Z4+N4+(LOG(I4)*4/3))*(Q4/7)^0.5</f>
        <v>2.2392252342857235</v>
      </c>
      <c r="AL4" s="22">
        <f t="shared" ref="AL4:AL20" ca="1" si="14">(Z4+N4+(LOG(I4)*4/3))*(IF(Q4=7,(Q4/7)^0.5,((Q4+1)/7)^0.5))</f>
        <v>2.2392252342857235</v>
      </c>
      <c r="AM4" s="22">
        <f t="shared" ref="AM4:AM20" ca="1" si="15">(AD4+1+(LOG(I4)*4/3)+N4)*(Q4/7)^0.5</f>
        <v>18.239225234285723</v>
      </c>
      <c r="AN4" s="22">
        <f t="shared" ref="AN4:AN20" ca="1" si="16">(AD4+1+N4+(LOG(I4)*4/3))*(IF(Q4=7,(Q4/7)^0.5,((Q4+1)/7)^0.5))</f>
        <v>18.239225234285723</v>
      </c>
      <c r="AO4" s="11">
        <f t="shared" ref="AO4:AO20" ca="1" si="17">(AD4+LOG(I4)*4/3+N4)*0.7+(AC4+LOG(I4)*4/3+N4)*0.3</f>
        <v>13.039225234285722</v>
      </c>
      <c r="AP4" s="20">
        <v>1</v>
      </c>
      <c r="AQ4" s="20">
        <v>3</v>
      </c>
      <c r="AR4" s="20">
        <v>2</v>
      </c>
      <c r="AS4" s="57">
        <f t="shared" ref="AS4:AS20" si="18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10">
        <v>75550</v>
      </c>
    </row>
    <row r="5" spans="1:46" x14ac:dyDescent="0.25">
      <c r="A5" s="407" t="s">
        <v>155</v>
      </c>
      <c r="B5" s="49" t="s">
        <v>154</v>
      </c>
      <c r="C5" s="359">
        <f t="shared" ca="1" si="0"/>
        <v>9.3660714285714288</v>
      </c>
      <c r="D5" s="345" t="s">
        <v>65</v>
      </c>
      <c r="E5" s="4">
        <v>26</v>
      </c>
      <c r="F5" s="5">
        <f ca="1">$D$2-$D$1-880+32-112-112-112-112-112-112-112-112</f>
        <v>71</v>
      </c>
      <c r="G5" s="6"/>
      <c r="H5" s="91">
        <v>5</v>
      </c>
      <c r="I5" s="8">
        <v>2.1</v>
      </c>
      <c r="J5" s="21">
        <f t="shared" si="1"/>
        <v>0.42962572631189239</v>
      </c>
      <c r="K5" s="9">
        <f t="shared" si="2"/>
        <v>52.5</v>
      </c>
      <c r="L5" s="9">
        <f t="shared" si="3"/>
        <v>75.600000000000009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6</v>
      </c>
      <c r="R5" s="57">
        <f t="shared" si="6"/>
        <v>0.92582009977255142</v>
      </c>
      <c r="S5" s="57">
        <f t="shared" si="7"/>
        <v>0.99928545900129484</v>
      </c>
      <c r="T5" s="10">
        <v>3290</v>
      </c>
      <c r="U5" s="10">
        <f t="shared" si="8"/>
        <v>70</v>
      </c>
      <c r="V5" s="10">
        <v>1190</v>
      </c>
      <c r="W5" s="11">
        <f t="shared" si="9"/>
        <v>2.7647058823529411</v>
      </c>
      <c r="X5" s="442">
        <v>6</v>
      </c>
      <c r="Y5" s="21">
        <f>5+2/5</f>
        <v>5.4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2"/>
      <c r="AH5" s="11">
        <f t="shared" ca="1" si="10"/>
        <v>1.3527246795039158</v>
      </c>
      <c r="AI5" s="22">
        <f t="shared" ca="1" si="11"/>
        <v>6.3230047713432604</v>
      </c>
      <c r="AJ5" s="22">
        <f t="shared" ca="1" si="12"/>
        <v>6.8296257263118925</v>
      </c>
      <c r="AK5" s="22">
        <f t="shared" ca="1" si="13"/>
        <v>1.3235762325714824</v>
      </c>
      <c r="AL5" s="22">
        <f t="shared" ca="1" si="14"/>
        <v>1.4296257263118923</v>
      </c>
      <c r="AM5" s="22">
        <f t="shared" ca="1" si="15"/>
        <v>5.9526767314342397</v>
      </c>
      <c r="AN5" s="22">
        <f t="shared" ca="1" si="16"/>
        <v>6.4296257263118921</v>
      </c>
      <c r="AO5" s="11">
        <f t="shared" ca="1" si="17"/>
        <v>4.5296257263118918</v>
      </c>
      <c r="AP5" s="20">
        <v>3</v>
      </c>
      <c r="AQ5" s="20">
        <v>0</v>
      </c>
      <c r="AR5" s="20">
        <v>2</v>
      </c>
      <c r="AS5" s="57">
        <f t="shared" si="18"/>
        <v>2.63E-2</v>
      </c>
      <c r="AT5" s="10">
        <v>3220</v>
      </c>
    </row>
    <row r="6" spans="1:46" x14ac:dyDescent="0.25">
      <c r="A6" s="407" t="s">
        <v>156</v>
      </c>
      <c r="B6" s="49" t="s">
        <v>157</v>
      </c>
      <c r="C6" s="359">
        <f t="shared" ca="1" si="0"/>
        <v>9.6160714285714288</v>
      </c>
      <c r="D6" s="95" t="s">
        <v>158</v>
      </c>
      <c r="E6" s="4">
        <v>26</v>
      </c>
      <c r="F6" s="5">
        <f ca="1">$D$2-$D$1-1100-112-112-112-112-112-112</f>
        <v>43</v>
      </c>
      <c r="G6" s="6"/>
      <c r="H6" s="91">
        <v>5</v>
      </c>
      <c r="I6" s="8">
        <v>4.8</v>
      </c>
      <c r="J6" s="21">
        <f t="shared" si="1"/>
        <v>0.90832164983411623</v>
      </c>
      <c r="K6" s="9">
        <f t="shared" si="2"/>
        <v>120</v>
      </c>
      <c r="L6" s="9">
        <f t="shared" si="3"/>
        <v>172.79999999999998</v>
      </c>
      <c r="M6" s="62">
        <v>43395</v>
      </c>
      <c r="N6" s="63">
        <f t="shared" ca="1" si="4"/>
        <v>1</v>
      </c>
      <c r="O6" s="19">
        <v>6.9</v>
      </c>
      <c r="P6" s="20">
        <f t="shared" si="5"/>
        <v>88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10">
        <v>181390</v>
      </c>
      <c r="U6" s="10">
        <f t="shared" si="8"/>
        <v>16170</v>
      </c>
      <c r="V6" s="10">
        <v>34490</v>
      </c>
      <c r="W6" s="11">
        <f t="shared" si="9"/>
        <v>5.2592055668309659</v>
      </c>
      <c r="X6" s="442">
        <v>0</v>
      </c>
      <c r="Y6" s="21">
        <f>15+6/16+1/16*131/90+1/16*32/90</f>
        <v>15.488194444444444</v>
      </c>
      <c r="Z6" s="442">
        <v>6</v>
      </c>
      <c r="AA6" s="21">
        <f>6+2/3</f>
        <v>6.666666666666667</v>
      </c>
      <c r="AB6" s="442">
        <f>9+0/7</f>
        <v>9</v>
      </c>
      <c r="AC6" s="21">
        <v>2</v>
      </c>
      <c r="AD6" s="442">
        <f>13+1/2</f>
        <v>13.5</v>
      </c>
      <c r="AE6" s="12">
        <f>Planning!V4</f>
        <v>165.3</v>
      </c>
      <c r="AF6" s="12">
        <v>1606</v>
      </c>
      <c r="AG6" s="12">
        <v>1845</v>
      </c>
      <c r="AH6" s="11">
        <f t="shared" ca="1" si="10"/>
        <v>4.5380413928125982</v>
      </c>
      <c r="AI6" s="22">
        <f t="shared" ca="1" si="11"/>
        <v>16.106044266099772</v>
      </c>
      <c r="AJ6" s="22">
        <f t="shared" ca="1" si="12"/>
        <v>17.39651609427856</v>
      </c>
      <c r="AK6" s="22">
        <f t="shared" ca="1" si="13"/>
        <v>7.3216831388828503</v>
      </c>
      <c r="AL6" s="22">
        <f t="shared" ca="1" si="14"/>
        <v>7.9083216498341162</v>
      </c>
      <c r="AM6" s="22">
        <f t="shared" ca="1" si="15"/>
        <v>15.191153986949535</v>
      </c>
      <c r="AN6" s="22">
        <f t="shared" ca="1" si="16"/>
        <v>16.408321649834114</v>
      </c>
      <c r="AO6" s="11">
        <f t="shared" ca="1" si="17"/>
        <v>11.958321649834115</v>
      </c>
      <c r="AP6" s="20">
        <v>1</v>
      </c>
      <c r="AQ6" s="20">
        <v>2</v>
      </c>
      <c r="AR6" s="20">
        <v>1</v>
      </c>
      <c r="AS6" s="57">
        <f t="shared" si="18"/>
        <v>6.1499999999999999E-2</v>
      </c>
      <c r="AT6" s="10">
        <v>165220</v>
      </c>
    </row>
    <row r="7" spans="1:46" x14ac:dyDescent="0.25">
      <c r="A7" s="407" t="s">
        <v>159</v>
      </c>
      <c r="B7" s="49" t="s">
        <v>157</v>
      </c>
      <c r="C7" s="359">
        <f t="shared" ca="1" si="0"/>
        <v>9.7857142857142865</v>
      </c>
      <c r="D7" s="95" t="s">
        <v>27</v>
      </c>
      <c r="E7" s="4">
        <v>26</v>
      </c>
      <c r="F7" s="5">
        <f ca="1">$D$2-$D$1-1102-17-112-112-112-112-112-112</f>
        <v>24</v>
      </c>
      <c r="G7" s="6"/>
      <c r="H7" s="7">
        <v>4</v>
      </c>
      <c r="I7" s="8">
        <v>6</v>
      </c>
      <c r="J7" s="21">
        <f t="shared" si="1"/>
        <v>1.0375350005115249</v>
      </c>
      <c r="K7" s="9">
        <f t="shared" si="2"/>
        <v>96</v>
      </c>
      <c r="L7" s="9">
        <f t="shared" si="3"/>
        <v>150</v>
      </c>
      <c r="M7" s="62">
        <v>43410</v>
      </c>
      <c r="N7" s="63">
        <f t="shared" ca="1" si="4"/>
        <v>1</v>
      </c>
      <c r="O7" s="19">
        <v>6.9</v>
      </c>
      <c r="P7" s="20">
        <f t="shared" si="5"/>
        <v>88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182230</v>
      </c>
      <c r="U7" s="10">
        <f t="shared" si="8"/>
        <v>-5560</v>
      </c>
      <c r="V7" s="10">
        <v>35040</v>
      </c>
      <c r="W7" s="11">
        <f t="shared" si="9"/>
        <v>5.2006278538812785</v>
      </c>
      <c r="X7" s="442">
        <v>0</v>
      </c>
      <c r="Y7" s="21">
        <f>15+8/16+1.3/16</f>
        <v>15.581250000000001</v>
      </c>
      <c r="Z7" s="442">
        <v>5</v>
      </c>
      <c r="AA7" s="21">
        <f>7+3.5/4</f>
        <v>7.875</v>
      </c>
      <c r="AB7" s="442">
        <f>8+4/6</f>
        <v>8.6666666666666661</v>
      </c>
      <c r="AC7" s="21">
        <v>1</v>
      </c>
      <c r="AD7" s="442">
        <v>13</v>
      </c>
      <c r="AE7" s="12">
        <f>Planning!V6</f>
        <v>164</v>
      </c>
      <c r="AF7" s="12">
        <v>1532</v>
      </c>
      <c r="AG7" s="12">
        <v>1795</v>
      </c>
      <c r="AH7" s="11">
        <f t="shared" ca="1" si="10"/>
        <v>4.5165194247536951</v>
      </c>
      <c r="AI7" s="22">
        <f t="shared" ca="1" si="11"/>
        <v>16.311825287044712</v>
      </c>
      <c r="AJ7" s="22">
        <f t="shared" ca="1" si="12"/>
        <v>17.618785000511526</v>
      </c>
      <c r="AK7" s="22">
        <f t="shared" ca="1" si="13"/>
        <v>6.515491356326403</v>
      </c>
      <c r="AL7" s="22">
        <f t="shared" ca="1" si="14"/>
        <v>7.0375350005115251</v>
      </c>
      <c r="AM7" s="22">
        <f t="shared" ca="1" si="15"/>
        <v>14.847872254279366</v>
      </c>
      <c r="AN7" s="22">
        <f t="shared" ca="1" si="16"/>
        <v>16.037535000511525</v>
      </c>
      <c r="AO7" s="11">
        <f t="shared" ca="1" si="17"/>
        <v>11.437535000511524</v>
      </c>
      <c r="AP7" s="20">
        <v>3</v>
      </c>
      <c r="AQ7" s="20">
        <v>2</v>
      </c>
      <c r="AR7" s="20">
        <v>2</v>
      </c>
      <c r="AS7" s="57">
        <f t="shared" si="18"/>
        <v>6.1499999999999999E-2</v>
      </c>
      <c r="AT7" s="10">
        <v>187790</v>
      </c>
    </row>
    <row r="8" spans="1:46" x14ac:dyDescent="0.25">
      <c r="A8" s="407" t="s">
        <v>160</v>
      </c>
      <c r="B8" s="49" t="s">
        <v>157</v>
      </c>
      <c r="C8" s="359">
        <f t="shared" ca="1" si="0"/>
        <v>9.3392857142857135</v>
      </c>
      <c r="D8" s="95" t="s">
        <v>68</v>
      </c>
      <c r="E8" s="4">
        <v>26</v>
      </c>
      <c r="F8" s="5">
        <f ca="1">$D$2-$D$1-1069-112-112-112-112-112-112</f>
        <v>74</v>
      </c>
      <c r="G8" s="6"/>
      <c r="H8" s="7">
        <v>1</v>
      </c>
      <c r="I8" s="8">
        <v>6.5</v>
      </c>
      <c r="J8" s="21">
        <f t="shared" si="1"/>
        <v>1.0838844755238075</v>
      </c>
      <c r="K8" s="9">
        <f t="shared" si="2"/>
        <v>6.5</v>
      </c>
      <c r="L8" s="9">
        <f t="shared" si="3"/>
        <v>26</v>
      </c>
      <c r="M8" s="62">
        <v>43383</v>
      </c>
      <c r="N8" s="63">
        <f t="shared" ca="1" si="4"/>
        <v>1</v>
      </c>
      <c r="O8" s="19">
        <v>6.9</v>
      </c>
      <c r="P8" s="20">
        <f t="shared" si="5"/>
        <v>88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166670</v>
      </c>
      <c r="U8" s="10">
        <f t="shared" si="8"/>
        <v>1780</v>
      </c>
      <c r="V8" s="10">
        <v>22400</v>
      </c>
      <c r="W8" s="11">
        <f t="shared" si="9"/>
        <v>7.4406249999999998</v>
      </c>
      <c r="X8" s="442">
        <v>0</v>
      </c>
      <c r="Y8" s="21">
        <f>14+3/16</f>
        <v>14.1875</v>
      </c>
      <c r="Z8" s="442">
        <v>3</v>
      </c>
      <c r="AA8" s="21">
        <f>8+0.5/4.5</f>
        <v>8.1111111111111107</v>
      </c>
      <c r="AB8" s="442">
        <f>11+6/7</f>
        <v>11.857142857142858</v>
      </c>
      <c r="AC8" s="21">
        <v>4</v>
      </c>
      <c r="AD8" s="442">
        <v>14</v>
      </c>
      <c r="AE8" s="12">
        <f>Planning!V5</f>
        <v>165</v>
      </c>
      <c r="AF8" s="12">
        <v>1629</v>
      </c>
      <c r="AG8" s="12">
        <v>1861</v>
      </c>
      <c r="AH8" s="11">
        <f t="shared" ca="1" si="10"/>
        <v>4.6645583688490042</v>
      </c>
      <c r="AI8" s="22">
        <f t="shared" ca="1" si="11"/>
        <v>13.75182981981248</v>
      </c>
      <c r="AJ8" s="22">
        <f t="shared" ca="1" si="12"/>
        <v>15.064374798566998</v>
      </c>
      <c r="AK8" s="22">
        <f t="shared" ca="1" si="13"/>
        <v>4.2966665950371983</v>
      </c>
      <c r="AL8" s="22">
        <f t="shared" ca="1" si="14"/>
        <v>4.7067624323615762</v>
      </c>
      <c r="AM8" s="22">
        <f t="shared" ca="1" si="15"/>
        <v>14.438517651779398</v>
      </c>
      <c r="AN8" s="22">
        <f t="shared" ca="1" si="16"/>
        <v>15.816603629632192</v>
      </c>
      <c r="AO8" s="11">
        <f t="shared" ca="1" si="17"/>
        <v>13.083884475523808</v>
      </c>
      <c r="AP8" s="20">
        <v>0</v>
      </c>
      <c r="AQ8" s="20">
        <v>3</v>
      </c>
      <c r="AR8" s="20">
        <v>2</v>
      </c>
      <c r="AS8" s="57">
        <f t="shared" si="18"/>
        <v>0.1158</v>
      </c>
      <c r="AT8" s="10">
        <v>164890</v>
      </c>
    </row>
    <row r="9" spans="1:46" x14ac:dyDescent="0.25">
      <c r="A9" s="407" t="s">
        <v>161</v>
      </c>
      <c r="B9" s="49" t="s">
        <v>157</v>
      </c>
      <c r="C9" s="359">
        <f t="shared" ca="1" si="0"/>
        <v>9.4732142857142865</v>
      </c>
      <c r="D9" s="95" t="s">
        <v>49</v>
      </c>
      <c r="E9" s="4">
        <v>26</v>
      </c>
      <c r="F9" s="5">
        <f ca="1">$D$2-$D$1-880+55-112-112-14-21-112-112-112-112-112-112</f>
        <v>59</v>
      </c>
      <c r="G9" s="6"/>
      <c r="H9" s="7">
        <v>4</v>
      </c>
      <c r="I9" s="8">
        <v>7</v>
      </c>
      <c r="J9" s="21">
        <f t="shared" si="1"/>
        <v>1.1267973866856758</v>
      </c>
      <c r="K9" s="9">
        <f t="shared" si="2"/>
        <v>112</v>
      </c>
      <c r="L9" s="9">
        <f t="shared" si="3"/>
        <v>175</v>
      </c>
      <c r="M9" s="62">
        <v>43419</v>
      </c>
      <c r="N9" s="63">
        <f t="shared" ca="1" si="4"/>
        <v>1</v>
      </c>
      <c r="O9" s="19">
        <v>6.9</v>
      </c>
      <c r="P9" s="20">
        <f t="shared" si="5"/>
        <v>88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167360</v>
      </c>
      <c r="U9" s="10">
        <f t="shared" si="8"/>
        <v>-4750</v>
      </c>
      <c r="V9" s="10">
        <v>12870</v>
      </c>
      <c r="W9" s="11">
        <f t="shared" si="9"/>
        <v>13.003885003885005</v>
      </c>
      <c r="X9" s="442">
        <v>0</v>
      </c>
      <c r="Y9" s="21">
        <f>12+4.2/11</f>
        <v>12.381818181818183</v>
      </c>
      <c r="Z9" s="442">
        <f>11+1/9</f>
        <v>11.111111111111111</v>
      </c>
      <c r="AA9" s="21">
        <f>4+1/2.5</f>
        <v>4.4000000000000004</v>
      </c>
      <c r="AB9" s="442">
        <f>11+0/7</f>
        <v>11</v>
      </c>
      <c r="AC9" s="21">
        <v>4</v>
      </c>
      <c r="AD9" s="442">
        <f>13+1/2</f>
        <v>13.5</v>
      </c>
      <c r="AE9" s="12">
        <f>Planning!V7</f>
        <v>161.5</v>
      </c>
      <c r="AF9" s="12">
        <v>1635</v>
      </c>
      <c r="AG9" s="12">
        <v>1950</v>
      </c>
      <c r="AH9" s="11">
        <f t="shared" ca="1" si="10"/>
        <v>4.7173092057080792</v>
      </c>
      <c r="AI9" s="22">
        <f t="shared" ca="1" si="11"/>
        <v>13.432367913193834</v>
      </c>
      <c r="AJ9" s="22">
        <f t="shared" ca="1" si="12"/>
        <v>14.508615568503858</v>
      </c>
      <c r="AK9" s="22">
        <f t="shared" ca="1" si="13"/>
        <v>12.255921766210127</v>
      </c>
      <c r="AL9" s="22">
        <f t="shared" ca="1" si="14"/>
        <v>13.237908497796786</v>
      </c>
      <c r="AM9" s="22">
        <f t="shared" ca="1" si="15"/>
        <v>15.393423215439327</v>
      </c>
      <c r="AN9" s="22">
        <f t="shared" ca="1" si="16"/>
        <v>16.626797386685677</v>
      </c>
      <c r="AO9" s="11">
        <f t="shared" ca="1" si="17"/>
        <v>12.776797386685674</v>
      </c>
      <c r="AP9" s="20">
        <v>0</v>
      </c>
      <c r="AQ9" s="20">
        <v>2</v>
      </c>
      <c r="AR9" s="20">
        <v>2</v>
      </c>
      <c r="AS9" s="57">
        <f t="shared" si="18"/>
        <v>6.1499999999999999E-2</v>
      </c>
      <c r="AT9" s="10">
        <v>172110</v>
      </c>
    </row>
    <row r="10" spans="1:46" x14ac:dyDescent="0.25">
      <c r="A10" s="407" t="s">
        <v>162</v>
      </c>
      <c r="B10" s="49" t="s">
        <v>157</v>
      </c>
      <c r="C10" s="359">
        <f t="shared" ca="1" si="0"/>
        <v>9.0892857142857135</v>
      </c>
      <c r="D10" s="95" t="s">
        <v>64</v>
      </c>
      <c r="E10" s="4">
        <v>26</v>
      </c>
      <c r="F10" s="5">
        <f ca="1">$D$2-$D$1-1377-112-112-112</f>
        <v>102</v>
      </c>
      <c r="G10" s="6"/>
      <c r="H10" s="7">
        <v>2</v>
      </c>
      <c r="I10" s="8">
        <v>6.5</v>
      </c>
      <c r="J10" s="21">
        <f t="shared" si="1"/>
        <v>1.0838844755238075</v>
      </c>
      <c r="K10" s="9">
        <f t="shared" si="2"/>
        <v>26</v>
      </c>
      <c r="L10" s="9">
        <f t="shared" si="3"/>
        <v>58.5</v>
      </c>
      <c r="M10" s="62">
        <v>43706</v>
      </c>
      <c r="N10" s="63">
        <f t="shared" ca="1" si="4"/>
        <v>1</v>
      </c>
      <c r="O10" s="19">
        <v>6.7</v>
      </c>
      <c r="P10" s="20">
        <f t="shared" si="5"/>
        <v>86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182910</v>
      </c>
      <c r="U10" s="10">
        <f t="shared" si="8"/>
        <v>3690</v>
      </c>
      <c r="V10" s="10">
        <v>21410</v>
      </c>
      <c r="W10" s="11">
        <f t="shared" si="9"/>
        <v>8.5432041102288654</v>
      </c>
      <c r="X10" s="442">
        <v>0</v>
      </c>
      <c r="Y10" s="21">
        <f>14+4/16</f>
        <v>14.25</v>
      </c>
      <c r="Z10" s="442">
        <f>5+0.5/4</f>
        <v>5.125</v>
      </c>
      <c r="AA10" s="21">
        <v>2</v>
      </c>
      <c r="AB10" s="442">
        <f>12+1/9</f>
        <v>12.111111111111111</v>
      </c>
      <c r="AC10" s="21">
        <v>6</v>
      </c>
      <c r="AD10" s="442">
        <f>12.5</f>
        <v>12.5</v>
      </c>
      <c r="AE10" s="12">
        <f>Planning!V8</f>
        <v>161.5</v>
      </c>
      <c r="AF10" s="12">
        <v>1658</v>
      </c>
      <c r="AG10" s="12">
        <v>1824</v>
      </c>
      <c r="AH10" s="11">
        <f t="shared" ca="1" si="10"/>
        <v>5.175782876922665</v>
      </c>
      <c r="AI10" s="22">
        <f t="shared" ca="1" si="11"/>
        <v>15.122238554802783</v>
      </c>
      <c r="AJ10" s="22">
        <f t="shared" ca="1" si="12"/>
        <v>16.33388447552381</v>
      </c>
      <c r="AK10" s="22">
        <f t="shared" ca="1" si="13"/>
        <v>6.6741301443782479</v>
      </c>
      <c r="AL10" s="22">
        <f t="shared" ca="1" si="14"/>
        <v>7.2088844755238073</v>
      </c>
      <c r="AM10" s="22">
        <f t="shared" ca="1" si="15"/>
        <v>14.427873479973368</v>
      </c>
      <c r="AN10" s="22">
        <f t="shared" ca="1" si="16"/>
        <v>15.583884475523808</v>
      </c>
      <c r="AO10" s="11">
        <f t="shared" ca="1" si="17"/>
        <v>12.633884475523807</v>
      </c>
      <c r="AP10" s="20">
        <v>2</v>
      </c>
      <c r="AQ10" s="20">
        <v>2</v>
      </c>
      <c r="AR10" s="20">
        <v>1</v>
      </c>
      <c r="AS10" s="57">
        <f t="shared" si="18"/>
        <v>6.1499999999999999E-2</v>
      </c>
      <c r="AT10" s="10">
        <v>179220</v>
      </c>
    </row>
    <row r="11" spans="1:46" x14ac:dyDescent="0.25">
      <c r="A11" s="407" t="s">
        <v>163</v>
      </c>
      <c r="B11" s="49" t="s">
        <v>164</v>
      </c>
      <c r="C11" s="359">
        <f t="shared" ca="1" si="0"/>
        <v>9.6517857142857135</v>
      </c>
      <c r="D11" s="95" t="s">
        <v>20</v>
      </c>
      <c r="E11" s="4">
        <v>26</v>
      </c>
      <c r="F11" s="5">
        <f ca="1">$D$2-$D$1-880-112-112-112-112-112-112-112-112</f>
        <v>39</v>
      </c>
      <c r="G11" s="6" t="s">
        <v>165</v>
      </c>
      <c r="H11" s="91">
        <v>5</v>
      </c>
      <c r="I11" s="8">
        <v>7.5</v>
      </c>
      <c r="J11" s="21">
        <f t="shared" si="1"/>
        <v>1.1667483511889334</v>
      </c>
      <c r="K11" s="9">
        <f t="shared" si="2"/>
        <v>187.5</v>
      </c>
      <c r="L11" s="9">
        <f t="shared" si="3"/>
        <v>270</v>
      </c>
      <c r="M11" s="62">
        <v>43137</v>
      </c>
      <c r="N11" s="63">
        <f t="shared" ca="1" si="4"/>
        <v>1</v>
      </c>
      <c r="O11" s="19">
        <v>6.9</v>
      </c>
      <c r="P11" s="20">
        <f t="shared" si="5"/>
        <v>88</v>
      </c>
      <c r="Q11" s="20">
        <v>5</v>
      </c>
      <c r="R11" s="57">
        <f t="shared" si="6"/>
        <v>0.84515425472851657</v>
      </c>
      <c r="S11" s="57">
        <f t="shared" si="7"/>
        <v>0.92504826128926143</v>
      </c>
      <c r="T11" s="10">
        <v>193090</v>
      </c>
      <c r="U11" s="10">
        <f t="shared" si="8"/>
        <v>1740</v>
      </c>
      <c r="V11" s="10">
        <v>20710</v>
      </c>
      <c r="W11" s="11">
        <f t="shared" si="9"/>
        <v>9.3235152100434568</v>
      </c>
      <c r="X11" s="442">
        <v>0</v>
      </c>
      <c r="Y11" s="21">
        <f>13+8/12</f>
        <v>13.666666666666666</v>
      </c>
      <c r="Z11" s="442">
        <v>4</v>
      </c>
      <c r="AA11" s="21">
        <f>13+1/7.5</f>
        <v>13.133333333333333</v>
      </c>
      <c r="AB11" s="442">
        <f>8+0/5</f>
        <v>8</v>
      </c>
      <c r="AC11" s="21">
        <f>5.25+0.25+0.25+0.25+0.25+0.25+0.25+0.25</f>
        <v>7</v>
      </c>
      <c r="AD11" s="442">
        <v>14</v>
      </c>
      <c r="AE11" s="12">
        <f>Planning!V9</f>
        <v>172</v>
      </c>
      <c r="AF11" s="12">
        <v>1723</v>
      </c>
      <c r="AG11" s="12">
        <v>1969</v>
      </c>
      <c r="AH11" s="11">
        <f t="shared" ca="1" si="10"/>
        <v>3.8208274150932464</v>
      </c>
      <c r="AI11" s="22">
        <f t="shared" ca="1" si="11"/>
        <v>13.381678069223051</v>
      </c>
      <c r="AJ11" s="22">
        <f t="shared" ca="1" si="12"/>
        <v>14.658893871571285</v>
      </c>
      <c r="AK11" s="22">
        <f t="shared" ca="1" si="13"/>
        <v>5.2118536068473915</v>
      </c>
      <c r="AL11" s="22">
        <f t="shared" ca="1" si="14"/>
        <v>5.7092995737699548</v>
      </c>
      <c r="AM11" s="22">
        <f t="shared" ca="1" si="15"/>
        <v>14.508550408861073</v>
      </c>
      <c r="AN11" s="22">
        <f t="shared" ca="1" si="16"/>
        <v>15.89332067126802</v>
      </c>
      <c r="AO11" s="11">
        <f t="shared" ca="1" si="17"/>
        <v>14.066748351188934</v>
      </c>
      <c r="AP11" s="20">
        <v>1</v>
      </c>
      <c r="AQ11" s="20">
        <v>2</v>
      </c>
      <c r="AR11" s="20">
        <v>3</v>
      </c>
      <c r="AS11" s="57">
        <f t="shared" si="18"/>
        <v>6.1499999999999999E-2</v>
      </c>
      <c r="AT11" s="10">
        <v>191350</v>
      </c>
    </row>
    <row r="12" spans="1:46" x14ac:dyDescent="0.25">
      <c r="A12" s="407" t="s">
        <v>166</v>
      </c>
      <c r="B12" s="49" t="s">
        <v>164</v>
      </c>
      <c r="C12" s="359">
        <f t="shared" ca="1" si="0"/>
        <v>10</v>
      </c>
      <c r="D12" s="95" t="s">
        <v>167</v>
      </c>
      <c r="E12" s="4">
        <v>26</v>
      </c>
      <c r="F12" s="5">
        <f ca="1">$D$2-$D$1-1479-112-112-112</f>
        <v>0</v>
      </c>
      <c r="G12" s="6" t="s">
        <v>168</v>
      </c>
      <c r="H12" s="7">
        <v>3</v>
      </c>
      <c r="I12" s="8">
        <v>7.6</v>
      </c>
      <c r="J12" s="21">
        <f t="shared" si="1"/>
        <v>1.1744181230410551</v>
      </c>
      <c r="K12" s="9">
        <f t="shared" si="2"/>
        <v>68.399999999999991</v>
      </c>
      <c r="L12" s="9">
        <f t="shared" si="3"/>
        <v>121.6</v>
      </c>
      <c r="M12" s="62">
        <v>43122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249240</v>
      </c>
      <c r="U12" s="10">
        <f t="shared" si="8"/>
        <v>-2240</v>
      </c>
      <c r="V12" s="10">
        <v>19070</v>
      </c>
      <c r="W12" s="11">
        <f t="shared" si="9"/>
        <v>13.069743051914001</v>
      </c>
      <c r="X12" s="442">
        <v>0</v>
      </c>
      <c r="Y12" s="21">
        <f>13+1/13</f>
        <v>13.076923076923077</v>
      </c>
      <c r="Z12" s="442">
        <f>3+0.5/3</f>
        <v>3.1666666666666665</v>
      </c>
      <c r="AA12" s="21">
        <f>13+6.5/7.5</f>
        <v>13.866666666666667</v>
      </c>
      <c r="AB12" s="442">
        <f>9+5/6</f>
        <v>9.8333333333333339</v>
      </c>
      <c r="AC12" s="21">
        <f>4.25+0.25+0.25+0.25+0.25+0.25+0.25+0.25+0.25+0.25+0.25+0.25</f>
        <v>7</v>
      </c>
      <c r="AD12" s="442">
        <f>14+1/2</f>
        <v>14.5</v>
      </c>
      <c r="AE12" s="12">
        <f>Planning!V14</f>
        <v>176</v>
      </c>
      <c r="AF12" s="12">
        <v>1742</v>
      </c>
      <c r="AG12" s="12">
        <v>2111</v>
      </c>
      <c r="AH12" s="11">
        <f t="shared" ca="1" si="10"/>
        <v>4.5442541917731365</v>
      </c>
      <c r="AI12" s="22">
        <f t="shared" ca="1" si="11"/>
        <v>14.119998231416018</v>
      </c>
      <c r="AJ12" s="22">
        <f t="shared" ca="1" si="12"/>
        <v>15.251341199964132</v>
      </c>
      <c r="AK12" s="22">
        <f t="shared" ca="1" si="13"/>
        <v>4.9448836529008586</v>
      </c>
      <c r="AL12" s="22">
        <f t="shared" ca="1" si="14"/>
        <v>5.3410847897077209</v>
      </c>
      <c r="AM12" s="22">
        <f t="shared" ca="1" si="15"/>
        <v>16.363331550095658</v>
      </c>
      <c r="AN12" s="22">
        <f t="shared" ca="1" si="16"/>
        <v>17.674418123041054</v>
      </c>
      <c r="AO12" s="11">
        <f t="shared" ca="1" si="17"/>
        <v>14.424418123041056</v>
      </c>
      <c r="AP12" s="20">
        <v>2</v>
      </c>
      <c r="AQ12" s="20">
        <v>0</v>
      </c>
      <c r="AR12" s="20">
        <v>2</v>
      </c>
      <c r="AS12" s="57">
        <f t="shared" si="18"/>
        <v>2.63E-2</v>
      </c>
      <c r="AT12" s="10">
        <v>251480</v>
      </c>
    </row>
    <row r="13" spans="1:46" x14ac:dyDescent="0.25">
      <c r="A13" s="407" t="s">
        <v>169</v>
      </c>
      <c r="B13" s="49" t="s">
        <v>164</v>
      </c>
      <c r="C13" s="359">
        <f t="shared" ca="1" si="0"/>
        <v>9.6517857142857135</v>
      </c>
      <c r="D13" s="95" t="s">
        <v>31</v>
      </c>
      <c r="E13" s="4">
        <v>26</v>
      </c>
      <c r="F13" s="5">
        <f ca="1">$D$2-$D$1-880-112-112-112-112-112-112-112-112</f>
        <v>39</v>
      </c>
      <c r="G13" s="6" t="s">
        <v>165</v>
      </c>
      <c r="H13" s="30">
        <v>6</v>
      </c>
      <c r="I13" s="8">
        <v>7</v>
      </c>
      <c r="J13" s="21">
        <f t="shared" si="1"/>
        <v>1.1267973866856758</v>
      </c>
      <c r="K13" s="9">
        <f t="shared" si="2"/>
        <v>252</v>
      </c>
      <c r="L13" s="9">
        <f t="shared" si="3"/>
        <v>343</v>
      </c>
      <c r="M13" s="62">
        <v>43051</v>
      </c>
      <c r="N13" s="63">
        <f t="shared" ca="1" si="4"/>
        <v>1</v>
      </c>
      <c r="O13" s="19">
        <v>7</v>
      </c>
      <c r="P13" s="20">
        <f t="shared" si="5"/>
        <v>89</v>
      </c>
      <c r="Q13" s="20">
        <v>5</v>
      </c>
      <c r="R13" s="57">
        <f t="shared" si="6"/>
        <v>0.84515425472851657</v>
      </c>
      <c r="S13" s="57">
        <f t="shared" si="7"/>
        <v>0.92504826128926143</v>
      </c>
      <c r="T13" s="10">
        <v>156750</v>
      </c>
      <c r="U13" s="10">
        <f t="shared" si="8"/>
        <v>23360</v>
      </c>
      <c r="V13" s="10">
        <v>12690</v>
      </c>
      <c r="W13" s="11">
        <f t="shared" si="9"/>
        <v>12.35224586288416</v>
      </c>
      <c r="X13" s="442">
        <v>0</v>
      </c>
      <c r="Y13" s="21">
        <f>12+6/11</f>
        <v>12.545454545454545</v>
      </c>
      <c r="Z13" s="442">
        <f>3+0.5/3</f>
        <v>3.1666666666666665</v>
      </c>
      <c r="AA13" s="21">
        <f>12+5/7</f>
        <v>12.714285714285714</v>
      </c>
      <c r="AB13" s="442">
        <f>9+1/6</f>
        <v>9.1666666666666661</v>
      </c>
      <c r="AC13" s="21">
        <f>3.34+0.34+0.33+0.33+0.33+0.33+0.33+0.33+0.33+0.26+0.25+0.25+0.25+0.25</f>
        <v>7.25</v>
      </c>
      <c r="AD13" s="442">
        <f>14+1/2</f>
        <v>14.5</v>
      </c>
      <c r="AE13" s="12">
        <f>Planning!V10</f>
        <v>164.5</v>
      </c>
      <c r="AF13" s="12">
        <v>1570</v>
      </c>
      <c r="AG13" s="12">
        <v>1930</v>
      </c>
      <c r="AH13" s="11">
        <f t="shared" ca="1" si="10"/>
        <v>3.9362193171906981</v>
      </c>
      <c r="AI13" s="22">
        <f t="shared" ca="1" si="11"/>
        <v>12.400316146897005</v>
      </c>
      <c r="AJ13" s="22">
        <f t="shared" ca="1" si="12"/>
        <v>13.583865747702069</v>
      </c>
      <c r="AK13" s="22">
        <f t="shared" ca="1" si="13"/>
        <v>4.4737936669431901</v>
      </c>
      <c r="AL13" s="22">
        <f t="shared" ca="1" si="14"/>
        <v>4.9007954180170792</v>
      </c>
      <c r="AM13" s="22">
        <f t="shared" ca="1" si="15"/>
        <v>14.897362808594897</v>
      </c>
      <c r="AN13" s="22">
        <f t="shared" ca="1" si="16"/>
        <v>16.319243315211882</v>
      </c>
      <c r="AO13" s="11">
        <f t="shared" ca="1" si="17"/>
        <v>14.451797386685673</v>
      </c>
      <c r="AP13" s="20">
        <v>2</v>
      </c>
      <c r="AQ13" s="20">
        <v>2</v>
      </c>
      <c r="AR13" s="20">
        <v>1</v>
      </c>
      <c r="AS13" s="57">
        <f t="shared" si="18"/>
        <v>6.1499999999999999E-2</v>
      </c>
      <c r="AT13" s="10">
        <v>133390</v>
      </c>
    </row>
    <row r="14" spans="1:46" x14ac:dyDescent="0.25">
      <c r="A14" s="407" t="s">
        <v>170</v>
      </c>
      <c r="B14" s="49" t="s">
        <v>164</v>
      </c>
      <c r="C14" s="359">
        <f t="shared" ca="1" si="0"/>
        <v>9.6875</v>
      </c>
      <c r="D14" s="95" t="s">
        <v>14</v>
      </c>
      <c r="E14" s="4">
        <v>26</v>
      </c>
      <c r="F14" s="5">
        <f ca="1">$D$2-$D$1-880-4-112-112-112-112-112-112-112-112</f>
        <v>35</v>
      </c>
      <c r="G14" s="6" t="s">
        <v>168</v>
      </c>
      <c r="H14" s="7">
        <v>1</v>
      </c>
      <c r="I14" s="8">
        <v>8.1</v>
      </c>
      <c r="J14" s="21">
        <f t="shared" si="1"/>
        <v>1.2113133585048663</v>
      </c>
      <c r="K14" s="9">
        <f t="shared" si="2"/>
        <v>8.1</v>
      </c>
      <c r="L14" s="9">
        <f t="shared" si="3"/>
        <v>32.4</v>
      </c>
      <c r="M14" s="62">
        <v>43046</v>
      </c>
      <c r="N14" s="63">
        <v>1.5</v>
      </c>
      <c r="O14" s="19">
        <v>6.9</v>
      </c>
      <c r="P14" s="20">
        <f t="shared" si="5"/>
        <v>88</v>
      </c>
      <c r="Q14" s="20">
        <v>6</v>
      </c>
      <c r="R14" s="57">
        <f t="shared" si="6"/>
        <v>0.92582009977255142</v>
      </c>
      <c r="S14" s="57">
        <f t="shared" si="7"/>
        <v>0.99928545900129484</v>
      </c>
      <c r="T14" s="10">
        <v>237940</v>
      </c>
      <c r="U14" s="10">
        <f t="shared" si="8"/>
        <v>16580</v>
      </c>
      <c r="V14" s="10">
        <v>20760</v>
      </c>
      <c r="W14" s="11">
        <f t="shared" si="9"/>
        <v>11.461464354527939</v>
      </c>
      <c r="X14" s="442">
        <v>0</v>
      </c>
      <c r="Y14" s="21">
        <f>11+6/10</f>
        <v>11.6</v>
      </c>
      <c r="Z14" s="442">
        <f>5+0.5/4+0.7</f>
        <v>5.8250000000000002</v>
      </c>
      <c r="AA14" s="21">
        <f>14+8/9</f>
        <v>14.888888888888889</v>
      </c>
      <c r="AB14" s="442">
        <f>9+0/6</f>
        <v>9</v>
      </c>
      <c r="AC14" s="21">
        <f>7+4/5</f>
        <v>7.8</v>
      </c>
      <c r="AD14" s="442">
        <v>15</v>
      </c>
      <c r="AE14" s="12">
        <f>Planning!V13</f>
        <v>178</v>
      </c>
      <c r="AF14" s="12">
        <v>1687</v>
      </c>
      <c r="AG14" s="12">
        <v>2048</v>
      </c>
      <c r="AH14" s="11">
        <f t="shared" si="10"/>
        <v>4.3668550206905499</v>
      </c>
      <c r="AI14" s="22">
        <f t="shared" si="11"/>
        <v>13.249701561447223</v>
      </c>
      <c r="AJ14" s="22">
        <f t="shared" si="12"/>
        <v>14.311313358504865</v>
      </c>
      <c r="AK14" s="22">
        <f t="shared" si="13"/>
        <v>7.9030904852607389</v>
      </c>
      <c r="AL14" s="22">
        <f t="shared" si="14"/>
        <v>8.5363133585048665</v>
      </c>
      <c r="AM14" s="22">
        <f t="shared" si="15"/>
        <v>17.323310000446451</v>
      </c>
      <c r="AN14" s="22">
        <f t="shared" si="16"/>
        <v>18.711313358504867</v>
      </c>
      <c r="AO14" s="11">
        <f t="shared" si="17"/>
        <v>15.551313358504867</v>
      </c>
      <c r="AP14" s="20">
        <v>4</v>
      </c>
      <c r="AQ14" s="20">
        <v>3</v>
      </c>
      <c r="AR14" s="20">
        <v>2</v>
      </c>
      <c r="AS14" s="57">
        <f t="shared" si="18"/>
        <v>0.1158</v>
      </c>
      <c r="AT14" s="10">
        <v>221360</v>
      </c>
    </row>
    <row r="15" spans="1:46" x14ac:dyDescent="0.25">
      <c r="A15" s="407" t="s">
        <v>171</v>
      </c>
      <c r="B15" s="49" t="s">
        <v>164</v>
      </c>
      <c r="C15" s="359">
        <f t="shared" ca="1" si="0"/>
        <v>9.6875</v>
      </c>
      <c r="D15" s="95" t="s">
        <v>172</v>
      </c>
      <c r="E15" s="4">
        <v>26</v>
      </c>
      <c r="F15" s="5">
        <f ca="1">$D$2-$D$1-880-4-112-112-112-112-112-112-112-112</f>
        <v>35</v>
      </c>
      <c r="G15" s="6" t="s">
        <v>165</v>
      </c>
      <c r="H15" s="30">
        <v>6</v>
      </c>
      <c r="I15" s="8">
        <v>6.9</v>
      </c>
      <c r="J15" s="21">
        <f t="shared" si="1"/>
        <v>1.1184654543163404</v>
      </c>
      <c r="K15" s="9">
        <f t="shared" si="2"/>
        <v>248.4</v>
      </c>
      <c r="L15" s="9">
        <f t="shared" si="3"/>
        <v>338.1</v>
      </c>
      <c r="M15" s="62">
        <v>43054</v>
      </c>
      <c r="N15" s="63">
        <f t="shared" ref="N15:N20" ca="1" si="19">IF((TODAY()-M15)&gt;335,1,((TODAY()-M15)^0.64)/(336^0.64))</f>
        <v>1</v>
      </c>
      <c r="O15" s="19">
        <v>6.9</v>
      </c>
      <c r="P15" s="20">
        <f t="shared" si="5"/>
        <v>88</v>
      </c>
      <c r="Q15" s="20">
        <v>3</v>
      </c>
      <c r="R15" s="57">
        <f t="shared" si="6"/>
        <v>0.65465367070797709</v>
      </c>
      <c r="S15" s="57">
        <f t="shared" si="7"/>
        <v>0.75498344352707503</v>
      </c>
      <c r="T15" s="10">
        <v>151140</v>
      </c>
      <c r="U15" s="10">
        <f t="shared" si="8"/>
        <v>-6660</v>
      </c>
      <c r="V15" s="10">
        <v>15810</v>
      </c>
      <c r="W15" s="11">
        <f t="shared" si="9"/>
        <v>9.559772296015181</v>
      </c>
      <c r="X15" s="442">
        <v>0</v>
      </c>
      <c r="Y15" s="21">
        <f>11+9/10</f>
        <v>11.9</v>
      </c>
      <c r="Z15" s="442">
        <f>5+1/4</f>
        <v>5.25</v>
      </c>
      <c r="AA15" s="21">
        <f>14+0/9</f>
        <v>14</v>
      </c>
      <c r="AB15" s="442">
        <f>8+2/5</f>
        <v>8.4</v>
      </c>
      <c r="AC15" s="21">
        <v>8</v>
      </c>
      <c r="AD15" s="442">
        <v>14</v>
      </c>
      <c r="AE15" s="12">
        <f>Planning!V15</f>
        <v>167.5</v>
      </c>
      <c r="AF15" s="12">
        <v>1662</v>
      </c>
      <c r="AG15" s="12">
        <v>1942</v>
      </c>
      <c r="AH15" s="11">
        <f t="shared" ca="1" si="10"/>
        <v>2.8686429883909557</v>
      </c>
      <c r="AI15" s="22">
        <f t="shared" ca="1" si="11"/>
        <v>9.1772398673611608</v>
      </c>
      <c r="AJ15" s="22">
        <f t="shared" ca="1" si="12"/>
        <v>10.596963815677464</v>
      </c>
      <c r="AK15" s="22">
        <f t="shared" ca="1" si="13"/>
        <v>4.8237929571531142</v>
      </c>
      <c r="AL15" s="22">
        <f t="shared" ca="1" si="14"/>
        <v>5.5700363246547431</v>
      </c>
      <c r="AM15" s="22">
        <f t="shared" ca="1" si="15"/>
        <v>11.206666246555891</v>
      </c>
      <c r="AN15" s="22">
        <f t="shared" ca="1" si="16"/>
        <v>12.940343548334672</v>
      </c>
      <c r="AO15" s="11">
        <f t="shared" ca="1" si="17"/>
        <v>14.318465454316339</v>
      </c>
      <c r="AP15" s="20">
        <v>2</v>
      </c>
      <c r="AQ15" s="20">
        <v>2</v>
      </c>
      <c r="AR15" s="20">
        <v>1</v>
      </c>
      <c r="AS15" s="57">
        <f t="shared" si="18"/>
        <v>6.1499999999999999E-2</v>
      </c>
      <c r="AT15" s="10">
        <v>157800</v>
      </c>
    </row>
    <row r="16" spans="1:46" x14ac:dyDescent="0.25">
      <c r="A16" s="407" t="s">
        <v>173</v>
      </c>
      <c r="B16" s="49" t="s">
        <v>174</v>
      </c>
      <c r="C16" s="359">
        <f t="shared" ca="1" si="0"/>
        <v>9.9196428571428577</v>
      </c>
      <c r="D16" s="95" t="s">
        <v>175</v>
      </c>
      <c r="E16" s="4">
        <v>26</v>
      </c>
      <c r="F16" s="5">
        <f ca="1">$D$2-$D$1-1470-112-112-112</f>
        <v>9</v>
      </c>
      <c r="G16" s="6" t="s">
        <v>168</v>
      </c>
      <c r="H16" s="7">
        <v>2</v>
      </c>
      <c r="I16" s="8">
        <v>4.7</v>
      </c>
      <c r="J16" s="21">
        <f t="shared" si="1"/>
        <v>0.8961304772476234</v>
      </c>
      <c r="K16" s="9">
        <f t="shared" si="2"/>
        <v>18.8</v>
      </c>
      <c r="L16" s="9">
        <f t="shared" si="3"/>
        <v>42.300000000000004</v>
      </c>
      <c r="M16" s="62">
        <v>43744</v>
      </c>
      <c r="N16" s="63">
        <f t="shared" ca="1" si="19"/>
        <v>1</v>
      </c>
      <c r="O16" s="19">
        <v>6.9</v>
      </c>
      <c r="P16" s="20">
        <f t="shared" si="5"/>
        <v>88</v>
      </c>
      <c r="Q16" s="20">
        <v>5</v>
      </c>
      <c r="R16" s="57">
        <f t="shared" si="6"/>
        <v>0.84515425472851657</v>
      </c>
      <c r="S16" s="57">
        <f t="shared" si="7"/>
        <v>0.92504826128926143</v>
      </c>
      <c r="T16" s="10">
        <v>102090</v>
      </c>
      <c r="U16" s="10">
        <f t="shared" si="8"/>
        <v>-12200</v>
      </c>
      <c r="V16" s="10">
        <v>15420</v>
      </c>
      <c r="W16" s="11">
        <f t="shared" si="9"/>
        <v>6.6206225680933848</v>
      </c>
      <c r="X16" s="442">
        <v>0</v>
      </c>
      <c r="Y16" s="21">
        <f>12+7.5/11</f>
        <v>12.681818181818182</v>
      </c>
      <c r="Z16" s="442">
        <f>9+1/7</f>
        <v>9.1428571428571423</v>
      </c>
      <c r="AA16" s="21">
        <v>4</v>
      </c>
      <c r="AB16" s="442">
        <f>8+5/6</f>
        <v>8.8333333333333339</v>
      </c>
      <c r="AC16" s="21">
        <v>4</v>
      </c>
      <c r="AD16" s="442">
        <v>20</v>
      </c>
      <c r="AE16" s="12">
        <f>Planning!V11</f>
        <v>159</v>
      </c>
      <c r="AF16" s="12">
        <v>1558</v>
      </c>
      <c r="AG16" s="12">
        <v>1840</v>
      </c>
      <c r="AH16" s="11">
        <f t="shared" ca="1" si="10"/>
        <v>3.8070899144199521</v>
      </c>
      <c r="AI16" s="22">
        <f t="shared" ca="1" si="11"/>
        <v>12.320615334423339</v>
      </c>
      <c r="AJ16" s="22">
        <f t="shared" ca="1" si="12"/>
        <v>13.496557882015436</v>
      </c>
      <c r="AK16" s="22">
        <f t="shared" ca="1" si="13"/>
        <v>9.3296473550269639</v>
      </c>
      <c r="AL16" s="22">
        <f t="shared" ca="1" si="14"/>
        <v>10.220116619833355</v>
      </c>
      <c r="AM16" s="22">
        <f t="shared" ca="1" si="15"/>
        <v>19.350762089665089</v>
      </c>
      <c r="AN16" s="22">
        <f t="shared" ca="1" si="16"/>
        <v>21.197697802850751</v>
      </c>
      <c r="AO16" s="11">
        <f t="shared" ca="1" si="17"/>
        <v>17.096130477247623</v>
      </c>
      <c r="AP16" s="20">
        <v>0</v>
      </c>
      <c r="AQ16" s="20">
        <v>3</v>
      </c>
      <c r="AR16" s="20">
        <v>2</v>
      </c>
      <c r="AS16" s="57">
        <f t="shared" si="18"/>
        <v>0.1158</v>
      </c>
      <c r="AT16" s="10">
        <v>114290</v>
      </c>
    </row>
    <row r="17" spans="1:46" x14ac:dyDescent="0.25">
      <c r="A17" s="407" t="s">
        <v>176</v>
      </c>
      <c r="B17" s="49" t="s">
        <v>174</v>
      </c>
      <c r="C17" s="359">
        <f t="shared" ca="1" si="0"/>
        <v>5.2232142857142856</v>
      </c>
      <c r="D17" s="345" t="s">
        <v>177</v>
      </c>
      <c r="E17" s="4">
        <v>30</v>
      </c>
      <c r="F17" s="5">
        <f ca="1">$D$2-$D$1-1600-16-112</f>
        <v>87</v>
      </c>
      <c r="G17" s="6" t="s">
        <v>178</v>
      </c>
      <c r="H17" s="7">
        <v>1</v>
      </c>
      <c r="I17" s="8">
        <v>8.1</v>
      </c>
      <c r="J17" s="21">
        <f t="shared" si="1"/>
        <v>1.2113133585048663</v>
      </c>
      <c r="K17" s="9">
        <f t="shared" si="2"/>
        <v>8.1</v>
      </c>
      <c r="L17" s="9">
        <f t="shared" si="3"/>
        <v>32.4</v>
      </c>
      <c r="M17" s="62">
        <v>43415</v>
      </c>
      <c r="N17" s="63">
        <f t="shared" ca="1" si="19"/>
        <v>1</v>
      </c>
      <c r="O17" s="19">
        <v>5.8</v>
      </c>
      <c r="P17" s="20">
        <f t="shared" si="5"/>
        <v>77</v>
      </c>
      <c r="Q17" s="20">
        <v>7</v>
      </c>
      <c r="R17" s="57">
        <f t="shared" si="6"/>
        <v>1</v>
      </c>
      <c r="S17" s="57">
        <f t="shared" si="7"/>
        <v>1</v>
      </c>
      <c r="T17" s="10">
        <v>140650</v>
      </c>
      <c r="U17" s="10">
        <f t="shared" si="8"/>
        <v>5970</v>
      </c>
      <c r="V17" s="10">
        <v>16236</v>
      </c>
      <c r="W17" s="11">
        <f t="shared" si="9"/>
        <v>8.6628479921162853</v>
      </c>
      <c r="X17" s="442">
        <v>0</v>
      </c>
      <c r="Y17" s="21">
        <v>11</v>
      </c>
      <c r="Z17" s="442">
        <v>10</v>
      </c>
      <c r="AA17" s="21">
        <v>5</v>
      </c>
      <c r="AB17" s="442">
        <v>13</v>
      </c>
      <c r="AC17" s="21">
        <v>5</v>
      </c>
      <c r="AD17" s="442">
        <v>15</v>
      </c>
      <c r="AE17" s="12">
        <f>46+33+5.5+52+8+18</f>
        <v>162.5</v>
      </c>
      <c r="AF17" s="12">
        <v>1720</v>
      </c>
      <c r="AG17" s="12"/>
      <c r="AH17" s="11">
        <f t="shared" ca="1" si="10"/>
        <v>5.4542425094393252</v>
      </c>
      <c r="AI17" s="22">
        <f t="shared" ca="1" si="11"/>
        <v>13.211313358504867</v>
      </c>
      <c r="AJ17" s="22">
        <f t="shared" ca="1" si="12"/>
        <v>13.211313358504867</v>
      </c>
      <c r="AK17" s="22">
        <f t="shared" ca="1" si="13"/>
        <v>12.211313358504867</v>
      </c>
      <c r="AL17" s="22">
        <f t="shared" ca="1" si="14"/>
        <v>12.211313358504867</v>
      </c>
      <c r="AM17" s="22">
        <f t="shared" ca="1" si="15"/>
        <v>18.211313358504867</v>
      </c>
      <c r="AN17" s="22">
        <f t="shared" ca="1" si="16"/>
        <v>18.211313358504867</v>
      </c>
      <c r="AO17" s="11">
        <f t="shared" ca="1" si="17"/>
        <v>14.211313358504867</v>
      </c>
      <c r="AP17" s="20">
        <v>2</v>
      </c>
      <c r="AQ17" s="20">
        <v>3</v>
      </c>
      <c r="AR17" s="20">
        <v>0</v>
      </c>
      <c r="AS17" s="57">
        <f t="shared" si="18"/>
        <v>0.16549999999999998</v>
      </c>
      <c r="AT17" s="10">
        <v>134680</v>
      </c>
    </row>
    <row r="18" spans="1:46" x14ac:dyDescent="0.25">
      <c r="A18" s="407" t="s">
        <v>494</v>
      </c>
      <c r="B18" s="49" t="s">
        <v>180</v>
      </c>
      <c r="C18" s="359">
        <f t="shared" ca="1" si="0"/>
        <v>6.875</v>
      </c>
      <c r="D18" s="345" t="s">
        <v>181</v>
      </c>
      <c r="E18" s="4">
        <v>29</v>
      </c>
      <c r="F18" s="5">
        <f ca="1">$D$2-$D$1-1700+11-112</f>
        <v>14</v>
      </c>
      <c r="G18" s="6" t="s">
        <v>168</v>
      </c>
      <c r="H18" s="7">
        <v>1</v>
      </c>
      <c r="I18" s="8">
        <v>7.5</v>
      </c>
      <c r="J18" s="21">
        <f t="shared" si="1"/>
        <v>1.1667483511889334</v>
      </c>
      <c r="K18" s="9">
        <f t="shared" si="2"/>
        <v>7.5</v>
      </c>
      <c r="L18" s="9">
        <f t="shared" si="3"/>
        <v>30</v>
      </c>
      <c r="M18" s="62">
        <v>43687</v>
      </c>
      <c r="N18" s="63">
        <f t="shared" ca="1" si="19"/>
        <v>1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68820</v>
      </c>
      <c r="U18" s="10">
        <f t="shared" si="8"/>
        <v>-12460</v>
      </c>
      <c r="V18" s="10">
        <v>21444</v>
      </c>
      <c r="W18" s="11">
        <f t="shared" si="9"/>
        <v>3.2092893116955792</v>
      </c>
      <c r="X18" s="442">
        <v>0</v>
      </c>
      <c r="Y18" s="21">
        <v>2</v>
      </c>
      <c r="Z18" s="442">
        <v>5</v>
      </c>
      <c r="AA18" s="21">
        <v>8</v>
      </c>
      <c r="AB18" s="442">
        <v>7</v>
      </c>
      <c r="AC18" s="21">
        <v>13</v>
      </c>
      <c r="AD18" s="442">
        <v>12</v>
      </c>
      <c r="AE18" s="12">
        <f>9+14.5+14+59+12</f>
        <v>108.5</v>
      </c>
      <c r="AF18" s="12">
        <v>1191</v>
      </c>
      <c r="AG18" s="12"/>
      <c r="AH18" s="11">
        <f t="shared" ca="1" si="10"/>
        <v>2.6038973900500091</v>
      </c>
      <c r="AI18" s="22">
        <f t="shared" ca="1" si="11"/>
        <v>3.8576593742248524</v>
      </c>
      <c r="AJ18" s="22">
        <f t="shared" ca="1" si="12"/>
        <v>4.1667483511889332</v>
      </c>
      <c r="AK18" s="22">
        <f t="shared" ca="1" si="13"/>
        <v>6.6351196735425066</v>
      </c>
      <c r="AL18" s="22">
        <f t="shared" ca="1" si="14"/>
        <v>7.1667483511889332</v>
      </c>
      <c r="AM18" s="22">
        <f t="shared" ca="1" si="15"/>
        <v>14.041680471722918</v>
      </c>
      <c r="AN18" s="22">
        <f t="shared" ca="1" si="16"/>
        <v>15.166748351188934</v>
      </c>
      <c r="AO18" s="11">
        <f t="shared" ca="1" si="17"/>
        <v>14.466748351188933</v>
      </c>
      <c r="AP18" s="20">
        <v>2</v>
      </c>
      <c r="AQ18" s="20">
        <v>1</v>
      </c>
      <c r="AR18" s="20">
        <v>1</v>
      </c>
      <c r="AS18" s="57">
        <f t="shared" si="18"/>
        <v>4.9399999999999999E-2</v>
      </c>
      <c r="AT18" s="10">
        <v>81280</v>
      </c>
    </row>
    <row r="19" spans="1:46" x14ac:dyDescent="0.25">
      <c r="A19" s="407" t="s">
        <v>179</v>
      </c>
      <c r="B19" s="49" t="s">
        <v>180</v>
      </c>
      <c r="C19" s="359">
        <f t="shared" ca="1" si="0"/>
        <v>7.3392857142857144</v>
      </c>
      <c r="D19" s="345" t="s">
        <v>975</v>
      </c>
      <c r="E19" s="4">
        <v>28</v>
      </c>
      <c r="F19" s="5">
        <f ca="1">$D$2-$D$1-1741</f>
        <v>74</v>
      </c>
      <c r="G19" s="6" t="s">
        <v>168</v>
      </c>
      <c r="H19" s="7">
        <v>2</v>
      </c>
      <c r="I19" s="8">
        <v>13.2</v>
      </c>
      <c r="J19" s="21">
        <f t="shared" si="1"/>
        <v>1.4940985749411331</v>
      </c>
      <c r="K19" s="9">
        <f t="shared" si="2"/>
        <v>52.8</v>
      </c>
      <c r="L19" s="9">
        <f t="shared" si="3"/>
        <v>118.8</v>
      </c>
      <c r="M19" s="62">
        <v>44069</v>
      </c>
      <c r="N19" s="63">
        <f t="shared" ca="1" si="19"/>
        <v>0.13081718674960124</v>
      </c>
      <c r="O19" s="19">
        <v>6.3</v>
      </c>
      <c r="P19" s="20">
        <f t="shared" si="5"/>
        <v>82</v>
      </c>
      <c r="Q19" s="20">
        <v>5</v>
      </c>
      <c r="R19" s="57">
        <f t="shared" si="6"/>
        <v>0.84515425472851657</v>
      </c>
      <c r="S19" s="57">
        <f t="shared" si="7"/>
        <v>0.92504826128926143</v>
      </c>
      <c r="T19" s="10">
        <v>188580</v>
      </c>
      <c r="U19" s="10">
        <f t="shared" si="8"/>
        <v>13350</v>
      </c>
      <c r="V19" s="10">
        <v>20796</v>
      </c>
      <c r="W19" s="11">
        <f t="shared" si="9"/>
        <v>9.0680900173110217</v>
      </c>
      <c r="X19" s="442">
        <v>0</v>
      </c>
      <c r="Y19" s="21">
        <v>1</v>
      </c>
      <c r="Z19" s="442">
        <v>9</v>
      </c>
      <c r="AA19" s="21">
        <v>14</v>
      </c>
      <c r="AB19" s="442">
        <v>11</v>
      </c>
      <c r="AC19" s="21">
        <v>11</v>
      </c>
      <c r="AD19" s="442">
        <v>8</v>
      </c>
      <c r="AE19" s="12">
        <f>26+46.5+36+40+6</f>
        <v>154.5</v>
      </c>
      <c r="AF19" s="12">
        <v>1633</v>
      </c>
      <c r="AG19" s="12"/>
      <c r="AH19" s="11">
        <f t="shared" ca="1" si="10"/>
        <v>2.9448076584326173</v>
      </c>
      <c r="AI19" s="22">
        <f t="shared" ca="1" si="11"/>
        <v>2.2184587242968687</v>
      </c>
      <c r="AJ19" s="22">
        <f t="shared" ca="1" si="12"/>
        <v>2.4301997723830584</v>
      </c>
      <c r="AK19" s="22">
        <f t="shared" ca="1" si="13"/>
        <v>8.9796927621250013</v>
      </c>
      <c r="AL19" s="22">
        <f t="shared" ca="1" si="14"/>
        <v>9.8367605705634684</v>
      </c>
      <c r="AM19" s="22">
        <f t="shared" ca="1" si="15"/>
        <v>8.9796927621250013</v>
      </c>
      <c r="AN19" s="22">
        <f t="shared" ca="1" si="16"/>
        <v>9.8367605705634684</v>
      </c>
      <c r="AO19" s="11">
        <f t="shared" ca="1" si="17"/>
        <v>10.524915761690735</v>
      </c>
      <c r="AP19" s="20">
        <v>1</v>
      </c>
      <c r="AQ19" s="20">
        <v>1</v>
      </c>
      <c r="AR19" s="20">
        <v>1</v>
      </c>
      <c r="AS19" s="57">
        <f t="shared" si="18"/>
        <v>4.9399999999999999E-2</v>
      </c>
      <c r="AT19" s="10">
        <v>175230</v>
      </c>
    </row>
    <row r="20" spans="1:46" x14ac:dyDescent="0.25">
      <c r="A20" s="407" t="s">
        <v>183</v>
      </c>
      <c r="B20" s="49" t="s">
        <v>180</v>
      </c>
      <c r="C20" s="359">
        <f t="shared" ca="1" si="0"/>
        <v>9.4821428571428577</v>
      </c>
      <c r="D20" s="345" t="s">
        <v>917</v>
      </c>
      <c r="E20" s="4">
        <v>26</v>
      </c>
      <c r="F20" s="5">
        <f ca="1">$D$2-$D$1-1600-45-112</f>
        <v>58</v>
      </c>
      <c r="G20" s="6" t="s">
        <v>168</v>
      </c>
      <c r="H20" s="7">
        <v>1</v>
      </c>
      <c r="I20" s="8">
        <v>5.0999999999999996</v>
      </c>
      <c r="J20" s="21">
        <f t="shared" si="1"/>
        <v>0.94342690146391517</v>
      </c>
      <c r="K20" s="9">
        <f t="shared" si="2"/>
        <v>5.0999999999999996</v>
      </c>
      <c r="L20" s="9">
        <f t="shared" si="3"/>
        <v>20.399999999999999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4</v>
      </c>
      <c r="R20" s="57">
        <f t="shared" si="6"/>
        <v>0.7559289460184544</v>
      </c>
      <c r="S20" s="57">
        <f t="shared" si="7"/>
        <v>0.84430867747355465</v>
      </c>
      <c r="T20" s="10">
        <v>230870</v>
      </c>
      <c r="U20" s="10">
        <f t="shared" si="8"/>
        <v>-1680</v>
      </c>
      <c r="V20" s="10">
        <v>29508</v>
      </c>
      <c r="W20" s="11">
        <f t="shared" si="9"/>
        <v>7.8239799376440287</v>
      </c>
      <c r="X20" s="442">
        <v>0</v>
      </c>
      <c r="Y20" s="21">
        <v>3</v>
      </c>
      <c r="Z20" s="442">
        <f>7+1/5</f>
        <v>7.2</v>
      </c>
      <c r="AA20" s="21">
        <v>10</v>
      </c>
      <c r="AB20" s="442">
        <f>12+3/9</f>
        <v>12.333333333333334</v>
      </c>
      <c r="AC20" s="21">
        <v>14</v>
      </c>
      <c r="AD20" s="442">
        <v>11</v>
      </c>
      <c r="AE20" s="12">
        <f>3+16+22.5+45+70+7+1+2+1+1</f>
        <v>168.5</v>
      </c>
      <c r="AF20" s="12">
        <v>1756</v>
      </c>
      <c r="AG20" s="12">
        <v>2008</v>
      </c>
      <c r="AH20" s="11">
        <f t="shared" ca="1" si="10"/>
        <v>3.1651640151299776</v>
      </c>
      <c r="AI20" s="22">
        <f t="shared" ca="1" si="11"/>
        <v>3.7368794873428914</v>
      </c>
      <c r="AJ20" s="22">
        <f t="shared" ca="1" si="12"/>
        <v>4.1779582787116354</v>
      </c>
      <c r="AK20" s="22">
        <f t="shared" ca="1" si="13"/>
        <v>6.9117810606203998</v>
      </c>
      <c r="AL20" s="22">
        <f t="shared" ca="1" si="14"/>
        <v>7.7276061485714047</v>
      </c>
      <c r="AM20" s="22">
        <f t="shared" ca="1" si="15"/>
        <v>10.54024000150898</v>
      </c>
      <c r="AN20" s="22">
        <f t="shared" ca="1" si="16"/>
        <v>11.784346571268285</v>
      </c>
      <c r="AO20" s="11">
        <f t="shared" ca="1" si="17"/>
        <v>13.843426901463914</v>
      </c>
      <c r="AP20" s="20">
        <v>1</v>
      </c>
      <c r="AQ20" s="20">
        <v>0</v>
      </c>
      <c r="AR20" s="20">
        <v>1</v>
      </c>
      <c r="AS20" s="57">
        <f t="shared" si="18"/>
        <v>2.63E-2</v>
      </c>
      <c r="AT20" s="10">
        <v>232550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  <c r="AG24" s="44"/>
    </row>
    <row r="25" spans="1:46" x14ac:dyDescent="0.25">
      <c r="D25" s="6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X4:AD20">
    <cfRule type="colorScale" priority="4">
      <colorScale>
        <cfvo type="min"/>
        <cfvo type="max"/>
        <color rgb="FFFCFCFF"/>
        <color rgb="FFF8696B"/>
      </colorScale>
    </cfRule>
  </conditionalFormatting>
  <conditionalFormatting sqref="X4:AD20">
    <cfRule type="cellIs" dxfId="56" priority="5" operator="greaterThan">
      <formula>10</formula>
    </cfRule>
  </conditionalFormatting>
  <conditionalFormatting sqref="W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5 W7:W2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9">
      <colorScale>
        <cfvo type="min"/>
        <cfvo type="max"/>
        <color rgb="FFFFEF9C"/>
        <color rgb="FF63BE7B"/>
      </colorScale>
    </cfRule>
  </conditionalFormatting>
  <conditionalFormatting sqref="T4:T2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M4:AN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5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E4:AE2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S4:AS20">
    <cfRule type="colorScale" priority="24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{052EC9BC-E465-48AE-B7FE-9FEF5DFA49EB}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W4:W5 W7:W20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052EC9BC-E465-48AE-B7FE-9FEF5DFA4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184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185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186</v>
      </c>
      <c r="B2" s="118" t="s">
        <v>187</v>
      </c>
      <c r="C2" s="118" t="s">
        <v>113</v>
      </c>
      <c r="D2" s="119" t="s">
        <v>188</v>
      </c>
      <c r="E2" s="118" t="s">
        <v>189</v>
      </c>
      <c r="F2" s="119" t="s">
        <v>190</v>
      </c>
      <c r="G2" s="120" t="s">
        <v>191</v>
      </c>
      <c r="H2" s="119" t="s">
        <v>192</v>
      </c>
      <c r="I2" s="119" t="s">
        <v>115</v>
      </c>
      <c r="J2" s="118" t="s">
        <v>154</v>
      </c>
      <c r="K2" s="118" t="s">
        <v>193</v>
      </c>
      <c r="L2" s="121" t="s">
        <v>194</v>
      </c>
      <c r="M2" s="121" t="s">
        <v>193</v>
      </c>
      <c r="N2" s="118" t="s">
        <v>195</v>
      </c>
      <c r="O2" s="118" t="s">
        <v>193</v>
      </c>
      <c r="P2" s="121" t="s">
        <v>196</v>
      </c>
      <c r="Q2" s="121" t="s">
        <v>193</v>
      </c>
      <c r="R2" s="118" t="s">
        <v>197</v>
      </c>
      <c r="S2" s="118" t="s">
        <v>193</v>
      </c>
      <c r="T2" s="121" t="s">
        <v>198</v>
      </c>
      <c r="U2" s="121" t="s">
        <v>193</v>
      </c>
      <c r="V2" s="118" t="s">
        <v>199</v>
      </c>
      <c r="W2" s="118" t="s">
        <v>193</v>
      </c>
      <c r="X2" s="122" t="s">
        <v>200</v>
      </c>
      <c r="Y2" s="122" t="s">
        <v>201</v>
      </c>
      <c r="Z2" s="119" t="s">
        <v>202</v>
      </c>
      <c r="AA2" s="119" t="s">
        <v>199</v>
      </c>
      <c r="AB2" s="119" t="s">
        <v>203</v>
      </c>
      <c r="AC2" s="123" t="s">
        <v>204</v>
      </c>
      <c r="AD2" s="123" t="s">
        <v>205</v>
      </c>
      <c r="AE2" s="123" t="s">
        <v>206</v>
      </c>
      <c r="AF2" s="123" t="s">
        <v>207</v>
      </c>
      <c r="AG2" s="123" t="s">
        <v>208</v>
      </c>
      <c r="AH2" s="123" t="s">
        <v>209</v>
      </c>
      <c r="AI2" s="120" t="s">
        <v>210</v>
      </c>
      <c r="AK2" s="203" t="s">
        <v>186</v>
      </c>
      <c r="AL2" s="203" t="s">
        <v>187</v>
      </c>
      <c r="AM2" s="203" t="s">
        <v>113</v>
      </c>
      <c r="AN2" s="228" t="s">
        <v>188</v>
      </c>
      <c r="AO2" s="230" t="s">
        <v>154</v>
      </c>
      <c r="AP2" s="230" t="s">
        <v>211</v>
      </c>
      <c r="AQ2" s="230" t="s">
        <v>194</v>
      </c>
      <c r="AR2" s="230" t="s">
        <v>212</v>
      </c>
      <c r="AS2" s="230" t="s">
        <v>195</v>
      </c>
      <c r="AT2" s="230" t="s">
        <v>213</v>
      </c>
      <c r="AU2" s="230" t="s">
        <v>196</v>
      </c>
      <c r="AV2" s="230" t="s">
        <v>214</v>
      </c>
      <c r="AW2" s="230" t="s">
        <v>198</v>
      </c>
      <c r="AX2" s="230" t="s">
        <v>215</v>
      </c>
      <c r="AY2" s="230" t="s">
        <v>197</v>
      </c>
      <c r="AZ2" s="230" t="s">
        <v>216</v>
      </c>
      <c r="BA2" s="230" t="s">
        <v>199</v>
      </c>
      <c r="BB2" s="230" t="s">
        <v>217</v>
      </c>
      <c r="BC2" s="230" t="s">
        <v>218</v>
      </c>
    </row>
    <row r="3" spans="1:56" x14ac:dyDescent="0.25">
      <c r="A3" s="124" t="s">
        <v>219</v>
      </c>
      <c r="B3" s="125">
        <v>16</v>
      </c>
      <c r="C3" s="126">
        <f ca="1">A33-2100-6-93-112+6-36-112-112-12-112</f>
        <v>396</v>
      </c>
      <c r="D3" s="127" t="s">
        <v>165</v>
      </c>
      <c r="E3" s="128">
        <f ca="1">F3-TODAY()</f>
        <v>-284</v>
      </c>
      <c r="F3" s="129">
        <v>43799</v>
      </c>
      <c r="G3" s="180" t="s">
        <v>220</v>
      </c>
      <c r="H3" s="157" t="s">
        <v>221</v>
      </c>
      <c r="I3" s="130" t="s">
        <v>222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223</v>
      </c>
      <c r="AK3" s="209" t="s">
        <v>224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225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226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227</v>
      </c>
      <c r="B5" s="143"/>
      <c r="C5" s="143"/>
      <c r="D5" s="144"/>
      <c r="E5" s="143"/>
      <c r="F5" s="145"/>
      <c r="G5" s="146"/>
      <c r="H5" s="145"/>
      <c r="I5" s="145"/>
      <c r="J5" s="147" t="s">
        <v>228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229</v>
      </c>
      <c r="AD5" s="148"/>
      <c r="AE5" s="148"/>
      <c r="AF5" s="148"/>
      <c r="AG5" s="148"/>
      <c r="AH5" s="148"/>
      <c r="AI5" s="149"/>
      <c r="AK5" s="209" t="s">
        <v>230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186</v>
      </c>
      <c r="B6" s="150" t="s">
        <v>187</v>
      </c>
      <c r="C6" s="150" t="s">
        <v>113</v>
      </c>
      <c r="D6" s="151" t="s">
        <v>188</v>
      </c>
      <c r="E6" s="150" t="s">
        <v>189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154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199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231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232</v>
      </c>
      <c r="B7" s="125">
        <v>16</v>
      </c>
      <c r="C7" s="126">
        <f ca="1">A33-2700+25</f>
        <v>410</v>
      </c>
      <c r="D7" s="127"/>
      <c r="E7" s="128">
        <f ca="1">F7-TODAY()</f>
        <v>-256</v>
      </c>
      <c r="F7" s="129">
        <v>43827</v>
      </c>
      <c r="G7" s="130"/>
      <c r="H7" s="130"/>
      <c r="I7" s="130" t="s">
        <v>222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233</v>
      </c>
      <c r="AK7" s="209" t="s">
        <v>234</v>
      </c>
      <c r="AL7" s="209">
        <v>17</v>
      </c>
      <c r="AM7" s="211">
        <v>1723</v>
      </c>
      <c r="AN7" s="229" t="s">
        <v>235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236</v>
      </c>
      <c r="B8" s="125">
        <v>16</v>
      </c>
      <c r="C8" s="126">
        <f ca="1">A32-43375-230-112</f>
        <v>366</v>
      </c>
      <c r="D8" s="127"/>
      <c r="E8" s="128">
        <f ca="1">F8-TODAY()</f>
        <v>-254</v>
      </c>
      <c r="F8" s="129">
        <v>43829</v>
      </c>
      <c r="G8" s="180" t="s">
        <v>220</v>
      </c>
      <c r="H8" s="130" t="s">
        <v>221</v>
      </c>
      <c r="I8" s="130" t="s">
        <v>222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223</v>
      </c>
      <c r="AK8" s="209" t="s">
        <v>237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238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239</v>
      </c>
      <c r="AL9" s="209">
        <v>17</v>
      </c>
      <c r="AM9" s="211">
        <v>1729</v>
      </c>
      <c r="AN9" s="229" t="s">
        <v>193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227</v>
      </c>
      <c r="B10" s="167"/>
      <c r="C10" s="167"/>
      <c r="D10" s="168"/>
      <c r="E10" s="167"/>
      <c r="F10" s="169"/>
      <c r="G10" s="170"/>
      <c r="H10" s="169"/>
      <c r="I10" s="169"/>
      <c r="J10" s="171" t="s">
        <v>228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229</v>
      </c>
      <c r="AD10" s="172"/>
      <c r="AE10" s="172"/>
      <c r="AF10" s="172"/>
      <c r="AG10" s="172"/>
      <c r="AH10" s="172"/>
      <c r="AI10" s="173"/>
      <c r="AK10" s="209" t="s">
        <v>240</v>
      </c>
      <c r="AL10" s="209">
        <v>17</v>
      </c>
      <c r="AM10" s="211">
        <v>1764</v>
      </c>
      <c r="AN10" s="229" t="s">
        <v>241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186</v>
      </c>
      <c r="B11" s="174" t="s">
        <v>187</v>
      </c>
      <c r="C11" s="174" t="s">
        <v>113</v>
      </c>
      <c r="D11" s="175" t="s">
        <v>188</v>
      </c>
      <c r="E11" s="174" t="s">
        <v>189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154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199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242</v>
      </c>
      <c r="AL11" s="209">
        <v>17</v>
      </c>
      <c r="AM11" s="211">
        <v>1789</v>
      </c>
      <c r="AN11" s="229" t="s">
        <v>243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244</v>
      </c>
      <c r="B12" s="125">
        <v>16</v>
      </c>
      <c r="C12" s="126">
        <f ca="1">86+A33-2516-112-112</f>
        <v>431</v>
      </c>
      <c r="D12" s="127" t="s">
        <v>165</v>
      </c>
      <c r="E12" s="128">
        <f t="shared" ref="E12:E17" ca="1" si="4">F12-TODAY()</f>
        <v>-319</v>
      </c>
      <c r="F12" s="129">
        <v>43764</v>
      </c>
      <c r="G12" s="162" t="s">
        <v>245</v>
      </c>
      <c r="H12" s="131" t="s">
        <v>246</v>
      </c>
      <c r="I12" s="130" t="s">
        <v>222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223</v>
      </c>
      <c r="AK12" s="209" t="s">
        <v>247</v>
      </c>
      <c r="AL12" s="209">
        <v>17</v>
      </c>
      <c r="AM12" s="211">
        <v>0</v>
      </c>
      <c r="AN12" s="229" t="s">
        <v>243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248</v>
      </c>
      <c r="B13" s="125">
        <v>16</v>
      </c>
      <c r="C13" s="126">
        <f ca="1">A32-43400+6-112-110-112</f>
        <v>355</v>
      </c>
      <c r="D13" s="127" t="s">
        <v>165</v>
      </c>
      <c r="E13" s="128">
        <f t="shared" ca="1" si="4"/>
        <v>-243</v>
      </c>
      <c r="F13" s="129">
        <v>43840</v>
      </c>
      <c r="G13" s="162" t="s">
        <v>245</v>
      </c>
      <c r="H13" s="157" t="s">
        <v>221</v>
      </c>
      <c r="I13" s="130" t="s">
        <v>222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223</v>
      </c>
      <c r="AK13" s="209" t="s">
        <v>249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250</v>
      </c>
      <c r="B14" s="125">
        <v>15</v>
      </c>
      <c r="C14" s="126">
        <f ca="1">-2679+A33</f>
        <v>406</v>
      </c>
      <c r="D14" s="127"/>
      <c r="E14" s="128">
        <f t="shared" ca="1" si="4"/>
        <v>-182</v>
      </c>
      <c r="F14" s="129">
        <v>43901</v>
      </c>
      <c r="G14" s="162" t="s">
        <v>245</v>
      </c>
      <c r="H14" s="131" t="s">
        <v>251</v>
      </c>
      <c r="I14" s="130" t="s">
        <v>222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252</v>
      </c>
      <c r="AL14" s="209">
        <v>16</v>
      </c>
      <c r="AM14" s="211">
        <v>1807</v>
      </c>
      <c r="AN14" s="229" t="s">
        <v>243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253</v>
      </c>
      <c r="B15" s="125">
        <v>17</v>
      </c>
      <c r="C15" s="126">
        <f ca="1">A33-2100-6-93-112+2-62-112-112-112</f>
        <v>378</v>
      </c>
      <c r="D15" s="127" t="s">
        <v>178</v>
      </c>
      <c r="E15" s="128">
        <f t="shared" ca="1" si="4"/>
        <v>-378</v>
      </c>
      <c r="F15" s="129">
        <v>43705</v>
      </c>
      <c r="G15" s="180"/>
      <c r="H15" s="131" t="s">
        <v>254</v>
      </c>
      <c r="I15" s="130" t="s">
        <v>222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233</v>
      </c>
      <c r="AK15" s="209" t="s">
        <v>255</v>
      </c>
      <c r="AL15" s="209">
        <v>18</v>
      </c>
      <c r="AM15" s="211">
        <v>1778</v>
      </c>
      <c r="AN15" s="229" t="s">
        <v>193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256</v>
      </c>
      <c r="B16" s="125">
        <v>17</v>
      </c>
      <c r="C16" s="126">
        <f ca="1">A33-2100-5-93-112+6-36-112-112-12-112</f>
        <v>397</v>
      </c>
      <c r="D16" s="127"/>
      <c r="E16" s="128">
        <f t="shared" ca="1" si="4"/>
        <v>-397</v>
      </c>
      <c r="F16" s="129">
        <v>43686</v>
      </c>
      <c r="G16" s="130"/>
      <c r="H16" s="131" t="s">
        <v>251</v>
      </c>
      <c r="I16" s="130" t="s">
        <v>222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233</v>
      </c>
      <c r="AK16" s="209" t="s">
        <v>257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258</v>
      </c>
      <c r="B17" s="125">
        <v>17</v>
      </c>
      <c r="C17" s="126">
        <f ca="1">A33-2100-6-116+4-112-112-6-112-112</f>
        <v>413</v>
      </c>
      <c r="D17" s="127"/>
      <c r="E17" s="128">
        <f t="shared" ca="1" si="4"/>
        <v>-413</v>
      </c>
      <c r="F17" s="129">
        <v>43670</v>
      </c>
      <c r="G17" s="162" t="s">
        <v>245</v>
      </c>
      <c r="H17" s="131" t="s">
        <v>251</v>
      </c>
      <c r="I17" s="130" t="s">
        <v>222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233</v>
      </c>
      <c r="AK17" s="209" t="s">
        <v>259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227</v>
      </c>
      <c r="B18" s="181"/>
      <c r="C18" s="181"/>
      <c r="D18" s="182"/>
      <c r="E18" s="181"/>
      <c r="F18" s="183"/>
      <c r="G18" s="184"/>
      <c r="H18" s="183"/>
      <c r="I18" s="183"/>
      <c r="J18" s="185" t="s">
        <v>228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229</v>
      </c>
      <c r="AD18" s="186"/>
      <c r="AE18" s="186"/>
      <c r="AF18" s="186"/>
      <c r="AG18" s="186"/>
      <c r="AH18" s="186"/>
      <c r="AI18" s="187"/>
      <c r="AK18" s="209" t="s">
        <v>260</v>
      </c>
      <c r="AL18" s="209">
        <v>17</v>
      </c>
      <c r="AM18" s="211">
        <v>1733</v>
      </c>
      <c r="AN18" s="229" t="s">
        <v>261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186</v>
      </c>
      <c r="B19" s="188" t="s">
        <v>187</v>
      </c>
      <c r="C19" s="188" t="s">
        <v>113</v>
      </c>
      <c r="D19" s="189" t="s">
        <v>188</v>
      </c>
      <c r="E19" s="188" t="s">
        <v>189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154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199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262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353</v>
      </c>
      <c r="D20" s="127"/>
      <c r="E20" s="128">
        <f t="shared" ref="E20:E25" ca="1" si="9">F20-TODAY()</f>
        <v>-44083</v>
      </c>
      <c r="F20" s="129"/>
      <c r="G20" s="157"/>
      <c r="H20" s="130" t="s">
        <v>221</v>
      </c>
      <c r="I20" s="130" t="s">
        <v>222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263</v>
      </c>
      <c r="AL20" s="209">
        <v>17</v>
      </c>
      <c r="AM20" s="211">
        <v>1585</v>
      </c>
      <c r="AN20" s="229" t="s">
        <v>241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264</v>
      </c>
      <c r="B21" s="125">
        <v>16</v>
      </c>
      <c r="C21" s="156">
        <f ca="1">A33-2700</f>
        <v>385</v>
      </c>
      <c r="D21" s="127"/>
      <c r="E21" s="128">
        <f t="shared" ca="1" si="9"/>
        <v>-228</v>
      </c>
      <c r="F21" s="129">
        <v>43855</v>
      </c>
      <c r="G21" s="157"/>
      <c r="H21" s="130" t="s">
        <v>221</v>
      </c>
      <c r="I21" s="130" t="s">
        <v>222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265</v>
      </c>
      <c r="AL21" s="209">
        <v>16</v>
      </c>
      <c r="AM21" s="211">
        <v>1687</v>
      </c>
      <c r="AN21" s="229" t="s">
        <v>235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266</v>
      </c>
      <c r="B22" s="125">
        <v>16</v>
      </c>
      <c r="C22" s="126">
        <f ca="1">A33-2679</f>
        <v>406</v>
      </c>
      <c r="D22" s="127"/>
      <c r="E22" s="128">
        <f t="shared" ca="1" si="9"/>
        <v>-263</v>
      </c>
      <c r="F22" s="129">
        <v>43820</v>
      </c>
      <c r="G22" s="130"/>
      <c r="H22" s="157" t="s">
        <v>221</v>
      </c>
      <c r="I22" s="130" t="s">
        <v>222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223</v>
      </c>
      <c r="AK22" s="209" t="s">
        <v>267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268</v>
      </c>
      <c r="B23" s="125">
        <v>16</v>
      </c>
      <c r="C23" s="126">
        <f ca="1">A33-2100-6-116+4-112-112-113-112</f>
        <v>418</v>
      </c>
      <c r="D23" s="127" t="s">
        <v>269</v>
      </c>
      <c r="E23" s="128">
        <f t="shared" ca="1" si="9"/>
        <v>-306</v>
      </c>
      <c r="F23" s="129">
        <v>43777</v>
      </c>
      <c r="G23" s="157"/>
      <c r="H23" s="131" t="s">
        <v>246</v>
      </c>
      <c r="I23" s="130" t="s">
        <v>222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233</v>
      </c>
      <c r="AK23" s="209" t="s">
        <v>270</v>
      </c>
      <c r="AL23" s="209">
        <v>18</v>
      </c>
      <c r="AM23" s="211">
        <v>1648</v>
      </c>
      <c r="AN23" s="229" t="s">
        <v>243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271</v>
      </c>
      <c r="B24" s="125">
        <v>18</v>
      </c>
      <c r="C24" s="126">
        <f ca="1">A33-2150+2-112+7-112-78-112-112</f>
        <v>418</v>
      </c>
      <c r="D24" s="127" t="s">
        <v>201</v>
      </c>
      <c r="E24" s="128">
        <f t="shared" ca="1" si="9"/>
        <v>0</v>
      </c>
      <c r="F24" s="129">
        <f ca="1">TODAY()</f>
        <v>44083</v>
      </c>
      <c r="G24" s="162" t="s">
        <v>245</v>
      </c>
      <c r="H24" s="157" t="s">
        <v>221</v>
      </c>
      <c r="I24" s="130" t="s">
        <v>222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233</v>
      </c>
      <c r="AK24" s="209" t="s">
        <v>272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273</v>
      </c>
      <c r="B25" s="125">
        <v>18</v>
      </c>
      <c r="C25" s="126">
        <f ca="1">A33-2150+2-112+7-112-72-112-112</f>
        <v>424</v>
      </c>
      <c r="D25" s="127"/>
      <c r="E25" s="128">
        <f t="shared" ca="1" si="9"/>
        <v>0</v>
      </c>
      <c r="F25" s="129">
        <f ca="1">TODAY()</f>
        <v>44083</v>
      </c>
      <c r="G25" s="180" t="s">
        <v>220</v>
      </c>
      <c r="H25" s="157" t="s">
        <v>221</v>
      </c>
      <c r="I25" s="130" t="s">
        <v>222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223</v>
      </c>
      <c r="AK25" s="209" t="s">
        <v>274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275</v>
      </c>
      <c r="B26" s="125">
        <v>17</v>
      </c>
      <c r="C26" s="126">
        <f ca="1">88+A33-2516-112-112</f>
        <v>433</v>
      </c>
      <c r="D26" s="127"/>
      <c r="E26" s="128">
        <v>0</v>
      </c>
      <c r="F26" s="129">
        <v>43650</v>
      </c>
      <c r="G26" s="162" t="s">
        <v>245</v>
      </c>
      <c r="H26" s="131" t="s">
        <v>251</v>
      </c>
      <c r="I26" s="130" t="s">
        <v>222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233</v>
      </c>
      <c r="AK26" s="209" t="s">
        <v>276</v>
      </c>
      <c r="AL26" s="209">
        <v>16</v>
      </c>
      <c r="AM26" s="211">
        <v>1566</v>
      </c>
      <c r="AN26" s="229" t="s">
        <v>243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277</v>
      </c>
      <c r="B27" s="125">
        <v>18</v>
      </c>
      <c r="C27" s="126">
        <f ca="1">A32-43400+6-112-112-112</f>
        <v>353</v>
      </c>
      <c r="D27" s="127"/>
      <c r="E27" s="128">
        <f ca="1">F27-TODAY()</f>
        <v>0</v>
      </c>
      <c r="F27" s="129">
        <f ca="1">TODAY()</f>
        <v>44083</v>
      </c>
      <c r="G27" s="157" t="s">
        <v>245</v>
      </c>
      <c r="H27" s="130" t="s">
        <v>221</v>
      </c>
      <c r="I27" s="130" t="s">
        <v>222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223</v>
      </c>
      <c r="AK27" s="209" t="s">
        <v>278</v>
      </c>
      <c r="AL27" s="209">
        <v>19</v>
      </c>
      <c r="AM27" s="211">
        <v>1449</v>
      </c>
      <c r="AN27" s="229" t="s">
        <v>235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279</v>
      </c>
      <c r="B28" s="125">
        <v>18</v>
      </c>
      <c r="C28" s="126">
        <f ca="1">A33-2100-6-93-112+6-36-112-112-112</f>
        <v>408</v>
      </c>
      <c r="D28" s="127"/>
      <c r="E28" s="128">
        <f ca="1">F28-TODAY()</f>
        <v>0</v>
      </c>
      <c r="F28" s="129">
        <f ca="1">TODAY()</f>
        <v>44083</v>
      </c>
      <c r="G28" s="157" t="s">
        <v>280</v>
      </c>
      <c r="H28" s="130" t="s">
        <v>221</v>
      </c>
      <c r="I28" s="130" t="s">
        <v>222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233</v>
      </c>
      <c r="AK28" s="209" t="s">
        <v>281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282</v>
      </c>
      <c r="AL29" s="209">
        <v>18</v>
      </c>
      <c r="AM29" s="211">
        <v>1507</v>
      </c>
      <c r="AN29" s="229" t="s">
        <v>193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283</v>
      </c>
      <c r="AL30" s="209">
        <v>19</v>
      </c>
      <c r="AM30" s="211">
        <v>1392</v>
      </c>
      <c r="AN30" s="229" t="s">
        <v>284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285</v>
      </c>
      <c r="B31" s="125"/>
      <c r="C31" s="125"/>
      <c r="D31" s="130"/>
      <c r="E31" s="125"/>
      <c r="F31" s="130"/>
      <c r="G31" s="466"/>
      <c r="H31" s="466"/>
      <c r="I31" s="466"/>
      <c r="J31" s="466"/>
      <c r="K31" s="466"/>
      <c r="L31" s="466"/>
      <c r="M31" s="466"/>
      <c r="N31" s="466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286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287</v>
      </c>
    </row>
    <row r="32" spans="1:56" x14ac:dyDescent="0.25">
      <c r="A32" s="198">
        <f ca="1">TODAY()</f>
        <v>44083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288</v>
      </c>
      <c r="AL32" s="209">
        <v>17</v>
      </c>
      <c r="AM32" s="211">
        <v>1357</v>
      </c>
      <c r="AN32" s="229" t="s">
        <v>241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3085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289</v>
      </c>
      <c r="AL33" s="209">
        <v>17</v>
      </c>
      <c r="AM33" s="211">
        <v>1358</v>
      </c>
      <c r="AN33" s="229" t="s">
        <v>235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287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290</v>
      </c>
      <c r="AL34" s="209">
        <v>17</v>
      </c>
      <c r="AM34" s="211">
        <v>1417</v>
      </c>
      <c r="AN34" s="229" t="s">
        <v>261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287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291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2674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292</v>
      </c>
      <c r="AL36" s="209">
        <v>17</v>
      </c>
      <c r="AM36" s="211">
        <v>1312</v>
      </c>
      <c r="AN36" s="229" t="s">
        <v>284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293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294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287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295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296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297</v>
      </c>
      <c r="AL41" s="209">
        <v>17</v>
      </c>
      <c r="AM41" s="211">
        <v>1269</v>
      </c>
      <c r="AN41" s="229" t="s">
        <v>235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298</v>
      </c>
      <c r="AL42" s="209">
        <v>17</v>
      </c>
      <c r="AM42" s="211">
        <v>1213</v>
      </c>
      <c r="AN42" s="229" t="s">
        <v>235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299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300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301</v>
      </c>
      <c r="AL45" s="209">
        <v>16</v>
      </c>
      <c r="AM45" s="211">
        <v>1228</v>
      </c>
      <c r="AN45" s="229" t="s">
        <v>241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302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303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304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305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306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307</v>
      </c>
      <c r="AL51" s="209">
        <v>18</v>
      </c>
      <c r="AM51" s="211">
        <v>1024</v>
      </c>
      <c r="AN51" s="229" t="s">
        <v>193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308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309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310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311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312</v>
      </c>
      <c r="AL56" s="209">
        <v>17</v>
      </c>
      <c r="AM56" s="211">
        <v>914</v>
      </c>
      <c r="AN56" s="229" t="s">
        <v>243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313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314</v>
      </c>
      <c r="AL58" s="209">
        <v>19</v>
      </c>
      <c r="AM58" s="211">
        <v>909</v>
      </c>
      <c r="AN58" s="229" t="s">
        <v>261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315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316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317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318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319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320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321</v>
      </c>
      <c r="AL65" s="209">
        <v>17</v>
      </c>
      <c r="AM65" s="211">
        <v>804</v>
      </c>
      <c r="AN65" s="229" t="s">
        <v>243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322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323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324</v>
      </c>
      <c r="AL68" s="209">
        <v>16</v>
      </c>
      <c r="AM68" s="211">
        <v>883</v>
      </c>
      <c r="AN68" s="229" t="s">
        <v>243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325</v>
      </c>
      <c r="AL69" s="209">
        <v>17</v>
      </c>
      <c r="AM69" s="211">
        <v>787</v>
      </c>
      <c r="AN69" s="229" t="s">
        <v>326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327</v>
      </c>
      <c r="AL70" s="209">
        <v>17</v>
      </c>
      <c r="AM70" s="211">
        <v>812</v>
      </c>
      <c r="AN70" s="229" t="s">
        <v>193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328</v>
      </c>
      <c r="AL71" s="209">
        <v>17</v>
      </c>
      <c r="AM71" s="211">
        <v>-1523</v>
      </c>
      <c r="AN71" s="229" t="s">
        <v>235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329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330</v>
      </c>
      <c r="AL73" s="209">
        <v>18</v>
      </c>
      <c r="AM73" s="211">
        <v>770</v>
      </c>
      <c r="AN73" s="229" t="s">
        <v>235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331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332</v>
      </c>
      <c r="AL75" s="209">
        <v>16</v>
      </c>
      <c r="AM75" s="211">
        <v>745</v>
      </c>
      <c r="AN75" s="229" t="s">
        <v>235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333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334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335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336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337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338</v>
      </c>
      <c r="AL81" s="209">
        <v>16</v>
      </c>
      <c r="AM81" s="211">
        <v>581</v>
      </c>
      <c r="AN81" s="229" t="s">
        <v>339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340</v>
      </c>
      <c r="AL82" s="209">
        <v>17</v>
      </c>
      <c r="AM82" s="211">
        <v>473</v>
      </c>
      <c r="AN82" s="229" t="s">
        <v>339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341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342</v>
      </c>
      <c r="AL84" s="209">
        <v>18</v>
      </c>
      <c r="AM84" s="211">
        <v>539</v>
      </c>
      <c r="AN84" s="229" t="s">
        <v>201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343</v>
      </c>
      <c r="AL85" s="209">
        <v>18</v>
      </c>
      <c r="AM85" s="211">
        <v>-1718</v>
      </c>
      <c r="AN85" s="229" t="s">
        <v>243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344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345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346</v>
      </c>
      <c r="AL88" s="209">
        <v>16</v>
      </c>
      <c r="AM88" s="211">
        <v>467</v>
      </c>
      <c r="AN88" s="229" t="s">
        <v>178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347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348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168</v>
      </c>
      <c r="AO91" s="221"/>
      <c r="AP91" s="213">
        <v>1.99</v>
      </c>
      <c r="AQ91" s="233">
        <v>2</v>
      </c>
      <c r="AR91" s="214">
        <v>2.99</v>
      </c>
      <c r="AS91" s="234" t="s">
        <v>349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350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351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352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353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354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355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356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357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358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359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360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361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178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362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165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363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364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365</v>
      </c>
      <c r="AL107" s="209">
        <v>18</v>
      </c>
      <c r="AM107" s="211">
        <f>[1]Jugadores!AM33-2150+2-112</f>
        <v>-2260</v>
      </c>
      <c r="AN107" s="229" t="s">
        <v>201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366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367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368</v>
      </c>
      <c r="AL110" s="209">
        <v>16</v>
      </c>
      <c r="AM110" s="211">
        <f>-1500+[1]Jugadores!AM33-770+30-112</f>
        <v>-2352</v>
      </c>
      <c r="AN110" s="229" t="s">
        <v>165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369</v>
      </c>
      <c r="AL111" s="209">
        <v>16</v>
      </c>
      <c r="AM111" s="211">
        <f>-1500+[1]Jugadores!AM33-770-112</f>
        <v>-2382</v>
      </c>
      <c r="AN111" s="229" t="s">
        <v>269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370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371</v>
      </c>
      <c r="AL113" s="209">
        <v>16</v>
      </c>
      <c r="AM113" s="211">
        <f>[1]Jugadores!AM33-2100-6-93+31-112-26-44-112</f>
        <v>-2462</v>
      </c>
      <c r="AN113" s="229" t="s">
        <v>269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372</v>
      </c>
      <c r="AL114" s="209">
        <v>18</v>
      </c>
      <c r="AM114" s="211">
        <f>88+[1]Jugadores!AM33-2254-112-112+6-112-112</f>
        <v>-2608</v>
      </c>
      <c r="AN114" s="229" t="s">
        <v>201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373</v>
      </c>
      <c r="AL115" s="209">
        <v>16</v>
      </c>
      <c r="AM115" s="211">
        <f>88+[1]Jugadores!AM33-2254-112-112+6-112</f>
        <v>-2496</v>
      </c>
      <c r="AN115" s="229" t="s">
        <v>165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374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375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376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377</v>
      </c>
      <c r="AL119" s="221">
        <v>17</v>
      </c>
      <c r="AM119" s="349">
        <v>10</v>
      </c>
      <c r="AN119" s="350" t="s">
        <v>201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378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55" priority="1" stopIfTrue="1" operator="lessThan">
      <formula>1</formula>
    </cfRule>
  </conditionalFormatting>
  <conditionalFormatting sqref="E13">
    <cfRule type="cellIs" dxfId="54" priority="2" stopIfTrue="1" operator="between">
      <formula>1</formula>
      <formula>50</formula>
    </cfRule>
  </conditionalFormatting>
  <conditionalFormatting sqref="E13">
    <cfRule type="cellIs" dxfId="53" priority="3" stopIfTrue="1" operator="greaterThan">
      <formula>50</formula>
    </cfRule>
  </conditionalFormatting>
  <conditionalFormatting sqref="AC13:AH13">
    <cfRule type="cellIs" dxfId="52" priority="4" stopIfTrue="1" operator="between">
      <formula>4</formula>
      <formula>5</formula>
    </cfRule>
  </conditionalFormatting>
  <conditionalFormatting sqref="AC13:AH13">
    <cfRule type="cellIs" dxfId="51" priority="5" stopIfTrue="1" operator="lessThan">
      <formula>4</formula>
    </cfRule>
  </conditionalFormatting>
  <conditionalFormatting sqref="AC13:AH13">
    <cfRule type="cellIs" dxfId="50" priority="6" stopIfTrue="1" operator="greaterThan">
      <formula>5</formula>
    </cfRule>
  </conditionalFormatting>
  <conditionalFormatting sqref="BC31:BC43">
    <cfRule type="cellIs" dxfId="49" priority="7" stopIfTrue="1" operator="lessThan">
      <formula>4</formula>
    </cfRule>
  </conditionalFormatting>
  <conditionalFormatting sqref="BC31:BC43">
    <cfRule type="cellIs" dxfId="48" priority="8" stopIfTrue="1" operator="greaterThan">
      <formula>6.4</formula>
    </cfRule>
  </conditionalFormatting>
  <conditionalFormatting sqref="BC31:BC43">
    <cfRule type="cellIs" dxfId="47" priority="9" stopIfTrue="1" operator="lessThan">
      <formula>4</formula>
    </cfRule>
  </conditionalFormatting>
  <conditionalFormatting sqref="BC31:BC43">
    <cfRule type="cellIs" dxfId="46" priority="10" stopIfTrue="1" operator="greaterThan">
      <formula>6.4</formula>
    </cfRule>
  </conditionalFormatting>
  <conditionalFormatting sqref="BC31:BC43">
    <cfRule type="cellIs" dxfId="45" priority="11" stopIfTrue="1" operator="lessThan">
      <formula>4</formula>
    </cfRule>
  </conditionalFormatting>
  <conditionalFormatting sqref="BC31:BC43">
    <cfRule type="cellIs" dxfId="44" priority="12" stopIfTrue="1" operator="greaterThan">
      <formula>6.4</formula>
    </cfRule>
  </conditionalFormatting>
  <conditionalFormatting sqref="BC31:BC43">
    <cfRule type="cellIs" dxfId="43" priority="13" stopIfTrue="1" operator="lessThan">
      <formula>4</formula>
    </cfRule>
  </conditionalFormatting>
  <conditionalFormatting sqref="BC31:BC43">
    <cfRule type="cellIs" dxfId="42" priority="14" stopIfTrue="1" operator="greaterThan">
      <formula>6.4</formula>
    </cfRule>
  </conditionalFormatting>
  <conditionalFormatting sqref="BC31:BC43">
    <cfRule type="cellIs" dxfId="41" priority="15" stopIfTrue="1" operator="lessThan">
      <formula>4</formula>
    </cfRule>
  </conditionalFormatting>
  <conditionalFormatting sqref="BC31:BC43">
    <cfRule type="cellIs" dxfId="40" priority="16" stopIfTrue="1" operator="greaterThan">
      <formula>6.4</formula>
    </cfRule>
  </conditionalFormatting>
  <conditionalFormatting sqref="BC31:BC43">
    <cfRule type="cellIs" dxfId="39" priority="17" stopIfTrue="1" operator="lessThan">
      <formula>4</formula>
    </cfRule>
  </conditionalFormatting>
  <conditionalFormatting sqref="BC31:BC43">
    <cfRule type="cellIs" dxfId="38" priority="18" stopIfTrue="1" operator="greaterThan">
      <formula>6.4</formula>
    </cfRule>
  </conditionalFormatting>
  <conditionalFormatting sqref="BC31:BC43">
    <cfRule type="cellIs" dxfId="37" priority="19" stopIfTrue="1" operator="lessThan">
      <formula>4</formula>
    </cfRule>
  </conditionalFormatting>
  <conditionalFormatting sqref="BC31:BC43">
    <cfRule type="cellIs" dxfId="36" priority="20" stopIfTrue="1" operator="greaterThan">
      <formula>6.4</formula>
    </cfRule>
  </conditionalFormatting>
  <conditionalFormatting sqref="AC15:AH15">
    <cfRule type="cellIs" dxfId="35" priority="21" stopIfTrue="1" operator="between">
      <formula>4</formula>
      <formula>5</formula>
    </cfRule>
  </conditionalFormatting>
  <conditionalFormatting sqref="AC15:AH15">
    <cfRule type="cellIs" dxfId="34" priority="22" stopIfTrue="1" operator="lessThan">
      <formula>4</formula>
    </cfRule>
  </conditionalFormatting>
  <conditionalFormatting sqref="AC15:AH15">
    <cfRule type="cellIs" dxfId="33" priority="23" stopIfTrue="1" operator="greaterThan">
      <formula>5</formula>
    </cfRule>
  </conditionalFormatting>
  <conditionalFormatting sqref="AC12:AH12">
    <cfRule type="cellIs" dxfId="32" priority="24" stopIfTrue="1" operator="between">
      <formula>4</formula>
      <formula>5</formula>
    </cfRule>
  </conditionalFormatting>
  <conditionalFormatting sqref="AC12:AH12">
    <cfRule type="cellIs" dxfId="31" priority="25" stopIfTrue="1" operator="lessThan">
      <formula>4</formula>
    </cfRule>
  </conditionalFormatting>
  <conditionalFormatting sqref="AC12:AH12">
    <cfRule type="cellIs" dxfId="30" priority="26" stopIfTrue="1" operator="greaterThan">
      <formula>5</formula>
    </cfRule>
  </conditionalFormatting>
  <conditionalFormatting sqref="E3 E7:E8 E12:E17 E20:E28">
    <cfRule type="cellIs" dxfId="29" priority="27" stopIfTrue="1" operator="lessThan">
      <formula>1</formula>
    </cfRule>
  </conditionalFormatting>
  <conditionalFormatting sqref="E3 E7:E8 E12:E17 E20:E28">
    <cfRule type="cellIs" dxfId="28" priority="28" stopIfTrue="1" operator="between">
      <formula>1</formula>
      <formula>50</formula>
    </cfRule>
  </conditionalFormatting>
  <conditionalFormatting sqref="E3 E7:E8 E12:E17 E20:E28">
    <cfRule type="cellIs" dxfId="27" priority="29" stopIfTrue="1" operator="greaterThan">
      <formula>50</formula>
    </cfRule>
  </conditionalFormatting>
  <conditionalFormatting sqref="AC3:AH3 AC7:AH8 AC12:AH17 AC20:AH28">
    <cfRule type="cellIs" dxfId="26" priority="30" stopIfTrue="1" operator="between">
      <formula>4</formula>
      <formula>5</formula>
    </cfRule>
  </conditionalFormatting>
  <conditionalFormatting sqref="AC3:AH3 AC7:AH8 AC12:AH17 AC20:AH28">
    <cfRule type="cellIs" dxfId="25" priority="31" stopIfTrue="1" operator="lessThan">
      <formula>4</formula>
    </cfRule>
  </conditionalFormatting>
  <conditionalFormatting sqref="AC3:AH3 AC7:AH8 AC12:AH17 AC20:AH28">
    <cfRule type="cellIs" dxfId="24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379</v>
      </c>
      <c r="B1" s="402" t="s">
        <v>380</v>
      </c>
      <c r="C1" s="402" t="s">
        <v>381</v>
      </c>
      <c r="D1" s="402" t="s">
        <v>382</v>
      </c>
      <c r="E1" s="402" t="s">
        <v>383</v>
      </c>
      <c r="F1" s="402" t="s">
        <v>384</v>
      </c>
      <c r="G1" s="402" t="s">
        <v>385</v>
      </c>
      <c r="H1" s="402" t="s">
        <v>127</v>
      </c>
      <c r="I1" s="402" t="s">
        <v>386</v>
      </c>
      <c r="J1" s="402" t="s">
        <v>387</v>
      </c>
      <c r="K1" s="402" t="s">
        <v>388</v>
      </c>
      <c r="L1" s="402" t="s">
        <v>389</v>
      </c>
      <c r="M1" s="402" t="s">
        <v>390</v>
      </c>
      <c r="N1" s="402" t="s">
        <v>391</v>
      </c>
      <c r="O1" s="402" t="s">
        <v>392</v>
      </c>
      <c r="P1" s="402" t="s">
        <v>201</v>
      </c>
      <c r="Q1" s="402" t="s">
        <v>178</v>
      </c>
      <c r="R1" s="402" t="s">
        <v>168</v>
      </c>
      <c r="S1" s="402" t="s">
        <v>269</v>
      </c>
      <c r="T1" s="402" t="s">
        <v>165</v>
      </c>
      <c r="U1" s="402" t="s">
        <v>393</v>
      </c>
      <c r="V1" s="402" t="s">
        <v>394</v>
      </c>
      <c r="W1" s="402" t="s">
        <v>395</v>
      </c>
    </row>
    <row r="2" spans="1:23" x14ac:dyDescent="0.25">
      <c r="A2" s="42" t="s">
        <v>396</v>
      </c>
      <c r="B2" s="113">
        <v>41884</v>
      </c>
      <c r="C2" s="42" t="s">
        <v>397</v>
      </c>
      <c r="D2" s="42" t="s">
        <v>398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399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400</v>
      </c>
      <c r="W2" s="42" t="s">
        <v>401</v>
      </c>
    </row>
    <row r="3" spans="1:23" x14ac:dyDescent="0.25">
      <c r="A3" s="42" t="s">
        <v>402</v>
      </c>
      <c r="B3" s="113">
        <v>39559</v>
      </c>
      <c r="C3" s="42" t="s">
        <v>403</v>
      </c>
      <c r="D3" s="42" t="s">
        <v>404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405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406</v>
      </c>
      <c r="W3" s="42" t="s">
        <v>407</v>
      </c>
    </row>
    <row r="4" spans="1:23" x14ac:dyDescent="0.25">
      <c r="A4" s="42" t="s">
        <v>408</v>
      </c>
      <c r="B4" s="113">
        <v>42028</v>
      </c>
      <c r="C4" s="42" t="s">
        <v>409</v>
      </c>
      <c r="D4" s="42" t="s">
        <v>410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411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412</v>
      </c>
      <c r="W4" s="42" t="s">
        <v>413</v>
      </c>
    </row>
    <row r="5" spans="1:23" x14ac:dyDescent="0.25">
      <c r="A5" s="42" t="s">
        <v>414</v>
      </c>
      <c r="B5" s="113">
        <v>39638</v>
      </c>
      <c r="C5" s="42" t="s">
        <v>409</v>
      </c>
      <c r="D5" s="42" t="s">
        <v>415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416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417</v>
      </c>
      <c r="W5" s="42" t="s">
        <v>418</v>
      </c>
    </row>
    <row r="6" spans="1:23" x14ac:dyDescent="0.25">
      <c r="A6" s="42" t="s">
        <v>419</v>
      </c>
      <c r="B6" s="113">
        <v>38176</v>
      </c>
      <c r="C6" s="42" t="s">
        <v>420</v>
      </c>
      <c r="D6" s="42" t="s">
        <v>404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421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422</v>
      </c>
      <c r="W6" s="42" t="s">
        <v>423</v>
      </c>
    </row>
    <row r="7" spans="1:23" x14ac:dyDescent="0.25">
      <c r="A7" s="42" t="s">
        <v>424</v>
      </c>
      <c r="B7" s="113">
        <v>37938</v>
      </c>
      <c r="C7" s="42" t="s">
        <v>425</v>
      </c>
      <c r="D7" s="42" t="s">
        <v>404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426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427</v>
      </c>
      <c r="W7" s="42">
        <v>352</v>
      </c>
    </row>
    <row r="8" spans="1:23" x14ac:dyDescent="0.25">
      <c r="A8" s="42" t="s">
        <v>428</v>
      </c>
      <c r="B8" s="113">
        <v>40968</v>
      </c>
      <c r="C8" s="42" t="s">
        <v>420</v>
      </c>
      <c r="D8" s="42" t="s">
        <v>429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430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431</v>
      </c>
      <c r="W8" s="42" t="s">
        <v>401</v>
      </c>
    </row>
    <row r="9" spans="1:23" x14ac:dyDescent="0.25">
      <c r="A9" s="42" t="s">
        <v>432</v>
      </c>
      <c r="B9" s="113">
        <v>40792</v>
      </c>
      <c r="C9" s="42" t="s">
        <v>425</v>
      </c>
      <c r="D9" s="42" t="s">
        <v>433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434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435</v>
      </c>
      <c r="W9" s="42" t="s">
        <v>436</v>
      </c>
    </row>
    <row r="11" spans="1:23" x14ac:dyDescent="0.25">
      <c r="A11" s="402" t="s">
        <v>437</v>
      </c>
      <c r="B11" s="402" t="s">
        <v>380</v>
      </c>
      <c r="C11" s="402" t="s">
        <v>381</v>
      </c>
      <c r="D11" s="402" t="s">
        <v>382</v>
      </c>
      <c r="E11" s="402" t="s">
        <v>383</v>
      </c>
      <c r="F11" s="402" t="s">
        <v>384</v>
      </c>
      <c r="G11" s="402" t="s">
        <v>385</v>
      </c>
      <c r="H11" s="402" t="s">
        <v>127</v>
      </c>
      <c r="I11" s="402" t="s">
        <v>386</v>
      </c>
      <c r="J11" s="402" t="s">
        <v>387</v>
      </c>
      <c r="K11" s="402" t="s">
        <v>388</v>
      </c>
      <c r="L11" s="402" t="s">
        <v>389</v>
      </c>
      <c r="M11" s="402" t="s">
        <v>390</v>
      </c>
      <c r="N11" s="402" t="s">
        <v>391</v>
      </c>
      <c r="O11" s="402" t="s">
        <v>392</v>
      </c>
      <c r="P11" s="402" t="s">
        <v>201</v>
      </c>
      <c r="Q11" s="402" t="s">
        <v>178</v>
      </c>
      <c r="R11" s="402" t="s">
        <v>168</v>
      </c>
      <c r="S11" s="402" t="s">
        <v>269</v>
      </c>
      <c r="T11" s="402" t="s">
        <v>165</v>
      </c>
      <c r="U11" s="402" t="s">
        <v>393</v>
      </c>
      <c r="V11" s="402" t="s">
        <v>394</v>
      </c>
      <c r="W11" s="402" t="s">
        <v>395</v>
      </c>
    </row>
    <row r="12" spans="1:23" x14ac:dyDescent="0.25">
      <c r="A12" s="42" t="s">
        <v>438</v>
      </c>
      <c r="B12" s="113">
        <v>42188</v>
      </c>
      <c r="C12" s="42" t="s">
        <v>439</v>
      </c>
      <c r="D12" s="42" t="s">
        <v>440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399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427</v>
      </c>
      <c r="W12" s="42" t="s">
        <v>441</v>
      </c>
    </row>
    <row r="13" spans="1:23" x14ac:dyDescent="0.25">
      <c r="A13" s="42" t="s">
        <v>442</v>
      </c>
      <c r="B13" s="113">
        <v>41373</v>
      </c>
      <c r="C13" s="42" t="s">
        <v>443</v>
      </c>
      <c r="D13" s="42" t="s">
        <v>444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411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445</v>
      </c>
      <c r="W13" s="42">
        <v>352</v>
      </c>
    </row>
    <row r="14" spans="1:23" x14ac:dyDescent="0.25">
      <c r="A14" s="42" t="s">
        <v>446</v>
      </c>
      <c r="B14" s="113">
        <v>40967</v>
      </c>
      <c r="C14" s="42" t="s">
        <v>439</v>
      </c>
      <c r="D14" s="42" t="s">
        <v>410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447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422</v>
      </c>
      <c r="W14" s="42">
        <v>352</v>
      </c>
    </row>
    <row r="15" spans="1:23" x14ac:dyDescent="0.25">
      <c r="A15" s="42" t="s">
        <v>448</v>
      </c>
      <c r="B15" s="113">
        <v>38761</v>
      </c>
      <c r="C15" s="42" t="s">
        <v>449</v>
      </c>
      <c r="D15" s="42" t="s">
        <v>450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451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417</v>
      </c>
      <c r="W15" s="42" t="s">
        <v>452</v>
      </c>
    </row>
    <row r="16" spans="1:23" x14ac:dyDescent="0.25">
      <c r="A16" s="42" t="s">
        <v>453</v>
      </c>
      <c r="B16" s="113">
        <v>42114</v>
      </c>
      <c r="C16" s="42" t="s">
        <v>439</v>
      </c>
      <c r="D16" s="42" t="s">
        <v>454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455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456</v>
      </c>
      <c r="W16" s="42" t="s">
        <v>457</v>
      </c>
    </row>
    <row r="17" spans="1:23" x14ac:dyDescent="0.25">
      <c r="A17" s="42" t="s">
        <v>458</v>
      </c>
      <c r="B17" s="113">
        <v>42081</v>
      </c>
      <c r="C17" s="42" t="s">
        <v>459</v>
      </c>
      <c r="D17" s="42" t="s">
        <v>440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460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461</v>
      </c>
      <c r="W17" s="42" t="s">
        <v>462</v>
      </c>
    </row>
    <row r="18" spans="1:23" x14ac:dyDescent="0.25">
      <c r="A18" s="42" t="s">
        <v>463</v>
      </c>
      <c r="B18" s="113">
        <v>42987</v>
      </c>
      <c r="C18" s="42" t="s">
        <v>425</v>
      </c>
      <c r="D18" s="42" t="s">
        <v>464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465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466</v>
      </c>
      <c r="W18" s="42">
        <v>343</v>
      </c>
    </row>
    <row r="19" spans="1:23" x14ac:dyDescent="0.25">
      <c r="A19" s="42" t="s">
        <v>432</v>
      </c>
      <c r="B19" s="113">
        <v>40792</v>
      </c>
      <c r="C19" s="42" t="s">
        <v>425</v>
      </c>
      <c r="D19" s="42" t="s">
        <v>433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434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435</v>
      </c>
      <c r="W19" s="42" t="s">
        <v>436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T14" sqref="T14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261900</v>
      </c>
      <c r="AH1" s="77">
        <f>SUM(AH3:AH15)</f>
        <v>193935.48</v>
      </c>
    </row>
    <row r="2" spans="1:45" x14ac:dyDescent="0.25">
      <c r="A2" s="96" t="s">
        <v>467</v>
      </c>
      <c r="B2" s="96" t="s">
        <v>109</v>
      </c>
      <c r="C2" s="96" t="s">
        <v>468</v>
      </c>
      <c r="D2" s="96" t="s">
        <v>111</v>
      </c>
      <c r="E2" s="96" t="s">
        <v>469</v>
      </c>
      <c r="F2" s="96" t="s">
        <v>470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471</v>
      </c>
      <c r="O2" s="96" t="s">
        <v>472</v>
      </c>
      <c r="P2" s="96" t="s">
        <v>473</v>
      </c>
      <c r="Q2" s="96" t="s">
        <v>474</v>
      </c>
      <c r="R2" s="96" t="s">
        <v>475</v>
      </c>
      <c r="S2" s="96" t="s">
        <v>476</v>
      </c>
      <c r="T2" s="96" t="s">
        <v>477</v>
      </c>
      <c r="U2" s="96" t="s">
        <v>478</v>
      </c>
      <c r="V2" s="96" t="s">
        <v>479</v>
      </c>
      <c r="X2" s="13" t="s">
        <v>467</v>
      </c>
      <c r="Y2" s="13" t="s">
        <v>469</v>
      </c>
      <c r="Z2" s="13" t="s">
        <v>470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471</v>
      </c>
      <c r="AI2" s="13" t="s">
        <v>472</v>
      </c>
      <c r="AJ2" s="13" t="s">
        <v>473</v>
      </c>
      <c r="AK2" s="13" t="s">
        <v>474</v>
      </c>
      <c r="AL2" s="13" t="s">
        <v>475</v>
      </c>
      <c r="AM2" s="13" t="s">
        <v>476</v>
      </c>
      <c r="AN2" s="13" t="s">
        <v>477</v>
      </c>
      <c r="AO2" s="13" t="s">
        <v>478</v>
      </c>
      <c r="AP2" s="13" t="s">
        <v>479</v>
      </c>
    </row>
    <row r="3" spans="1:45" x14ac:dyDescent="0.25">
      <c r="A3" t="s">
        <v>153</v>
      </c>
      <c r="B3" s="18" t="s">
        <v>154</v>
      </c>
      <c r="C3" s="6"/>
      <c r="D3" s="6" t="s">
        <v>480</v>
      </c>
      <c r="E3" s="6">
        <f>Plantilla!E4</f>
        <v>26</v>
      </c>
      <c r="F3" s="20">
        <f ca="1">Plantilla!F4</f>
        <v>46</v>
      </c>
      <c r="G3" s="89">
        <f>Plantilla!X4</f>
        <v>15</v>
      </c>
      <c r="H3" s="89">
        <f>Plantilla!Y4</f>
        <v>12.454545454545455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15</v>
      </c>
      <c r="N3" s="37">
        <f>Plantilla!V4</f>
        <v>31230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131.5</v>
      </c>
      <c r="X3" t="s">
        <v>153</v>
      </c>
      <c r="Y3" s="6">
        <f>E3</f>
        <v>26</v>
      </c>
      <c r="Z3" s="6">
        <f ca="1">F3+(7*$AR$8)</f>
        <v>46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15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131.5</v>
      </c>
    </row>
    <row r="4" spans="1:45" x14ac:dyDescent="0.25">
      <c r="A4" t="s">
        <v>156</v>
      </c>
      <c r="B4" s="18" t="s">
        <v>194</v>
      </c>
      <c r="C4" s="6"/>
      <c r="D4" s="6" t="s">
        <v>481</v>
      </c>
      <c r="E4" s="6">
        <f>Plantilla!E6</f>
        <v>26</v>
      </c>
      <c r="F4" s="20">
        <f ca="1">Plantilla!F6</f>
        <v>43</v>
      </c>
      <c r="G4" s="89">
        <f>Plantilla!X6</f>
        <v>0</v>
      </c>
      <c r="H4" s="89">
        <f>Plantilla!Y6</f>
        <v>15.488194444444444</v>
      </c>
      <c r="I4" s="89">
        <f>Plantilla!Z6</f>
        <v>6</v>
      </c>
      <c r="J4" s="89">
        <f>Plantilla!AA6</f>
        <v>6.666666666666667</v>
      </c>
      <c r="K4" s="89">
        <f>Plantilla!AB6</f>
        <v>9</v>
      </c>
      <c r="L4" s="89">
        <f>Plantilla!AC6</f>
        <v>2</v>
      </c>
      <c r="M4" s="89">
        <f>Plantilla!AD6</f>
        <v>13.5</v>
      </c>
      <c r="N4" s="37">
        <f>Plantilla!V6</f>
        <v>34490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358">
        <f t="shared" si="0"/>
        <v>165.3</v>
      </c>
      <c r="X4" t="s">
        <v>156</v>
      </c>
      <c r="Y4" s="6">
        <f>E4</f>
        <v>26</v>
      </c>
      <c r="Z4" s="6">
        <f ca="1">F4+(7*$AR$8)</f>
        <v>43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6</v>
      </c>
      <c r="AD4" s="55">
        <f>5+2/10</f>
        <v>5.2</v>
      </c>
      <c r="AE4" s="55">
        <f t="shared" ref="AE4:AE15" si="11">K4</f>
        <v>9</v>
      </c>
      <c r="AF4" s="55">
        <f t="shared" ref="AF4:AF15" si="12">L4</f>
        <v>2</v>
      </c>
      <c r="AG4" s="55">
        <f t="shared" ref="AG4:AG15" si="13">M4</f>
        <v>13.5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358">
        <f t="shared" si="9"/>
        <v>165.3</v>
      </c>
    </row>
    <row r="5" spans="1:45" x14ac:dyDescent="0.25">
      <c r="A5" t="s">
        <v>166</v>
      </c>
      <c r="B5" s="18" t="s">
        <v>194</v>
      </c>
      <c r="C5" s="6"/>
      <c r="D5" s="6" t="s">
        <v>482</v>
      </c>
      <c r="E5" s="6">
        <f>Plantilla!E8</f>
        <v>26</v>
      </c>
      <c r="F5" s="20">
        <f ca="1">Plantilla!F8</f>
        <v>74</v>
      </c>
      <c r="G5" s="89">
        <f>Plantilla!X8</f>
        <v>0</v>
      </c>
      <c r="H5" s="89">
        <f>Plantilla!Y8</f>
        <v>14.1875</v>
      </c>
      <c r="I5" s="89">
        <f>Plantilla!Z8</f>
        <v>3</v>
      </c>
      <c r="J5" s="89">
        <f>Plantilla!AA8</f>
        <v>8.1111111111111107</v>
      </c>
      <c r="K5" s="89">
        <f>Plantilla!AB8</f>
        <v>11.857142857142858</v>
      </c>
      <c r="L5" s="89">
        <f>Plantilla!AC8</f>
        <v>4</v>
      </c>
      <c r="M5" s="89">
        <f>Plantilla!AD8</f>
        <v>14</v>
      </c>
      <c r="N5" s="37">
        <f>Plantilla!V8</f>
        <v>22400</v>
      </c>
      <c r="O5" s="42">
        <v>0</v>
      </c>
      <c r="P5" s="42">
        <v>83</v>
      </c>
      <c r="Q5" s="42">
        <v>3</v>
      </c>
      <c r="R5" s="42">
        <v>15</v>
      </c>
      <c r="S5" s="42">
        <v>43</v>
      </c>
      <c r="T5" s="42">
        <v>5</v>
      </c>
      <c r="U5" s="42">
        <v>16</v>
      </c>
      <c r="V5" s="358">
        <f t="shared" si="0"/>
        <v>165</v>
      </c>
      <c r="X5" t="s">
        <v>166</v>
      </c>
      <c r="Y5" s="6">
        <f>E5</f>
        <v>26</v>
      </c>
      <c r="Z5" s="6">
        <f ca="1">F5+(7*$AR$8)</f>
        <v>74</v>
      </c>
      <c r="AA5" s="55">
        <f t="shared" si="1"/>
        <v>0</v>
      </c>
      <c r="AB5" s="55">
        <f>13+5/12</f>
        <v>13.416666666666666</v>
      </c>
      <c r="AC5" s="55">
        <f t="shared" si="10"/>
        <v>3</v>
      </c>
      <c r="AD5" s="55">
        <f>7+1/12</f>
        <v>7.083333333333333</v>
      </c>
      <c r="AE5" s="55">
        <f t="shared" si="11"/>
        <v>11.857142857142858</v>
      </c>
      <c r="AF5" s="55">
        <f t="shared" si="12"/>
        <v>4</v>
      </c>
      <c r="AG5" s="55">
        <f t="shared" si="13"/>
        <v>14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358">
        <f t="shared" si="9"/>
        <v>165</v>
      </c>
    </row>
    <row r="6" spans="1:45" x14ac:dyDescent="0.25">
      <c r="A6" t="s">
        <v>160</v>
      </c>
      <c r="B6" s="18" t="s">
        <v>194</v>
      </c>
      <c r="C6" s="6"/>
      <c r="D6" s="6" t="s">
        <v>483</v>
      </c>
      <c r="E6" s="6">
        <f>Plantilla!E7</f>
        <v>26</v>
      </c>
      <c r="F6" s="20">
        <f ca="1">Plantilla!F7</f>
        <v>24</v>
      </c>
      <c r="G6" s="89">
        <f>Plantilla!X7</f>
        <v>0</v>
      </c>
      <c r="H6" s="89">
        <f>Plantilla!Y7</f>
        <v>15.581250000000001</v>
      </c>
      <c r="I6" s="89">
        <f>Plantilla!Z7</f>
        <v>5</v>
      </c>
      <c r="J6" s="89">
        <f>Plantilla!AA7</f>
        <v>7.875</v>
      </c>
      <c r="K6" s="89">
        <f>Plantilla!AB7</f>
        <v>8.6666666666666661</v>
      </c>
      <c r="L6" s="89">
        <f>Plantilla!AC7</f>
        <v>1</v>
      </c>
      <c r="M6" s="89">
        <f>Plantilla!AD7</f>
        <v>13</v>
      </c>
      <c r="N6" s="37">
        <f>Plantilla!V7</f>
        <v>35040</v>
      </c>
      <c r="O6" s="42">
        <v>0</v>
      </c>
      <c r="P6" s="42">
        <v>105</v>
      </c>
      <c r="Q6" s="42">
        <v>9</v>
      </c>
      <c r="R6" s="42">
        <v>14</v>
      </c>
      <c r="S6" s="42">
        <v>22</v>
      </c>
      <c r="T6" s="42">
        <v>0</v>
      </c>
      <c r="U6" s="42">
        <v>14</v>
      </c>
      <c r="V6" s="358">
        <f t="shared" si="0"/>
        <v>164</v>
      </c>
      <c r="X6" t="s">
        <v>160</v>
      </c>
      <c r="Y6" s="6">
        <f>E6</f>
        <v>26</v>
      </c>
      <c r="Z6" s="6">
        <f ca="1">F6+(7*$AR$8)</f>
        <v>24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7.875</v>
      </c>
      <c r="AE6" s="55">
        <f t="shared" si="11"/>
        <v>8.6666666666666661</v>
      </c>
      <c r="AF6" s="55">
        <f t="shared" si="12"/>
        <v>1</v>
      </c>
      <c r="AG6" s="55">
        <f t="shared" si="13"/>
        <v>13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358">
        <f t="shared" si="9"/>
        <v>164</v>
      </c>
    </row>
    <row r="7" spans="1:45" x14ac:dyDescent="0.25">
      <c r="A7" t="s">
        <v>169</v>
      </c>
      <c r="B7" s="18" t="s">
        <v>194</v>
      </c>
      <c r="C7" s="6"/>
      <c r="D7" s="6" t="s">
        <v>484</v>
      </c>
      <c r="E7" s="6">
        <f>Plantilla!E9</f>
        <v>26</v>
      </c>
      <c r="F7" s="20">
        <f ca="1">Plantilla!F9</f>
        <v>59</v>
      </c>
      <c r="G7" s="89">
        <f>Plantilla!X9</f>
        <v>0</v>
      </c>
      <c r="H7" s="89">
        <f>Plantilla!Y9</f>
        <v>12.381818181818183</v>
      </c>
      <c r="I7" s="89">
        <f>Plantilla!Z9</f>
        <v>11.111111111111111</v>
      </c>
      <c r="J7" s="89">
        <f>Plantilla!AA9</f>
        <v>4.4000000000000004</v>
      </c>
      <c r="K7" s="89">
        <f>Plantilla!AB9</f>
        <v>11</v>
      </c>
      <c r="L7" s="89">
        <f>Plantilla!AC9</f>
        <v>4</v>
      </c>
      <c r="M7" s="89">
        <f>Plantilla!AD9</f>
        <v>13.5</v>
      </c>
      <c r="N7" s="37">
        <f>Plantilla!V9</f>
        <v>12870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358">
        <f t="shared" si="0"/>
        <v>161.5</v>
      </c>
      <c r="X7" t="s">
        <v>169</v>
      </c>
      <c r="Y7" s="6">
        <f>E7</f>
        <v>26</v>
      </c>
      <c r="Z7" s="6">
        <f ca="1">F7+(7*$AR$8)</f>
        <v>59</v>
      </c>
      <c r="AA7" s="55">
        <f t="shared" si="1"/>
        <v>0</v>
      </c>
      <c r="AB7" s="55">
        <f>11+7/10</f>
        <v>11.7</v>
      </c>
      <c r="AC7" s="55">
        <f t="shared" si="10"/>
        <v>11.111111111111111</v>
      </c>
      <c r="AD7" s="55">
        <f>J7</f>
        <v>4.4000000000000004</v>
      </c>
      <c r="AE7" s="55">
        <f t="shared" si="11"/>
        <v>11</v>
      </c>
      <c r="AF7" s="55">
        <f t="shared" si="12"/>
        <v>4</v>
      </c>
      <c r="AG7" s="55">
        <f t="shared" si="13"/>
        <v>13.5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161.5</v>
      </c>
      <c r="AR7" s="90" t="s">
        <v>137</v>
      </c>
      <c r="AS7" s="90" t="s">
        <v>485</v>
      </c>
    </row>
    <row r="8" spans="1:45" x14ac:dyDescent="0.25">
      <c r="A8" t="s">
        <v>173</v>
      </c>
      <c r="B8" s="18" t="s">
        <v>194</v>
      </c>
      <c r="C8" s="6"/>
      <c r="D8" s="6" t="s">
        <v>486</v>
      </c>
      <c r="E8" s="6">
        <f>Plantilla!E10</f>
        <v>26</v>
      </c>
      <c r="F8" s="20">
        <f ca="1">Plantilla!F10</f>
        <v>102</v>
      </c>
      <c r="G8" s="89">
        <f>Plantilla!X10</f>
        <v>0</v>
      </c>
      <c r="H8" s="89">
        <f>Plantilla!Y10</f>
        <v>14.25</v>
      </c>
      <c r="I8" s="89">
        <f>Plantilla!Z10</f>
        <v>5.125</v>
      </c>
      <c r="J8" s="89">
        <f>Plantilla!AA10</f>
        <v>2</v>
      </c>
      <c r="K8" s="89">
        <f>Plantilla!AB10</f>
        <v>12.111111111111111</v>
      </c>
      <c r="L8" s="89">
        <f>Plantilla!AC10</f>
        <v>6</v>
      </c>
      <c r="M8" s="89">
        <f>Plantilla!AD10</f>
        <v>12.5</v>
      </c>
      <c r="N8" s="37">
        <f>Plantilla!V10</f>
        <v>21410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358">
        <f t="shared" si="0"/>
        <v>161.5</v>
      </c>
      <c r="X8" t="s">
        <v>173</v>
      </c>
      <c r="Y8" s="6">
        <f>E8+1</f>
        <v>27</v>
      </c>
      <c r="Z8" s="6">
        <f ca="1">F8+(7*$AR$8)-112</f>
        <v>-10</v>
      </c>
      <c r="AA8" s="55">
        <f t="shared" si="1"/>
        <v>0</v>
      </c>
      <c r="AB8" s="55">
        <f>H8</f>
        <v>14.25</v>
      </c>
      <c r="AC8" s="55">
        <f t="shared" si="10"/>
        <v>5.125</v>
      </c>
      <c r="AD8" s="55">
        <f>J8</f>
        <v>2</v>
      </c>
      <c r="AE8" s="55">
        <f t="shared" si="11"/>
        <v>12.111111111111111</v>
      </c>
      <c r="AF8" s="55">
        <f t="shared" si="12"/>
        <v>6</v>
      </c>
      <c r="AG8" s="55">
        <f t="shared" si="13"/>
        <v>12.5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358">
        <f t="shared" si="9"/>
        <v>161.5</v>
      </c>
      <c r="AQ8" s="90" t="s">
        <v>194</v>
      </c>
      <c r="AR8" s="54">
        <v>0</v>
      </c>
      <c r="AS8" s="97">
        <f>AR8/16</f>
        <v>0</v>
      </c>
    </row>
    <row r="9" spans="1:45" x14ac:dyDescent="0.25">
      <c r="A9" t="s">
        <v>162</v>
      </c>
      <c r="B9" s="18" t="s">
        <v>194</v>
      </c>
      <c r="C9" s="6" t="s">
        <v>165</v>
      </c>
      <c r="D9" s="6" t="s">
        <v>487</v>
      </c>
      <c r="E9" s="6">
        <f>Plantilla!E11</f>
        <v>26</v>
      </c>
      <c r="F9" s="20">
        <f ca="1">Plantilla!F11</f>
        <v>39</v>
      </c>
      <c r="G9" s="89">
        <f>Plantilla!X11</f>
        <v>0</v>
      </c>
      <c r="H9" s="89">
        <f>Plantilla!Y11</f>
        <v>13.666666666666666</v>
      </c>
      <c r="I9" s="89">
        <f>Plantilla!Z11</f>
        <v>4</v>
      </c>
      <c r="J9" s="89">
        <f>Plantilla!AA11</f>
        <v>13.133333333333333</v>
      </c>
      <c r="K9" s="89">
        <f>Plantilla!AB11</f>
        <v>8</v>
      </c>
      <c r="L9" s="89">
        <f>Plantilla!AC11</f>
        <v>7</v>
      </c>
      <c r="M9" s="89">
        <f>Plantilla!AD11</f>
        <v>14</v>
      </c>
      <c r="N9" s="37">
        <f>Plantilla!V11</f>
        <v>20710</v>
      </c>
      <c r="O9" s="42">
        <v>0</v>
      </c>
      <c r="P9" s="42">
        <v>76</v>
      </c>
      <c r="Q9" s="42">
        <v>6</v>
      </c>
      <c r="R9" s="42">
        <v>40</v>
      </c>
      <c r="S9" s="42">
        <v>18</v>
      </c>
      <c r="T9" s="42">
        <v>16</v>
      </c>
      <c r="U9" s="42">
        <v>16</v>
      </c>
      <c r="V9" s="358">
        <f t="shared" si="0"/>
        <v>172</v>
      </c>
      <c r="X9" t="s">
        <v>162</v>
      </c>
      <c r="Y9" s="6">
        <f>E9</f>
        <v>26</v>
      </c>
      <c r="Z9" s="6">
        <f ca="1">F9+(7*$AR$8)</f>
        <v>39</v>
      </c>
      <c r="AA9" s="55">
        <f t="shared" si="1"/>
        <v>0</v>
      </c>
      <c r="AB9" s="55">
        <f>12+10/11</f>
        <v>12.909090909090908</v>
      </c>
      <c r="AC9" s="55">
        <f t="shared" si="10"/>
        <v>4</v>
      </c>
      <c r="AD9" s="55">
        <v>12.5</v>
      </c>
      <c r="AE9" s="55">
        <f t="shared" si="11"/>
        <v>8</v>
      </c>
      <c r="AF9" s="55">
        <f t="shared" si="12"/>
        <v>7</v>
      </c>
      <c r="AG9" s="55">
        <f t="shared" si="13"/>
        <v>14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358">
        <f t="shared" si="9"/>
        <v>172</v>
      </c>
      <c r="AR9" s="98"/>
      <c r="AS9" s="98"/>
    </row>
    <row r="10" spans="1:45" x14ac:dyDescent="0.25">
      <c r="A10" t="s">
        <v>170</v>
      </c>
      <c r="B10" s="18" t="s">
        <v>194</v>
      </c>
      <c r="C10" s="6" t="s">
        <v>165</v>
      </c>
      <c r="D10" s="6" t="s">
        <v>488</v>
      </c>
      <c r="E10" s="6">
        <f>Plantilla!E13</f>
        <v>26</v>
      </c>
      <c r="F10" s="20">
        <f ca="1">Plantilla!F13</f>
        <v>39</v>
      </c>
      <c r="G10" s="89">
        <f>Plantilla!X13</f>
        <v>0</v>
      </c>
      <c r="H10" s="89">
        <f>Plantilla!Y13</f>
        <v>12.545454545454545</v>
      </c>
      <c r="I10" s="89">
        <f>Plantilla!Z13</f>
        <v>3.1666666666666665</v>
      </c>
      <c r="J10" s="89">
        <f>Plantilla!AA13</f>
        <v>12.714285714285714</v>
      </c>
      <c r="K10" s="89">
        <f>Plantilla!AB13</f>
        <v>9.1666666666666661</v>
      </c>
      <c r="L10" s="89">
        <f>Plantilla!AC13</f>
        <v>7.25</v>
      </c>
      <c r="M10" s="89">
        <f>Plantilla!AD13</f>
        <v>14.5</v>
      </c>
      <c r="N10" s="37">
        <f>Plantilla!V13</f>
        <v>12690</v>
      </c>
      <c r="O10" s="42">
        <v>0</v>
      </c>
      <c r="P10" s="42">
        <v>62</v>
      </c>
      <c r="Q10" s="42">
        <v>3.5</v>
      </c>
      <c r="R10" s="29">
        <v>41</v>
      </c>
      <c r="S10" s="42">
        <v>24</v>
      </c>
      <c r="T10" s="42">
        <v>17</v>
      </c>
      <c r="U10" s="42">
        <v>17</v>
      </c>
      <c r="V10" s="358">
        <f t="shared" si="0"/>
        <v>164.5</v>
      </c>
      <c r="X10" t="s">
        <v>170</v>
      </c>
      <c r="Y10" s="6">
        <f>E10</f>
        <v>26</v>
      </c>
      <c r="Z10" s="6">
        <f ca="1">F10+(7*$AR$8)</f>
        <v>39</v>
      </c>
      <c r="AA10" s="55">
        <f t="shared" si="1"/>
        <v>0</v>
      </c>
      <c r="AB10" s="55">
        <v>12</v>
      </c>
      <c r="AC10" s="55">
        <f t="shared" si="10"/>
        <v>3.1666666666666665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14.5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41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358">
        <f t="shared" si="9"/>
        <v>164.5</v>
      </c>
      <c r="AR10" s="98"/>
      <c r="AS10" s="98"/>
    </row>
    <row r="11" spans="1:45" x14ac:dyDescent="0.25">
      <c r="A11" t="s">
        <v>163</v>
      </c>
      <c r="B11" s="18" t="s">
        <v>489</v>
      </c>
      <c r="C11" s="6" t="s">
        <v>168</v>
      </c>
      <c r="D11" s="6" t="s">
        <v>490</v>
      </c>
      <c r="E11" s="6">
        <f>Plantilla!E16</f>
        <v>26</v>
      </c>
      <c r="F11" s="20">
        <f ca="1">Plantilla!F16</f>
        <v>9</v>
      </c>
      <c r="G11" s="89">
        <f>Plantilla!X16</f>
        <v>0</v>
      </c>
      <c r="H11" s="89">
        <f>Plantilla!Y16</f>
        <v>12.681818181818182</v>
      </c>
      <c r="I11" s="89">
        <f>Plantilla!Z16</f>
        <v>9.1428571428571423</v>
      </c>
      <c r="J11" s="89">
        <f>Plantilla!AA16</f>
        <v>4</v>
      </c>
      <c r="K11" s="89">
        <f>Plantilla!AB16</f>
        <v>8.8333333333333339</v>
      </c>
      <c r="L11" s="89">
        <f>Plantilla!AC16</f>
        <v>4</v>
      </c>
      <c r="M11" s="89">
        <f>Plantilla!AD16</f>
        <v>20</v>
      </c>
      <c r="N11" s="37">
        <f>Plantilla!V16</f>
        <v>15420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358">
        <f t="shared" si="0"/>
        <v>159</v>
      </c>
      <c r="X11" t="s">
        <v>163</v>
      </c>
      <c r="Y11" s="6">
        <f>E11</f>
        <v>26</v>
      </c>
      <c r="Z11" s="6">
        <f ca="1">F11+(7*$AR$8)</f>
        <v>9</v>
      </c>
      <c r="AA11" s="55">
        <f t="shared" si="1"/>
        <v>0</v>
      </c>
      <c r="AB11" s="55">
        <f>H11+2/10</f>
        <v>12.881818181818181</v>
      </c>
      <c r="AC11" s="55">
        <f t="shared" si="10"/>
        <v>9.1428571428571423</v>
      </c>
      <c r="AD11" s="55">
        <f>J11</f>
        <v>4</v>
      </c>
      <c r="AE11" s="55">
        <f t="shared" si="11"/>
        <v>8.8333333333333339</v>
      </c>
      <c r="AF11" s="55">
        <f t="shared" si="12"/>
        <v>4</v>
      </c>
      <c r="AG11" s="55">
        <f t="shared" si="13"/>
        <v>20</v>
      </c>
      <c r="AH11" s="37">
        <f>N11</f>
        <v>15420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358">
        <f t="shared" si="9"/>
        <v>159</v>
      </c>
    </row>
    <row r="12" spans="1:45" x14ac:dyDescent="0.25">
      <c r="A12" t="s">
        <v>491</v>
      </c>
      <c r="B12" s="18" t="s">
        <v>489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491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171</v>
      </c>
      <c r="B13" s="18" t="s">
        <v>492</v>
      </c>
      <c r="C13" s="6" t="s">
        <v>168</v>
      </c>
      <c r="D13" s="6" t="s">
        <v>493</v>
      </c>
      <c r="E13" s="6">
        <f>Plantilla!E14</f>
        <v>26</v>
      </c>
      <c r="F13" s="20">
        <f ca="1">Plantilla!F14</f>
        <v>35</v>
      </c>
      <c r="G13" s="89">
        <f>Plantilla!X14</f>
        <v>0</v>
      </c>
      <c r="H13" s="89">
        <f>Plantilla!Y14</f>
        <v>11.6</v>
      </c>
      <c r="I13" s="89">
        <f>Plantilla!Z14</f>
        <v>5.8250000000000002</v>
      </c>
      <c r="J13" s="89">
        <f>Plantilla!AA14</f>
        <v>14.888888888888889</v>
      </c>
      <c r="K13" s="89">
        <f>Plantilla!AB14</f>
        <v>9</v>
      </c>
      <c r="L13" s="89">
        <f>Plantilla!AC14</f>
        <v>7.8</v>
      </c>
      <c r="M13" s="89">
        <f>Plantilla!AD14</f>
        <v>15</v>
      </c>
      <c r="N13" s="37">
        <f>Plantilla!V14</f>
        <v>20760</v>
      </c>
      <c r="O13" s="42">
        <v>0</v>
      </c>
      <c r="P13" s="42">
        <v>52</v>
      </c>
      <c r="Q13" s="42">
        <v>11</v>
      </c>
      <c r="R13" s="42">
        <v>54</v>
      </c>
      <c r="S13" s="42">
        <v>23</v>
      </c>
      <c r="T13" s="42">
        <v>20</v>
      </c>
      <c r="U13" s="42">
        <v>18</v>
      </c>
      <c r="V13" s="358">
        <f t="shared" si="0"/>
        <v>178</v>
      </c>
      <c r="X13" t="s">
        <v>171</v>
      </c>
      <c r="Y13" s="6">
        <f>E13</f>
        <v>26</v>
      </c>
      <c r="Z13" s="6">
        <f ca="1">F13+(7*$AR$8)</f>
        <v>35</v>
      </c>
      <c r="AA13" s="55">
        <f t="shared" si="1"/>
        <v>0</v>
      </c>
      <c r="AB13" s="55">
        <f>10+6/9</f>
        <v>10.666666666666666</v>
      </c>
      <c r="AC13" s="55">
        <f t="shared" si="10"/>
        <v>5.8250000000000002</v>
      </c>
      <c r="AD13" s="55">
        <v>14</v>
      </c>
      <c r="AE13" s="55">
        <f t="shared" si="11"/>
        <v>9</v>
      </c>
      <c r="AF13" s="55">
        <f t="shared" si="12"/>
        <v>7.8</v>
      </c>
      <c r="AG13" s="55">
        <f t="shared" si="13"/>
        <v>15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54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358">
        <f t="shared" si="9"/>
        <v>178</v>
      </c>
    </row>
    <row r="14" spans="1:45" x14ac:dyDescent="0.25">
      <c r="A14" t="s">
        <v>494</v>
      </c>
      <c r="B14" s="18" t="s">
        <v>492</v>
      </c>
      <c r="C14" s="6" t="s">
        <v>168</v>
      </c>
      <c r="D14" s="6" t="s">
        <v>495</v>
      </c>
      <c r="E14" s="6">
        <f>Plantilla!E12</f>
        <v>26</v>
      </c>
      <c r="F14" s="20">
        <f ca="1">Plantilla!F12</f>
        <v>0</v>
      </c>
      <c r="G14" s="89">
        <f>Plantilla!X12</f>
        <v>0</v>
      </c>
      <c r="H14" s="89">
        <f>Plantilla!Y12</f>
        <v>13.076923076923077</v>
      </c>
      <c r="I14" s="89">
        <f>Plantilla!Z12</f>
        <v>3.1666666666666665</v>
      </c>
      <c r="J14" s="89">
        <f>Plantilla!AA12</f>
        <v>13.866666666666667</v>
      </c>
      <c r="K14" s="89">
        <f>Plantilla!AB12</f>
        <v>9.8333333333333339</v>
      </c>
      <c r="L14" s="89">
        <f>Plantilla!AC12</f>
        <v>7</v>
      </c>
      <c r="M14" s="89">
        <f>Plantilla!AD12</f>
        <v>14.5</v>
      </c>
      <c r="N14" s="37">
        <f>Plantilla!V12</f>
        <v>19070</v>
      </c>
      <c r="O14" s="42">
        <v>0</v>
      </c>
      <c r="P14" s="42">
        <v>68</v>
      </c>
      <c r="Q14" s="42">
        <v>3.5</v>
      </c>
      <c r="R14" s="42">
        <v>45.5</v>
      </c>
      <c r="S14" s="42">
        <v>26</v>
      </c>
      <c r="T14" s="42">
        <v>16</v>
      </c>
      <c r="U14" s="42">
        <v>17</v>
      </c>
      <c r="V14" s="358">
        <f t="shared" si="0"/>
        <v>176</v>
      </c>
      <c r="X14" t="s">
        <v>494</v>
      </c>
      <c r="Y14" s="6">
        <f>E14+1</f>
        <v>27</v>
      </c>
      <c r="Z14" s="6">
        <f ca="1">F14+(7*$AR$8)-112</f>
        <v>-112</v>
      </c>
      <c r="AA14" s="55">
        <f t="shared" si="1"/>
        <v>0</v>
      </c>
      <c r="AB14" s="55">
        <f>12+2/11</f>
        <v>12.181818181818182</v>
      </c>
      <c r="AC14" s="55">
        <f t="shared" si="10"/>
        <v>3.1666666666666665</v>
      </c>
      <c r="AD14" s="55">
        <f>12+5/6</f>
        <v>12.833333333333334</v>
      </c>
      <c r="AE14" s="55">
        <f t="shared" si="11"/>
        <v>9.8333333333333339</v>
      </c>
      <c r="AF14" s="55">
        <f t="shared" si="12"/>
        <v>7</v>
      </c>
      <c r="AG14" s="55">
        <f t="shared" si="13"/>
        <v>14.5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45.5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358">
        <f t="shared" si="9"/>
        <v>176</v>
      </c>
    </row>
    <row r="15" spans="1:45" x14ac:dyDescent="0.25">
      <c r="A15" t="s">
        <v>159</v>
      </c>
      <c r="B15" s="18" t="s">
        <v>492</v>
      </c>
      <c r="C15" s="6" t="s">
        <v>165</v>
      </c>
      <c r="D15" s="6" t="s">
        <v>496</v>
      </c>
      <c r="E15" s="6">
        <f>Plantilla!E15</f>
        <v>26</v>
      </c>
      <c r="F15" s="20">
        <f ca="1">Plantilla!F15</f>
        <v>35</v>
      </c>
      <c r="G15" s="89">
        <f>Plantilla!X15</f>
        <v>0</v>
      </c>
      <c r="H15" s="89">
        <f>Plantilla!Y15</f>
        <v>11.9</v>
      </c>
      <c r="I15" s="89">
        <f>Plantilla!Z15</f>
        <v>5.25</v>
      </c>
      <c r="J15" s="89">
        <f>Plantilla!AA15</f>
        <v>14</v>
      </c>
      <c r="K15" s="89">
        <f>Plantilla!AB15</f>
        <v>8.4</v>
      </c>
      <c r="L15" s="89">
        <f>Plantilla!AC15</f>
        <v>8</v>
      </c>
      <c r="M15" s="89">
        <f>Plantilla!AD15</f>
        <v>14</v>
      </c>
      <c r="N15" s="37">
        <f>Plantilla!V15</f>
        <v>15810</v>
      </c>
      <c r="O15" s="42">
        <v>0</v>
      </c>
      <c r="P15" s="42">
        <v>55</v>
      </c>
      <c r="Q15" s="42">
        <v>10</v>
      </c>
      <c r="R15" s="42">
        <v>45.5</v>
      </c>
      <c r="S15" s="42">
        <v>20</v>
      </c>
      <c r="T15" s="42">
        <v>21</v>
      </c>
      <c r="U15" s="42">
        <v>16</v>
      </c>
      <c r="V15" s="358">
        <f t="shared" si="0"/>
        <v>167.5</v>
      </c>
      <c r="X15" t="s">
        <v>159</v>
      </c>
      <c r="Y15" s="6">
        <f>E15</f>
        <v>26</v>
      </c>
      <c r="Z15" s="6">
        <f ca="1">F15+(7*$AR$8)</f>
        <v>35</v>
      </c>
      <c r="AA15" s="55">
        <f t="shared" si="1"/>
        <v>0</v>
      </c>
      <c r="AB15" s="55">
        <f>11+1/10</f>
        <v>11.1</v>
      </c>
      <c r="AC15" s="55">
        <f t="shared" si="10"/>
        <v>5.25</v>
      </c>
      <c r="AD15" s="55">
        <f>13+2/6</f>
        <v>13.333333333333334</v>
      </c>
      <c r="AE15" s="55">
        <f t="shared" si="11"/>
        <v>8.4</v>
      </c>
      <c r="AF15" s="55">
        <f t="shared" si="12"/>
        <v>8</v>
      </c>
      <c r="AG15" s="55">
        <f t="shared" si="13"/>
        <v>14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45.5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358">
        <f t="shared" si="9"/>
        <v>167.5</v>
      </c>
    </row>
    <row r="16" spans="1:45" x14ac:dyDescent="0.25">
      <c r="N16" s="77">
        <f>SUM(N18:N30)</f>
        <v>209581.18000000002</v>
      </c>
      <c r="AH16" s="77">
        <f>SUM(AH18:AH30)</f>
        <v>236304.655</v>
      </c>
    </row>
    <row r="17" spans="1:45" x14ac:dyDescent="0.25">
      <c r="A17" s="13" t="s">
        <v>467</v>
      </c>
      <c r="B17" s="13" t="s">
        <v>109</v>
      </c>
      <c r="C17" s="13" t="s">
        <v>468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471</v>
      </c>
      <c r="O17" s="13" t="s">
        <v>472</v>
      </c>
      <c r="P17" s="13" t="s">
        <v>473</v>
      </c>
      <c r="Q17" s="13" t="s">
        <v>474</v>
      </c>
      <c r="R17" s="13" t="s">
        <v>475</v>
      </c>
      <c r="S17" s="13" t="s">
        <v>476</v>
      </c>
      <c r="T17" s="13" t="s">
        <v>477</v>
      </c>
      <c r="U17" s="13" t="s">
        <v>478</v>
      </c>
      <c r="V17" s="13" t="s">
        <v>479</v>
      </c>
      <c r="X17" s="13" t="s">
        <v>467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471</v>
      </c>
      <c r="AI17" s="13" t="s">
        <v>472</v>
      </c>
      <c r="AJ17" s="13" t="s">
        <v>473</v>
      </c>
      <c r="AK17" s="13" t="s">
        <v>474</v>
      </c>
      <c r="AL17" s="13" t="s">
        <v>475</v>
      </c>
      <c r="AM17" s="13" t="s">
        <v>476</v>
      </c>
      <c r="AN17" s="13" t="s">
        <v>477</v>
      </c>
      <c r="AO17" s="13" t="s">
        <v>478</v>
      </c>
      <c r="AP17" s="13" t="s">
        <v>479</v>
      </c>
    </row>
    <row r="18" spans="1:45" x14ac:dyDescent="0.25">
      <c r="A18" t="s">
        <v>153</v>
      </c>
      <c r="B18" s="18" t="s">
        <v>154</v>
      </c>
      <c r="C18" s="6"/>
      <c r="D18" s="6" t="str">
        <f>D3</f>
        <v>C. Fonteboa</v>
      </c>
      <c r="E18" s="6">
        <f t="shared" ref="E18:E26" si="14">Y3</f>
        <v>26</v>
      </c>
      <c r="F18" s="6">
        <f t="shared" ref="F18:F26" ca="1" si="15">Z3</f>
        <v>46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15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131.5</v>
      </c>
      <c r="X18" t="s">
        <v>153</v>
      </c>
      <c r="Y18" s="6">
        <f>E18+2</f>
        <v>28</v>
      </c>
      <c r="Z18" s="6">
        <f ca="1">F18+(($AR$22+$AR$23)*7)-112-112</f>
        <v>25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146.5</v>
      </c>
    </row>
    <row r="19" spans="1:45" x14ac:dyDescent="0.25">
      <c r="A19" t="s">
        <v>156</v>
      </c>
      <c r="B19" s="18" t="s">
        <v>194</v>
      </c>
      <c r="C19" s="6"/>
      <c r="D19" s="6" t="str">
        <f>D4</f>
        <v>M. Fernandez</v>
      </c>
      <c r="E19" s="6">
        <f t="shared" si="14"/>
        <v>26</v>
      </c>
      <c r="F19" s="6">
        <f t="shared" ca="1" si="15"/>
        <v>43</v>
      </c>
      <c r="G19" s="55">
        <f t="shared" si="16"/>
        <v>0</v>
      </c>
      <c r="H19" s="55">
        <f t="shared" si="17"/>
        <v>15.166666666666666</v>
      </c>
      <c r="I19" s="55">
        <f t="shared" si="18"/>
        <v>6</v>
      </c>
      <c r="J19" s="55">
        <f t="shared" si="19"/>
        <v>5.2</v>
      </c>
      <c r="K19" s="55">
        <f t="shared" si="20"/>
        <v>9</v>
      </c>
      <c r="L19" s="55">
        <f t="shared" si="21"/>
        <v>2</v>
      </c>
      <c r="M19" s="55">
        <f t="shared" si="22"/>
        <v>13.5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358">
        <f t="shared" si="31"/>
        <v>165.3</v>
      </c>
      <c r="X19" t="s">
        <v>156</v>
      </c>
      <c r="Y19" s="6">
        <f>E19+2</f>
        <v>28</v>
      </c>
      <c r="Z19" s="6">
        <f ca="1">F19+(($AR$22+$AR$23)*7)-112-112</f>
        <v>22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6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2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194.3</v>
      </c>
    </row>
    <row r="20" spans="1:45" x14ac:dyDescent="0.25">
      <c r="A20" t="s">
        <v>166</v>
      </c>
      <c r="B20" s="18" t="s">
        <v>194</v>
      </c>
      <c r="C20" s="6"/>
      <c r="D20" s="6" t="str">
        <f>D5</f>
        <v>B. Abandero</v>
      </c>
      <c r="E20" s="6">
        <f t="shared" si="14"/>
        <v>26</v>
      </c>
      <c r="F20" s="6">
        <f t="shared" ca="1" si="15"/>
        <v>74</v>
      </c>
      <c r="G20" s="55">
        <f t="shared" si="16"/>
        <v>0</v>
      </c>
      <c r="H20" s="55">
        <f t="shared" si="17"/>
        <v>13.416666666666666</v>
      </c>
      <c r="I20" s="55">
        <f t="shared" si="18"/>
        <v>3</v>
      </c>
      <c r="J20" s="55">
        <f t="shared" si="19"/>
        <v>7.083333333333333</v>
      </c>
      <c r="K20" s="55">
        <f t="shared" si="20"/>
        <v>11.857142857142858</v>
      </c>
      <c r="L20" s="55">
        <f t="shared" si="21"/>
        <v>4</v>
      </c>
      <c r="M20" s="55">
        <f t="shared" si="22"/>
        <v>14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358">
        <f t="shared" si="31"/>
        <v>165</v>
      </c>
      <c r="X20" t="s">
        <v>166</v>
      </c>
      <c r="Y20" s="6">
        <f>E20+2</f>
        <v>28</v>
      </c>
      <c r="Z20" s="6">
        <f ca="1">F20+(($AR$22+$AR$23)*7)-112-112</f>
        <v>53</v>
      </c>
      <c r="AA20" s="55">
        <f t="shared" si="36"/>
        <v>0</v>
      </c>
      <c r="AB20" s="55">
        <f t="shared" si="37"/>
        <v>13.416666666666666</v>
      </c>
      <c r="AC20" s="55">
        <f t="shared" si="38"/>
        <v>3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358">
        <f t="shared" si="35"/>
        <v>194</v>
      </c>
      <c r="AQ20" s="90"/>
    </row>
    <row r="21" spans="1:45" x14ac:dyDescent="0.25">
      <c r="A21" t="s">
        <v>160</v>
      </c>
      <c r="B21" s="18" t="s">
        <v>194</v>
      </c>
      <c r="C21" s="6"/>
      <c r="D21" s="6" t="str">
        <f>D6</f>
        <v>I. R. Figueroa</v>
      </c>
      <c r="E21" s="6">
        <f t="shared" si="14"/>
        <v>26</v>
      </c>
      <c r="F21" s="6">
        <f t="shared" ca="1" si="15"/>
        <v>24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7.875</v>
      </c>
      <c r="K21" s="55">
        <f t="shared" si="20"/>
        <v>8.6666666666666661</v>
      </c>
      <c r="L21" s="55">
        <f t="shared" si="21"/>
        <v>1</v>
      </c>
      <c r="M21" s="55">
        <f t="shared" si="22"/>
        <v>13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358">
        <f t="shared" si="31"/>
        <v>164</v>
      </c>
      <c r="X21" t="s">
        <v>160</v>
      </c>
      <c r="Y21" s="6">
        <f>E21+2</f>
        <v>28</v>
      </c>
      <c r="Z21" s="6">
        <f ca="1">F21+(($AR$22+$AR$23)*7)-112-112</f>
        <v>3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7.875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358">
        <f t="shared" si="35"/>
        <v>193</v>
      </c>
      <c r="AQ21" s="90"/>
      <c r="AR21" s="90" t="s">
        <v>137</v>
      </c>
      <c r="AS21" s="90" t="s">
        <v>485</v>
      </c>
    </row>
    <row r="22" spans="1:45" x14ac:dyDescent="0.25">
      <c r="A22" t="s">
        <v>169</v>
      </c>
      <c r="B22" s="18" t="s">
        <v>194</v>
      </c>
      <c r="C22" s="6"/>
      <c r="D22" s="6" t="str">
        <f>D7</f>
        <v>G. Pedrajas</v>
      </c>
      <c r="E22" s="6">
        <f t="shared" si="14"/>
        <v>26</v>
      </c>
      <c r="F22" s="6">
        <f t="shared" ca="1" si="15"/>
        <v>59</v>
      </c>
      <c r="G22" s="55">
        <f t="shared" si="16"/>
        <v>0</v>
      </c>
      <c r="H22" s="55">
        <f t="shared" si="17"/>
        <v>11.7</v>
      </c>
      <c r="I22" s="55">
        <f t="shared" si="18"/>
        <v>11.111111111111111</v>
      </c>
      <c r="J22" s="55">
        <f t="shared" si="19"/>
        <v>4.4000000000000004</v>
      </c>
      <c r="K22" s="55">
        <f t="shared" si="20"/>
        <v>11</v>
      </c>
      <c r="L22" s="55">
        <f t="shared" si="21"/>
        <v>4</v>
      </c>
      <c r="M22" s="55">
        <f t="shared" si="22"/>
        <v>13.5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161.5</v>
      </c>
      <c r="X22" t="s">
        <v>169</v>
      </c>
      <c r="Y22" s="6">
        <f>E22+2</f>
        <v>28</v>
      </c>
      <c r="Z22" s="6">
        <f ca="1">F22+(($AR$22+$AR$23)*7)-112-112</f>
        <v>38</v>
      </c>
      <c r="AA22" s="55">
        <f t="shared" si="36"/>
        <v>0</v>
      </c>
      <c r="AB22" s="55">
        <f t="shared" si="37"/>
        <v>11.7</v>
      </c>
      <c r="AC22" s="55">
        <f t="shared" si="38"/>
        <v>11.111111111111111</v>
      </c>
      <c r="AD22" s="55">
        <f t="shared" si="39"/>
        <v>4.4000000000000004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190.5</v>
      </c>
      <c r="AQ22" s="90" t="s">
        <v>497</v>
      </c>
      <c r="AR22" s="54">
        <v>14</v>
      </c>
      <c r="AS22" s="97">
        <f>AR22/16</f>
        <v>0.875</v>
      </c>
    </row>
    <row r="23" spans="1:45" x14ac:dyDescent="0.25">
      <c r="A23" t="s">
        <v>173</v>
      </c>
      <c r="B23" s="18" t="s">
        <v>194</v>
      </c>
      <c r="C23" s="6"/>
      <c r="D23" s="6" t="s">
        <v>486</v>
      </c>
      <c r="E23" s="6">
        <f t="shared" si="14"/>
        <v>27</v>
      </c>
      <c r="F23" s="6">
        <f t="shared" ca="1" si="15"/>
        <v>-10</v>
      </c>
      <c r="G23" s="55">
        <f t="shared" si="16"/>
        <v>0</v>
      </c>
      <c r="H23" s="55">
        <f t="shared" si="17"/>
        <v>14.25</v>
      </c>
      <c r="I23" s="55">
        <f t="shared" si="18"/>
        <v>5.125</v>
      </c>
      <c r="J23" s="55">
        <f t="shared" si="19"/>
        <v>2</v>
      </c>
      <c r="K23" s="55">
        <f t="shared" si="20"/>
        <v>12.111111111111111</v>
      </c>
      <c r="L23" s="55">
        <f t="shared" si="21"/>
        <v>6</v>
      </c>
      <c r="M23" s="55">
        <f t="shared" si="22"/>
        <v>12.5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358">
        <f t="shared" si="31"/>
        <v>161.5</v>
      </c>
      <c r="X23" t="s">
        <v>173</v>
      </c>
      <c r="Y23" s="6">
        <f>E23+1</f>
        <v>28</v>
      </c>
      <c r="Z23" s="6">
        <f ca="1">F23+(($AR$22+$AR$23)*7)-112</f>
        <v>81</v>
      </c>
      <c r="AA23" s="55">
        <f t="shared" si="36"/>
        <v>0</v>
      </c>
      <c r="AB23" s="55">
        <f t="shared" si="37"/>
        <v>14.25</v>
      </c>
      <c r="AC23" s="55">
        <f t="shared" si="38"/>
        <v>5.125</v>
      </c>
      <c r="AD23" s="55">
        <f t="shared" si="39"/>
        <v>2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358">
        <f t="shared" si="35"/>
        <v>190.5</v>
      </c>
      <c r="AQ23" s="90" t="s">
        <v>199</v>
      </c>
      <c r="AR23" s="54">
        <v>15</v>
      </c>
      <c r="AS23" s="97">
        <f>AR23/16</f>
        <v>0.9375</v>
      </c>
    </row>
    <row r="24" spans="1:45" x14ac:dyDescent="0.25">
      <c r="A24" t="s">
        <v>162</v>
      </c>
      <c r="B24" s="18" t="s">
        <v>194</v>
      </c>
      <c r="C24" s="6" t="s">
        <v>165</v>
      </c>
      <c r="D24" s="6" t="s">
        <v>487</v>
      </c>
      <c r="E24" s="6">
        <f t="shared" si="14"/>
        <v>26</v>
      </c>
      <c r="F24" s="6">
        <f t="shared" ca="1" si="15"/>
        <v>39</v>
      </c>
      <c r="G24" s="55">
        <f t="shared" si="16"/>
        <v>0</v>
      </c>
      <c r="H24" s="55">
        <f t="shared" si="17"/>
        <v>12.909090909090908</v>
      </c>
      <c r="I24" s="55">
        <f t="shared" si="18"/>
        <v>4</v>
      </c>
      <c r="J24" s="55">
        <f t="shared" si="19"/>
        <v>12.5</v>
      </c>
      <c r="K24" s="55">
        <f t="shared" si="20"/>
        <v>8</v>
      </c>
      <c r="L24" s="55">
        <f t="shared" si="21"/>
        <v>7</v>
      </c>
      <c r="M24" s="55">
        <f t="shared" si="22"/>
        <v>14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358">
        <f t="shared" si="31"/>
        <v>172</v>
      </c>
      <c r="X24" t="s">
        <v>162</v>
      </c>
      <c r="Y24" s="6">
        <f>E24+2</f>
        <v>28</v>
      </c>
      <c r="Z24" s="6">
        <f ca="1">F24+(($AR$22+$AR$23)*7)-112-112</f>
        <v>18</v>
      </c>
      <c r="AA24" s="55">
        <f t="shared" si="36"/>
        <v>0</v>
      </c>
      <c r="AB24" s="55">
        <f t="shared" si="37"/>
        <v>12.909090909090908</v>
      </c>
      <c r="AC24" s="55">
        <f t="shared" si="38"/>
        <v>4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358">
        <f t="shared" si="35"/>
        <v>201</v>
      </c>
      <c r="AQ24" s="90"/>
    </row>
    <row r="25" spans="1:45" x14ac:dyDescent="0.25">
      <c r="A25" t="s">
        <v>170</v>
      </c>
      <c r="B25" s="18" t="s">
        <v>194</v>
      </c>
      <c r="C25" s="6" t="s">
        <v>165</v>
      </c>
      <c r="D25" s="6" t="s">
        <v>488</v>
      </c>
      <c r="E25" s="6">
        <f t="shared" si="14"/>
        <v>26</v>
      </c>
      <c r="F25" s="6">
        <f t="shared" ca="1" si="15"/>
        <v>39</v>
      </c>
      <c r="G25" s="55">
        <f t="shared" si="16"/>
        <v>0</v>
      </c>
      <c r="H25" s="55">
        <f t="shared" si="17"/>
        <v>12</v>
      </c>
      <c r="I25" s="55">
        <f t="shared" si="18"/>
        <v>3.1666666666666665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14.5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41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358">
        <f t="shared" si="31"/>
        <v>164.5</v>
      </c>
      <c r="X25" t="s">
        <v>170</v>
      </c>
      <c r="Y25" s="6">
        <f>E25+2</f>
        <v>28</v>
      </c>
      <c r="Z25" s="6">
        <f ca="1">F25+(($AR$22+$AR$23)*7)-112-112</f>
        <v>18</v>
      </c>
      <c r="AA25" s="55">
        <f t="shared" si="36"/>
        <v>0</v>
      </c>
      <c r="AB25" s="55">
        <f t="shared" si="37"/>
        <v>12</v>
      </c>
      <c r="AC25" s="55">
        <f t="shared" si="38"/>
        <v>3.1666666666666665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41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358">
        <f t="shared" si="35"/>
        <v>193.5</v>
      </c>
      <c r="AQ25" s="90"/>
    </row>
    <row r="26" spans="1:45" x14ac:dyDescent="0.25">
      <c r="A26" t="s">
        <v>163</v>
      </c>
      <c r="B26" s="18" t="s">
        <v>489</v>
      </c>
      <c r="C26" s="6" t="s">
        <v>168</v>
      </c>
      <c r="D26" s="6" t="str">
        <f>D11</f>
        <v>J. Gräbitz</v>
      </c>
      <c r="E26" s="6">
        <f t="shared" si="14"/>
        <v>26</v>
      </c>
      <c r="F26" s="6">
        <f t="shared" ca="1" si="15"/>
        <v>9</v>
      </c>
      <c r="G26" s="55">
        <f t="shared" si="16"/>
        <v>0</v>
      </c>
      <c r="H26" s="55">
        <f t="shared" si="17"/>
        <v>12.881818181818181</v>
      </c>
      <c r="I26" s="55">
        <f t="shared" si="18"/>
        <v>9.1428571428571423</v>
      </c>
      <c r="J26" s="55">
        <f t="shared" si="19"/>
        <v>4</v>
      </c>
      <c r="K26" s="55">
        <f t="shared" si="20"/>
        <v>8.8333333333333339</v>
      </c>
      <c r="L26" s="55">
        <f t="shared" si="21"/>
        <v>4</v>
      </c>
      <c r="M26" s="55">
        <f t="shared" si="22"/>
        <v>20</v>
      </c>
      <c r="N26" s="37">
        <f t="shared" si="23"/>
        <v>15420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358">
        <f t="shared" si="31"/>
        <v>159</v>
      </c>
      <c r="X26" t="s">
        <v>163</v>
      </c>
      <c r="Y26" s="6">
        <f>E26+2</f>
        <v>28</v>
      </c>
      <c r="Z26" s="6">
        <f ca="1">F26+(($AR$22+$AR$23)*7)-112-112</f>
        <v>-12</v>
      </c>
      <c r="AA26" s="55">
        <f t="shared" si="36"/>
        <v>0</v>
      </c>
      <c r="AB26" s="55">
        <f t="shared" si="37"/>
        <v>12.881818181818181</v>
      </c>
      <c r="AC26" s="55">
        <f t="shared" si="38"/>
        <v>9.1428571428571423</v>
      </c>
      <c r="AD26" s="55">
        <f t="shared" si="39"/>
        <v>4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358">
        <f t="shared" si="35"/>
        <v>188</v>
      </c>
    </row>
    <row r="27" spans="1:45" x14ac:dyDescent="0.25">
      <c r="A27" t="s">
        <v>491</v>
      </c>
      <c r="B27" s="18" t="s">
        <v>489</v>
      </c>
      <c r="C27" s="6" t="s">
        <v>498</v>
      </c>
      <c r="D27" s="6" t="s">
        <v>499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491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171</v>
      </c>
      <c r="B28" s="18" t="s">
        <v>492</v>
      </c>
      <c r="C28" s="6" t="s">
        <v>168</v>
      </c>
      <c r="D28" s="6" t="s">
        <v>493</v>
      </c>
      <c r="E28" s="6">
        <f t="shared" ref="E28:F30" si="47">Y13</f>
        <v>26</v>
      </c>
      <c r="F28" s="6">
        <f t="shared" ca="1" si="47"/>
        <v>35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5.8250000000000002</v>
      </c>
      <c r="J28" s="55">
        <f t="shared" si="48"/>
        <v>14</v>
      </c>
      <c r="K28" s="55">
        <f t="shared" si="48"/>
        <v>9</v>
      </c>
      <c r="L28" s="55">
        <f t="shared" si="48"/>
        <v>7.8</v>
      </c>
      <c r="M28" s="55">
        <f t="shared" si="48"/>
        <v>15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54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358">
        <f t="shared" si="31"/>
        <v>178</v>
      </c>
      <c r="X28" t="s">
        <v>171</v>
      </c>
      <c r="Y28" s="6">
        <f>E28+2</f>
        <v>28</v>
      </c>
      <c r="Z28" s="6">
        <f ca="1">F28+(($AR$22+$AR$23)*7)-112-112</f>
        <v>14</v>
      </c>
      <c r="AA28" s="55">
        <f t="shared" si="36"/>
        <v>0</v>
      </c>
      <c r="AB28" s="55">
        <f t="shared" si="37"/>
        <v>10.666666666666666</v>
      </c>
      <c r="AC28" s="55">
        <f t="shared" si="38"/>
        <v>5.8250000000000002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54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358">
        <f t="shared" si="35"/>
        <v>207</v>
      </c>
    </row>
    <row r="29" spans="1:45" x14ac:dyDescent="0.25">
      <c r="A29" t="s">
        <v>494</v>
      </c>
      <c r="B29" s="18" t="s">
        <v>492</v>
      </c>
      <c r="C29" s="6" t="s">
        <v>168</v>
      </c>
      <c r="D29" s="6" t="s">
        <v>495</v>
      </c>
      <c r="E29" s="6">
        <f t="shared" si="47"/>
        <v>27</v>
      </c>
      <c r="F29" s="6">
        <f t="shared" ca="1" si="47"/>
        <v>-112</v>
      </c>
      <c r="G29" s="55">
        <f>AA14</f>
        <v>0</v>
      </c>
      <c r="H29" s="55">
        <f t="shared" si="48"/>
        <v>12.181818181818182</v>
      </c>
      <c r="I29" s="55">
        <f t="shared" si="48"/>
        <v>3.1666666666666665</v>
      </c>
      <c r="J29" s="55">
        <f t="shared" si="48"/>
        <v>12.833333333333334</v>
      </c>
      <c r="K29" s="55">
        <f t="shared" si="48"/>
        <v>9.8333333333333339</v>
      </c>
      <c r="L29" s="55">
        <f t="shared" si="48"/>
        <v>7</v>
      </c>
      <c r="M29" s="55">
        <f t="shared" si="48"/>
        <v>14.5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45.5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358">
        <f t="shared" si="31"/>
        <v>176</v>
      </c>
      <c r="X29" t="s">
        <v>494</v>
      </c>
      <c r="Y29" s="6">
        <f>E29+1</f>
        <v>28</v>
      </c>
      <c r="Z29" s="6">
        <f ca="1">F29+(($AR$22+$AR$23)*7)-112</f>
        <v>-21</v>
      </c>
      <c r="AA29" s="55">
        <f t="shared" si="36"/>
        <v>0</v>
      </c>
      <c r="AB29" s="55">
        <f t="shared" si="37"/>
        <v>12.181818181818182</v>
      </c>
      <c r="AC29" s="55">
        <f t="shared" si="38"/>
        <v>3.1666666666666665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45.5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358">
        <f t="shared" si="35"/>
        <v>205</v>
      </c>
    </row>
    <row r="30" spans="1:45" x14ac:dyDescent="0.25">
      <c r="A30" t="s">
        <v>159</v>
      </c>
      <c r="B30" s="18" t="s">
        <v>492</v>
      </c>
      <c r="C30" s="6" t="s">
        <v>165</v>
      </c>
      <c r="D30" s="6" t="s">
        <v>496</v>
      </c>
      <c r="E30" s="6">
        <f t="shared" si="47"/>
        <v>26</v>
      </c>
      <c r="F30" s="6">
        <f t="shared" ca="1" si="47"/>
        <v>35</v>
      </c>
      <c r="G30" s="55">
        <f>AA15</f>
        <v>0</v>
      </c>
      <c r="H30" s="55">
        <f t="shared" si="48"/>
        <v>11.1</v>
      </c>
      <c r="I30" s="55">
        <f t="shared" si="48"/>
        <v>5.25</v>
      </c>
      <c r="J30" s="55">
        <f t="shared" si="48"/>
        <v>13.333333333333334</v>
      </c>
      <c r="K30" s="55">
        <f t="shared" si="48"/>
        <v>8.4</v>
      </c>
      <c r="L30" s="55">
        <f t="shared" si="48"/>
        <v>8</v>
      </c>
      <c r="M30" s="55">
        <f t="shared" si="48"/>
        <v>14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45.5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358">
        <f t="shared" si="31"/>
        <v>167.5</v>
      </c>
      <c r="X30" t="s">
        <v>159</v>
      </c>
      <c r="Y30" s="6">
        <f>E30+2</f>
        <v>28</v>
      </c>
      <c r="Z30" s="6">
        <f ca="1">F30+(($AR$22+$AR$23)*7)-112-112</f>
        <v>14</v>
      </c>
      <c r="AA30" s="55">
        <f t="shared" si="36"/>
        <v>0</v>
      </c>
      <c r="AB30" s="55">
        <f t="shared" si="37"/>
        <v>11.1</v>
      </c>
      <c r="AC30" s="55">
        <f t="shared" si="38"/>
        <v>5.25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45.5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358">
        <f t="shared" si="35"/>
        <v>196.5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tabSelected="1" zoomScale="80" workbookViewId="0">
      <pane xSplit="13" ySplit="1" topLeftCell="N2" activePane="bottomRight" state="frozen"/>
      <selection pane="topRight"/>
      <selection pane="bottomLeft"/>
      <selection pane="bottomRight" activeCell="T8" sqref="T8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478" t="s">
        <v>500</v>
      </c>
      <c r="E1" s="479"/>
      <c r="F1" s="479"/>
      <c r="G1" s="479"/>
      <c r="H1" s="479"/>
      <c r="I1" s="480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481" t="s">
        <v>501</v>
      </c>
      <c r="E2" s="482"/>
      <c r="F2" s="483"/>
      <c r="G2" s="483"/>
      <c r="H2" s="483"/>
      <c r="I2" s="484"/>
      <c r="K2" s="43"/>
      <c r="L2" s="43"/>
      <c r="M2" s="43" t="s">
        <v>502</v>
      </c>
      <c r="N2" s="408" t="s">
        <v>503</v>
      </c>
      <c r="O2" s="242" t="s">
        <v>504</v>
      </c>
      <c r="P2" s="242" t="s">
        <v>505</v>
      </c>
      <c r="Q2" s="242" t="s">
        <v>506</v>
      </c>
      <c r="R2" s="242" t="s">
        <v>507</v>
      </c>
      <c r="S2" s="242" t="s">
        <v>508</v>
      </c>
      <c r="T2" s="242" t="s">
        <v>509</v>
      </c>
      <c r="U2" s="242" t="s">
        <v>510</v>
      </c>
      <c r="V2" s="242" t="s">
        <v>511</v>
      </c>
      <c r="W2" s="242" t="s">
        <v>512</v>
      </c>
      <c r="X2" s="242" t="s">
        <v>513</v>
      </c>
      <c r="Y2" s="242" t="s">
        <v>514</v>
      </c>
      <c r="Z2" s="242" t="s">
        <v>515</v>
      </c>
      <c r="AA2" s="242" t="s">
        <v>516</v>
      </c>
      <c r="AB2" s="242" t="s">
        <v>517</v>
      </c>
      <c r="AC2" s="242" t="s">
        <v>518</v>
      </c>
    </row>
    <row r="3" spans="1:37" ht="18.75" x14ac:dyDescent="0.3">
      <c r="A3" s="41"/>
      <c r="B3" s="41"/>
      <c r="C3" s="41"/>
      <c r="D3" s="485" t="s">
        <v>519</v>
      </c>
      <c r="E3" s="486"/>
      <c r="F3" s="243"/>
      <c r="G3" s="487" t="s">
        <v>520</v>
      </c>
      <c r="H3" s="488"/>
      <c r="I3" s="244"/>
      <c r="K3" s="41"/>
      <c r="L3" s="90"/>
      <c r="M3" s="90" t="s">
        <v>521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522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523</v>
      </c>
      <c r="E5" s="256">
        <f>SUM(E6:E8)</f>
        <v>6219750</v>
      </c>
      <c r="F5" s="257">
        <f>E5/E35</f>
        <v>8.619008603164563E-2</v>
      </c>
      <c r="G5" s="247" t="s">
        <v>524</v>
      </c>
      <c r="H5" s="258">
        <f>H6+H7</f>
        <v>66666908</v>
      </c>
      <c r="I5" s="259">
        <f>H5/$H$74</f>
        <v>0.80764388557843592</v>
      </c>
      <c r="K5" s="260" t="s">
        <v>525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526</v>
      </c>
      <c r="E6" s="266">
        <f>2231620+305380</f>
        <v>2537000</v>
      </c>
      <c r="F6" s="58">
        <f>E6/E35</f>
        <v>3.5156436876447601E-2</v>
      </c>
      <c r="G6" s="267" t="s">
        <v>527</v>
      </c>
      <c r="H6" s="268">
        <v>300000</v>
      </c>
      <c r="I6" s="269">
        <f>H6/$H$74</f>
        <v>3.6343843286316918E-3</v>
      </c>
      <c r="K6" s="270" t="s">
        <v>528</v>
      </c>
      <c r="L6" s="270" t="s">
        <v>528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394</v>
      </c>
      <c r="E7" s="266">
        <f>102000+300+2105000+1475000+450</f>
        <v>3682750</v>
      </c>
      <c r="F7" s="58">
        <f>E7/E35</f>
        <v>5.1033649155198028E-2</v>
      </c>
      <c r="G7" s="267" t="s">
        <v>529</v>
      </c>
      <c r="H7" s="268">
        <f>63754290+151930+937650+1523038</f>
        <v>66366908</v>
      </c>
      <c r="I7" s="269">
        <f>H7/$H$74</f>
        <v>0.80400950124980419</v>
      </c>
      <c r="K7" s="270" t="s">
        <v>530</v>
      </c>
      <c r="L7" s="270" t="s">
        <v>530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531</v>
      </c>
      <c r="E8" s="275">
        <v>0</v>
      </c>
      <c r="F8" s="58">
        <f>E8/E35</f>
        <v>0</v>
      </c>
      <c r="G8" s="276"/>
      <c r="H8" s="277"/>
      <c r="I8" s="259"/>
      <c r="K8" s="270" t="s">
        <v>532</v>
      </c>
      <c r="L8" s="270" t="s">
        <v>533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534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535</v>
      </c>
      <c r="E10" s="256">
        <f>E11+E12+E13</f>
        <v>3299694</v>
      </c>
      <c r="F10" s="257">
        <f>E10/E35</f>
        <v>4.5725456768858058E-2</v>
      </c>
      <c r="G10" s="247" t="s">
        <v>536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537</v>
      </c>
      <c r="L10" s="270" t="s">
        <v>537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538</v>
      </c>
      <c r="E11" s="280">
        <f>N4</f>
        <v>11299694</v>
      </c>
      <c r="F11" s="58">
        <f>E11/E35</f>
        <v>0.15658532866936292</v>
      </c>
      <c r="G11" s="281" t="s">
        <v>539</v>
      </c>
      <c r="H11" s="282">
        <v>0</v>
      </c>
      <c r="I11" s="269">
        <f t="shared" si="7"/>
        <v>0</v>
      </c>
      <c r="K11" s="469" t="s">
        <v>540</v>
      </c>
      <c r="L11" s="270" t="s">
        <v>541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542</v>
      </c>
      <c r="H12" s="282">
        <v>0</v>
      </c>
      <c r="I12" s="269">
        <f t="shared" si="7"/>
        <v>0</v>
      </c>
      <c r="K12" s="470"/>
      <c r="L12" s="270" t="s">
        <v>543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544</v>
      </c>
      <c r="H13" s="282">
        <v>0</v>
      </c>
      <c r="I13" s="269">
        <f t="shared" si="7"/>
        <v>0</v>
      </c>
      <c r="J13" s="284"/>
      <c r="K13" s="471"/>
      <c r="L13" s="270" t="s">
        <v>545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546</v>
      </c>
      <c r="H14" s="282">
        <v>0</v>
      </c>
      <c r="I14" s="269">
        <f t="shared" si="7"/>
        <v>0</v>
      </c>
      <c r="K14" s="287" t="s">
        <v>547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472">
        <f>M14</f>
        <v>13496263.965234503</v>
      </c>
      <c r="B15" s="472"/>
      <c r="D15" s="247" t="s">
        <v>548</v>
      </c>
      <c r="E15" s="256">
        <f>SUM(E16:E19)</f>
        <v>38989445</v>
      </c>
      <c r="F15" s="257">
        <f>E15/E35</f>
        <v>0.5402956097714724</v>
      </c>
      <c r="G15" s="281" t="s">
        <v>549</v>
      </c>
      <c r="H15" s="282">
        <v>0</v>
      </c>
      <c r="I15" s="269">
        <f t="shared" si="7"/>
        <v>0</v>
      </c>
      <c r="K15" s="291" t="s">
        <v>386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550</v>
      </c>
      <c r="E16" s="280">
        <f>E55</f>
        <v>0</v>
      </c>
      <c r="F16" s="58">
        <f>E16/E35</f>
        <v>0</v>
      </c>
      <c r="G16" s="295" t="s">
        <v>551</v>
      </c>
      <c r="H16" s="296">
        <f>E29-H26</f>
        <v>-364536.03476549778</v>
      </c>
      <c r="I16" s="269">
        <f t="shared" si="7"/>
        <v>-4.4162135065775425E-3</v>
      </c>
      <c r="K16" s="291" t="s">
        <v>552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548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553</v>
      </c>
      <c r="L17" s="292" t="s">
        <v>526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554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555</v>
      </c>
      <c r="H18" s="298">
        <f>H19</f>
        <v>0</v>
      </c>
      <c r="I18" s="259">
        <f>H18/$H$74</f>
        <v>0</v>
      </c>
      <c r="K18" s="291" t="s">
        <v>556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557</v>
      </c>
      <c r="E19" s="280">
        <v>0</v>
      </c>
      <c r="F19" s="58">
        <f>E19/E35</f>
        <v>0</v>
      </c>
      <c r="G19" s="299" t="s">
        <v>558</v>
      </c>
      <c r="H19" s="300">
        <f>M20</f>
        <v>0</v>
      </c>
      <c r="I19" s="269">
        <f>H19/$H$74</f>
        <v>0</v>
      </c>
      <c r="K19" s="291" t="s">
        <v>559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560</v>
      </c>
      <c r="L20" s="292" t="s">
        <v>558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533</v>
      </c>
      <c r="E21" s="301">
        <f>E22</f>
        <v>0</v>
      </c>
      <c r="F21" s="257">
        <f>E21/E35</f>
        <v>0</v>
      </c>
      <c r="G21" s="276"/>
      <c r="H21" s="277"/>
      <c r="I21" s="269"/>
      <c r="K21" s="473" t="s">
        <v>540</v>
      </c>
      <c r="L21" s="292" t="s">
        <v>394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533</v>
      </c>
      <c r="E22" s="280">
        <f>M8+M9</f>
        <v>0</v>
      </c>
      <c r="F22" s="58">
        <f>E22/E35</f>
        <v>0</v>
      </c>
      <c r="G22" s="247" t="s">
        <v>561</v>
      </c>
      <c r="H22" s="258">
        <f>SUM(H23:H24)</f>
        <v>0</v>
      </c>
      <c r="I22" s="259">
        <f>H22/$H$74</f>
        <v>0</v>
      </c>
      <c r="K22" s="474"/>
      <c r="L22" s="292" t="s">
        <v>562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526</v>
      </c>
      <c r="H23" s="303">
        <f>M17</f>
        <v>0</v>
      </c>
      <c r="I23" s="269">
        <f>H23/$H$74</f>
        <v>0</v>
      </c>
      <c r="K23" s="475"/>
      <c r="L23" s="292" t="s">
        <v>563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564</v>
      </c>
      <c r="E24" s="256">
        <f>E25+E26-E27</f>
        <v>18158019</v>
      </c>
      <c r="F24" s="257">
        <f>E24/E35</f>
        <v>0.25162445753836665</v>
      </c>
      <c r="G24" s="299" t="s">
        <v>394</v>
      </c>
      <c r="H24" s="303">
        <f>M21</f>
        <v>0</v>
      </c>
      <c r="I24" s="269">
        <f>H24/$H$74</f>
        <v>0</v>
      </c>
      <c r="K24" s="291" t="s">
        <v>565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566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567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568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569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570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552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571</v>
      </c>
      <c r="E29" s="256">
        <f>SUM(E30:E34)</f>
        <v>5496263.9652345022</v>
      </c>
      <c r="F29" s="257">
        <f>E29/E35</f>
        <v>7.6164389889657222E-2</v>
      </c>
      <c r="G29" s="299" t="s">
        <v>556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548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521</v>
      </c>
      <c r="E30" s="306">
        <f>M11</f>
        <v>66602</v>
      </c>
      <c r="F30" s="58">
        <f>E30/E35</f>
        <v>9.2293614853967802E-4</v>
      </c>
      <c r="G30" s="299" t="s">
        <v>559</v>
      </c>
      <c r="H30" s="303">
        <f>M19</f>
        <v>320000</v>
      </c>
      <c r="I30" s="269">
        <f t="shared" si="22"/>
        <v>3.8766766172071382E-3</v>
      </c>
      <c r="K30" s="41"/>
      <c r="L30" s="476" t="s">
        <v>572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543</v>
      </c>
      <c r="E31" s="306">
        <f>M12</f>
        <v>0</v>
      </c>
      <c r="F31" s="58">
        <f>E31/E35</f>
        <v>0</v>
      </c>
      <c r="G31" s="299" t="s">
        <v>562</v>
      </c>
      <c r="H31" s="303">
        <f>M22</f>
        <v>96000</v>
      </c>
      <c r="I31" s="269">
        <f t="shared" si="22"/>
        <v>1.1630029851621413E-3</v>
      </c>
      <c r="K31" s="41"/>
      <c r="L31" s="476"/>
      <c r="M31" s="319" t="s">
        <v>471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528</v>
      </c>
      <c r="E32" s="306">
        <f>M6</f>
        <v>3474771</v>
      </c>
      <c r="F32" s="58">
        <f>E32/E35</f>
        <v>4.8151583492948645E-2</v>
      </c>
      <c r="G32" s="299" t="s">
        <v>565</v>
      </c>
      <c r="H32" s="303">
        <f>M24</f>
        <v>0</v>
      </c>
      <c r="I32" s="269">
        <f t="shared" si="22"/>
        <v>0</v>
      </c>
      <c r="K32" s="41"/>
      <c r="L32" s="476"/>
      <c r="M32" s="319" t="s">
        <v>387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530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476"/>
      <c r="M33" s="319" t="s">
        <v>388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537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476"/>
      <c r="M34" s="319" t="s">
        <v>392</v>
      </c>
      <c r="N34" s="327" t="s">
        <v>573</v>
      </c>
      <c r="O34" s="327" t="s">
        <v>574</v>
      </c>
      <c r="P34" s="327" t="s">
        <v>575</v>
      </c>
      <c r="Q34" s="327" t="s">
        <v>576</v>
      </c>
      <c r="R34" s="327" t="s">
        <v>577</v>
      </c>
      <c r="S34" s="327" t="s">
        <v>578</v>
      </c>
      <c r="T34" s="327"/>
      <c r="U34" s="327"/>
      <c r="V34" s="327" t="s">
        <v>579</v>
      </c>
      <c r="W34" s="327" t="s">
        <v>580</v>
      </c>
      <c r="X34" s="327" t="s">
        <v>581</v>
      </c>
      <c r="Y34" s="327" t="s">
        <v>574</v>
      </c>
      <c r="Z34" s="327"/>
      <c r="AA34" s="327" t="s">
        <v>577</v>
      </c>
      <c r="AB34" s="327" t="s">
        <v>582</v>
      </c>
      <c r="AC34" s="327" t="s">
        <v>583</v>
      </c>
    </row>
    <row r="35" spans="1:33" ht="18.75" x14ac:dyDescent="0.3">
      <c r="A35" s="477">
        <f>M25</f>
        <v>5860800</v>
      </c>
      <c r="B35" s="477"/>
      <c r="D35" s="328" t="s">
        <v>584</v>
      </c>
      <c r="E35" s="329">
        <f>E29+E21+E15+E5+E10+E24</f>
        <v>72163171.965234503</v>
      </c>
      <c r="F35" s="330">
        <f>F29+F21+F15+F5+F10+F24</f>
        <v>1</v>
      </c>
      <c r="G35" s="328" t="s">
        <v>584</v>
      </c>
      <c r="H35" s="329">
        <f>H26+H18+H10+H5+H22</f>
        <v>72163171.965234503</v>
      </c>
      <c r="I35" s="331">
        <f>H35/$H$74</f>
        <v>0.87422900431600714</v>
      </c>
      <c r="K35" s="41"/>
      <c r="L35" s="476"/>
      <c r="M35" s="319" t="s">
        <v>585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476"/>
      <c r="M36" s="319" t="s">
        <v>389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476"/>
      <c r="M37" s="319" t="s">
        <v>586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587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467"/>
      <c r="Q39" s="467"/>
      <c r="R39" s="467"/>
      <c r="S39" s="467"/>
    </row>
    <row r="40" spans="1:33" ht="21" x14ac:dyDescent="0.35">
      <c r="A40" s="417"/>
      <c r="B40" s="417"/>
      <c r="C40" s="417"/>
      <c r="D40" s="478" t="s">
        <v>588</v>
      </c>
      <c r="E40" s="479"/>
      <c r="F40" s="479"/>
      <c r="G40" s="479"/>
      <c r="H40" s="479"/>
      <c r="I40" s="480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481" t="s">
        <v>501</v>
      </c>
      <c r="E41" s="482"/>
      <c r="F41" s="483"/>
      <c r="G41" s="483"/>
      <c r="H41" s="483"/>
      <c r="I41" s="484"/>
      <c r="K41" s="43"/>
      <c r="L41" s="43"/>
      <c r="M41" s="43" t="s">
        <v>502</v>
      </c>
      <c r="N41" s="242" t="s">
        <v>518</v>
      </c>
      <c r="O41" s="242" t="s">
        <v>503</v>
      </c>
      <c r="P41" s="242" t="s">
        <v>504</v>
      </c>
      <c r="Q41" s="242" t="s">
        <v>505</v>
      </c>
      <c r="R41" s="242" t="s">
        <v>506</v>
      </c>
      <c r="S41" s="242" t="s">
        <v>507</v>
      </c>
      <c r="T41" s="242" t="s">
        <v>508</v>
      </c>
      <c r="U41" s="242" t="s">
        <v>509</v>
      </c>
      <c r="V41" s="242" t="s">
        <v>510</v>
      </c>
      <c r="W41" s="242" t="s">
        <v>511</v>
      </c>
      <c r="X41" s="242" t="s">
        <v>512</v>
      </c>
      <c r="Y41" s="242" t="s">
        <v>513</v>
      </c>
      <c r="Z41" s="242" t="s">
        <v>514</v>
      </c>
      <c r="AA41" s="242" t="s">
        <v>515</v>
      </c>
      <c r="AB41" s="242" t="s">
        <v>516</v>
      </c>
      <c r="AC41" s="242" t="s">
        <v>517</v>
      </c>
      <c r="AD41" s="241" t="s">
        <v>518</v>
      </c>
    </row>
    <row r="42" spans="1:33" ht="18.75" x14ac:dyDescent="0.3">
      <c r="A42" s="41"/>
      <c r="B42" s="41"/>
      <c r="C42" s="41"/>
      <c r="D42" s="485" t="s">
        <v>519</v>
      </c>
      <c r="E42" s="486"/>
      <c r="F42" s="243"/>
      <c r="G42" s="487" t="s">
        <v>520</v>
      </c>
      <c r="H42" s="488"/>
      <c r="I42" s="244"/>
      <c r="K42" s="41"/>
      <c r="L42" s="90"/>
      <c r="M42" s="90" t="s">
        <v>521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522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523</v>
      </c>
      <c r="E44" s="256">
        <f>SUM(E45:E47)</f>
        <v>6219750</v>
      </c>
      <c r="F44" s="257">
        <f>E44/E74</f>
        <v>7.5349873093356556E-2</v>
      </c>
      <c r="G44" s="247" t="s">
        <v>524</v>
      </c>
      <c r="H44" s="258">
        <f>H45+H46</f>
        <v>64054290</v>
      </c>
      <c r="I44" s="259">
        <f>H44/$H$74</f>
        <v>0.77599302585876562</v>
      </c>
      <c r="K44" s="260" t="s">
        <v>525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526</v>
      </c>
      <c r="E45" s="266">
        <f>2231620+305380</f>
        <v>2537000</v>
      </c>
      <c r="F45" s="58">
        <f>E45/E74</f>
        <v>3.0734776805795342E-2</v>
      </c>
      <c r="G45" s="267" t="s">
        <v>527</v>
      </c>
      <c r="H45" s="268">
        <v>300000</v>
      </c>
      <c r="I45" s="269">
        <f>H45/$H$74</f>
        <v>3.6343843286316918E-3</v>
      </c>
      <c r="K45" s="270" t="s">
        <v>528</v>
      </c>
      <c r="L45" s="270" t="s">
        <v>528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394</v>
      </c>
      <c r="E46" s="266">
        <f>102000+300+2105000+1475000+450</f>
        <v>3682750</v>
      </c>
      <c r="F46" s="58">
        <f>E46/E74</f>
        <v>4.4615096287561211E-2</v>
      </c>
      <c r="G46" s="267" t="s">
        <v>529</v>
      </c>
      <c r="H46" s="268">
        <f>63754290</f>
        <v>63754290</v>
      </c>
      <c r="I46" s="269">
        <f>H46/$H$74</f>
        <v>0.772358641530134</v>
      </c>
      <c r="K46" s="270" t="s">
        <v>530</v>
      </c>
      <c r="L46" s="270" t="s">
        <v>530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531</v>
      </c>
      <c r="E47" s="275">
        <v>0</v>
      </c>
      <c r="F47" s="58">
        <f>E47/E74</f>
        <v>0</v>
      </c>
      <c r="G47" s="276"/>
      <c r="H47" s="277"/>
      <c r="I47" s="259"/>
      <c r="K47" s="270" t="s">
        <v>532</v>
      </c>
      <c r="L47" s="270" t="s">
        <v>533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534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535</v>
      </c>
      <c r="E49" s="256">
        <f>E50+E51+E52</f>
        <v>11299694</v>
      </c>
      <c r="F49" s="257">
        <f>E49/E74</f>
        <v>0.13689143597311185</v>
      </c>
      <c r="G49" s="247" t="s">
        <v>536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537</v>
      </c>
      <c r="L49" s="270" t="s">
        <v>537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538</v>
      </c>
      <c r="E50" s="280">
        <f>N43</f>
        <v>19799694</v>
      </c>
      <c r="F50" s="58">
        <f>E50/E74</f>
        <v>0.23986565861767645</v>
      </c>
      <c r="G50" s="281" t="s">
        <v>539</v>
      </c>
      <c r="H50" s="282">
        <f>37680+114250</f>
        <v>151930</v>
      </c>
      <c r="I50" s="269">
        <f t="shared" si="34"/>
        <v>1.8405733701633764E-3</v>
      </c>
      <c r="K50" s="469" t="s">
        <v>540</v>
      </c>
      <c r="L50" s="270" t="s">
        <v>541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542</v>
      </c>
      <c r="H51" s="282">
        <v>0</v>
      </c>
      <c r="I51" s="269">
        <f t="shared" si="34"/>
        <v>0</v>
      </c>
      <c r="K51" s="470"/>
      <c r="L51" s="270" t="s">
        <v>543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544</v>
      </c>
      <c r="H52" s="282">
        <f>133000+44650+25650+734350</f>
        <v>937650</v>
      </c>
      <c r="I52" s="269">
        <f t="shared" si="34"/>
        <v>1.1359268219138352E-2</v>
      </c>
      <c r="J52" s="284"/>
      <c r="K52" s="471"/>
      <c r="L52" s="270" t="s">
        <v>545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546</v>
      </c>
      <c r="H53" s="282">
        <v>0</v>
      </c>
      <c r="I53" s="269">
        <f t="shared" si="34"/>
        <v>0</v>
      </c>
      <c r="K53" s="287" t="s">
        <v>547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472">
        <f>M53</f>
        <v>17352582</v>
      </c>
      <c r="B54" s="472"/>
      <c r="D54" s="247" t="s">
        <v>548</v>
      </c>
      <c r="E54" s="256">
        <f>SUM(E55:E58)</f>
        <v>38989445</v>
      </c>
      <c r="F54" s="257">
        <f>E54/E74</f>
        <v>0.47234209296682422</v>
      </c>
      <c r="G54" s="281" t="s">
        <v>549</v>
      </c>
      <c r="H54" s="282">
        <v>0</v>
      </c>
      <c r="I54" s="269">
        <f t="shared" si="34"/>
        <v>0</v>
      </c>
      <c r="K54" s="291" t="s">
        <v>386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550</v>
      </c>
      <c r="E55" s="280">
        <v>0</v>
      </c>
      <c r="F55" s="58">
        <f>E55/E74</f>
        <v>0</v>
      </c>
      <c r="G55" s="295" t="s">
        <v>551</v>
      </c>
      <c r="H55" s="296">
        <f>E68-H65</f>
        <v>1523038</v>
      </c>
      <c r="I55" s="269">
        <f t="shared" si="34"/>
        <v>1.8451018130368514E-2</v>
      </c>
      <c r="K55" s="291" t="s">
        <v>552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548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553</v>
      </c>
      <c r="L56" s="292" t="s">
        <v>526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554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555</v>
      </c>
      <c r="H57" s="298">
        <f>H58</f>
        <v>10256758</v>
      </c>
      <c r="I57" s="259">
        <f>H57/$H$74</f>
        <v>0.12425666845922578</v>
      </c>
      <c r="K57" s="291" t="s">
        <v>556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557</v>
      </c>
      <c r="E58" s="280">
        <v>0</v>
      </c>
      <c r="F58" s="58">
        <f>E58/E74</f>
        <v>0</v>
      </c>
      <c r="G58" s="299" t="s">
        <v>558</v>
      </c>
      <c r="H58" s="300">
        <f>M59</f>
        <v>10256758</v>
      </c>
      <c r="I58" s="269">
        <f>H58/$H$74</f>
        <v>0.12425666845922578</v>
      </c>
      <c r="K58" s="291" t="s">
        <v>559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560</v>
      </c>
      <c r="L59" s="292" t="s">
        <v>558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533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473" t="s">
        <v>540</v>
      </c>
      <c r="L60" s="292" t="s">
        <v>394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533</v>
      </c>
      <c r="E61" s="280">
        <f>M47+M48</f>
        <v>2013660</v>
      </c>
      <c r="F61" s="58">
        <f>E61/E74</f>
        <v>2.4394714490641643E-2</v>
      </c>
      <c r="G61" s="247" t="s">
        <v>561</v>
      </c>
      <c r="H61" s="258">
        <f>SUM(H62:H63)</f>
        <v>305380</v>
      </c>
      <c r="I61" s="259">
        <f>H61/$H$74</f>
        <v>3.6995609542584871E-3</v>
      </c>
      <c r="K61" s="474"/>
      <c r="L61" s="292" t="s">
        <v>562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526</v>
      </c>
      <c r="H62" s="303">
        <f>M56</f>
        <v>305380</v>
      </c>
      <c r="I62" s="269">
        <f>H62/$H$74</f>
        <v>3.6995609542584871E-3</v>
      </c>
      <c r="K62" s="475"/>
      <c r="L62" s="292" t="s">
        <v>563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564</v>
      </c>
      <c r="E63" s="256">
        <f>E64+E65-E66</f>
        <v>17183459</v>
      </c>
      <c r="F63" s="257">
        <f>E63/E74</f>
        <v>0.20817098033761736</v>
      </c>
      <c r="G63" s="299" t="s">
        <v>394</v>
      </c>
      <c r="H63" s="303">
        <f>M60</f>
        <v>0</v>
      </c>
      <c r="I63" s="269">
        <f>H63/$H$74</f>
        <v>0</v>
      </c>
      <c r="K63" s="291" t="s">
        <v>565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566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567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568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569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570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552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571</v>
      </c>
      <c r="E68" s="256">
        <f>SUM(E69:E73)</f>
        <v>6838922</v>
      </c>
      <c r="F68" s="257">
        <f>E68/E74</f>
        <v>8.2850903138448354E-2</v>
      </c>
      <c r="G68" s="299" t="s">
        <v>556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548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521</v>
      </c>
      <c r="E69" s="306">
        <f>M50</f>
        <v>120064</v>
      </c>
      <c r="F69" s="58">
        <f>E69/E74</f>
        <v>1.4545290667761183E-3</v>
      </c>
      <c r="G69" s="299" t="s">
        <v>559</v>
      </c>
      <c r="H69" s="303">
        <f>M58</f>
        <v>340000</v>
      </c>
      <c r="I69" s="269">
        <f t="shared" si="48"/>
        <v>4.1189689057825841E-3</v>
      </c>
      <c r="K69" s="41"/>
      <c r="L69" s="476" t="s">
        <v>572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543</v>
      </c>
      <c r="E70" s="306">
        <f>M51</f>
        <v>1125000</v>
      </c>
      <c r="F70" s="58">
        <f>E70/E74</f>
        <v>1.3628941232368845E-2</v>
      </c>
      <c r="G70" s="299" t="s">
        <v>562</v>
      </c>
      <c r="H70" s="303">
        <f>M61</f>
        <v>205508</v>
      </c>
      <c r="I70" s="269">
        <f t="shared" si="48"/>
        <v>2.489650182028139E-3</v>
      </c>
      <c r="K70" s="41"/>
      <c r="L70" s="476"/>
      <c r="M70" s="319" t="s">
        <v>471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528</v>
      </c>
      <c r="E71" s="306">
        <f>M45</f>
        <v>3506373</v>
      </c>
      <c r="F71" s="58">
        <f>E71/E74</f>
        <v>4.247835693845764E-2</v>
      </c>
      <c r="G71" s="299" t="s">
        <v>565</v>
      </c>
      <c r="H71" s="303">
        <f>M63</f>
        <v>0</v>
      </c>
      <c r="I71" s="269">
        <f t="shared" si="48"/>
        <v>0</v>
      </c>
      <c r="K71" s="41"/>
      <c r="L71" s="476"/>
      <c r="M71" s="319" t="s">
        <v>387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530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476"/>
      <c r="M72" s="319" t="s">
        <v>388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537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476"/>
      <c r="M73" s="319" t="s">
        <v>392</v>
      </c>
      <c r="N73" s="327" t="s">
        <v>573</v>
      </c>
      <c r="O73" s="327" t="s">
        <v>574</v>
      </c>
      <c r="P73" s="327" t="s">
        <v>575</v>
      </c>
      <c r="Q73" s="327" t="s">
        <v>576</v>
      </c>
      <c r="R73" s="327" t="s">
        <v>577</v>
      </c>
      <c r="S73" s="327" t="s">
        <v>578</v>
      </c>
      <c r="T73" s="327"/>
      <c r="U73" s="327"/>
      <c r="V73" s="327" t="s">
        <v>579</v>
      </c>
      <c r="W73" s="327" t="s">
        <v>580</v>
      </c>
      <c r="X73" s="327" t="s">
        <v>581</v>
      </c>
      <c r="Y73" s="327" t="s">
        <v>574</v>
      </c>
      <c r="Z73" s="327"/>
      <c r="AA73" s="327" t="s">
        <v>589</v>
      </c>
      <c r="AB73" s="327" t="s">
        <v>577</v>
      </c>
      <c r="AC73" s="327" t="s">
        <v>582</v>
      </c>
      <c r="AD73" s="327" t="s">
        <v>583</v>
      </c>
    </row>
    <row r="74" spans="1:30" ht="18.75" x14ac:dyDescent="0.3">
      <c r="A74" s="477">
        <f>M64</f>
        <v>15878022</v>
      </c>
      <c r="B74" s="477"/>
      <c r="D74" s="328" t="s">
        <v>584</v>
      </c>
      <c r="E74" s="329">
        <f>E68+E60+E54+E44+E49+E63</f>
        <v>82544930</v>
      </c>
      <c r="F74" s="330">
        <f>F68+F60+F54+F44+F49+F63</f>
        <v>1</v>
      </c>
      <c r="G74" s="328" t="s">
        <v>584</v>
      </c>
      <c r="H74" s="329">
        <f>H65+H57+H49+H44+H61</f>
        <v>82544930</v>
      </c>
      <c r="I74" s="331">
        <f>H74/$H$74</f>
        <v>1</v>
      </c>
      <c r="K74" s="41"/>
      <c r="L74" s="476"/>
      <c r="M74" s="319" t="s">
        <v>585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476"/>
      <c r="M75" s="319" t="s">
        <v>389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476"/>
      <c r="M76" s="319" t="s">
        <v>586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587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467"/>
      <c r="Q78" s="467"/>
      <c r="R78" s="467"/>
      <c r="S78" s="467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468"/>
      <c r="Q81" s="468"/>
      <c r="R81" s="468"/>
      <c r="S81" s="468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468"/>
      <c r="Q83" s="468"/>
      <c r="R83" s="468"/>
      <c r="S83" s="468"/>
      <c r="Y83" s="340"/>
    </row>
    <row r="84" spans="11:25" x14ac:dyDescent="0.25">
      <c r="K84" s="41"/>
      <c r="L84" s="41"/>
      <c r="M84" s="41"/>
      <c r="O84" s="338"/>
      <c r="P84" s="468"/>
      <c r="Q84" s="468"/>
      <c r="R84" s="468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P39:Q39"/>
    <mergeCell ref="R39:S39"/>
    <mergeCell ref="D40:I40"/>
    <mergeCell ref="D41:I41"/>
    <mergeCell ref="D42:E42"/>
    <mergeCell ref="G42:H42"/>
    <mergeCell ref="K50:K52"/>
    <mergeCell ref="A54:B54"/>
    <mergeCell ref="K60:K62"/>
    <mergeCell ref="L69:L76"/>
    <mergeCell ref="A74:B74"/>
    <mergeCell ref="P78:Q78"/>
    <mergeCell ref="R78:S78"/>
    <mergeCell ref="P81:S81"/>
    <mergeCell ref="P83:S83"/>
    <mergeCell ref="P84:R84"/>
  </mergeCells>
  <conditionalFormatting sqref="E39">
    <cfRule type="cellIs" dxfId="23" priority="1" operator="greaterThan">
      <formula>0</formula>
    </cfRule>
  </conditionalFormatting>
  <conditionalFormatting sqref="E39">
    <cfRule type="cellIs" dxfId="22" priority="2" operator="lessThan">
      <formula>0</formula>
    </cfRule>
  </conditionalFormatting>
  <conditionalFormatting sqref="H38">
    <cfRule type="cellIs" dxfId="21" priority="3" operator="lessThan">
      <formula>0</formula>
    </cfRule>
  </conditionalFormatting>
  <conditionalFormatting sqref="H11:H16">
    <cfRule type="cellIs" dxfId="20" priority="4" operator="lessThan">
      <formula>0</formula>
    </cfRule>
  </conditionalFormatting>
  <conditionalFormatting sqref="H11:H16">
    <cfRule type="cellIs" dxfId="19" priority="5" operator="greaterThan">
      <formula>0</formula>
    </cfRule>
  </conditionalFormatting>
  <conditionalFormatting sqref="E78">
    <cfRule type="cellIs" dxfId="18" priority="6" operator="greaterThan">
      <formula>0</formula>
    </cfRule>
  </conditionalFormatting>
  <conditionalFormatting sqref="E78">
    <cfRule type="cellIs" dxfId="17" priority="7" operator="lessThan">
      <formula>0</formula>
    </cfRule>
  </conditionalFormatting>
  <conditionalFormatting sqref="H77">
    <cfRule type="cellIs" dxfId="16" priority="8" operator="lessThan">
      <formula>0</formula>
    </cfRule>
  </conditionalFormatting>
  <conditionalFormatting sqref="H50:H55">
    <cfRule type="cellIs" dxfId="15" priority="9" operator="lessThan">
      <formula>0</formula>
    </cfRule>
  </conditionalFormatting>
  <conditionalFormatting sqref="H50:H55">
    <cfRule type="cellIs" dxfId="14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I12" sqref="I12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590</v>
      </c>
      <c r="F1" s="79" t="s">
        <v>591</v>
      </c>
      <c r="G1" s="80"/>
      <c r="H1" s="80"/>
      <c r="I1" s="81" t="s">
        <v>590</v>
      </c>
      <c r="J1" s="82" t="s">
        <v>591</v>
      </c>
      <c r="P1" s="78" t="s">
        <v>590</v>
      </c>
      <c r="Q1" s="79" t="s">
        <v>591</v>
      </c>
      <c r="R1" s="78"/>
      <c r="S1" s="79"/>
    </row>
    <row r="2" spans="1:19" x14ac:dyDescent="0.25">
      <c r="A2" s="83" t="s">
        <v>186</v>
      </c>
      <c r="B2" s="83" t="s">
        <v>592</v>
      </c>
      <c r="C2" s="83" t="s">
        <v>593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594</v>
      </c>
      <c r="J2" s="82" t="s">
        <v>594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26</v>
      </c>
      <c r="C3">
        <f>Plantilla!H4</f>
        <v>4</v>
      </c>
      <c r="D3" s="24">
        <f>Plantilla!I4</f>
        <v>8.5</v>
      </c>
      <c r="E3" s="84">
        <f t="shared" ref="E3" si="0">D3</f>
        <v>8.5</v>
      </c>
      <c r="F3" s="84">
        <f t="shared" ref="F3" si="1">E3+0.1</f>
        <v>8.6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136</v>
      </c>
      <c r="J3" s="85">
        <f t="shared" ref="J3" si="5">H3*H3*F3</f>
        <v>214.14086</v>
      </c>
      <c r="K3" s="86"/>
      <c r="N3" s="41" t="s">
        <v>594</v>
      </c>
      <c r="O3" s="25" t="str">
        <f>A12</f>
        <v>Valeri Gomis</v>
      </c>
      <c r="P3" s="87">
        <f>E12</f>
        <v>7</v>
      </c>
      <c r="Q3" s="87">
        <f t="shared" ref="Q3:S3" si="6">F12</f>
        <v>7.1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26</v>
      </c>
      <c r="C4">
        <f>Plantilla!H5</f>
        <v>5</v>
      </c>
      <c r="D4" s="24">
        <f>Plantilla!I5</f>
        <v>2.1</v>
      </c>
      <c r="E4" s="84">
        <f t="shared" ref="E4:E19" si="7">D4</f>
        <v>2.1</v>
      </c>
      <c r="F4" s="84">
        <f t="shared" ref="F4:F19" si="8">E4+0.1</f>
        <v>2.2000000000000002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52.5</v>
      </c>
      <c r="J4" s="85">
        <f t="shared" ref="J4:J19" si="12">H4*H4*F4</f>
        <v>78.93622000000002</v>
      </c>
      <c r="K4" s="86"/>
      <c r="O4" t="str">
        <f>A18</f>
        <v>Meraj Siddiqui</v>
      </c>
      <c r="P4" s="87">
        <f>E18</f>
        <v>13.2</v>
      </c>
      <c r="Q4" s="87">
        <f t="shared" ref="Q4:S4" si="13">F18</f>
        <v>13.299999999999999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Plantilla!D6</f>
        <v>Miguel Fernández</v>
      </c>
      <c r="B5">
        <f>Plantilla!E6</f>
        <v>26</v>
      </c>
      <c r="C5">
        <f>Plantilla!H6</f>
        <v>5</v>
      </c>
      <c r="D5" s="24">
        <f>Plantilla!I6</f>
        <v>4.8</v>
      </c>
      <c r="E5" s="84">
        <f t="shared" si="7"/>
        <v>4.8</v>
      </c>
      <c r="F5" s="84">
        <f t="shared" si="8"/>
        <v>4.8999999999999995</v>
      </c>
      <c r="G5" s="84">
        <f t="shared" si="9"/>
        <v>5</v>
      </c>
      <c r="H5" s="84">
        <f t="shared" si="10"/>
        <v>5.99</v>
      </c>
      <c r="I5" s="85">
        <f t="shared" si="11"/>
        <v>120</v>
      </c>
      <c r="J5" s="85">
        <f t="shared" si="12"/>
        <v>175.81249</v>
      </c>
      <c r="K5" s="86"/>
      <c r="O5" t="str">
        <f>A3</f>
        <v>Cosme Fonteboa</v>
      </c>
      <c r="P5" s="87">
        <f>E3</f>
        <v>8.5</v>
      </c>
      <c r="Q5" s="87">
        <f t="shared" ref="Q5:S5" si="14">F3</f>
        <v>8.6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Iván Real Figueroa</v>
      </c>
      <c r="B6">
        <f>Plantilla!E7</f>
        <v>26</v>
      </c>
      <c r="C6">
        <f>Plantilla!H7</f>
        <v>4</v>
      </c>
      <c r="D6" s="24">
        <f>Plantilla!I7</f>
        <v>6</v>
      </c>
      <c r="E6" s="84">
        <f t="shared" si="7"/>
        <v>6</v>
      </c>
      <c r="F6" s="84">
        <f t="shared" si="8"/>
        <v>6.1</v>
      </c>
      <c r="G6" s="84">
        <f t="shared" si="9"/>
        <v>4</v>
      </c>
      <c r="H6" s="84">
        <f t="shared" si="10"/>
        <v>4.99</v>
      </c>
      <c r="I6" s="85">
        <f t="shared" si="11"/>
        <v>96</v>
      </c>
      <c r="J6" s="85">
        <f t="shared" si="12"/>
        <v>151.89061000000001</v>
      </c>
      <c r="K6" s="86"/>
      <c r="O6" t="str">
        <f>A16</f>
        <v>Ryan Clarke</v>
      </c>
      <c r="P6" s="87">
        <f>E16</f>
        <v>8.1</v>
      </c>
      <c r="Q6" s="87">
        <f t="shared" ref="Q6:S6" si="15">F16</f>
        <v>8.1999999999999993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Berto Abandero</v>
      </c>
      <c r="B7">
        <f>Plantilla!E8</f>
        <v>26</v>
      </c>
      <c r="C7">
        <f>Plantilla!H8</f>
        <v>1</v>
      </c>
      <c r="D7" s="24">
        <f>Plantilla!I8</f>
        <v>6.5</v>
      </c>
      <c r="E7" s="84">
        <f t="shared" si="7"/>
        <v>6.5</v>
      </c>
      <c r="F7" s="84">
        <f t="shared" si="8"/>
        <v>6.6</v>
      </c>
      <c r="G7" s="84">
        <f t="shared" si="9"/>
        <v>1</v>
      </c>
      <c r="H7" s="84">
        <f t="shared" si="10"/>
        <v>1.99</v>
      </c>
      <c r="I7" s="85">
        <f t="shared" si="11"/>
        <v>6.5</v>
      </c>
      <c r="J7" s="85">
        <f t="shared" si="12"/>
        <v>26.136659999999999</v>
      </c>
      <c r="K7" s="86"/>
      <c r="O7" t="str">
        <f>A13</f>
        <v>Enrique Cubas</v>
      </c>
      <c r="P7" s="87">
        <f>E13</f>
        <v>8.1</v>
      </c>
      <c r="Q7" s="87">
        <f t="shared" ref="Q7:S7" si="16">F13</f>
        <v>8.1999999999999993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Plantilla!D9</f>
        <v>Guillermo Pedrajas</v>
      </c>
      <c r="B8">
        <f>Plantilla!E9</f>
        <v>26</v>
      </c>
      <c r="C8">
        <f>Plantilla!H9</f>
        <v>4</v>
      </c>
      <c r="D8" s="24">
        <f>Plantilla!I9</f>
        <v>7</v>
      </c>
      <c r="E8" s="84">
        <f t="shared" si="7"/>
        <v>7</v>
      </c>
      <c r="F8" s="84">
        <f t="shared" si="8"/>
        <v>7.1</v>
      </c>
      <c r="G8" s="84">
        <f t="shared" si="9"/>
        <v>4</v>
      </c>
      <c r="H8" s="84">
        <f t="shared" si="10"/>
        <v>4.99</v>
      </c>
      <c r="I8" s="85">
        <f t="shared" si="11"/>
        <v>112</v>
      </c>
      <c r="J8" s="85">
        <f t="shared" si="12"/>
        <v>176.79071000000002</v>
      </c>
      <c r="K8" s="86"/>
      <c r="O8" t="str">
        <f>A10</f>
        <v>Francesc Añigas</v>
      </c>
      <c r="P8" s="87">
        <f>E10</f>
        <v>7.5</v>
      </c>
      <c r="Q8" s="87">
        <f t="shared" ref="Q8:S8" si="17">F10</f>
        <v>7.6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Plantilla!D10</f>
        <v>Venanci Oset</v>
      </c>
      <c r="B9">
        <f>Plantilla!E10</f>
        <v>26</v>
      </c>
      <c r="C9">
        <f>Plantilla!H10</f>
        <v>2</v>
      </c>
      <c r="D9" s="24">
        <f>Plantilla!I10</f>
        <v>6.5</v>
      </c>
      <c r="E9" s="84">
        <f t="shared" si="7"/>
        <v>6.5</v>
      </c>
      <c r="F9" s="84">
        <f t="shared" si="8"/>
        <v>6.6</v>
      </c>
      <c r="G9" s="84">
        <f t="shared" si="9"/>
        <v>2</v>
      </c>
      <c r="H9" s="84">
        <f t="shared" si="10"/>
        <v>2.99</v>
      </c>
      <c r="I9" s="85">
        <f t="shared" si="11"/>
        <v>26</v>
      </c>
      <c r="J9" s="85">
        <f t="shared" si="12"/>
        <v>59.004660000000001</v>
      </c>
      <c r="K9" s="86"/>
      <c r="O9" t="str">
        <f>A11</f>
        <v>Will Duffill</v>
      </c>
      <c r="P9" s="87">
        <f>E11</f>
        <v>7.6</v>
      </c>
      <c r="Q9" s="87">
        <f t="shared" ref="Q9:S9" si="18">F11</f>
        <v>7.6999999999999993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Plantilla!D11</f>
        <v>Francesc Añigas</v>
      </c>
      <c r="B10">
        <f>Plantilla!E11</f>
        <v>26</v>
      </c>
      <c r="C10">
        <f>Plantilla!H11</f>
        <v>5</v>
      </c>
      <c r="D10" s="24">
        <f>Plantilla!I11</f>
        <v>7.5</v>
      </c>
      <c r="E10" s="84">
        <f t="shared" si="7"/>
        <v>7.5</v>
      </c>
      <c r="F10" s="84">
        <f t="shared" si="8"/>
        <v>7.6</v>
      </c>
      <c r="G10" s="84">
        <f t="shared" si="9"/>
        <v>5</v>
      </c>
      <c r="H10" s="84">
        <f t="shared" si="10"/>
        <v>5.99</v>
      </c>
      <c r="I10" s="85">
        <f t="shared" si="11"/>
        <v>187.5</v>
      </c>
      <c r="J10" s="85">
        <f t="shared" si="12"/>
        <v>272.68876000000006</v>
      </c>
      <c r="K10" s="86"/>
      <c r="O10" t="str">
        <f>A17</f>
        <v>Renato Galeano</v>
      </c>
      <c r="P10" s="87">
        <f>E17</f>
        <v>7.5</v>
      </c>
      <c r="Q10" s="87">
        <f t="shared" ref="Q10:S10" si="19">F17</f>
        <v>7.6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Plantilla!D12</f>
        <v>Will Duffill</v>
      </c>
      <c r="B11">
        <f>Plantilla!E12</f>
        <v>26</v>
      </c>
      <c r="C11">
        <f>Plantilla!H12</f>
        <v>3</v>
      </c>
      <c r="D11" s="24">
        <f>Plantilla!I12</f>
        <v>7.6</v>
      </c>
      <c r="E11" s="84">
        <f t="shared" si="7"/>
        <v>7.6</v>
      </c>
      <c r="F11" s="84">
        <f t="shared" si="8"/>
        <v>7.6999999999999993</v>
      </c>
      <c r="G11" s="84">
        <f t="shared" si="9"/>
        <v>3</v>
      </c>
      <c r="H11" s="84">
        <f t="shared" si="10"/>
        <v>3.99</v>
      </c>
      <c r="I11" s="85">
        <f t="shared" si="11"/>
        <v>68.399999999999991</v>
      </c>
      <c r="J11" s="85">
        <f t="shared" si="12"/>
        <v>122.58477000000001</v>
      </c>
      <c r="K11" s="86"/>
      <c r="O11" t="str">
        <f>A8</f>
        <v>Guillermo Pedrajas</v>
      </c>
      <c r="P11" s="87">
        <f>E8</f>
        <v>7</v>
      </c>
      <c r="Q11" s="87">
        <f t="shared" ref="Q11:S11" si="20">F8</f>
        <v>7.1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Plantilla!D13</f>
        <v>Valeri Gomis</v>
      </c>
      <c r="B12">
        <f>Plantilla!E13</f>
        <v>26</v>
      </c>
      <c r="C12">
        <f>Plantilla!H13</f>
        <v>6</v>
      </c>
      <c r="D12" s="24">
        <f>Plantilla!I13</f>
        <v>7</v>
      </c>
      <c r="E12" s="84">
        <f t="shared" si="7"/>
        <v>7</v>
      </c>
      <c r="F12" s="84">
        <f t="shared" si="8"/>
        <v>7.1</v>
      </c>
      <c r="G12" s="84">
        <f t="shared" si="9"/>
        <v>6</v>
      </c>
      <c r="H12" s="84">
        <f t="shared" si="10"/>
        <v>6.99</v>
      </c>
      <c r="I12" s="85">
        <f t="shared" si="11"/>
        <v>252</v>
      </c>
      <c r="J12" s="85">
        <f t="shared" si="12"/>
        <v>346.90670999999998</v>
      </c>
      <c r="K12" s="86"/>
      <c r="O12" t="str">
        <f>A7</f>
        <v>Berto Abandero</v>
      </c>
      <c r="P12" s="87">
        <f>E7</f>
        <v>6.5</v>
      </c>
      <c r="Q12" s="87">
        <f t="shared" ref="Q12:S12" si="21">F7</f>
        <v>6.6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Plantilla!D14</f>
        <v>Enrique Cubas</v>
      </c>
      <c r="B13">
        <f>Plantilla!E14</f>
        <v>26</v>
      </c>
      <c r="C13">
        <f>Plantilla!H14</f>
        <v>1</v>
      </c>
      <c r="D13" s="24">
        <f>Plantilla!I14</f>
        <v>8.1</v>
      </c>
      <c r="E13" s="84">
        <f t="shared" si="7"/>
        <v>8.1</v>
      </c>
      <c r="F13" s="84">
        <f t="shared" si="8"/>
        <v>8.1999999999999993</v>
      </c>
      <c r="G13" s="84">
        <f t="shared" si="9"/>
        <v>1</v>
      </c>
      <c r="H13" s="84">
        <f t="shared" si="10"/>
        <v>1.99</v>
      </c>
      <c r="I13" s="85">
        <f t="shared" si="11"/>
        <v>8.1</v>
      </c>
      <c r="J13" s="85">
        <f t="shared" si="12"/>
        <v>32.472819999999999</v>
      </c>
      <c r="K13" s="86"/>
      <c r="O13" t="str">
        <f>A9</f>
        <v>Venanci Oset</v>
      </c>
      <c r="P13" s="87">
        <f>E9</f>
        <v>6.5</v>
      </c>
      <c r="Q13" s="87">
        <f t="shared" ref="Q13:S13" si="22">F9</f>
        <v>6.6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Plantilla!D15</f>
        <v>J. G. Peñuela</v>
      </c>
      <c r="B14">
        <f>Plantilla!E15</f>
        <v>26</v>
      </c>
      <c r="C14">
        <f>Plantilla!H15</f>
        <v>6</v>
      </c>
      <c r="D14" s="24">
        <f>Plantilla!I15</f>
        <v>6.9</v>
      </c>
      <c r="E14" s="84">
        <f t="shared" si="7"/>
        <v>6.9</v>
      </c>
      <c r="F14" s="84">
        <f t="shared" si="8"/>
        <v>7</v>
      </c>
      <c r="G14" s="84">
        <f t="shared" si="9"/>
        <v>6</v>
      </c>
      <c r="H14" s="84">
        <f t="shared" si="10"/>
        <v>6.99</v>
      </c>
      <c r="I14" s="85">
        <f t="shared" si="11"/>
        <v>248.4</v>
      </c>
      <c r="J14" s="85">
        <f t="shared" si="12"/>
        <v>342.02070000000003</v>
      </c>
      <c r="K14" s="86"/>
      <c r="P14" s="27">
        <f>SUM(P4:P13)/10</f>
        <v>8.0500000000000007</v>
      </c>
      <c r="Q14" s="27">
        <f>SUM(Q4:Q13)/10</f>
        <v>8.1499999999999986</v>
      </c>
      <c r="R14" s="27"/>
      <c r="S14" s="27"/>
    </row>
    <row r="15" spans="1:19" x14ac:dyDescent="0.25">
      <c r="A15" s="41" t="str">
        <f>Plantilla!D16</f>
        <v>Julian Gräbitz</v>
      </c>
      <c r="B15">
        <f>Plantilla!E16</f>
        <v>26</v>
      </c>
      <c r="C15">
        <f>Plantilla!H16</f>
        <v>2</v>
      </c>
      <c r="D15" s="24">
        <f>Plantilla!I16</f>
        <v>4.7</v>
      </c>
      <c r="E15" s="84">
        <f t="shared" si="7"/>
        <v>4.7</v>
      </c>
      <c r="F15" s="84">
        <f t="shared" si="8"/>
        <v>4.8</v>
      </c>
      <c r="G15" s="84">
        <f t="shared" si="9"/>
        <v>2</v>
      </c>
      <c r="H15" s="84">
        <f t="shared" si="10"/>
        <v>2.99</v>
      </c>
      <c r="I15" s="85">
        <f t="shared" si="11"/>
        <v>18.8</v>
      </c>
      <c r="J15" s="85">
        <f t="shared" si="12"/>
        <v>42.912480000000002</v>
      </c>
      <c r="K15" s="86"/>
    </row>
    <row r="16" spans="1:19" x14ac:dyDescent="0.25">
      <c r="A16" s="41" t="str">
        <f>Plantilla!D17</f>
        <v>Ryan Clarke</v>
      </c>
      <c r="B16">
        <f>Plantilla!E17</f>
        <v>30</v>
      </c>
      <c r="C16">
        <f>Plantilla!H17</f>
        <v>1</v>
      </c>
      <c r="D16" s="24">
        <f>Plantilla!I17</f>
        <v>8.1</v>
      </c>
      <c r="E16" s="84">
        <f t="shared" si="7"/>
        <v>8.1</v>
      </c>
      <c r="F16" s="84">
        <f t="shared" si="8"/>
        <v>8.1999999999999993</v>
      </c>
      <c r="G16" s="84">
        <f t="shared" si="9"/>
        <v>1</v>
      </c>
      <c r="H16" s="84">
        <f t="shared" si="10"/>
        <v>1.99</v>
      </c>
      <c r="I16" s="85">
        <f t="shared" si="11"/>
        <v>8.1</v>
      </c>
      <c r="J16" s="85">
        <f t="shared" si="12"/>
        <v>32.472819999999999</v>
      </c>
      <c r="K16" s="86"/>
      <c r="L16" s="46" t="s">
        <v>595</v>
      </c>
      <c r="O16" t="s">
        <v>596</v>
      </c>
      <c r="P16" s="24">
        <f>SUM(P3:P13)</f>
        <v>87.5</v>
      </c>
      <c r="Q16" s="24">
        <f>SUM(Q3:Q13)</f>
        <v>88.59999999999998</v>
      </c>
      <c r="R16" s="24"/>
    </row>
    <row r="17" spans="1:18" x14ac:dyDescent="0.25">
      <c r="A17" s="41" t="str">
        <f>Plantilla!D18</f>
        <v>Renato Galeano</v>
      </c>
      <c r="B17">
        <f>Plantilla!E18</f>
        <v>29</v>
      </c>
      <c r="C17">
        <f>Plantilla!H18</f>
        <v>1</v>
      </c>
      <c r="D17" s="24">
        <f>Plantilla!I18</f>
        <v>7.5</v>
      </c>
      <c r="E17" s="84">
        <f t="shared" si="7"/>
        <v>7.5</v>
      </c>
      <c r="F17" s="84">
        <f t="shared" si="8"/>
        <v>7.6</v>
      </c>
      <c r="G17" s="84">
        <f t="shared" si="9"/>
        <v>1</v>
      </c>
      <c r="H17" s="84">
        <f t="shared" si="10"/>
        <v>1.99</v>
      </c>
      <c r="I17" s="85">
        <f t="shared" si="11"/>
        <v>7.5</v>
      </c>
      <c r="J17" s="85">
        <f t="shared" si="12"/>
        <v>30.09676</v>
      </c>
      <c r="K17" s="86"/>
      <c r="O17" t="s">
        <v>597</v>
      </c>
      <c r="P17" s="27">
        <f>P16/17</f>
        <v>5.1470588235294121</v>
      </c>
      <c r="Q17" s="27">
        <f>Q16/17</f>
        <v>5.2117647058823522</v>
      </c>
      <c r="R17" s="27"/>
    </row>
    <row r="18" spans="1:18" x14ac:dyDescent="0.25">
      <c r="A18" s="41" t="str">
        <f>Plantilla!D19</f>
        <v>Meraj Siddiqui</v>
      </c>
      <c r="B18">
        <f>Plantilla!E19</f>
        <v>28</v>
      </c>
      <c r="C18">
        <f>Plantilla!H19</f>
        <v>2</v>
      </c>
      <c r="D18" s="24">
        <f>Plantilla!I19</f>
        <v>13.2</v>
      </c>
      <c r="E18" s="84">
        <f t="shared" si="7"/>
        <v>13.2</v>
      </c>
      <c r="F18" s="84">
        <f t="shared" si="8"/>
        <v>13.299999999999999</v>
      </c>
      <c r="G18" s="84">
        <f t="shared" si="9"/>
        <v>2</v>
      </c>
      <c r="H18" s="84">
        <f t="shared" si="10"/>
        <v>2.99</v>
      </c>
      <c r="I18" s="85">
        <f t="shared" si="11"/>
        <v>52.8</v>
      </c>
      <c r="J18" s="85">
        <f t="shared" si="12"/>
        <v>118.90333000000001</v>
      </c>
      <c r="K18" s="86"/>
      <c r="L18" s="46" t="s">
        <v>598</v>
      </c>
      <c r="O18" t="s">
        <v>599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26</v>
      </c>
      <c r="C19">
        <f>Plantilla!H20</f>
        <v>1</v>
      </c>
      <c r="D19" s="24">
        <f>Plantilla!I20</f>
        <v>5.0999999999999996</v>
      </c>
      <c r="E19" s="84">
        <f t="shared" si="7"/>
        <v>5.0999999999999996</v>
      </c>
      <c r="F19" s="84">
        <f t="shared" si="8"/>
        <v>5.1999999999999993</v>
      </c>
      <c r="G19" s="84">
        <f t="shared" si="9"/>
        <v>1</v>
      </c>
      <c r="H19" s="84">
        <f t="shared" si="10"/>
        <v>1.99</v>
      </c>
      <c r="I19" s="85">
        <f t="shared" si="11"/>
        <v>5.0999999999999996</v>
      </c>
      <c r="J19" s="85">
        <f t="shared" si="12"/>
        <v>20.592519999999997</v>
      </c>
      <c r="K19" s="86"/>
      <c r="L19" s="46" t="s">
        <v>600</v>
      </c>
      <c r="O19" t="s">
        <v>601</v>
      </c>
      <c r="P19" s="24">
        <f>P18*P3</f>
        <v>252</v>
      </c>
      <c r="Q19" s="24">
        <f>Q18*Q3</f>
        <v>346.90670999999998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602</v>
      </c>
      <c r="O20" t="s">
        <v>603</v>
      </c>
      <c r="P20" s="27">
        <f>(P19^(2/3))/30</f>
        <v>1.3298799522301954</v>
      </c>
      <c r="Q20" s="27">
        <f>(Q19^(2/3))/30</f>
        <v>1.6457121624445159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604</v>
      </c>
      <c r="O21" s="54" t="s">
        <v>605</v>
      </c>
      <c r="P21" s="71">
        <f>P17+P20</f>
        <v>6.4769387757596073</v>
      </c>
      <c r="Q21" s="71">
        <f>Q17+Q20</f>
        <v>6.8574768683268683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606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3" priority="2" operator="between">
      <formula>70</formula>
      <formula>100</formula>
    </cfRule>
  </conditionalFormatting>
  <conditionalFormatting sqref="I3:J31">
    <cfRule type="cellIs" dxfId="12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X1" sqref="X1:X10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186</v>
      </c>
      <c r="B1" s="99" t="s">
        <v>194</v>
      </c>
      <c r="C1" s="99" t="s">
        <v>197</v>
      </c>
      <c r="D1" s="100" t="s">
        <v>607</v>
      </c>
      <c r="E1" s="100" t="s">
        <v>590</v>
      </c>
      <c r="F1" s="100" t="s">
        <v>591</v>
      </c>
      <c r="H1" s="99" t="s">
        <v>608</v>
      </c>
      <c r="I1" s="99" t="s">
        <v>194</v>
      </c>
      <c r="J1" s="99" t="s">
        <v>197</v>
      </c>
      <c r="K1" s="99" t="str">
        <f>D1</f>
        <v>N_CA</v>
      </c>
      <c r="L1" s="100" t="s">
        <v>590</v>
      </c>
      <c r="M1" s="100" t="s">
        <v>591</v>
      </c>
      <c r="O1" s="99" t="s">
        <v>608</v>
      </c>
      <c r="P1" s="99" t="s">
        <v>194</v>
      </c>
      <c r="Q1" s="99" t="s">
        <v>197</v>
      </c>
      <c r="R1" s="99" t="str">
        <f>K1</f>
        <v>N_CA</v>
      </c>
      <c r="S1" s="100" t="s">
        <v>590</v>
      </c>
      <c r="T1" s="100" t="s">
        <v>591</v>
      </c>
    </row>
    <row r="2" spans="1:20" x14ac:dyDescent="0.25">
      <c r="A2" t="str">
        <f>Plantilla!D4</f>
        <v>Cosme Fonteboa</v>
      </c>
      <c r="B2" s="24">
        <f ca="1">Plantilla!Y4+Plantilla!N4+Plantilla!J4</f>
        <v>14.693770688831179</v>
      </c>
      <c r="C2" s="24">
        <f ca="1">Plantilla!AB4+Plantilla!N4+Plantilla!J4</f>
        <v>3.2392252342857235</v>
      </c>
      <c r="D2" s="71">
        <f t="shared" ref="D2" ca="1" si="0">(C2*2+B2)/8</f>
        <v>2.6465276446753281</v>
      </c>
      <c r="E2" s="24">
        <f ca="1">D2*Plantilla!R4</f>
        <v>2.6465276446753281</v>
      </c>
      <c r="F2" s="24">
        <f ca="1">D2*Plantilla!S4</f>
        <v>2.6465276446753281</v>
      </c>
      <c r="H2" s="27" t="str">
        <f t="shared" ref="H2:J3" si="1">A6</f>
        <v>Berto Abandero</v>
      </c>
      <c r="I2" s="24">
        <f t="shared" ca="1" si="1"/>
        <v>16.271384475523806</v>
      </c>
      <c r="J2" s="24">
        <f t="shared" ca="1" si="1"/>
        <v>13.941027332666666</v>
      </c>
      <c r="K2" s="71">
        <f ca="1">(J2*2+I2)/8</f>
        <v>5.5191798926071423</v>
      </c>
      <c r="L2" s="27">
        <f ca="1">E6</f>
        <v>4.6645583688490033</v>
      </c>
      <c r="M2" s="27">
        <f ca="1">F6</f>
        <v>5.1055077633988892</v>
      </c>
      <c r="O2" t="str">
        <f>A2</f>
        <v>Cosme Fonteboa</v>
      </c>
      <c r="P2" s="24">
        <f t="shared" ref="P2:Q5" ca="1" si="2">I2</f>
        <v>16.271384475523806</v>
      </c>
      <c r="Q2" s="24">
        <f t="shared" ca="1" si="2"/>
        <v>13.941027332666666</v>
      </c>
      <c r="R2" s="71">
        <f ca="1">(Q2*2+P2)/8</f>
        <v>5.5191798926071423</v>
      </c>
      <c r="S2" s="27">
        <f ca="1">E2</f>
        <v>2.6465276446753281</v>
      </c>
      <c r="T2" s="27">
        <f ca="1">F2</f>
        <v>2.6465276446753281</v>
      </c>
    </row>
    <row r="3" spans="1:20" x14ac:dyDescent="0.25">
      <c r="A3" t="str">
        <f>Plantilla!D5</f>
        <v>Nicolae Hornet</v>
      </c>
      <c r="B3" s="24">
        <f ca="1">Plantilla!Y5+Plantilla!N5+Plantilla!J5</f>
        <v>6.8296257263118925</v>
      </c>
      <c r="C3" s="24">
        <f ca="1">Plantilla!AB5+Plantilla!N5+Plantilla!J5</f>
        <v>2.4296257263118926</v>
      </c>
      <c r="D3" s="71">
        <f t="shared" ref="D3:D18" ca="1" si="3">(C3*2+B3)/8</f>
        <v>1.4611096473669596</v>
      </c>
      <c r="E3" s="24">
        <f ca="1">D3*Plantilla!R5</f>
        <v>1.3527246795039158</v>
      </c>
      <c r="F3" s="24">
        <f ca="1">D3*Plantilla!S5</f>
        <v>1.4600656246203123</v>
      </c>
      <c r="H3" s="27" t="str">
        <f t="shared" si="1"/>
        <v>Guillermo Pedrajas</v>
      </c>
      <c r="I3" s="24">
        <f t="shared" ca="1" si="1"/>
        <v>14.508615568503858</v>
      </c>
      <c r="J3" s="24">
        <f t="shared" ca="1" si="1"/>
        <v>13.126797386685675</v>
      </c>
      <c r="K3" s="71">
        <f ca="1">(J3*2+I3)/8</f>
        <v>5.0952762927344013</v>
      </c>
      <c r="L3" s="27">
        <f ca="1">E7</f>
        <v>4.7173092057080792</v>
      </c>
      <c r="M3" s="27">
        <f ca="1">F7</f>
        <v>5.0916355089235124</v>
      </c>
      <c r="O3" t="str">
        <f>A7</f>
        <v>Guillermo Pedrajas</v>
      </c>
      <c r="P3" s="24">
        <f t="shared" ca="1" si="2"/>
        <v>14.508615568503858</v>
      </c>
      <c r="Q3" s="24">
        <f t="shared" ca="1" si="2"/>
        <v>13.126797386685675</v>
      </c>
      <c r="R3" s="71">
        <f ca="1">(Q3*2+P3)/8</f>
        <v>5.0952762927344013</v>
      </c>
      <c r="S3" s="27">
        <f ca="1">E7</f>
        <v>4.7173092057080792</v>
      </c>
      <c r="T3" s="27">
        <f ca="1">F7</f>
        <v>5.0916355089235124</v>
      </c>
    </row>
    <row r="4" spans="1:20" x14ac:dyDescent="0.25">
      <c r="A4" t="str">
        <f>Plantilla!D6</f>
        <v>Miguel Fernández</v>
      </c>
      <c r="B4" s="24">
        <f ca="1">Plantilla!Y6+Plantilla!N6+Plantilla!J6</f>
        <v>17.39651609427856</v>
      </c>
      <c r="C4" s="24">
        <f ca="1">Plantilla!AB6+Plantilla!N6+Plantilla!J6</f>
        <v>10.908321649834116</v>
      </c>
      <c r="D4" s="71">
        <f t="shared" ca="1" si="3"/>
        <v>4.9016449242433495</v>
      </c>
      <c r="E4" s="24">
        <f ca="1">D4*Plantilla!R6</f>
        <v>4.5380413928125982</v>
      </c>
      <c r="F4" s="24">
        <f ca="1">D4*Plantilla!S6</f>
        <v>4.8981424979838826</v>
      </c>
      <c r="H4" t="str">
        <f>A10</f>
        <v>Will Duffill</v>
      </c>
      <c r="I4" s="24">
        <f ca="1">B10</f>
        <v>15.251341199964132</v>
      </c>
      <c r="J4" s="24">
        <f ca="1">C10</f>
        <v>12.00775145637439</v>
      </c>
      <c r="K4" s="71">
        <f ca="1">(J4*2+I4)/8</f>
        <v>4.9083555140891137</v>
      </c>
      <c r="L4" s="27">
        <f ca="1">E10</f>
        <v>4.5442541917731365</v>
      </c>
      <c r="M4" s="27">
        <f ca="1">F10</f>
        <v>4.9048482928380768</v>
      </c>
      <c r="O4" t="str">
        <f>A4</f>
        <v>Miguel Fernández</v>
      </c>
      <c r="P4" s="24">
        <f t="shared" ca="1" si="2"/>
        <v>15.251341199964132</v>
      </c>
      <c r="Q4" s="24">
        <f t="shared" ca="1" si="2"/>
        <v>12.00775145637439</v>
      </c>
      <c r="R4" s="71">
        <f ca="1">(Q4*2+P4)/8</f>
        <v>4.9083555140891137</v>
      </c>
      <c r="S4" s="27">
        <f ca="1">E4</f>
        <v>4.5380413928125982</v>
      </c>
      <c r="T4" s="27">
        <f ca="1">F4</f>
        <v>4.8981424979838826</v>
      </c>
    </row>
    <row r="5" spans="1:20" x14ac:dyDescent="0.25">
      <c r="A5" t="str">
        <f>Plantilla!D7</f>
        <v>Iván Real Figueroa</v>
      </c>
      <c r="B5" s="24">
        <f ca="1">Plantilla!Y7+Plantilla!N7+Plantilla!J7</f>
        <v>17.618785000511526</v>
      </c>
      <c r="C5" s="24">
        <f ca="1">Plantilla!AB7+Plantilla!N7+Plantilla!J7</f>
        <v>10.704201667178191</v>
      </c>
      <c r="D5" s="71">
        <f t="shared" ca="1" si="3"/>
        <v>4.8783985418584885</v>
      </c>
      <c r="E5" s="24">
        <f ca="1">D5*Plantilla!R7</f>
        <v>4.5165194247536951</v>
      </c>
      <c r="F5" s="24">
        <f ca="1">D5*Plantilla!S7</f>
        <v>4.8749127260923073</v>
      </c>
      <c r="H5" s="27" t="str">
        <f>A8</f>
        <v>Venanci Oset</v>
      </c>
      <c r="I5" s="24">
        <f ca="1">B8</f>
        <v>16.333884475523806</v>
      </c>
      <c r="J5" s="24">
        <f ca="1">C8</f>
        <v>14.194995586634919</v>
      </c>
      <c r="K5" s="71">
        <f ca="1">(J5*2+I5)/8</f>
        <v>5.5904844560992055</v>
      </c>
      <c r="L5" s="27">
        <f ca="1">E8</f>
        <v>5.1757828769226641</v>
      </c>
      <c r="M5" s="27">
        <f ca="1">F8</f>
        <v>5.5864898257526985</v>
      </c>
      <c r="O5" s="27" t="str">
        <f>H5</f>
        <v>Venanci Oset</v>
      </c>
      <c r="P5" s="24">
        <f t="shared" ca="1" si="2"/>
        <v>16.333884475523806</v>
      </c>
      <c r="Q5" s="24">
        <f t="shared" ca="1" si="2"/>
        <v>14.194995586634919</v>
      </c>
      <c r="R5" s="71">
        <f ca="1">(Q5*2+P5)/8</f>
        <v>5.5904844560992055</v>
      </c>
      <c r="S5" s="27">
        <f ca="1">L5</f>
        <v>5.1757828769226641</v>
      </c>
      <c r="T5" s="27">
        <f ca="1">M5</f>
        <v>5.5864898257526985</v>
      </c>
    </row>
    <row r="6" spans="1:20" x14ac:dyDescent="0.25">
      <c r="A6" t="str">
        <f>Plantilla!D8</f>
        <v>Berto Abandero</v>
      </c>
      <c r="B6" s="24">
        <f ca="1">Plantilla!Y8+Plantilla!N8+Plantilla!J8</f>
        <v>16.271384475523806</v>
      </c>
      <c r="C6" s="24">
        <f ca="1">Plantilla!AB8+Plantilla!N8+Plantilla!J8</f>
        <v>13.941027332666666</v>
      </c>
      <c r="D6" s="71">
        <f t="shared" ca="1" si="3"/>
        <v>5.5191798926071423</v>
      </c>
      <c r="E6" s="24">
        <f ca="1">D6*Plantilla!R8</f>
        <v>4.6645583688490033</v>
      </c>
      <c r="F6" s="24">
        <f ca="1">D6*Plantilla!S8</f>
        <v>5.1055077633988892</v>
      </c>
      <c r="H6" t="str">
        <f>A4</f>
        <v>Miguel Fernández</v>
      </c>
      <c r="I6" s="24">
        <f ca="1">B4</f>
        <v>17.39651609427856</v>
      </c>
      <c r="J6" s="24">
        <f ca="1">C4</f>
        <v>10.908321649834116</v>
      </c>
      <c r="K6" s="71">
        <f ca="1">(J6*2+I6)/8</f>
        <v>4.9016449242433495</v>
      </c>
      <c r="L6" s="27">
        <f ca="1">E4</f>
        <v>4.5380413928125982</v>
      </c>
      <c r="M6" s="27">
        <f ca="1">F4</f>
        <v>4.8981424979838826</v>
      </c>
      <c r="R6" s="27"/>
      <c r="S6" s="24"/>
      <c r="T6" s="24"/>
    </row>
    <row r="7" spans="1:20" ht="18.75" x14ac:dyDescent="0.3">
      <c r="A7" t="str">
        <f>Plantilla!D9</f>
        <v>Guillermo Pedrajas</v>
      </c>
      <c r="B7" s="24">
        <f ca="1">Plantilla!Y9+Plantilla!N9+Plantilla!J9</f>
        <v>14.508615568503858</v>
      </c>
      <c r="C7" s="24">
        <f ca="1">Plantilla!AB9+Plantilla!N9+Plantilla!J9</f>
        <v>13.126797386685675</v>
      </c>
      <c r="D7" s="71">
        <f t="shared" ca="1" si="3"/>
        <v>5.0952762927344013</v>
      </c>
      <c r="E7" s="24">
        <f ca="1">D7*Plantilla!R9</f>
        <v>4.7173092057080792</v>
      </c>
      <c r="F7" s="24">
        <f ca="1">D7*Plantilla!S9</f>
        <v>5.0916355089235124</v>
      </c>
      <c r="K7" s="101">
        <f ca="1">SUM(K2:K6)</f>
        <v>26.014941079773212</v>
      </c>
      <c r="L7" s="101">
        <f ca="1">SUM(L2:L6)</f>
        <v>23.639946036065481</v>
      </c>
      <c r="M7" s="101">
        <f ca="1">SUM(M2:M6)</f>
        <v>25.586623888897059</v>
      </c>
      <c r="N7" s="101"/>
      <c r="O7" s="101"/>
      <c r="P7" s="101"/>
      <c r="Q7" s="101"/>
      <c r="R7" s="101">
        <f ca="1">SUM(R2:R6)</f>
        <v>21.113296155529863</v>
      </c>
      <c r="S7" s="101">
        <f ca="1">SUM(S2:S6)</f>
        <v>17.07766112011867</v>
      </c>
      <c r="T7" s="101">
        <f ca="1">SUM(T2:T6)</f>
        <v>18.222795477335424</v>
      </c>
    </row>
    <row r="8" spans="1:20" x14ac:dyDescent="0.25">
      <c r="A8" t="str">
        <f>Plantilla!D10</f>
        <v>Venanci Oset</v>
      </c>
      <c r="B8" s="24">
        <f ca="1">Plantilla!Y10+Plantilla!N10+Plantilla!J10</f>
        <v>16.333884475523806</v>
      </c>
      <c r="C8" s="24">
        <f ca="1">Plantilla!AB10+Plantilla!N10+Plantilla!J10</f>
        <v>14.194995586634919</v>
      </c>
      <c r="D8" s="71">
        <f t="shared" ca="1" si="3"/>
        <v>5.5904844560992055</v>
      </c>
      <c r="E8" s="24">
        <f ca="1">D8*Plantilla!R10</f>
        <v>5.1757828769226641</v>
      </c>
      <c r="F8" s="24">
        <f ca="1">D8*Plantilla!S10</f>
        <v>5.5864898257526985</v>
      </c>
      <c r="L8" s="2">
        <f ca="1">(K7-L7)/K7</f>
        <v>9.1293500778070386E-2</v>
      </c>
      <c r="M8" s="2">
        <f ca="1">(K7-M7)/K7</f>
        <v>1.646427680011827E-2</v>
      </c>
      <c r="R8" s="27"/>
    </row>
    <row r="9" spans="1:20" x14ac:dyDescent="0.25">
      <c r="A9" t="str">
        <f>Plantilla!D11</f>
        <v>Francesc Añigas</v>
      </c>
      <c r="B9" s="24">
        <f ca="1">Plantilla!Y11+Plantilla!N11+Plantilla!J11</f>
        <v>15.8334150178556</v>
      </c>
      <c r="C9" s="24">
        <f ca="1">Plantilla!AB11+Plantilla!N11+Plantilla!J11</f>
        <v>10.166748351188934</v>
      </c>
      <c r="D9" s="71">
        <f t="shared" ca="1" si="3"/>
        <v>4.520863965029184</v>
      </c>
      <c r="E9" s="24">
        <f ca="1">D9*Plantilla!R11</f>
        <v>3.8208274150932464</v>
      </c>
      <c r="F9" s="24">
        <f ca="1">D9*Plantilla!S11</f>
        <v>4.1820173503755234</v>
      </c>
    </row>
    <row r="10" spans="1:20" x14ac:dyDescent="0.25">
      <c r="A10" t="str">
        <f>Plantilla!D12</f>
        <v>Will Duffill</v>
      </c>
      <c r="B10" s="24">
        <f ca="1">Plantilla!Y12+Plantilla!N12+Plantilla!J12</f>
        <v>15.251341199964132</v>
      </c>
      <c r="C10" s="24">
        <f ca="1">Plantilla!AB12+Plantilla!N12+Plantilla!J12</f>
        <v>12.00775145637439</v>
      </c>
      <c r="D10" s="71">
        <f t="shared" ca="1" si="3"/>
        <v>4.9083555140891137</v>
      </c>
      <c r="E10" s="24">
        <f ca="1">D10*Plantilla!R12</f>
        <v>4.5442541917731365</v>
      </c>
      <c r="F10" s="24">
        <f ca="1">D10*Plantilla!S12</f>
        <v>4.9048482928380768</v>
      </c>
      <c r="H10" s="27"/>
      <c r="I10" s="27"/>
      <c r="J10" s="27"/>
    </row>
    <row r="11" spans="1:20" x14ac:dyDescent="0.25">
      <c r="A11" t="str">
        <f>Plantilla!D13</f>
        <v>Valeri Gomis</v>
      </c>
      <c r="B11" s="24">
        <f ca="1">Plantilla!Y13+Plantilla!N13+Plantilla!J13</f>
        <v>14.67225193214022</v>
      </c>
      <c r="C11" s="24">
        <f ca="1">Plantilla!AB13+Plantilla!N13+Plantilla!J13</f>
        <v>11.293464053352341</v>
      </c>
      <c r="D11" s="71">
        <f t="shared" ca="1" si="3"/>
        <v>4.6573975048556129</v>
      </c>
      <c r="E11" s="24">
        <f ca="1">D11*Plantilla!R13</f>
        <v>3.9362193171906981</v>
      </c>
      <c r="F11" s="24">
        <f ca="1">D11*Plantilla!S13</f>
        <v>4.3083174639996296</v>
      </c>
    </row>
    <row r="12" spans="1:20" x14ac:dyDescent="0.25">
      <c r="A12" t="str">
        <f>Plantilla!D14</f>
        <v>Enrique Cubas</v>
      </c>
      <c r="B12" s="24">
        <f>Plantilla!Y14+Plantilla!N14+Plantilla!J14</f>
        <v>14.311313358504865</v>
      </c>
      <c r="C12" s="24">
        <f>Plantilla!AB14+Plantilla!N14+Plantilla!J14</f>
        <v>11.711313358504867</v>
      </c>
      <c r="D12" s="71">
        <f t="shared" si="3"/>
        <v>4.7167425094393245</v>
      </c>
      <c r="E12" s="24">
        <f>D12*Plantilla!R14</f>
        <v>4.3668550206905499</v>
      </c>
      <c r="F12" s="24">
        <f>D12*Plantilla!S14</f>
        <v>4.7133722035359948</v>
      </c>
      <c r="H12" s="102" t="s">
        <v>608</v>
      </c>
      <c r="I12" s="102" t="s">
        <v>194</v>
      </c>
      <c r="J12" s="102" t="s">
        <v>197</v>
      </c>
      <c r="K12" s="103" t="s">
        <v>607</v>
      </c>
      <c r="L12" s="103" t="s">
        <v>590</v>
      </c>
      <c r="M12" s="103" t="s">
        <v>591</v>
      </c>
      <c r="O12" s="102" t="s">
        <v>608</v>
      </c>
      <c r="P12" s="102" t="s">
        <v>194</v>
      </c>
      <c r="Q12" s="102" t="s">
        <v>197</v>
      </c>
      <c r="R12" s="102" t="str">
        <f>K12</f>
        <v>N_CA</v>
      </c>
      <c r="S12" s="103" t="s">
        <v>590</v>
      </c>
      <c r="T12" s="103" t="s">
        <v>591</v>
      </c>
    </row>
    <row r="13" spans="1:20" x14ac:dyDescent="0.25">
      <c r="A13" t="str">
        <f>Plantilla!D15</f>
        <v>J. G. Peñuela</v>
      </c>
      <c r="B13" s="24">
        <f ca="1">Plantilla!Y15+Plantilla!N15+Plantilla!J15</f>
        <v>14.01846545431634</v>
      </c>
      <c r="C13" s="24">
        <f ca="1">Plantilla!AB15+Plantilla!N15+Plantilla!J15</f>
        <v>10.51846545431634</v>
      </c>
      <c r="D13" s="71">
        <f t="shared" ca="1" si="3"/>
        <v>4.3819245453686273</v>
      </c>
      <c r="E13" s="24">
        <f ca="1">D13*Plantilla!R15</f>
        <v>2.8686429883909557</v>
      </c>
      <c r="F13" s="24">
        <f ca="1">D13*Plantilla!S15</f>
        <v>3.308280482538219</v>
      </c>
      <c r="H13" s="27" t="str">
        <f t="shared" ref="H13:J17" si="4">H2</f>
        <v>Berto Abandero</v>
      </c>
      <c r="I13" s="24">
        <f t="shared" ca="1" si="4"/>
        <v>16.271384475523806</v>
      </c>
      <c r="J13" s="24">
        <f t="shared" ca="1" si="4"/>
        <v>13.941027332666666</v>
      </c>
      <c r="K13" s="71">
        <f ca="1">(J13*2+I13)/8</f>
        <v>5.5191798926071423</v>
      </c>
      <c r="L13" s="27">
        <f ca="1">K13*(1-$L$8)</f>
        <v>5.0153146387871015</v>
      </c>
      <c r="M13" s="27">
        <f ca="1">K13*(1-$M$8)</f>
        <v>5.428310587145611</v>
      </c>
      <c r="O13" s="27" t="str">
        <f t="shared" ref="O13:Q16" si="5">H13</f>
        <v>Berto Abandero</v>
      </c>
      <c r="P13" s="27">
        <f t="shared" ca="1" si="5"/>
        <v>16.271384475523806</v>
      </c>
      <c r="Q13" s="27">
        <f t="shared" ca="1" si="5"/>
        <v>13.941027332666666</v>
      </c>
      <c r="R13" s="71">
        <f ca="1">(Q13*2+P13)/8</f>
        <v>5.5191798926071423</v>
      </c>
      <c r="S13" s="27">
        <f t="shared" ref="S13:T16" ca="1" si="6">L13</f>
        <v>5.0153146387871015</v>
      </c>
      <c r="T13" s="27">
        <f t="shared" ca="1" si="6"/>
        <v>5.428310587145611</v>
      </c>
    </row>
    <row r="14" spans="1:20" x14ac:dyDescent="0.25">
      <c r="A14" t="str">
        <f>Plantilla!D16</f>
        <v>Julian Gräbitz</v>
      </c>
      <c r="B14" s="24">
        <f ca="1">Plantilla!Y16+Plantilla!N16+Plantilla!J16</f>
        <v>14.577948659065806</v>
      </c>
      <c r="C14" s="24">
        <f ca="1">Plantilla!AB16+Plantilla!N16+Plantilla!J16</f>
        <v>10.729463810580958</v>
      </c>
      <c r="D14" s="71">
        <f t="shared" ca="1" si="3"/>
        <v>4.5046095350284654</v>
      </c>
      <c r="E14" s="24">
        <f ca="1">D14*Plantilla!R16</f>
        <v>3.8070899144199521</v>
      </c>
      <c r="F14" s="24">
        <f ca="1">D14*Plantilla!S16</f>
        <v>4.1669812181651107</v>
      </c>
      <c r="H14" s="27" t="str">
        <f t="shared" si="4"/>
        <v>Guillermo Pedrajas</v>
      </c>
      <c r="I14" s="24">
        <f t="shared" ca="1" si="4"/>
        <v>14.508615568503858</v>
      </c>
      <c r="J14" s="24">
        <f t="shared" ca="1" si="4"/>
        <v>13.126797386685675</v>
      </c>
      <c r="K14" s="71">
        <f ca="1">(J14*2+I14)/8</f>
        <v>5.0952762927344013</v>
      </c>
      <c r="L14" s="27">
        <f ca="1">K14*(1-$L$8)</f>
        <v>4.6301106825391694</v>
      </c>
      <c r="M14" s="27">
        <f ca="1">K14*(1-$M$8)</f>
        <v>5.0113862534777418</v>
      </c>
      <c r="O14" s="27" t="str">
        <f t="shared" si="5"/>
        <v>Guillermo Pedrajas</v>
      </c>
      <c r="P14" s="27">
        <f t="shared" ca="1" si="5"/>
        <v>14.508615568503858</v>
      </c>
      <c r="Q14" s="27">
        <f t="shared" ca="1" si="5"/>
        <v>13.126797386685675</v>
      </c>
      <c r="R14" s="71">
        <f ca="1">(Q14*2+P14)/8</f>
        <v>5.0952762927344013</v>
      </c>
      <c r="S14" s="27">
        <f t="shared" ca="1" si="6"/>
        <v>4.6301106825391694</v>
      </c>
      <c r="T14" s="27">
        <f t="shared" ca="1" si="6"/>
        <v>5.0113862534777418</v>
      </c>
    </row>
    <row r="15" spans="1:20" x14ac:dyDescent="0.25">
      <c r="A15" t="str">
        <f>Plantilla!D17</f>
        <v>Ryan Clarke</v>
      </c>
      <c r="B15" s="24">
        <f ca="1">Plantilla!Y17+Plantilla!N17+Plantilla!J17</f>
        <v>13.211313358504867</v>
      </c>
      <c r="C15" s="24">
        <f ca="1">Plantilla!AB17+Plantilla!N17+Plantilla!J17</f>
        <v>15.211313358504867</v>
      </c>
      <c r="D15" s="71">
        <f t="shared" ca="1" si="3"/>
        <v>5.4542425094393252</v>
      </c>
      <c r="E15" s="24">
        <f ca="1">D15*Plantilla!R17</f>
        <v>5.4542425094393252</v>
      </c>
      <c r="F15" s="24">
        <f ca="1">D15*Plantilla!S17</f>
        <v>5.4542425094393252</v>
      </c>
      <c r="H15" s="27" t="str">
        <f t="shared" si="4"/>
        <v>Will Duffill</v>
      </c>
      <c r="I15" s="24">
        <f t="shared" ca="1" si="4"/>
        <v>15.251341199964132</v>
      </c>
      <c r="J15" s="24">
        <f t="shared" ca="1" si="4"/>
        <v>12.00775145637439</v>
      </c>
      <c r="K15" s="71">
        <f ca="1">(J15*2+I15)/8</f>
        <v>4.9083555140891137</v>
      </c>
      <c r="L15" s="27">
        <f ca="1">K15*(1-$L$8)</f>
        <v>4.460254556144573</v>
      </c>
      <c r="M15" s="27">
        <f ca="1">K15*(1-$M$8)</f>
        <v>4.8275429902717635</v>
      </c>
      <c r="O15" s="27" t="str">
        <f t="shared" si="5"/>
        <v>Will Duffill</v>
      </c>
      <c r="P15" s="27">
        <f t="shared" ca="1" si="5"/>
        <v>15.251341199964132</v>
      </c>
      <c r="Q15" s="27">
        <f t="shared" ca="1" si="5"/>
        <v>12.00775145637439</v>
      </c>
      <c r="R15" s="71">
        <f ca="1">(Q15*2+P15)/8</f>
        <v>4.9083555140891137</v>
      </c>
      <c r="S15" s="27">
        <f t="shared" ca="1" si="6"/>
        <v>4.460254556144573</v>
      </c>
      <c r="T15" s="27">
        <f t="shared" ca="1" si="6"/>
        <v>4.8275429902717635</v>
      </c>
    </row>
    <row r="16" spans="1:20" x14ac:dyDescent="0.25">
      <c r="A16" t="str">
        <f>Plantilla!D18</f>
        <v>Renato Galeano</v>
      </c>
      <c r="B16" s="24">
        <f ca="1">Plantilla!Y18+Plantilla!N18+Plantilla!J18</f>
        <v>4.1667483511889332</v>
      </c>
      <c r="C16" s="24">
        <f ca="1">Plantilla!AB18+Plantilla!N18+Plantilla!J18</f>
        <v>9.1667483511889341</v>
      </c>
      <c r="D16" s="71">
        <f t="shared" ca="1" si="3"/>
        <v>2.81253063169585</v>
      </c>
      <c r="E16" s="24">
        <f ca="1">D16*Plantilla!R18</f>
        <v>2.6038973900500091</v>
      </c>
      <c r="F16" s="24">
        <f ca="1">D16*Plantilla!S18</f>
        <v>2.810520963249389</v>
      </c>
      <c r="H16" s="27" t="str">
        <f t="shared" si="4"/>
        <v>Venanci Oset</v>
      </c>
      <c r="I16" s="24">
        <f t="shared" ca="1" si="4"/>
        <v>16.333884475523806</v>
      </c>
      <c r="J16" s="24">
        <f t="shared" ca="1" si="4"/>
        <v>14.194995586634919</v>
      </c>
      <c r="K16" s="71">
        <f ca="1">(J16*2+I16)/8</f>
        <v>5.5904844560992055</v>
      </c>
      <c r="L16" s="27">
        <f ca="1">K16*(1-$L$8)</f>
        <v>5.0801095590565222</v>
      </c>
      <c r="M16" s="27">
        <f ca="1">K16*(1-$M$8)</f>
        <v>5.4984411725672295</v>
      </c>
      <c r="O16" s="27" t="str">
        <f t="shared" si="5"/>
        <v>Venanci Oset</v>
      </c>
      <c r="P16" s="27">
        <f t="shared" ca="1" si="5"/>
        <v>16.333884475523806</v>
      </c>
      <c r="Q16" s="27">
        <f t="shared" ca="1" si="5"/>
        <v>14.194995586634919</v>
      </c>
      <c r="R16" s="71">
        <f ca="1">(Q16*2+P16)/8</f>
        <v>5.5904844560992055</v>
      </c>
      <c r="S16" s="27">
        <f t="shared" ca="1" si="6"/>
        <v>5.0801095590565222</v>
      </c>
      <c r="T16" s="27">
        <f t="shared" ca="1" si="6"/>
        <v>5.4984411725672295</v>
      </c>
    </row>
    <row r="17" spans="1:20" x14ac:dyDescent="0.25">
      <c r="A17" t="str">
        <f>Plantilla!D19</f>
        <v>Meraj Siddiqui</v>
      </c>
      <c r="B17" s="24">
        <f ca="1">Plantilla!Y19+Plantilla!N19+Plantilla!J19</f>
        <v>2.6249157616907342</v>
      </c>
      <c r="C17" s="24">
        <f ca="1">Plantilla!AB19+Plantilla!N19+Plantilla!J19</f>
        <v>12.624915761690733</v>
      </c>
      <c r="D17" s="71">
        <f t="shared" ca="1" si="3"/>
        <v>3.484343410634025</v>
      </c>
      <c r="E17" s="24">
        <f ca="1">D17*Plantilla!R19</f>
        <v>2.9448076584326168</v>
      </c>
      <c r="F17" s="24">
        <f ca="1">D17*Plantilla!S19</f>
        <v>3.2231858137416998</v>
      </c>
      <c r="H17" s="27" t="str">
        <f t="shared" si="4"/>
        <v>Miguel Fernández</v>
      </c>
      <c r="I17" s="24">
        <f t="shared" ca="1" si="4"/>
        <v>17.39651609427856</v>
      </c>
      <c r="J17" s="24">
        <f t="shared" ca="1" si="4"/>
        <v>10.908321649834116</v>
      </c>
      <c r="K17" s="71">
        <f ca="1">(J17*2+I17)/8</f>
        <v>4.9016449242433495</v>
      </c>
      <c r="L17" s="27">
        <f ca="1">K17*(1-$L$8)</f>
        <v>4.4541565995381145</v>
      </c>
      <c r="M17" s="27">
        <f ca="1">K17*(1-$M$8)</f>
        <v>4.8209428854347118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4.9434269014639156</v>
      </c>
      <c r="C18" s="24">
        <f ca="1">Plantilla!AB20+Plantilla!N20+Plantilla!J20</f>
        <v>14.27676023479725</v>
      </c>
      <c r="D18" s="71">
        <f t="shared" ca="1" si="3"/>
        <v>4.1871184213823014</v>
      </c>
      <c r="E18" s="24">
        <f ca="1">D18*Plantilla!R20</f>
        <v>3.1651640151299776</v>
      </c>
      <c r="F18" s="24">
        <f ca="1">D18*Plantilla!S20</f>
        <v>3.5352204167824488</v>
      </c>
      <c r="K18" s="101">
        <f ca="1">SUM(K13:K17)</f>
        <v>26.014941079773212</v>
      </c>
      <c r="L18" s="101">
        <f ca="1">SUM(L13:L17)</f>
        <v>23.639946036065481</v>
      </c>
      <c r="M18" s="101">
        <f ca="1">SUM(M13:M17)</f>
        <v>25.586623888897055</v>
      </c>
      <c r="N18" s="101"/>
      <c r="O18" s="101"/>
      <c r="P18" s="101"/>
      <c r="Q18" s="101"/>
      <c r="R18" s="101">
        <f ca="1">SUM(R13:R17)</f>
        <v>21.113296155529863</v>
      </c>
      <c r="S18" s="101">
        <f ca="1">SUM(S13:S17)</f>
        <v>19.185789436527365</v>
      </c>
      <c r="T18" s="101">
        <f ca="1">SUM(T13:T17)</f>
        <v>20.765681003462344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218</v>
      </c>
      <c r="B1" s="43" t="s">
        <v>609</v>
      </c>
      <c r="C1" s="43" t="s">
        <v>610</v>
      </c>
      <c r="D1" s="43" t="s">
        <v>611</v>
      </c>
      <c r="E1" s="43" t="s">
        <v>612</v>
      </c>
      <c r="F1" s="43" t="s">
        <v>613</v>
      </c>
      <c r="G1" s="43" t="s">
        <v>614</v>
      </c>
      <c r="H1" s="43" t="s">
        <v>615</v>
      </c>
      <c r="J1" s="446" t="s">
        <v>616</v>
      </c>
      <c r="K1" t="s">
        <v>617</v>
      </c>
      <c r="L1" t="s">
        <v>618</v>
      </c>
      <c r="M1" t="s">
        <v>619</v>
      </c>
      <c r="N1" s="42" t="s">
        <v>620</v>
      </c>
    </row>
    <row r="2" spans="1:14" x14ac:dyDescent="0.25">
      <c r="A2" s="445">
        <v>43670</v>
      </c>
      <c r="B2" s="42" t="s">
        <v>432</v>
      </c>
      <c r="C2" s="42" t="s">
        <v>621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622</v>
      </c>
      <c r="C3" s="42" t="s">
        <v>432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623</v>
      </c>
      <c r="C4" s="42" t="s">
        <v>432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624</v>
      </c>
      <c r="C5" s="42" t="s">
        <v>432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15</v>
      </c>
      <c r="L5" s="447">
        <v>101</v>
      </c>
      <c r="M5" s="447">
        <v>38</v>
      </c>
      <c r="N5" s="58">
        <f t="shared" si="1"/>
        <v>0.37623762376237624</v>
      </c>
    </row>
    <row r="6" spans="1:14" x14ac:dyDescent="0.25">
      <c r="A6" s="445">
        <v>43680</v>
      </c>
      <c r="B6" s="42" t="s">
        <v>432</v>
      </c>
      <c r="C6" s="42" t="s">
        <v>625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626</v>
      </c>
      <c r="C7" s="42" t="s">
        <v>432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432</v>
      </c>
      <c r="C8" s="42" t="s">
        <v>627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628</v>
      </c>
      <c r="C9" s="42" t="s">
        <v>432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22</v>
      </c>
      <c r="L9" s="447">
        <v>187</v>
      </c>
      <c r="M9" s="447">
        <v>81</v>
      </c>
      <c r="N9" s="58">
        <f t="shared" si="1"/>
        <v>0.43315508021390375</v>
      </c>
    </row>
    <row r="10" spans="1:14" x14ac:dyDescent="0.25">
      <c r="A10" s="445">
        <v>43641</v>
      </c>
      <c r="B10" s="42" t="s">
        <v>432</v>
      </c>
      <c r="C10" s="42" t="s">
        <v>630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12</v>
      </c>
      <c r="L10" s="447">
        <v>92</v>
      </c>
      <c r="M10" s="447">
        <v>36</v>
      </c>
      <c r="N10" s="58">
        <f t="shared" si="1"/>
        <v>0.39130434782608697</v>
      </c>
    </row>
    <row r="11" spans="1:14" x14ac:dyDescent="0.25">
      <c r="A11" s="445">
        <v>43640</v>
      </c>
      <c r="B11" s="42" t="s">
        <v>631</v>
      </c>
      <c r="C11" s="42" t="s">
        <v>432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27</v>
      </c>
      <c r="L11" s="447">
        <v>208</v>
      </c>
      <c r="M11" s="447">
        <v>95</v>
      </c>
      <c r="N11" s="58">
        <f t="shared" si="1"/>
        <v>0.45673076923076922</v>
      </c>
    </row>
    <row r="12" spans="1:14" x14ac:dyDescent="0.25">
      <c r="A12" s="445">
        <v>43636</v>
      </c>
      <c r="B12" s="42" t="s">
        <v>632</v>
      </c>
      <c r="C12" s="42" t="s">
        <v>432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16</v>
      </c>
      <c r="L12" s="447">
        <v>129</v>
      </c>
      <c r="M12" s="447">
        <v>63</v>
      </c>
      <c r="N12" s="58">
        <f t="shared" si="1"/>
        <v>0.48837209302325579</v>
      </c>
    </row>
    <row r="13" spans="1:14" x14ac:dyDescent="0.25">
      <c r="A13" s="445">
        <v>43635</v>
      </c>
      <c r="B13" s="42" t="s">
        <v>432</v>
      </c>
      <c r="C13" s="42" t="s">
        <v>633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629</v>
      </c>
      <c r="K13" s="447">
        <v>184</v>
      </c>
      <c r="L13" s="447">
        <v>1366</v>
      </c>
      <c r="M13" s="447">
        <v>568</v>
      </c>
      <c r="N13" s="58"/>
    </row>
    <row r="14" spans="1:14" x14ac:dyDescent="0.25">
      <c r="A14" s="445">
        <v>43635</v>
      </c>
      <c r="B14" s="42" t="s">
        <v>432</v>
      </c>
      <c r="C14" s="42" t="s">
        <v>634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635</v>
      </c>
      <c r="C15" s="42" t="s">
        <v>432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636</v>
      </c>
      <c r="C16" s="42" t="s">
        <v>432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432</v>
      </c>
      <c r="C17" s="42" t="s">
        <v>637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432</v>
      </c>
      <c r="C18" s="42" t="s">
        <v>638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639</v>
      </c>
      <c r="C19" s="42" t="s">
        <v>432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640</v>
      </c>
      <c r="C20" s="42" t="s">
        <v>432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432</v>
      </c>
      <c r="C21" s="42" t="s">
        <v>641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432</v>
      </c>
      <c r="C22" s="42" t="s">
        <v>642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643</v>
      </c>
      <c r="C23" s="42" t="s">
        <v>432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644</v>
      </c>
      <c r="C24" s="42" t="s">
        <v>432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432</v>
      </c>
      <c r="C25" s="42" t="s">
        <v>645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646</v>
      </c>
      <c r="C26" s="42" t="s">
        <v>432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432</v>
      </c>
      <c r="C27" s="42" t="s">
        <v>647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648</v>
      </c>
      <c r="C28" s="42" t="s">
        <v>432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649</v>
      </c>
      <c r="C29" s="42" t="s">
        <v>432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432</v>
      </c>
      <c r="C30" s="42" t="s">
        <v>650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651</v>
      </c>
      <c r="C31" s="42" t="s">
        <v>432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652</v>
      </c>
      <c r="C32" s="42" t="s">
        <v>432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432</v>
      </c>
      <c r="C33" s="42" t="s">
        <v>625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653</v>
      </c>
      <c r="C34" s="42" t="s">
        <v>432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432</v>
      </c>
      <c r="C35" s="42" t="s">
        <v>639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654</v>
      </c>
      <c r="C36" s="42" t="s">
        <v>432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655</v>
      </c>
      <c r="C37" s="42" t="s">
        <v>432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432</v>
      </c>
      <c r="C38" s="42" t="s">
        <v>656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657</v>
      </c>
      <c r="C39" s="42" t="s">
        <v>432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432</v>
      </c>
      <c r="C40" s="42" t="s">
        <v>658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432</v>
      </c>
      <c r="C41" s="42" t="s">
        <v>659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432</v>
      </c>
      <c r="C42" s="42" t="s">
        <v>653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625</v>
      </c>
      <c r="C43" s="42" t="s">
        <v>432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432</v>
      </c>
      <c r="C44" s="42" t="s">
        <v>652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642</v>
      </c>
      <c r="C45" s="42" t="s">
        <v>432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432</v>
      </c>
      <c r="C46" s="42" t="s">
        <v>640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660</v>
      </c>
      <c r="C47" s="42" t="s">
        <v>432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432</v>
      </c>
      <c r="C48" s="42" t="s">
        <v>661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639</v>
      </c>
      <c r="C49" s="42" t="s">
        <v>432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432</v>
      </c>
      <c r="C50" s="42" t="s">
        <v>662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432</v>
      </c>
      <c r="C51" s="42" t="s">
        <v>663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432</v>
      </c>
      <c r="C52" s="42" t="s">
        <v>664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665</v>
      </c>
      <c r="C53" s="42" t="s">
        <v>432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432</v>
      </c>
      <c r="C54" s="42" t="s">
        <v>666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432</v>
      </c>
      <c r="C55" s="42" t="s">
        <v>667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668</v>
      </c>
      <c r="C56" s="42" t="s">
        <v>432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432</v>
      </c>
      <c r="C57" s="42" t="s">
        <v>669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432</v>
      </c>
      <c r="C58" s="42" t="s">
        <v>670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625</v>
      </c>
      <c r="C59" s="42" t="s">
        <v>432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432</v>
      </c>
      <c r="C60" s="42" t="s">
        <v>671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672</v>
      </c>
      <c r="C61" s="42" t="s">
        <v>432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654</v>
      </c>
      <c r="C62" s="42" t="s">
        <v>432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432</v>
      </c>
      <c r="C63" s="42" t="s">
        <v>673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674</v>
      </c>
      <c r="C64" s="42" t="s">
        <v>432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675</v>
      </c>
      <c r="C65" s="42" t="s">
        <v>432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432</v>
      </c>
      <c r="C66" s="42" t="s">
        <v>676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445">
        <v>43739</v>
      </c>
      <c r="B67" s="42" t="s">
        <v>677</v>
      </c>
      <c r="C67" s="42" t="s">
        <v>432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432</v>
      </c>
      <c r="C68" s="42" t="s">
        <v>678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677</v>
      </c>
      <c r="C69" s="42" t="s">
        <v>432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679</v>
      </c>
      <c r="C70" s="42" t="s">
        <v>432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680</v>
      </c>
      <c r="C71" s="42" t="s">
        <v>432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432</v>
      </c>
      <c r="C72" s="42" t="s">
        <v>681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432</v>
      </c>
      <c r="C73" s="42" t="s">
        <v>682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683</v>
      </c>
      <c r="C74" s="42" t="s">
        <v>432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684</v>
      </c>
      <c r="C75" s="42" t="s">
        <v>432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685</v>
      </c>
      <c r="C76" s="42" t="s">
        <v>432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432</v>
      </c>
      <c r="C77" s="42" t="s">
        <v>686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432</v>
      </c>
      <c r="C78" s="42" t="s">
        <v>687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432</v>
      </c>
      <c r="C79" s="42" t="s">
        <v>688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689</v>
      </c>
      <c r="C80" s="42" t="s">
        <v>432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690</v>
      </c>
      <c r="C81" s="42" t="s">
        <v>432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691</v>
      </c>
      <c r="C82" s="42" t="s">
        <v>432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432</v>
      </c>
      <c r="C83" s="42" t="s">
        <v>692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693</v>
      </c>
      <c r="C84" s="42" t="s">
        <v>432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432</v>
      </c>
      <c r="C85" s="42" t="s">
        <v>694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432</v>
      </c>
      <c r="C86" s="42" t="s">
        <v>695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432</v>
      </c>
      <c r="C87" s="42" t="s">
        <v>438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446</v>
      </c>
      <c r="C88" s="42" t="s">
        <v>432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919</v>
      </c>
      <c r="C89" s="42" t="s">
        <v>432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920</v>
      </c>
      <c r="C90" s="42" t="s">
        <v>432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921</v>
      </c>
      <c r="C91" s="42" t="s">
        <v>432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432</v>
      </c>
      <c r="C92" s="42" t="s">
        <v>922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453</v>
      </c>
      <c r="C93" s="42" t="s">
        <v>432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670</v>
      </c>
      <c r="C94" s="42" t="s">
        <v>432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432</v>
      </c>
      <c r="C95" s="42" t="s">
        <v>923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432</v>
      </c>
      <c r="C96" s="42" t="s">
        <v>458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432</v>
      </c>
      <c r="C97" s="42" t="s">
        <v>924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432</v>
      </c>
      <c r="C98" s="42" t="s">
        <v>925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921</v>
      </c>
      <c r="C99" s="42" t="s">
        <v>432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448</v>
      </c>
      <c r="C100" s="42" t="s">
        <v>432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926</v>
      </c>
      <c r="C101" s="42" t="s">
        <v>432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927</v>
      </c>
      <c r="C102" s="42" t="s">
        <v>432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928</v>
      </c>
      <c r="C103" s="42" t="s">
        <v>432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432</v>
      </c>
      <c r="C104" s="42" t="s">
        <v>442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432</v>
      </c>
      <c r="C105" s="42" t="s">
        <v>929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432</v>
      </c>
      <c r="C106" s="42" t="s">
        <v>448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458</v>
      </c>
      <c r="C107" s="42" t="s">
        <v>432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645</v>
      </c>
      <c r="C108" s="42" t="s">
        <v>432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463</v>
      </c>
      <c r="C109" s="42" t="s">
        <v>432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930</v>
      </c>
      <c r="C110" s="42" t="s">
        <v>432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432</v>
      </c>
      <c r="C111" s="42" t="s">
        <v>446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931</v>
      </c>
      <c r="C112" s="42" t="s">
        <v>432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438</v>
      </c>
      <c r="C113" s="42" t="s">
        <v>432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932</v>
      </c>
      <c r="C114" s="42" t="s">
        <v>432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933</v>
      </c>
      <c r="C115" s="42" t="s">
        <v>432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934</v>
      </c>
      <c r="C116" s="42" t="s">
        <v>432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935</v>
      </c>
      <c r="C117" s="42" t="s">
        <v>432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936</v>
      </c>
      <c r="C118" s="42" t="s">
        <v>432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432</v>
      </c>
      <c r="C119" s="42" t="s">
        <v>937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938</v>
      </c>
      <c r="C120" s="42" t="s">
        <v>432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939</v>
      </c>
      <c r="C121" s="42" t="s">
        <v>432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432</v>
      </c>
      <c r="C122" s="42" t="s">
        <v>940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432</v>
      </c>
      <c r="C123" s="42" t="s">
        <v>941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432</v>
      </c>
      <c r="C124" s="42" t="s">
        <v>942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432</v>
      </c>
      <c r="C125" s="42" t="s">
        <v>943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432</v>
      </c>
      <c r="C126" s="42" t="s">
        <v>944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945</v>
      </c>
      <c r="C127" s="42" t="s">
        <v>432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432</v>
      </c>
      <c r="C128" s="42" t="s">
        <v>946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432</v>
      </c>
      <c r="C129" s="42" t="s">
        <v>947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948</v>
      </c>
      <c r="C130" s="42" t="s">
        <v>432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432</v>
      </c>
      <c r="C131" s="42" t="s">
        <v>948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949</v>
      </c>
      <c r="C132" s="42" t="s">
        <v>432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942</v>
      </c>
      <c r="C133" s="42" t="s">
        <v>432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432</v>
      </c>
      <c r="C134" s="42" t="s">
        <v>950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951</v>
      </c>
      <c r="C135" s="42" t="s">
        <v>432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937</v>
      </c>
      <c r="C136" s="42" t="s">
        <v>432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951</v>
      </c>
      <c r="C137" s="42" t="s">
        <v>432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B138" s="42" t="s">
        <v>432</v>
      </c>
      <c r="C138" s="42" t="s">
        <v>936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B139" s="42" t="s">
        <v>432</v>
      </c>
      <c r="C139" s="42" t="s">
        <v>934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952</v>
      </c>
      <c r="C140" s="42" t="s">
        <v>432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B141" s="42" t="s">
        <v>432</v>
      </c>
      <c r="C141" s="42" t="s">
        <v>953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954</v>
      </c>
      <c r="C142" s="42" t="s">
        <v>432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955</v>
      </c>
      <c r="C143" s="42" t="s">
        <v>432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B144" s="42" t="s">
        <v>432</v>
      </c>
      <c r="C144" s="42" t="s">
        <v>956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957</v>
      </c>
      <c r="C145" s="42" t="s">
        <v>432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958</v>
      </c>
      <c r="C146" s="42" t="s">
        <v>432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B147" s="42" t="s">
        <v>432</v>
      </c>
      <c r="C147" s="42" t="s">
        <v>959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960</v>
      </c>
      <c r="C148" s="42" t="s">
        <v>432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961</v>
      </c>
      <c r="C149" s="42" t="s">
        <v>432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B150" s="42" t="s">
        <v>432</v>
      </c>
      <c r="C150" s="42" t="s">
        <v>962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B151" s="42" t="s">
        <v>432</v>
      </c>
      <c r="C151" s="42" t="s">
        <v>963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964</v>
      </c>
      <c r="C152" s="42" t="s">
        <v>432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965</v>
      </c>
      <c r="C153" s="42" t="s">
        <v>432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B154" s="42" t="s">
        <v>432</v>
      </c>
      <c r="C154" s="42" t="s">
        <v>966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967</v>
      </c>
      <c r="C155" s="42" t="s">
        <v>432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B156" s="42" t="s">
        <v>432</v>
      </c>
      <c r="C156" s="42" t="s">
        <v>968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B157" s="42" t="s">
        <v>432</v>
      </c>
      <c r="C157" s="42" t="s">
        <v>969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B158" s="42" t="s">
        <v>432</v>
      </c>
      <c r="C158" s="42" t="s">
        <v>970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971</v>
      </c>
      <c r="C159" s="42" t="s">
        <v>432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>
        <v>43988</v>
      </c>
      <c r="B160" s="42" t="s">
        <v>948</v>
      </c>
      <c r="C160" s="42" t="s">
        <v>432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445">
        <v>43992</v>
      </c>
      <c r="B161" s="42" t="s">
        <v>982</v>
      </c>
      <c r="C161" s="42" t="s">
        <v>432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445">
        <v>43995</v>
      </c>
      <c r="C162" s="42" t="s">
        <v>983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445">
        <v>43999</v>
      </c>
      <c r="B163" s="42" t="s">
        <v>984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445">
        <v>44002</v>
      </c>
      <c r="B164" s="42" t="s">
        <v>939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445">
        <v>44006</v>
      </c>
      <c r="B165" s="42" t="s">
        <v>985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445">
        <v>44007</v>
      </c>
      <c r="B166" s="42" t="s">
        <v>986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445">
        <v>44008</v>
      </c>
      <c r="B167" s="42" t="s">
        <v>987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445">
        <v>44010</v>
      </c>
      <c r="C168" s="42" t="s">
        <v>988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445">
        <v>44012</v>
      </c>
      <c r="B169" s="42" t="s">
        <v>989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445">
        <v>44013</v>
      </c>
      <c r="B170" s="42" t="s">
        <v>990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445">
        <v>44014</v>
      </c>
      <c r="C171" s="42" t="s">
        <v>991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445">
        <v>44015</v>
      </c>
      <c r="B172" s="42" t="s">
        <v>992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445">
        <v>44017</v>
      </c>
      <c r="B173" s="42" t="s">
        <v>993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445">
        <v>44019</v>
      </c>
      <c r="C174" s="42" t="s">
        <v>994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445">
        <v>44020</v>
      </c>
      <c r="B175" s="42" t="s">
        <v>995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445">
        <v>44023</v>
      </c>
      <c r="B176" s="42" t="s">
        <v>996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445">
        <v>44026</v>
      </c>
      <c r="B177" s="42" t="s">
        <v>997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445">
        <v>44027</v>
      </c>
      <c r="B178" s="42" t="s">
        <v>998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445">
        <v>44028</v>
      </c>
      <c r="C179" s="42" t="s">
        <v>999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445">
        <v>44029</v>
      </c>
      <c r="B180" s="42" t="s">
        <v>1000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445">
        <v>44030</v>
      </c>
      <c r="C181" s="42" t="s">
        <v>1001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445">
        <v>44031</v>
      </c>
      <c r="B182" s="42" t="s">
        <v>1002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445">
        <v>44033</v>
      </c>
      <c r="C183" s="42" t="s">
        <v>1003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445">
        <v>44034</v>
      </c>
      <c r="C184" s="42" t="s">
        <v>1004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445">
        <v>44035</v>
      </c>
      <c r="C185" s="42" t="s">
        <v>1005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2020-09-09T10:44:53Z</dcterms:modified>
</cp:coreProperties>
</file>